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slicers/slicer1.xml" ContentType="application/vnd.ms-excel.slicer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slicers/slicer2.xml" ContentType="application/vnd.ms-excel.slicer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LENOVO\Desktop\FERTIMED\KPMG\KPMG\"/>
    </mc:Choice>
  </mc:AlternateContent>
  <xr:revisionPtr revIDLastSave="0" documentId="13_ncr:1_{C1890C47-CFD9-4243-B90A-B7C8FC312510}" xr6:coauthVersionLast="47" xr6:coauthVersionMax="47" xr10:uidLastSave="{00000000-0000-0000-0000-000000000000}"/>
  <bookViews>
    <workbookView xWindow="-110" yWindow="-110" windowWidth="19420" windowHeight="11500" tabRatio="782" xr2:uid="{00000000-000D-0000-FFFF-FFFF00000000}"/>
  </bookViews>
  <sheets>
    <sheet name="TBD" sheetId="20" r:id="rId1"/>
    <sheet name="Forecast-Volumes annuels import" sheetId="9" r:id="rId2"/>
    <sheet name="CA prévisionnel annuel" sheetId="10" r:id="rId3"/>
    <sheet name="Previsionnels Importations" sheetId="11" r:id="rId4"/>
    <sheet name="Récape" sheetId="15" r:id="rId5"/>
    <sheet name="Ventes" sheetId="12" r:id="rId6"/>
    <sheet name="Données" sheetId="5" r:id="rId7"/>
  </sheets>
  <definedNames>
    <definedName name="Origine__Fournisseur">Données!$H$5:$H$49</definedName>
    <definedName name="Produits">Données!$B$5:$B$49</definedName>
    <definedName name="Segment_Produits">#N/A</definedName>
    <definedName name="Segment_Produits1">#N/A</definedName>
    <definedName name="Unité">Données!#REF!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8"/>
        <x14:slicerCache r:id="rId9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35" i="12" l="1"/>
  <c r="P36" i="12"/>
  <c r="P37" i="12"/>
  <c r="P38" i="12"/>
  <c r="P39" i="12"/>
  <c r="O10" i="12"/>
  <c r="O11" i="12"/>
  <c r="O12" i="12"/>
  <c r="O13" i="12"/>
  <c r="O14" i="12"/>
  <c r="O15" i="12"/>
  <c r="O16" i="12"/>
  <c r="O17" i="12"/>
  <c r="O18" i="12"/>
  <c r="O19" i="12"/>
  <c r="O20" i="12"/>
  <c r="O21" i="12"/>
  <c r="O22" i="12"/>
  <c r="O23" i="12"/>
  <c r="O24" i="12"/>
  <c r="O25" i="12"/>
  <c r="O26" i="12"/>
  <c r="O27" i="12"/>
  <c r="O28" i="12"/>
  <c r="O29" i="12"/>
  <c r="O30" i="12"/>
  <c r="O31" i="12"/>
  <c r="O32" i="12"/>
  <c r="O33" i="12"/>
  <c r="O34" i="12"/>
  <c r="O35" i="12"/>
  <c r="O36" i="12"/>
  <c r="O37" i="12"/>
  <c r="O38" i="12"/>
  <c r="O39" i="12"/>
  <c r="O40" i="12"/>
  <c r="O41" i="12"/>
  <c r="O9" i="12"/>
  <c r="X5" i="5" l="1"/>
  <c r="Y5" i="5"/>
  <c r="AC5" i="5"/>
  <c r="AE5" i="5"/>
  <c r="AF5" i="5"/>
  <c r="E11" i="11"/>
  <c r="AA6" i="5"/>
  <c r="AC6" i="5"/>
  <c r="AG6" i="5"/>
  <c r="AI6" i="5"/>
  <c r="AC7" i="5"/>
  <c r="Q12" i="11"/>
  <c r="AG7" i="5"/>
  <c r="E13" i="11"/>
  <c r="AA8" i="5"/>
  <c r="AI8" i="5"/>
  <c r="M14" i="11"/>
  <c r="Q14" i="11"/>
  <c r="E15" i="11"/>
  <c r="AA10" i="5"/>
  <c r="U15" i="11"/>
  <c r="AI10" i="5"/>
  <c r="Q16" i="11"/>
  <c r="I17" i="11"/>
  <c r="U17" i="11"/>
  <c r="Y17" i="11"/>
  <c r="AC13" i="5"/>
  <c r="Q18" i="11"/>
  <c r="S18" i="11"/>
  <c r="Y14" i="5"/>
  <c r="AA14" i="5"/>
  <c r="AC14" i="5"/>
  <c r="AG14" i="5"/>
  <c r="AI14" i="5"/>
  <c r="AC15" i="5"/>
  <c r="AE15" i="5"/>
  <c r="Y16" i="5"/>
  <c r="AA16" i="5"/>
  <c r="AG16" i="5"/>
  <c r="AI16" i="5"/>
  <c r="M22" i="11"/>
  <c r="Q22" i="11"/>
  <c r="Y18" i="5"/>
  <c r="AA18" i="5"/>
  <c r="U23" i="11"/>
  <c r="AI18" i="5"/>
  <c r="M24" i="11"/>
  <c r="N24" i="11" s="1"/>
  <c r="AE19" i="5"/>
  <c r="Y20" i="5"/>
  <c r="U25" i="11"/>
  <c r="AI20" i="5"/>
  <c r="AC21" i="5"/>
  <c r="AE21" i="5"/>
  <c r="AA22" i="5"/>
  <c r="AC22" i="5"/>
  <c r="U27" i="11"/>
  <c r="AI22" i="5"/>
  <c r="Q28" i="11"/>
  <c r="AG23" i="5"/>
  <c r="Y24" i="5"/>
  <c r="Y29" i="11"/>
  <c r="AC25" i="5"/>
  <c r="Q30" i="11"/>
  <c r="E31" i="11"/>
  <c r="AA26" i="5"/>
  <c r="AG26" i="5"/>
  <c r="Y31" i="11"/>
  <c r="M32" i="11"/>
  <c r="AE27" i="5"/>
  <c r="Y28" i="5"/>
  <c r="I33" i="11"/>
  <c r="U33" i="11"/>
  <c r="AI28" i="5"/>
  <c r="AC29" i="5"/>
  <c r="AE29" i="5"/>
  <c r="Y30" i="5"/>
  <c r="I35" i="11"/>
  <c r="AG30" i="5"/>
  <c r="AI30" i="5"/>
  <c r="AC31" i="5"/>
  <c r="AE31" i="5"/>
  <c r="E37" i="11"/>
  <c r="F37" i="11" s="1"/>
  <c r="O37" i="9"/>
  <c r="AG32" i="5"/>
  <c r="Y37" i="11"/>
  <c r="Z37" i="11" s="1"/>
  <c r="AE33" i="5"/>
  <c r="E39" i="11"/>
  <c r="AA34" i="5"/>
  <c r="AG34" i="5"/>
  <c r="Y39" i="11"/>
  <c r="Z39" i="11" s="1"/>
  <c r="M40" i="11"/>
  <c r="N40" i="11" s="1"/>
  <c r="AE35" i="5"/>
  <c r="AA36" i="5"/>
  <c r="AG36" i="5"/>
  <c r="Y41" i="11"/>
  <c r="AC37" i="5"/>
  <c r="Q42" i="11"/>
  <c r="U42" i="11"/>
  <c r="O11" i="9"/>
  <c r="E12" i="11"/>
  <c r="G12" i="11"/>
  <c r="AH7" i="5"/>
  <c r="O13" i="11"/>
  <c r="AE8" i="5"/>
  <c r="AA9" i="5"/>
  <c r="AB9" i="5"/>
  <c r="Y14" i="11"/>
  <c r="S15" i="11"/>
  <c r="M16" i="11"/>
  <c r="AD11" i="5"/>
  <c r="G17" i="11"/>
  <c r="AH12" i="5"/>
  <c r="E20" i="11"/>
  <c r="G20" i="11"/>
  <c r="AG15" i="5"/>
  <c r="AH15" i="5"/>
  <c r="O21" i="11"/>
  <c r="AE16" i="5"/>
  <c r="AB17" i="5"/>
  <c r="Y22" i="11"/>
  <c r="S23" i="11"/>
  <c r="AD19" i="5"/>
  <c r="AH20" i="5"/>
  <c r="S26" i="11"/>
  <c r="E28" i="11"/>
  <c r="F28" i="11" s="1"/>
  <c r="G28" i="11"/>
  <c r="W28" i="11"/>
  <c r="O29" i="11"/>
  <c r="AE24" i="5"/>
  <c r="AA25" i="5"/>
  <c r="AB25" i="5"/>
  <c r="Y30" i="11"/>
  <c r="S31" i="11"/>
  <c r="AD27" i="5"/>
  <c r="G33" i="11"/>
  <c r="AH28" i="5"/>
  <c r="S34" i="11"/>
  <c r="AC30" i="5"/>
  <c r="Y31" i="5"/>
  <c r="G36" i="11"/>
  <c r="H36" i="11" s="1"/>
  <c r="W36" i="11"/>
  <c r="X36" i="11" s="1"/>
  <c r="O37" i="11"/>
  <c r="P37" i="11" s="1"/>
  <c r="Q37" i="11"/>
  <c r="R37" i="11" s="1"/>
  <c r="AB33" i="5"/>
  <c r="Y38" i="11"/>
  <c r="Z38" i="11" s="1"/>
  <c r="S39" i="11"/>
  <c r="T39" i="11" s="1"/>
  <c r="AD35" i="5"/>
  <c r="Z36" i="5"/>
  <c r="AH36" i="5"/>
  <c r="AF37" i="5"/>
  <c r="X13" i="5"/>
  <c r="X21" i="5"/>
  <c r="X29" i="5"/>
  <c r="X37" i="5"/>
  <c r="AG5" i="5"/>
  <c r="AG9" i="5"/>
  <c r="AE10" i="5"/>
  <c r="AG13" i="5"/>
  <c r="AE18" i="5"/>
  <c r="AG21" i="5"/>
  <c r="AC23" i="5"/>
  <c r="AE26" i="5"/>
  <c r="AG29" i="5"/>
  <c r="AE30" i="5"/>
  <c r="AE34" i="5"/>
  <c r="Y36" i="5"/>
  <c r="C42" i="11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G31" i="5"/>
  <c r="G32" i="5"/>
  <c r="F33" i="5"/>
  <c r="E34" i="5"/>
  <c r="D36" i="5"/>
  <c r="D37" i="5"/>
  <c r="D5" i="5"/>
  <c r="BO33" i="5"/>
  <c r="BO34" i="5"/>
  <c r="BO35" i="5"/>
  <c r="BO36" i="5"/>
  <c r="BK6" i="5"/>
  <c r="BK7" i="5"/>
  <c r="BK8" i="5"/>
  <c r="BK9" i="5"/>
  <c r="BK10" i="5"/>
  <c r="BK11" i="5"/>
  <c r="BK12" i="5"/>
  <c r="BK13" i="5"/>
  <c r="BK14" i="5"/>
  <c r="BK15" i="5"/>
  <c r="BK16" i="5"/>
  <c r="BK17" i="5"/>
  <c r="BK18" i="5"/>
  <c r="BK19" i="5"/>
  <c r="BK20" i="5"/>
  <c r="BK21" i="5"/>
  <c r="BK22" i="5"/>
  <c r="BK23" i="5"/>
  <c r="BK24" i="5"/>
  <c r="BK25" i="5"/>
  <c r="BK26" i="5"/>
  <c r="BK27" i="5"/>
  <c r="BK28" i="5"/>
  <c r="BK29" i="5"/>
  <c r="BK30" i="5"/>
  <c r="BK31" i="5"/>
  <c r="BK32" i="5"/>
  <c r="BK33" i="5"/>
  <c r="BK34" i="5"/>
  <c r="BK35" i="5"/>
  <c r="BK36" i="5"/>
  <c r="BK37" i="5"/>
  <c r="BK5" i="5"/>
  <c r="BJ6" i="5"/>
  <c r="BJ30" i="5"/>
  <c r="BJ31" i="5"/>
  <c r="BJ32" i="5"/>
  <c r="BJ33" i="5"/>
  <c r="BJ34" i="5"/>
  <c r="BJ35" i="5"/>
  <c r="BJ36" i="5"/>
  <c r="BJ37" i="5"/>
  <c r="BJ28" i="5"/>
  <c r="BJ29" i="5"/>
  <c r="BJ21" i="5"/>
  <c r="BJ22" i="5"/>
  <c r="BJ23" i="5"/>
  <c r="BJ24" i="5"/>
  <c r="BJ25" i="5"/>
  <c r="BJ26" i="5"/>
  <c r="BJ27" i="5"/>
  <c r="BJ20" i="5"/>
  <c r="BJ19" i="5"/>
  <c r="BJ15" i="5"/>
  <c r="BJ16" i="5"/>
  <c r="BJ17" i="5"/>
  <c r="BJ18" i="5"/>
  <c r="BJ14" i="5"/>
  <c r="BJ13" i="5"/>
  <c r="BJ12" i="5"/>
  <c r="BJ7" i="5"/>
  <c r="BJ8" i="5"/>
  <c r="BJ9" i="5"/>
  <c r="BJ10" i="5"/>
  <c r="BJ11" i="5"/>
  <c r="BJ5" i="5"/>
  <c r="BI5" i="5"/>
  <c r="BI30" i="5"/>
  <c r="BI31" i="5"/>
  <c r="BI32" i="5"/>
  <c r="BI33" i="5"/>
  <c r="BI34" i="5"/>
  <c r="BI35" i="5"/>
  <c r="BI36" i="5"/>
  <c r="BI37" i="5"/>
  <c r="BI28" i="5"/>
  <c r="BI29" i="5"/>
  <c r="BI21" i="5"/>
  <c r="BI22" i="5"/>
  <c r="BI23" i="5"/>
  <c r="BI24" i="5"/>
  <c r="BI25" i="5"/>
  <c r="BI26" i="5"/>
  <c r="BI27" i="5"/>
  <c r="BI20" i="5"/>
  <c r="BI18" i="5"/>
  <c r="BI19" i="5"/>
  <c r="BI15" i="5"/>
  <c r="BI16" i="5"/>
  <c r="BI17" i="5"/>
  <c r="BI12" i="5"/>
  <c r="BI13" i="5"/>
  <c r="BI14" i="5"/>
  <c r="BI11" i="5"/>
  <c r="BI7" i="5"/>
  <c r="BI8" i="5"/>
  <c r="BI9" i="5"/>
  <c r="BI10" i="5"/>
  <c r="BI6" i="5"/>
  <c r="BH5" i="5"/>
  <c r="BH21" i="5"/>
  <c r="BH22" i="5"/>
  <c r="BH23" i="5"/>
  <c r="BH24" i="5"/>
  <c r="BH25" i="5"/>
  <c r="BH26" i="5"/>
  <c r="BH27" i="5"/>
  <c r="BH28" i="5"/>
  <c r="BH29" i="5"/>
  <c r="BH30" i="5"/>
  <c r="BH31" i="5"/>
  <c r="BH32" i="5"/>
  <c r="BH33" i="5"/>
  <c r="BH34" i="5"/>
  <c r="BH35" i="5"/>
  <c r="BH36" i="5"/>
  <c r="BH37" i="5"/>
  <c r="BH16" i="5"/>
  <c r="BH17" i="5"/>
  <c r="BH18" i="5"/>
  <c r="BH19" i="5"/>
  <c r="BH20" i="5"/>
  <c r="BH14" i="5"/>
  <c r="BH15" i="5"/>
  <c r="BH12" i="5"/>
  <c r="BH13" i="5"/>
  <c r="BH11" i="5"/>
  <c r="BH6" i="5"/>
  <c r="BH7" i="5"/>
  <c r="BH8" i="5"/>
  <c r="BH9" i="5"/>
  <c r="BH10" i="5"/>
  <c r="BG5" i="5"/>
  <c r="BG20" i="5"/>
  <c r="BG21" i="5"/>
  <c r="BG22" i="5"/>
  <c r="BG23" i="5"/>
  <c r="BG24" i="5"/>
  <c r="BG25" i="5"/>
  <c r="BG26" i="5"/>
  <c r="BG27" i="5"/>
  <c r="BG28" i="5"/>
  <c r="BG29" i="5"/>
  <c r="BG30" i="5"/>
  <c r="BG31" i="5"/>
  <c r="BG32" i="5"/>
  <c r="BG33" i="5"/>
  <c r="BG34" i="5"/>
  <c r="BG35" i="5"/>
  <c r="BG36" i="5"/>
  <c r="BG37" i="5"/>
  <c r="BG18" i="5"/>
  <c r="BG19" i="5"/>
  <c r="BG17" i="5"/>
  <c r="BG16" i="5"/>
  <c r="BG14" i="5"/>
  <c r="BG15" i="5"/>
  <c r="BG13" i="5"/>
  <c r="BG10" i="5"/>
  <c r="BG11" i="5"/>
  <c r="BG12" i="5"/>
  <c r="BG7" i="5"/>
  <c r="BG8" i="5"/>
  <c r="BG9" i="5"/>
  <c r="BG6" i="5"/>
  <c r="BF5" i="5"/>
  <c r="BF20" i="5"/>
  <c r="BF21" i="5"/>
  <c r="BF22" i="5"/>
  <c r="BF23" i="5"/>
  <c r="BF24" i="5"/>
  <c r="BF25" i="5"/>
  <c r="BF26" i="5"/>
  <c r="BF27" i="5"/>
  <c r="BF28" i="5"/>
  <c r="BF29" i="5"/>
  <c r="BF30" i="5"/>
  <c r="BF31" i="5"/>
  <c r="BF32" i="5"/>
  <c r="BF33" i="5"/>
  <c r="BF34" i="5"/>
  <c r="BF35" i="5"/>
  <c r="BF36" i="5"/>
  <c r="BF37" i="5"/>
  <c r="BF19" i="5"/>
  <c r="BF18" i="5"/>
  <c r="BF16" i="5"/>
  <c r="BF17" i="5"/>
  <c r="BF11" i="5"/>
  <c r="BF12" i="5"/>
  <c r="BF13" i="5"/>
  <c r="BF14" i="5"/>
  <c r="BF15" i="5"/>
  <c r="BF10" i="5"/>
  <c r="BF9" i="5"/>
  <c r="BF6" i="5"/>
  <c r="BF7" i="5"/>
  <c r="BF8" i="5"/>
  <c r="BE5" i="5"/>
  <c r="BE23" i="5"/>
  <c r="BE24" i="5"/>
  <c r="BE25" i="5"/>
  <c r="BE26" i="5"/>
  <c r="BE27" i="5"/>
  <c r="BE28" i="5"/>
  <c r="BE29" i="5"/>
  <c r="BE30" i="5"/>
  <c r="BE31" i="5"/>
  <c r="BE32" i="5"/>
  <c r="BE33" i="5"/>
  <c r="BE34" i="5"/>
  <c r="BE35" i="5"/>
  <c r="BE36" i="5"/>
  <c r="BE37" i="5"/>
  <c r="BE21" i="5"/>
  <c r="BE22" i="5"/>
  <c r="BE17" i="5"/>
  <c r="BE18" i="5"/>
  <c r="BE19" i="5"/>
  <c r="BE20" i="5"/>
  <c r="BE16" i="5"/>
  <c r="BE11" i="5"/>
  <c r="BE12" i="5"/>
  <c r="BE13" i="5"/>
  <c r="BE14" i="5"/>
  <c r="BE15" i="5"/>
  <c r="BE9" i="5"/>
  <c r="BE10" i="5"/>
  <c r="BE6" i="5"/>
  <c r="BE7" i="5"/>
  <c r="BE8" i="5"/>
  <c r="BD5" i="5"/>
  <c r="BD19" i="5"/>
  <c r="BD20" i="5"/>
  <c r="BD21" i="5"/>
  <c r="BD22" i="5"/>
  <c r="BD23" i="5"/>
  <c r="BD24" i="5"/>
  <c r="BD25" i="5"/>
  <c r="BD26" i="5"/>
  <c r="BD27" i="5"/>
  <c r="BD28" i="5"/>
  <c r="BD29" i="5"/>
  <c r="BD30" i="5"/>
  <c r="BD31" i="5"/>
  <c r="BD32" i="5"/>
  <c r="BD33" i="5"/>
  <c r="BD34" i="5"/>
  <c r="BD35" i="5"/>
  <c r="BD36" i="5"/>
  <c r="BD37" i="5"/>
  <c r="BD16" i="5"/>
  <c r="BD17" i="5"/>
  <c r="BD18" i="5"/>
  <c r="BD11" i="5"/>
  <c r="BD12" i="5"/>
  <c r="BD13" i="5"/>
  <c r="BD14" i="5"/>
  <c r="BD15" i="5"/>
  <c r="BD6" i="5"/>
  <c r="BD7" i="5"/>
  <c r="BD8" i="5"/>
  <c r="BD9" i="5"/>
  <c r="BD10" i="5"/>
  <c r="BC5" i="5"/>
  <c r="BC19" i="5"/>
  <c r="BC20" i="5"/>
  <c r="BC21" i="5"/>
  <c r="BC22" i="5"/>
  <c r="BC23" i="5"/>
  <c r="BC24" i="5"/>
  <c r="BC25" i="5"/>
  <c r="BC26" i="5"/>
  <c r="BC27" i="5"/>
  <c r="BC28" i="5"/>
  <c r="BC29" i="5"/>
  <c r="BC30" i="5"/>
  <c r="BC31" i="5"/>
  <c r="BC32" i="5"/>
  <c r="BC33" i="5"/>
  <c r="BC34" i="5"/>
  <c r="BC35" i="5"/>
  <c r="BC36" i="5"/>
  <c r="BC37" i="5"/>
  <c r="BC16" i="5"/>
  <c r="BC17" i="5"/>
  <c r="BC18" i="5"/>
  <c r="BC9" i="5"/>
  <c r="BC10" i="5"/>
  <c r="BC11" i="5"/>
  <c r="BC12" i="5"/>
  <c r="BC13" i="5"/>
  <c r="BC14" i="5"/>
  <c r="BC15" i="5"/>
  <c r="BC6" i="5"/>
  <c r="BC7" i="5"/>
  <c r="BC8" i="5"/>
  <c r="BB5" i="5"/>
  <c r="BB6" i="5"/>
  <c r="BB7" i="5"/>
  <c r="BB8" i="5"/>
  <c r="BB9" i="5"/>
  <c r="BB10" i="5"/>
  <c r="BB11" i="5"/>
  <c r="BB12" i="5"/>
  <c r="BB13" i="5"/>
  <c r="BB14" i="5"/>
  <c r="BB15" i="5"/>
  <c r="BB16" i="5"/>
  <c r="BB17" i="5"/>
  <c r="BB18" i="5"/>
  <c r="BB19" i="5"/>
  <c r="BB20" i="5"/>
  <c r="BB21" i="5"/>
  <c r="BB22" i="5"/>
  <c r="BB23" i="5"/>
  <c r="BB24" i="5"/>
  <c r="BB25" i="5"/>
  <c r="BB26" i="5"/>
  <c r="BB27" i="5"/>
  <c r="BB28" i="5"/>
  <c r="BB29" i="5"/>
  <c r="BB30" i="5"/>
  <c r="BB31" i="5"/>
  <c r="BB32" i="5"/>
  <c r="BB33" i="5"/>
  <c r="BB34" i="5"/>
  <c r="BB35" i="5"/>
  <c r="BB36" i="5"/>
  <c r="BB37" i="5"/>
  <c r="BA6" i="5"/>
  <c r="BA7" i="5"/>
  <c r="BA8" i="5"/>
  <c r="BA9" i="5"/>
  <c r="BA10" i="5"/>
  <c r="BA11" i="5"/>
  <c r="BA12" i="5"/>
  <c r="BA13" i="5"/>
  <c r="BA14" i="5"/>
  <c r="BA15" i="5"/>
  <c r="BA16" i="5"/>
  <c r="BA17" i="5"/>
  <c r="BA18" i="5"/>
  <c r="BA19" i="5"/>
  <c r="BA20" i="5"/>
  <c r="BA21" i="5"/>
  <c r="BA22" i="5"/>
  <c r="BA23" i="5"/>
  <c r="BA24" i="5"/>
  <c r="BA25" i="5"/>
  <c r="BA26" i="5"/>
  <c r="BA27" i="5"/>
  <c r="BA28" i="5"/>
  <c r="BA29" i="5"/>
  <c r="BA30" i="5"/>
  <c r="BA31" i="5"/>
  <c r="BA32" i="5"/>
  <c r="BA33" i="5"/>
  <c r="BA34" i="5"/>
  <c r="BA35" i="5"/>
  <c r="BA36" i="5"/>
  <c r="BA37" i="5"/>
  <c r="BA5" i="5"/>
  <c r="AZ5" i="5"/>
  <c r="AZ19" i="5"/>
  <c r="AZ20" i="5"/>
  <c r="AZ21" i="5"/>
  <c r="AZ22" i="5"/>
  <c r="AZ23" i="5"/>
  <c r="AZ24" i="5"/>
  <c r="AZ25" i="5"/>
  <c r="AZ26" i="5"/>
  <c r="AZ27" i="5"/>
  <c r="AZ28" i="5"/>
  <c r="AZ29" i="5"/>
  <c r="AZ30" i="5"/>
  <c r="AZ31" i="5"/>
  <c r="AZ32" i="5"/>
  <c r="AZ33" i="5"/>
  <c r="AZ34" i="5"/>
  <c r="AZ35" i="5"/>
  <c r="AZ36" i="5"/>
  <c r="AZ37" i="5"/>
  <c r="AZ16" i="5"/>
  <c r="AZ17" i="5"/>
  <c r="AZ18" i="5"/>
  <c r="AZ9" i="5"/>
  <c r="AZ10" i="5"/>
  <c r="AZ11" i="5"/>
  <c r="AZ12" i="5"/>
  <c r="AZ13" i="5"/>
  <c r="AZ14" i="5"/>
  <c r="AZ15" i="5"/>
  <c r="AZ6" i="5"/>
  <c r="AZ7" i="5"/>
  <c r="AZ8" i="5"/>
  <c r="C38" i="10"/>
  <c r="R41" i="12"/>
  <c r="BO37" i="5" s="1"/>
  <c r="R36" i="12"/>
  <c r="BO32" i="5" s="1"/>
  <c r="R37" i="12"/>
  <c r="R38" i="12"/>
  <c r="R39" i="12"/>
  <c r="R40" i="12"/>
  <c r="R35" i="12"/>
  <c r="BO31" i="5" s="1"/>
  <c r="AI7" i="5"/>
  <c r="AI9" i="5"/>
  <c r="AI11" i="5"/>
  <c r="AI13" i="5"/>
  <c r="AI15" i="5"/>
  <c r="AI17" i="5"/>
  <c r="AI19" i="5"/>
  <c r="AI21" i="5"/>
  <c r="AI23" i="5"/>
  <c r="AI27" i="5"/>
  <c r="AI29" i="5"/>
  <c r="AI31" i="5"/>
  <c r="AI35" i="5"/>
  <c r="AI37" i="5"/>
  <c r="AI5" i="5"/>
  <c r="AH6" i="5"/>
  <c r="AH8" i="5"/>
  <c r="AH9" i="5"/>
  <c r="AH10" i="5"/>
  <c r="AH11" i="5"/>
  <c r="AH13" i="5"/>
  <c r="AH14" i="5"/>
  <c r="AH16" i="5"/>
  <c r="AH17" i="5"/>
  <c r="AH18" i="5"/>
  <c r="AH19" i="5"/>
  <c r="AH21" i="5"/>
  <c r="AH22" i="5"/>
  <c r="AH24" i="5"/>
  <c r="AH25" i="5"/>
  <c r="AH26" i="5"/>
  <c r="AH27" i="5"/>
  <c r="AH29" i="5"/>
  <c r="AH30" i="5"/>
  <c r="AH32" i="5"/>
  <c r="AH33" i="5"/>
  <c r="AH34" i="5"/>
  <c r="AH35" i="5"/>
  <c r="AH37" i="5"/>
  <c r="AH5" i="5"/>
  <c r="AG8" i="5"/>
  <c r="AG11" i="5"/>
  <c r="AG12" i="5"/>
  <c r="AG19" i="5"/>
  <c r="AG24" i="5"/>
  <c r="AG27" i="5"/>
  <c r="AG28" i="5"/>
  <c r="AG31" i="5"/>
  <c r="AG35" i="5"/>
  <c r="AF6" i="5"/>
  <c r="AF7" i="5"/>
  <c r="AF8" i="5"/>
  <c r="AF9" i="5"/>
  <c r="AF10" i="5"/>
  <c r="AF11" i="5"/>
  <c r="AF12" i="5"/>
  <c r="AF14" i="5"/>
  <c r="AF15" i="5"/>
  <c r="AF16" i="5"/>
  <c r="AF17" i="5"/>
  <c r="AF18" i="5"/>
  <c r="AF19" i="5"/>
  <c r="AF20" i="5"/>
  <c r="AF22" i="5"/>
  <c r="AF23" i="5"/>
  <c r="AF24" i="5"/>
  <c r="AF25" i="5"/>
  <c r="AF26" i="5"/>
  <c r="AF27" i="5"/>
  <c r="AF28" i="5"/>
  <c r="AF30" i="5"/>
  <c r="AF31" i="5"/>
  <c r="AF32" i="5"/>
  <c r="AF33" i="5"/>
  <c r="AF34" i="5"/>
  <c r="AF35" i="5"/>
  <c r="AF36" i="5"/>
  <c r="AE12" i="5"/>
  <c r="AE20" i="5"/>
  <c r="AE28" i="5"/>
  <c r="AE32" i="5"/>
  <c r="AE36" i="5"/>
  <c r="AD6" i="5"/>
  <c r="AD7" i="5"/>
  <c r="AD8" i="5"/>
  <c r="AD9" i="5"/>
  <c r="AD10" i="5"/>
  <c r="AD12" i="5"/>
  <c r="AD13" i="5"/>
  <c r="AD14" i="5"/>
  <c r="AD15" i="5"/>
  <c r="AD16" i="5"/>
  <c r="AD17" i="5"/>
  <c r="AD18" i="5"/>
  <c r="AD20" i="5"/>
  <c r="AD21" i="5"/>
  <c r="AD22" i="5"/>
  <c r="AD23" i="5"/>
  <c r="AD24" i="5"/>
  <c r="AD25" i="5"/>
  <c r="AD26" i="5"/>
  <c r="AD28" i="5"/>
  <c r="AD29" i="5"/>
  <c r="AD30" i="5"/>
  <c r="AD31" i="5"/>
  <c r="AD32" i="5"/>
  <c r="AD33" i="5"/>
  <c r="AD34" i="5"/>
  <c r="AD36" i="5"/>
  <c r="AD37" i="5"/>
  <c r="AD5" i="5"/>
  <c r="AC8" i="5"/>
  <c r="AC10" i="5"/>
  <c r="AC12" i="5"/>
  <c r="AC16" i="5"/>
  <c r="AC18" i="5"/>
  <c r="AC20" i="5"/>
  <c r="AC24" i="5"/>
  <c r="AC26" i="5"/>
  <c r="AC28" i="5"/>
  <c r="AC32" i="5"/>
  <c r="AC33" i="5"/>
  <c r="AC34" i="5"/>
  <c r="AC36" i="5"/>
  <c r="AB6" i="5"/>
  <c r="AB7" i="5"/>
  <c r="AB8" i="5"/>
  <c r="AB10" i="5"/>
  <c r="AB11" i="5"/>
  <c r="AB12" i="5"/>
  <c r="AB13" i="5"/>
  <c r="AB14" i="5"/>
  <c r="AB15" i="5"/>
  <c r="AB16" i="5"/>
  <c r="AB18" i="5"/>
  <c r="AB19" i="5"/>
  <c r="AB20" i="5"/>
  <c r="AB21" i="5"/>
  <c r="AB22" i="5"/>
  <c r="AB23" i="5"/>
  <c r="AB24" i="5"/>
  <c r="AB26" i="5"/>
  <c r="AB27" i="5"/>
  <c r="AB28" i="5"/>
  <c r="AB29" i="5"/>
  <c r="AB30" i="5"/>
  <c r="AB31" i="5"/>
  <c r="AB32" i="5"/>
  <c r="AB34" i="5"/>
  <c r="AB35" i="5"/>
  <c r="AB36" i="5"/>
  <c r="AB37" i="5"/>
  <c r="AB5" i="5"/>
  <c r="AA7" i="5"/>
  <c r="AA11" i="5"/>
  <c r="AA13" i="5"/>
  <c r="AA15" i="5"/>
  <c r="AA19" i="5"/>
  <c r="AA21" i="5"/>
  <c r="AA23" i="5"/>
  <c r="AA27" i="5"/>
  <c r="AA29" i="5"/>
  <c r="AA31" i="5"/>
  <c r="AA33" i="5"/>
  <c r="AA35" i="5"/>
  <c r="AA37" i="5"/>
  <c r="Z6" i="5"/>
  <c r="Z8" i="5"/>
  <c r="Z9" i="5"/>
  <c r="Z10" i="5"/>
  <c r="Z11" i="5"/>
  <c r="Z13" i="5"/>
  <c r="Z14" i="5"/>
  <c r="Z16" i="5"/>
  <c r="Z17" i="5"/>
  <c r="Z18" i="5"/>
  <c r="Z19" i="5"/>
  <c r="Z21" i="5"/>
  <c r="Z22" i="5"/>
  <c r="Z24" i="5"/>
  <c r="Z25" i="5"/>
  <c r="Z26" i="5"/>
  <c r="Z27" i="5"/>
  <c r="Z29" i="5"/>
  <c r="Z30" i="5"/>
  <c r="Z32" i="5"/>
  <c r="Z33" i="5"/>
  <c r="Z34" i="5"/>
  <c r="Z35" i="5"/>
  <c r="Z37" i="5"/>
  <c r="Z5" i="5"/>
  <c r="Y6" i="5"/>
  <c r="Y7" i="5"/>
  <c r="Y8" i="5"/>
  <c r="Y9" i="5"/>
  <c r="Y11" i="5"/>
  <c r="Y13" i="5"/>
  <c r="Y17" i="5"/>
  <c r="Y19" i="5"/>
  <c r="Y21" i="5"/>
  <c r="Y25" i="5"/>
  <c r="Y27" i="5"/>
  <c r="Y29" i="5"/>
  <c r="Y32" i="5"/>
  <c r="Y33" i="5"/>
  <c r="Y35" i="5"/>
  <c r="Y37" i="5"/>
  <c r="X6" i="5"/>
  <c r="X7" i="5"/>
  <c r="X8" i="5"/>
  <c r="X9" i="5"/>
  <c r="X10" i="5"/>
  <c r="X11" i="5"/>
  <c r="X12" i="5"/>
  <c r="X14" i="5"/>
  <c r="X15" i="5"/>
  <c r="X16" i="5"/>
  <c r="X17" i="5"/>
  <c r="X18" i="5"/>
  <c r="X19" i="5"/>
  <c r="X20" i="5"/>
  <c r="X22" i="5"/>
  <c r="X23" i="5"/>
  <c r="X24" i="5"/>
  <c r="X25" i="5"/>
  <c r="X26" i="5"/>
  <c r="X27" i="5"/>
  <c r="X28" i="5"/>
  <c r="X30" i="5"/>
  <c r="X31" i="5"/>
  <c r="X32" i="5"/>
  <c r="X33" i="5"/>
  <c r="X34" i="5"/>
  <c r="X35" i="5"/>
  <c r="X36" i="5"/>
  <c r="O14" i="9"/>
  <c r="I36" i="11"/>
  <c r="K36" i="11"/>
  <c r="L36" i="11" s="1"/>
  <c r="O36" i="11"/>
  <c r="P36" i="11" s="1"/>
  <c r="S36" i="11"/>
  <c r="T36" i="11" s="1"/>
  <c r="U36" i="11"/>
  <c r="V36" i="11" s="1"/>
  <c r="Y36" i="11"/>
  <c r="Z36" i="11" s="1"/>
  <c r="G37" i="11"/>
  <c r="H37" i="11" s="1"/>
  <c r="K37" i="11"/>
  <c r="M37" i="11"/>
  <c r="N37" i="11" s="1"/>
  <c r="S37" i="11"/>
  <c r="T37" i="11" s="1"/>
  <c r="W37" i="11"/>
  <c r="X37" i="11" s="1"/>
  <c r="G38" i="11"/>
  <c r="H38" i="11" s="1"/>
  <c r="M38" i="11"/>
  <c r="N38" i="11" s="1"/>
  <c r="O38" i="11"/>
  <c r="P38" i="11" s="1"/>
  <c r="Q38" i="11"/>
  <c r="R38" i="11" s="1"/>
  <c r="S38" i="11"/>
  <c r="T38" i="11" s="1"/>
  <c r="W38" i="11"/>
  <c r="G39" i="11"/>
  <c r="K39" i="11"/>
  <c r="M39" i="11"/>
  <c r="O39" i="11"/>
  <c r="W39" i="11"/>
  <c r="G40" i="11"/>
  <c r="H40" i="11" s="1"/>
  <c r="I40" i="11"/>
  <c r="J40" i="11" s="1"/>
  <c r="K40" i="11"/>
  <c r="O40" i="11"/>
  <c r="P40" i="11" s="1"/>
  <c r="S40" i="11"/>
  <c r="T40" i="11" s="1"/>
  <c r="U40" i="11"/>
  <c r="V40" i="11" s="1"/>
  <c r="W40" i="11"/>
  <c r="X40" i="11" s="1"/>
  <c r="Y40" i="11"/>
  <c r="Z40" i="11" s="1"/>
  <c r="K41" i="11"/>
  <c r="M41" i="11"/>
  <c r="O41" i="11"/>
  <c r="Q41" i="11"/>
  <c r="S41" i="11"/>
  <c r="G42" i="11"/>
  <c r="I42" i="11"/>
  <c r="K42" i="11"/>
  <c r="O42" i="11"/>
  <c r="W42" i="11"/>
  <c r="Y42" i="11"/>
  <c r="I12" i="11"/>
  <c r="K12" i="11"/>
  <c r="O12" i="11"/>
  <c r="S12" i="11"/>
  <c r="Y12" i="11"/>
  <c r="G13" i="11"/>
  <c r="K13" i="11"/>
  <c r="M13" i="11"/>
  <c r="S13" i="11"/>
  <c r="U13" i="11"/>
  <c r="W13" i="11"/>
  <c r="G14" i="11"/>
  <c r="O14" i="11"/>
  <c r="S14" i="11"/>
  <c r="U14" i="11"/>
  <c r="W14" i="11"/>
  <c r="G15" i="11"/>
  <c r="K15" i="11"/>
  <c r="M15" i="11"/>
  <c r="O15" i="11"/>
  <c r="Q15" i="11"/>
  <c r="W15" i="11"/>
  <c r="G16" i="11"/>
  <c r="I16" i="11"/>
  <c r="K16" i="11"/>
  <c r="S16" i="11"/>
  <c r="U16" i="11"/>
  <c r="W16" i="11"/>
  <c r="Y16" i="11"/>
  <c r="K17" i="11"/>
  <c r="M17" i="11"/>
  <c r="O17" i="11"/>
  <c r="Q17" i="11"/>
  <c r="S17" i="11"/>
  <c r="G18" i="11"/>
  <c r="I18" i="11"/>
  <c r="K18" i="11"/>
  <c r="O18" i="11"/>
  <c r="U18" i="11"/>
  <c r="W18" i="11"/>
  <c r="Y18" i="11"/>
  <c r="G19" i="11"/>
  <c r="K19" i="11"/>
  <c r="M19" i="11"/>
  <c r="O19" i="11"/>
  <c r="Q19" i="11"/>
  <c r="S19" i="11"/>
  <c r="W19" i="11"/>
  <c r="I20" i="11"/>
  <c r="K20" i="11"/>
  <c r="L20" i="11" s="1"/>
  <c r="M20" i="11"/>
  <c r="N20" i="11" s="1"/>
  <c r="O20" i="11"/>
  <c r="S20" i="11"/>
  <c r="Y20" i="11"/>
  <c r="G21" i="11"/>
  <c r="K21" i="11"/>
  <c r="L21" i="11" s="1"/>
  <c r="M21" i="11"/>
  <c r="S21" i="11"/>
  <c r="W21" i="11"/>
  <c r="G22" i="11"/>
  <c r="O22" i="11"/>
  <c r="S22" i="11"/>
  <c r="U22" i="11"/>
  <c r="W22" i="11"/>
  <c r="G23" i="11"/>
  <c r="K23" i="11"/>
  <c r="L23" i="11" s="1"/>
  <c r="M23" i="11"/>
  <c r="O23" i="11"/>
  <c r="Q23" i="11"/>
  <c r="W23" i="11"/>
  <c r="G24" i="11"/>
  <c r="I24" i="11"/>
  <c r="K24" i="11"/>
  <c r="L24" i="11" s="1"/>
  <c r="Q24" i="11"/>
  <c r="S24" i="11"/>
  <c r="U24" i="11"/>
  <c r="W24" i="11"/>
  <c r="Y24" i="11"/>
  <c r="K25" i="11"/>
  <c r="M25" i="11"/>
  <c r="O25" i="11"/>
  <c r="Q25" i="11"/>
  <c r="S25" i="11"/>
  <c r="G26" i="11"/>
  <c r="I26" i="11"/>
  <c r="K26" i="11"/>
  <c r="M26" i="11"/>
  <c r="O26" i="11"/>
  <c r="Q26" i="11"/>
  <c r="U26" i="11"/>
  <c r="W26" i="11"/>
  <c r="Y26" i="11"/>
  <c r="G27" i="11"/>
  <c r="K27" i="11"/>
  <c r="M27" i="11"/>
  <c r="O27" i="11"/>
  <c r="Q27" i="11"/>
  <c r="S27" i="11"/>
  <c r="W27" i="11"/>
  <c r="I28" i="11"/>
  <c r="K28" i="11"/>
  <c r="L28" i="11" s="1"/>
  <c r="M28" i="11"/>
  <c r="N28" i="11" s="1"/>
  <c r="O28" i="11"/>
  <c r="S28" i="11"/>
  <c r="Y28" i="11"/>
  <c r="G29" i="11"/>
  <c r="K29" i="11"/>
  <c r="L29" i="11" s="1"/>
  <c r="M29" i="11"/>
  <c r="S29" i="11"/>
  <c r="U29" i="11"/>
  <c r="W29" i="11"/>
  <c r="G30" i="11"/>
  <c r="O30" i="11"/>
  <c r="S30" i="11"/>
  <c r="U30" i="11"/>
  <c r="W30" i="11"/>
  <c r="G31" i="11"/>
  <c r="K31" i="11"/>
  <c r="M31" i="11"/>
  <c r="O31" i="11"/>
  <c r="Q31" i="11"/>
  <c r="W31" i="11"/>
  <c r="G32" i="11"/>
  <c r="I32" i="11"/>
  <c r="K32" i="11"/>
  <c r="Q32" i="11"/>
  <c r="S32" i="11"/>
  <c r="U32" i="11"/>
  <c r="W32" i="11"/>
  <c r="Y32" i="11"/>
  <c r="K33" i="11"/>
  <c r="L33" i="11" s="1"/>
  <c r="M33" i="11"/>
  <c r="N33" i="11" s="1"/>
  <c r="O33" i="11"/>
  <c r="Q33" i="11"/>
  <c r="S33" i="11"/>
  <c r="G34" i="11"/>
  <c r="I34" i="11"/>
  <c r="K34" i="11"/>
  <c r="M34" i="11"/>
  <c r="N34" i="11" s="1"/>
  <c r="O34" i="11"/>
  <c r="Q34" i="11"/>
  <c r="U34" i="11"/>
  <c r="W34" i="11"/>
  <c r="Y34" i="11"/>
  <c r="G35" i="11"/>
  <c r="K35" i="11"/>
  <c r="M35" i="11"/>
  <c r="O35" i="11"/>
  <c r="Q35" i="11"/>
  <c r="S35" i="11"/>
  <c r="W35" i="11"/>
  <c r="E36" i="11"/>
  <c r="E38" i="11"/>
  <c r="F38" i="11" s="1"/>
  <c r="E40" i="11"/>
  <c r="E42" i="11"/>
  <c r="E14" i="11"/>
  <c r="E16" i="11"/>
  <c r="E18" i="11"/>
  <c r="E19" i="11"/>
  <c r="E22" i="11"/>
  <c r="E24" i="11"/>
  <c r="F24" i="11" s="1"/>
  <c r="E26" i="11"/>
  <c r="E30" i="11"/>
  <c r="F30" i="11" s="1"/>
  <c r="E32" i="11"/>
  <c r="F32" i="11" s="1"/>
  <c r="E34" i="11"/>
  <c r="E35" i="11"/>
  <c r="C36" i="11"/>
  <c r="D36" i="11" s="1"/>
  <c r="C37" i="11"/>
  <c r="D37" i="11" s="1"/>
  <c r="C38" i="11"/>
  <c r="D38" i="11" s="1"/>
  <c r="C39" i="11"/>
  <c r="C40" i="11"/>
  <c r="D40" i="11" s="1"/>
  <c r="C41" i="11"/>
  <c r="C11" i="11"/>
  <c r="C12" i="11"/>
  <c r="C13" i="11"/>
  <c r="C14" i="11"/>
  <c r="C15" i="11"/>
  <c r="C16" i="11"/>
  <c r="C17" i="11"/>
  <c r="C19" i="11"/>
  <c r="C20" i="11"/>
  <c r="C21" i="11"/>
  <c r="C22" i="11"/>
  <c r="C23" i="11"/>
  <c r="C24" i="11"/>
  <c r="C25" i="11"/>
  <c r="C27" i="11"/>
  <c r="C28" i="11"/>
  <c r="C29" i="11"/>
  <c r="C30" i="11"/>
  <c r="C31" i="11"/>
  <c r="C32" i="11"/>
  <c r="C33" i="11"/>
  <c r="C35" i="11"/>
  <c r="X39" i="11" l="1"/>
  <c r="AV34" i="5" s="1"/>
  <c r="P39" i="11"/>
  <c r="AR34" i="5" s="1"/>
  <c r="X38" i="11"/>
  <c r="AV33" i="5" s="1"/>
  <c r="J36" i="11"/>
  <c r="AO31" i="5" s="1"/>
  <c r="D39" i="11"/>
  <c r="AL34" i="5" s="1"/>
  <c r="H39" i="11"/>
  <c r="AN34" i="5" s="1"/>
  <c r="L31" i="11"/>
  <c r="AP26" i="5" s="1"/>
  <c r="F16" i="11"/>
  <c r="AM11" i="5" s="1"/>
  <c r="L32" i="11"/>
  <c r="AP27" i="5" s="1"/>
  <c r="N27" i="11"/>
  <c r="AQ22" i="5" s="1"/>
  <c r="R27" i="11"/>
  <c r="AS22" i="5" s="1"/>
  <c r="P27" i="11"/>
  <c r="AR22" i="5" s="1"/>
  <c r="X27" i="11"/>
  <c r="AV22" i="5" s="1"/>
  <c r="T27" i="11"/>
  <c r="AT22" i="5" s="1"/>
  <c r="H27" i="11"/>
  <c r="AN22" i="5" s="1"/>
  <c r="D27" i="11"/>
  <c r="AL22" i="5" s="1"/>
  <c r="V27" i="11"/>
  <c r="AU22" i="5" s="1"/>
  <c r="N19" i="11"/>
  <c r="AQ14" i="5" s="1"/>
  <c r="D19" i="11"/>
  <c r="AL14" i="5" s="1"/>
  <c r="X19" i="11"/>
  <c r="AV14" i="5" s="1"/>
  <c r="R19" i="11"/>
  <c r="AS14" i="5" s="1"/>
  <c r="V19" i="11"/>
  <c r="T19" i="11"/>
  <c r="AT14" i="5" s="1"/>
  <c r="P19" i="11"/>
  <c r="AR14" i="5" s="1"/>
  <c r="H19" i="11"/>
  <c r="AN14" i="5" s="1"/>
  <c r="D11" i="11"/>
  <c r="AL6" i="5" s="1"/>
  <c r="F11" i="11"/>
  <c r="AM6" i="5" s="1"/>
  <c r="X34" i="11"/>
  <c r="AV29" i="5" s="1"/>
  <c r="H34" i="11"/>
  <c r="AN29" i="5" s="1"/>
  <c r="V34" i="11"/>
  <c r="AU29" i="5" s="1"/>
  <c r="R34" i="11"/>
  <c r="AS29" i="5" s="1"/>
  <c r="T34" i="11"/>
  <c r="AT29" i="5" s="1"/>
  <c r="J34" i="11"/>
  <c r="AO29" i="5" s="1"/>
  <c r="P34" i="11"/>
  <c r="AR29" i="5" s="1"/>
  <c r="Z34" i="11"/>
  <c r="AW29" i="5" s="1"/>
  <c r="P25" i="12"/>
  <c r="X26" i="11"/>
  <c r="AV21" i="5" s="1"/>
  <c r="P26" i="11"/>
  <c r="AR21" i="5" s="1"/>
  <c r="V26" i="11"/>
  <c r="AU21" i="5" s="1"/>
  <c r="J26" i="11"/>
  <c r="AO21" i="5" s="1"/>
  <c r="T26" i="11"/>
  <c r="R26" i="11"/>
  <c r="AS21" i="5" s="1"/>
  <c r="H26" i="11"/>
  <c r="AN21" i="5" s="1"/>
  <c r="Z26" i="11"/>
  <c r="AW21" i="5" s="1"/>
  <c r="X18" i="11"/>
  <c r="AV13" i="5" s="1"/>
  <c r="H18" i="11"/>
  <c r="AN13" i="5" s="1"/>
  <c r="V18" i="11"/>
  <c r="AU13" i="5" s="1"/>
  <c r="R18" i="11"/>
  <c r="AS13" i="5" s="1"/>
  <c r="T18" i="11"/>
  <c r="AT13" i="5" s="1"/>
  <c r="J18" i="11"/>
  <c r="AO13" i="5" s="1"/>
  <c r="P18" i="11"/>
  <c r="AR13" i="5" s="1"/>
  <c r="Z18" i="11"/>
  <c r="AW13" i="5" s="1"/>
  <c r="F26" i="11"/>
  <c r="X42" i="11"/>
  <c r="AV37" i="5" s="1"/>
  <c r="R42" i="11"/>
  <c r="AS37" i="5" s="1"/>
  <c r="V42" i="11"/>
  <c r="AU37" i="5" s="1"/>
  <c r="J42" i="11"/>
  <c r="AO37" i="5" s="1"/>
  <c r="P42" i="11"/>
  <c r="AR37" i="5" s="1"/>
  <c r="H42" i="11"/>
  <c r="AN37" i="5" s="1"/>
  <c r="D42" i="11"/>
  <c r="AL37" i="5" s="1"/>
  <c r="F42" i="11"/>
  <c r="Z42" i="11"/>
  <c r="AW37" i="5" s="1"/>
  <c r="V33" i="11"/>
  <c r="AU28" i="5" s="1"/>
  <c r="H33" i="11"/>
  <c r="AN28" i="5" s="1"/>
  <c r="T33" i="11"/>
  <c r="AT28" i="5" s="1"/>
  <c r="R33" i="11"/>
  <c r="AS28" i="5" s="1"/>
  <c r="J33" i="11"/>
  <c r="AO28" i="5" s="1"/>
  <c r="P33" i="11"/>
  <c r="AR28" i="5" s="1"/>
  <c r="D33" i="11"/>
  <c r="AL28" i="5" s="1"/>
  <c r="V25" i="11"/>
  <c r="AU20" i="5" s="1"/>
  <c r="T25" i="11"/>
  <c r="AT20" i="5" s="1"/>
  <c r="P25" i="11"/>
  <c r="AR20" i="5" s="1"/>
  <c r="D25" i="11"/>
  <c r="AL20" i="5" s="1"/>
  <c r="R25" i="11"/>
  <c r="AS20" i="5" s="1"/>
  <c r="N25" i="11"/>
  <c r="AQ20" i="5" s="1"/>
  <c r="P16" i="12"/>
  <c r="V17" i="11"/>
  <c r="AU12" i="5" s="1"/>
  <c r="H17" i="11"/>
  <c r="AN12" i="5" s="1"/>
  <c r="D17" i="11"/>
  <c r="AL12" i="5" s="1"/>
  <c r="T17" i="11"/>
  <c r="AT12" i="5" s="1"/>
  <c r="Z17" i="11"/>
  <c r="AW12" i="5" s="1"/>
  <c r="R17" i="11"/>
  <c r="AS12" i="5" s="1"/>
  <c r="J17" i="11"/>
  <c r="AO12" i="5" s="1"/>
  <c r="P17" i="11"/>
  <c r="AR12" i="5" s="1"/>
  <c r="N17" i="11"/>
  <c r="AQ12" i="5" s="1"/>
  <c r="D41" i="11"/>
  <c r="AL36" i="5" s="1"/>
  <c r="T41" i="11"/>
  <c r="AT36" i="5" s="1"/>
  <c r="P41" i="11"/>
  <c r="AR36" i="5" s="1"/>
  <c r="R41" i="11"/>
  <c r="AS36" i="5" s="1"/>
  <c r="Z41" i="11"/>
  <c r="AW36" i="5" s="1"/>
  <c r="P23" i="12"/>
  <c r="T24" i="11"/>
  <c r="AT19" i="5" s="1"/>
  <c r="R24" i="11"/>
  <c r="AS19" i="5" s="1"/>
  <c r="J24" i="11"/>
  <c r="AO19" i="5" s="1"/>
  <c r="X24" i="11"/>
  <c r="AV19" i="5" s="1"/>
  <c r="H24" i="11"/>
  <c r="AN19" i="5" s="1"/>
  <c r="D24" i="11"/>
  <c r="AL19" i="5" s="1"/>
  <c r="Z24" i="11"/>
  <c r="AW19" i="5" s="1"/>
  <c r="V24" i="11"/>
  <c r="AU19" i="5" s="1"/>
  <c r="P15" i="12"/>
  <c r="T16" i="11"/>
  <c r="AT11" i="5" s="1"/>
  <c r="X16" i="11"/>
  <c r="AV11" i="5" s="1"/>
  <c r="R16" i="11"/>
  <c r="AS11" i="5" s="1"/>
  <c r="J16" i="11"/>
  <c r="AO11" i="5" s="1"/>
  <c r="L16" i="11"/>
  <c r="AP11" i="5" s="1"/>
  <c r="H16" i="11"/>
  <c r="AN11" i="5" s="1"/>
  <c r="D16" i="11"/>
  <c r="AL11" i="5" s="1"/>
  <c r="Z16" i="11"/>
  <c r="AW11" i="5" s="1"/>
  <c r="V16" i="11"/>
  <c r="AU11" i="5" s="1"/>
  <c r="R31" i="11"/>
  <c r="AS26" i="5" s="1"/>
  <c r="J31" i="11"/>
  <c r="X31" i="11"/>
  <c r="AV26" i="5" s="1"/>
  <c r="P31" i="11"/>
  <c r="AR26" i="5" s="1"/>
  <c r="H31" i="11"/>
  <c r="AN26" i="5" s="1"/>
  <c r="D31" i="11"/>
  <c r="AL26" i="5" s="1"/>
  <c r="Z31" i="11"/>
  <c r="AW26" i="5" s="1"/>
  <c r="N31" i="11"/>
  <c r="AQ26" i="5" s="1"/>
  <c r="T31" i="11"/>
  <c r="AT26" i="5" s="1"/>
  <c r="C22" i="10"/>
  <c r="R23" i="11"/>
  <c r="AS18" i="5" s="1"/>
  <c r="P23" i="11"/>
  <c r="AR18" i="5" s="1"/>
  <c r="H23" i="11"/>
  <c r="AN18" i="5" s="1"/>
  <c r="D23" i="11"/>
  <c r="AL18" i="5" s="1"/>
  <c r="X23" i="11"/>
  <c r="AV18" i="5" s="1"/>
  <c r="T23" i="11"/>
  <c r="AT18" i="5" s="1"/>
  <c r="N23" i="11"/>
  <c r="AQ18" i="5" s="1"/>
  <c r="V23" i="11"/>
  <c r="AU18" i="5" s="1"/>
  <c r="P14" i="12"/>
  <c r="R15" i="11"/>
  <c r="AS10" i="5" s="1"/>
  <c r="P15" i="11"/>
  <c r="AR10" i="5" s="1"/>
  <c r="L15" i="11"/>
  <c r="H15" i="11"/>
  <c r="AN10" i="5" s="1"/>
  <c r="D15" i="11"/>
  <c r="AL10" i="5" s="1"/>
  <c r="N15" i="11"/>
  <c r="AQ10" i="5" s="1"/>
  <c r="F15" i="11"/>
  <c r="AM10" i="5" s="1"/>
  <c r="X15" i="11"/>
  <c r="AV10" i="5" s="1"/>
  <c r="T15" i="11"/>
  <c r="AT10" i="5" s="1"/>
  <c r="V15" i="11"/>
  <c r="AU10" i="5" s="1"/>
  <c r="N32" i="11"/>
  <c r="AQ27" i="5" s="1"/>
  <c r="X35" i="11"/>
  <c r="AV30" i="5" s="1"/>
  <c r="R35" i="11"/>
  <c r="AS30" i="5" s="1"/>
  <c r="J35" i="11"/>
  <c r="AO30" i="5" s="1"/>
  <c r="P35" i="11"/>
  <c r="AR30" i="5" s="1"/>
  <c r="T35" i="11"/>
  <c r="AT30" i="5" s="1"/>
  <c r="H35" i="11"/>
  <c r="D35" i="11"/>
  <c r="AL30" i="5" s="1"/>
  <c r="L34" i="11"/>
  <c r="AP29" i="5" s="1"/>
  <c r="T32" i="11"/>
  <c r="AT27" i="5" s="1"/>
  <c r="Z32" i="11"/>
  <c r="AW27" i="5" s="1"/>
  <c r="X32" i="11"/>
  <c r="AV27" i="5" s="1"/>
  <c r="R32" i="11"/>
  <c r="AS27" i="5" s="1"/>
  <c r="J32" i="11"/>
  <c r="AO27" i="5" s="1"/>
  <c r="H32" i="11"/>
  <c r="AN27" i="5" s="1"/>
  <c r="D32" i="11"/>
  <c r="V32" i="11"/>
  <c r="AU27" i="5" s="1"/>
  <c r="N16" i="11"/>
  <c r="AQ11" i="5" s="1"/>
  <c r="F19" i="11"/>
  <c r="N26" i="11"/>
  <c r="AQ21" i="5" s="1"/>
  <c r="L25" i="11"/>
  <c r="AP20" i="5" s="1"/>
  <c r="N41" i="11"/>
  <c r="AQ36" i="5" s="1"/>
  <c r="P29" i="12"/>
  <c r="P30" i="11"/>
  <c r="AR25" i="5" s="1"/>
  <c r="H30" i="11"/>
  <c r="AN25" i="5" s="1"/>
  <c r="D30" i="11"/>
  <c r="AL25" i="5" s="1"/>
  <c r="V30" i="11"/>
  <c r="AU25" i="5" s="1"/>
  <c r="Z30" i="11"/>
  <c r="AW25" i="5" s="1"/>
  <c r="X30" i="11"/>
  <c r="AV25" i="5" s="1"/>
  <c r="R30" i="11"/>
  <c r="AS25" i="5" s="1"/>
  <c r="T30" i="11"/>
  <c r="P22" i="11"/>
  <c r="AR17" i="5" s="1"/>
  <c r="H22" i="11"/>
  <c r="AN17" i="5" s="1"/>
  <c r="D22" i="11"/>
  <c r="Z22" i="11"/>
  <c r="AW17" i="5" s="1"/>
  <c r="X22" i="11"/>
  <c r="AV17" i="5" s="1"/>
  <c r="V22" i="11"/>
  <c r="AU17" i="5" s="1"/>
  <c r="T22" i="11"/>
  <c r="AT17" i="5" s="1"/>
  <c r="R22" i="11"/>
  <c r="AS17" i="5" s="1"/>
  <c r="P14" i="11"/>
  <c r="AR9" i="5" s="1"/>
  <c r="H14" i="11"/>
  <c r="AN9" i="5" s="1"/>
  <c r="D14" i="11"/>
  <c r="AL9" i="5" s="1"/>
  <c r="N14" i="11"/>
  <c r="AQ9" i="5" s="1"/>
  <c r="F14" i="11"/>
  <c r="AM9" i="5" s="1"/>
  <c r="Z14" i="11"/>
  <c r="AW9" i="5" s="1"/>
  <c r="X14" i="11"/>
  <c r="AV9" i="5" s="1"/>
  <c r="V14" i="11"/>
  <c r="AU9" i="5" s="1"/>
  <c r="R14" i="11"/>
  <c r="AS9" i="5" s="1"/>
  <c r="T14" i="11"/>
  <c r="AT9" i="5" s="1"/>
  <c r="N35" i="11"/>
  <c r="AQ30" i="5" s="1"/>
  <c r="L35" i="11"/>
  <c r="AP30" i="5" s="1"/>
  <c r="F18" i="11"/>
  <c r="AM13" i="5" s="1"/>
  <c r="L27" i="11"/>
  <c r="AP22" i="5" s="1"/>
  <c r="L26" i="11"/>
  <c r="AP21" i="5" s="1"/>
  <c r="L17" i="11"/>
  <c r="AP12" i="5" s="1"/>
  <c r="L41" i="11"/>
  <c r="AP36" i="5" s="1"/>
  <c r="T29" i="11"/>
  <c r="AT24" i="5" s="1"/>
  <c r="N29" i="11"/>
  <c r="AQ24" i="5" s="1"/>
  <c r="X29" i="11"/>
  <c r="AV24" i="5" s="1"/>
  <c r="Z29" i="11"/>
  <c r="AW24" i="5" s="1"/>
  <c r="V29" i="11"/>
  <c r="AU24" i="5" s="1"/>
  <c r="P29" i="11"/>
  <c r="AR24" i="5" s="1"/>
  <c r="D29" i="11"/>
  <c r="AL24" i="5" s="1"/>
  <c r="H29" i="11"/>
  <c r="AN24" i="5" s="1"/>
  <c r="T21" i="11"/>
  <c r="AT16" i="5" s="1"/>
  <c r="X21" i="11"/>
  <c r="AV16" i="5" s="1"/>
  <c r="N21" i="11"/>
  <c r="AQ16" i="5" s="1"/>
  <c r="P21" i="11"/>
  <c r="AR16" i="5" s="1"/>
  <c r="H21" i="11"/>
  <c r="AN16" i="5" s="1"/>
  <c r="D21" i="11"/>
  <c r="AL16" i="5" s="1"/>
  <c r="N13" i="11"/>
  <c r="AQ8" i="5" s="1"/>
  <c r="F13" i="11"/>
  <c r="AM8" i="5" s="1"/>
  <c r="T13" i="11"/>
  <c r="AT8" i="5" s="1"/>
  <c r="X13" i="11"/>
  <c r="AV8" i="5" s="1"/>
  <c r="V13" i="11"/>
  <c r="AU8" i="5" s="1"/>
  <c r="H13" i="11"/>
  <c r="AN8" i="5" s="1"/>
  <c r="D13" i="11"/>
  <c r="AL8" i="5" s="1"/>
  <c r="L13" i="11"/>
  <c r="AP8" i="5" s="1"/>
  <c r="P13" i="11"/>
  <c r="AR8" i="5" s="1"/>
  <c r="L19" i="11"/>
  <c r="AP14" i="5" s="1"/>
  <c r="F35" i="11"/>
  <c r="F34" i="11"/>
  <c r="AM29" i="5" s="1"/>
  <c r="L18" i="11"/>
  <c r="AP13" i="5" s="1"/>
  <c r="L42" i="11"/>
  <c r="AP37" i="5" s="1"/>
  <c r="T28" i="11"/>
  <c r="AT23" i="5" s="1"/>
  <c r="R28" i="11"/>
  <c r="AS23" i="5" s="1"/>
  <c r="Z28" i="11"/>
  <c r="AW23" i="5" s="1"/>
  <c r="J28" i="11"/>
  <c r="AO23" i="5" s="1"/>
  <c r="X28" i="11"/>
  <c r="AV23" i="5" s="1"/>
  <c r="D28" i="11"/>
  <c r="AL23" i="5" s="1"/>
  <c r="P28" i="11"/>
  <c r="AR23" i="5" s="1"/>
  <c r="H28" i="11"/>
  <c r="AN23" i="5" s="1"/>
  <c r="Z20" i="11"/>
  <c r="AW15" i="5" s="1"/>
  <c r="T20" i="11"/>
  <c r="AT15" i="5" s="1"/>
  <c r="J20" i="11"/>
  <c r="AO15" i="5" s="1"/>
  <c r="D20" i="11"/>
  <c r="AL15" i="5" s="1"/>
  <c r="H20" i="11"/>
  <c r="AN15" i="5" s="1"/>
  <c r="P20" i="11"/>
  <c r="AR15" i="5" s="1"/>
  <c r="P11" i="12"/>
  <c r="T12" i="11"/>
  <c r="AT7" i="5" s="1"/>
  <c r="J12" i="11"/>
  <c r="AO7" i="5" s="1"/>
  <c r="Z12" i="11"/>
  <c r="AW7" i="5" s="1"/>
  <c r="R12" i="11"/>
  <c r="AS7" i="5" s="1"/>
  <c r="D12" i="11"/>
  <c r="AL7" i="5" s="1"/>
  <c r="H12" i="11"/>
  <c r="AN7" i="5" s="1"/>
  <c r="L12" i="11"/>
  <c r="AP7" i="5" s="1"/>
  <c r="P12" i="11"/>
  <c r="AR7" i="5" s="1"/>
  <c r="F12" i="11"/>
  <c r="AM7" i="5" s="1"/>
  <c r="F20" i="11"/>
  <c r="AM15" i="5" s="1"/>
  <c r="N22" i="11"/>
  <c r="AQ17" i="5" s="1"/>
  <c r="L39" i="11"/>
  <c r="AP34" i="5" s="1"/>
  <c r="L40" i="11"/>
  <c r="AP35" i="5" s="1"/>
  <c r="L37" i="11"/>
  <c r="AP32" i="5" s="1"/>
  <c r="N39" i="11"/>
  <c r="AQ34" i="5" s="1"/>
  <c r="F31" i="11"/>
  <c r="AM26" i="5" s="1"/>
  <c r="F22" i="11"/>
  <c r="AM17" i="5" s="1"/>
  <c r="F36" i="11"/>
  <c r="AM31" i="5" s="1"/>
  <c r="F39" i="11"/>
  <c r="AM34" i="5" s="1"/>
  <c r="F40" i="11"/>
  <c r="AM35" i="5" s="1"/>
  <c r="C33" i="10"/>
  <c r="P33" i="12"/>
  <c r="F13" i="5"/>
  <c r="P17" i="12"/>
  <c r="F28" i="5"/>
  <c r="P32" i="12"/>
  <c r="C24" i="10"/>
  <c r="P24" i="12"/>
  <c r="C30" i="10"/>
  <c r="P30" i="12"/>
  <c r="C21" i="10"/>
  <c r="P21" i="12"/>
  <c r="C13" i="10"/>
  <c r="P13" i="12"/>
  <c r="C34" i="10"/>
  <c r="P34" i="12"/>
  <c r="C26" i="10"/>
  <c r="P26" i="12"/>
  <c r="F14" i="5"/>
  <c r="P18" i="12"/>
  <c r="C10" i="10"/>
  <c r="P10" i="12"/>
  <c r="E37" i="5"/>
  <c r="P41" i="12"/>
  <c r="C16" i="10"/>
  <c r="C28" i="10"/>
  <c r="P28" i="12"/>
  <c r="C20" i="10"/>
  <c r="P20" i="12"/>
  <c r="C12" i="10"/>
  <c r="P12" i="12"/>
  <c r="C9" i="10"/>
  <c r="P9" i="12"/>
  <c r="F36" i="5"/>
  <c r="P40" i="12"/>
  <c r="C31" i="10"/>
  <c r="P31" i="12"/>
  <c r="F18" i="5"/>
  <c r="P22" i="12"/>
  <c r="C14" i="10"/>
  <c r="C27" i="10"/>
  <c r="P27" i="12"/>
  <c r="F15" i="5"/>
  <c r="P19" i="12"/>
  <c r="F10" i="5"/>
  <c r="AP18" i="5"/>
  <c r="AP10" i="5"/>
  <c r="AM19" i="5"/>
  <c r="AQ23" i="5"/>
  <c r="F20" i="5"/>
  <c r="C32" i="10"/>
  <c r="C19" i="10"/>
  <c r="F21" i="5"/>
  <c r="AM27" i="5"/>
  <c r="F12" i="5"/>
  <c r="AP28" i="5"/>
  <c r="C25" i="10"/>
  <c r="AQ28" i="5"/>
  <c r="F29" i="5"/>
  <c r="G37" i="5"/>
  <c r="C41" i="10"/>
  <c r="C40" i="10"/>
  <c r="C17" i="10"/>
  <c r="F9" i="5"/>
  <c r="F8" i="5"/>
  <c r="AR33" i="5"/>
  <c r="F7" i="5"/>
  <c r="AQ33" i="5"/>
  <c r="BL28" i="5"/>
  <c r="BM28" i="5" s="1"/>
  <c r="C37" i="10"/>
  <c r="C11" i="10"/>
  <c r="E36" i="5"/>
  <c r="AT33" i="5"/>
  <c r="AS33" i="5"/>
  <c r="C29" i="10"/>
  <c r="AP23" i="5"/>
  <c r="AW31" i="5"/>
  <c r="BL20" i="5"/>
  <c r="BM20" i="5" s="1"/>
  <c r="E31" i="5"/>
  <c r="F6" i="5"/>
  <c r="AQ29" i="5"/>
  <c r="AN33" i="5"/>
  <c r="AT25" i="5"/>
  <c r="AP15" i="5"/>
  <c r="AR31" i="5"/>
  <c r="C35" i="10"/>
  <c r="E33" i="5"/>
  <c r="AW34" i="5"/>
  <c r="AU31" i="5"/>
  <c r="BL36" i="5"/>
  <c r="BM36" i="5" s="1"/>
  <c r="F17" i="5"/>
  <c r="AQ15" i="5"/>
  <c r="AT31" i="5"/>
  <c r="AL33" i="5"/>
  <c r="AM33" i="5"/>
  <c r="AP31" i="5"/>
  <c r="F31" i="5"/>
  <c r="B40" i="15"/>
  <c r="D40" i="15" s="1"/>
  <c r="E40" i="15" s="1"/>
  <c r="D10" i="10"/>
  <c r="D13" i="10"/>
  <c r="AW32" i="5"/>
  <c r="O29" i="9"/>
  <c r="O25" i="9"/>
  <c r="Q24" i="12" s="1"/>
  <c r="F30" i="5"/>
  <c r="F16" i="5"/>
  <c r="E21" i="11"/>
  <c r="U21" i="11"/>
  <c r="V21" i="11" s="1"/>
  <c r="M18" i="11"/>
  <c r="M12" i="11"/>
  <c r="N12" i="11" s="1"/>
  <c r="AN32" i="5"/>
  <c r="AC9" i="5"/>
  <c r="E32" i="5"/>
  <c r="AS32" i="5"/>
  <c r="U41" i="11"/>
  <c r="V41" i="11" s="1"/>
  <c r="AE25" i="5"/>
  <c r="AG22" i="5"/>
  <c r="F37" i="5"/>
  <c r="G36" i="5"/>
  <c r="AV31" i="5"/>
  <c r="AR32" i="5"/>
  <c r="O27" i="9"/>
  <c r="E29" i="11"/>
  <c r="AN30" i="5"/>
  <c r="AP16" i="5"/>
  <c r="I13" i="11"/>
  <c r="J13" i="11" s="1"/>
  <c r="AV32" i="5"/>
  <c r="Y26" i="5"/>
  <c r="AC17" i="5"/>
  <c r="AG20" i="5"/>
  <c r="C36" i="10"/>
  <c r="C18" i="10"/>
  <c r="G35" i="5"/>
  <c r="AN31" i="5"/>
  <c r="BL12" i="5"/>
  <c r="BM12" i="5" s="1"/>
  <c r="F22" i="5"/>
  <c r="E27" i="11"/>
  <c r="F27" i="11" s="1"/>
  <c r="AP24" i="5"/>
  <c r="I21" i="11"/>
  <c r="J21" i="11" s="1"/>
  <c r="U37" i="11"/>
  <c r="F35" i="5"/>
  <c r="G34" i="5"/>
  <c r="AT34" i="5"/>
  <c r="F32" i="5"/>
  <c r="F5" i="5"/>
  <c r="AL32" i="5"/>
  <c r="U35" i="11"/>
  <c r="V35" i="11" s="1"/>
  <c r="U19" i="11"/>
  <c r="AT32" i="5"/>
  <c r="AE11" i="5"/>
  <c r="E35" i="5"/>
  <c r="F34" i="5"/>
  <c r="G33" i="5"/>
  <c r="O38" i="9"/>
  <c r="M30" i="11"/>
  <c r="I15" i="11"/>
  <c r="J15" i="11" s="1"/>
  <c r="M42" i="11"/>
  <c r="N42" i="11" s="1"/>
  <c r="AQ32" i="5"/>
  <c r="Y22" i="5"/>
  <c r="AW33" i="5"/>
  <c r="AT21" i="5"/>
  <c r="I29" i="11"/>
  <c r="J29" i="11" s="1"/>
  <c r="I23" i="11"/>
  <c r="J23" i="11" s="1"/>
  <c r="Y19" i="11"/>
  <c r="Z19" i="11" s="1"/>
  <c r="I19" i="11"/>
  <c r="J19" i="11" s="1"/>
  <c r="Y13" i="11"/>
  <c r="Z13" i="11" s="1"/>
  <c r="Q40" i="11"/>
  <c r="AE23" i="5"/>
  <c r="AE9" i="5"/>
  <c r="AI24" i="5"/>
  <c r="I25" i="11"/>
  <c r="J25" i="11" s="1"/>
  <c r="I31" i="11"/>
  <c r="Y27" i="11"/>
  <c r="Z27" i="11" s="1"/>
  <c r="I27" i="11"/>
  <c r="J27" i="11" s="1"/>
  <c r="Y21" i="11"/>
  <c r="Z21" i="11" s="1"/>
  <c r="Y15" i="11"/>
  <c r="Z15" i="11" s="1"/>
  <c r="AA30" i="5"/>
  <c r="AE7" i="5"/>
  <c r="AI26" i="5"/>
  <c r="O22" i="9"/>
  <c r="O19" i="9"/>
  <c r="D18" i="10" s="1"/>
  <c r="AI36" i="5"/>
  <c r="AJ36" i="5" s="1"/>
  <c r="AK36" i="5" s="1"/>
  <c r="I39" i="11"/>
  <c r="Q20" i="11"/>
  <c r="R20" i="11" s="1"/>
  <c r="Q36" i="11"/>
  <c r="AE13" i="5"/>
  <c r="Y23" i="11"/>
  <c r="Z23" i="11" s="1"/>
  <c r="AE17" i="5"/>
  <c r="AI34" i="5"/>
  <c r="Y35" i="11"/>
  <c r="Z35" i="11" s="1"/>
  <c r="W12" i="11"/>
  <c r="X12" i="11" s="1"/>
  <c r="Y34" i="5"/>
  <c r="Q29" i="11"/>
  <c r="R29" i="11" s="1"/>
  <c r="U28" i="11"/>
  <c r="V28" i="11" s="1"/>
  <c r="Q21" i="11"/>
  <c r="R21" i="11" s="1"/>
  <c r="U20" i="11"/>
  <c r="V20" i="11" s="1"/>
  <c r="Q13" i="11"/>
  <c r="R13" i="11" s="1"/>
  <c r="U12" i="11"/>
  <c r="V12" i="11" s="1"/>
  <c r="G41" i="11"/>
  <c r="H41" i="11" s="1"/>
  <c r="Y15" i="5"/>
  <c r="Z31" i="5"/>
  <c r="Z23" i="5"/>
  <c r="Z15" i="5"/>
  <c r="Z7" i="5"/>
  <c r="AA12" i="5"/>
  <c r="AI25" i="5"/>
  <c r="W20" i="11"/>
  <c r="X20" i="11" s="1"/>
  <c r="K30" i="11"/>
  <c r="K22" i="11"/>
  <c r="K14" i="11"/>
  <c r="L14" i="11" s="1"/>
  <c r="W41" i="11"/>
  <c r="X41" i="11" s="1"/>
  <c r="K38" i="11"/>
  <c r="Y23" i="5"/>
  <c r="AA20" i="5"/>
  <c r="AG18" i="5"/>
  <c r="AI33" i="5"/>
  <c r="I41" i="11"/>
  <c r="J41" i="11" s="1"/>
  <c r="AG10" i="5"/>
  <c r="U31" i="11"/>
  <c r="V31" i="11" s="1"/>
  <c r="I30" i="11"/>
  <c r="J30" i="11" s="1"/>
  <c r="I22" i="11"/>
  <c r="J22" i="11" s="1"/>
  <c r="I14" i="11"/>
  <c r="J14" i="11" s="1"/>
  <c r="S42" i="11"/>
  <c r="I38" i="11"/>
  <c r="AA28" i="5"/>
  <c r="AE37" i="5"/>
  <c r="AH31" i="5"/>
  <c r="AH23" i="5"/>
  <c r="AC27" i="5"/>
  <c r="AC19" i="5"/>
  <c r="O16" i="9"/>
  <c r="O36" i="9"/>
  <c r="P36" i="9" s="1"/>
  <c r="O32" i="11"/>
  <c r="P32" i="11" s="1"/>
  <c r="O24" i="11"/>
  <c r="P24" i="11" s="1"/>
  <c r="O16" i="11"/>
  <c r="P16" i="11" s="1"/>
  <c r="Z28" i="5"/>
  <c r="Z20" i="5"/>
  <c r="Z12" i="5"/>
  <c r="AF29" i="5"/>
  <c r="AF21" i="5"/>
  <c r="AF13" i="5"/>
  <c r="AI12" i="5"/>
  <c r="Y33" i="11"/>
  <c r="Z33" i="11" s="1"/>
  <c r="Y25" i="11"/>
  <c r="Z25" i="11" s="1"/>
  <c r="U39" i="11"/>
  <c r="Y10" i="5"/>
  <c r="AA17" i="5"/>
  <c r="E23" i="11"/>
  <c r="O30" i="9"/>
  <c r="B33" i="15" s="1"/>
  <c r="F33" i="15" s="1"/>
  <c r="W33" i="11"/>
  <c r="W25" i="11"/>
  <c r="X25" i="11" s="1"/>
  <c r="G25" i="11"/>
  <c r="H25" i="11" s="1"/>
  <c r="W17" i="11"/>
  <c r="X17" i="11" s="1"/>
  <c r="C34" i="11"/>
  <c r="D34" i="11" s="1"/>
  <c r="C26" i="11"/>
  <c r="AA26" i="11" s="1"/>
  <c r="C18" i="11"/>
  <c r="D18" i="11" s="1"/>
  <c r="O24" i="9"/>
  <c r="O13" i="9"/>
  <c r="B16" i="15" s="1"/>
  <c r="AG33" i="5"/>
  <c r="AG25" i="5"/>
  <c r="AG17" i="5"/>
  <c r="O35" i="9"/>
  <c r="O23" i="9"/>
  <c r="O12" i="9"/>
  <c r="AE22" i="5"/>
  <c r="AE14" i="5"/>
  <c r="AE6" i="5"/>
  <c r="O32" i="9"/>
  <c r="AC35" i="5"/>
  <c r="AJ35" i="5" s="1"/>
  <c r="AK35" i="5" s="1"/>
  <c r="AC11" i="5"/>
  <c r="O21" i="9"/>
  <c r="O40" i="9"/>
  <c r="AA32" i="5"/>
  <c r="AA24" i="5"/>
  <c r="AI32" i="5"/>
  <c r="O20" i="9"/>
  <c r="O39" i="9"/>
  <c r="AG37" i="5"/>
  <c r="Q39" i="11"/>
  <c r="U38" i="11"/>
  <c r="I37" i="11"/>
  <c r="M36" i="11"/>
  <c r="O28" i="9"/>
  <c r="D27" i="10" s="1"/>
  <c r="O17" i="9"/>
  <c r="O33" i="9"/>
  <c r="O15" i="9"/>
  <c r="E41" i="11"/>
  <c r="O31" i="9"/>
  <c r="E25" i="11"/>
  <c r="E33" i="11"/>
  <c r="O41" i="9"/>
  <c r="Y12" i="5"/>
  <c r="E17" i="11"/>
  <c r="D36" i="10"/>
  <c r="Q10" i="12"/>
  <c r="O34" i="9"/>
  <c r="O26" i="9"/>
  <c r="O18" i="9"/>
  <c r="O42" i="9"/>
  <c r="B28" i="15"/>
  <c r="F28" i="15" s="1"/>
  <c r="B17" i="15"/>
  <c r="F17" i="15" s="1"/>
  <c r="Q36" i="12"/>
  <c r="B14" i="15"/>
  <c r="F14" i="15" s="1"/>
  <c r="Q13" i="12"/>
  <c r="F19" i="5"/>
  <c r="F11" i="5"/>
  <c r="AR35" i="5"/>
  <c r="AQ35" i="5"/>
  <c r="AQ19" i="5"/>
  <c r="AW35" i="5"/>
  <c r="AO35" i="5"/>
  <c r="C39" i="10"/>
  <c r="C23" i="10"/>
  <c r="C15" i="10"/>
  <c r="AP19" i="5"/>
  <c r="AV35" i="5"/>
  <c r="AN35" i="5"/>
  <c r="AU35" i="5"/>
  <c r="AT35" i="5"/>
  <c r="BL35" i="5"/>
  <c r="BM35" i="5" s="1"/>
  <c r="BD38" i="5"/>
  <c r="BL18" i="5"/>
  <c r="BL10" i="5"/>
  <c r="BM10" i="5" s="1"/>
  <c r="BL26" i="5"/>
  <c r="BM26" i="5" s="1"/>
  <c r="BH38" i="5"/>
  <c r="BL9" i="5"/>
  <c r="BN9" i="5" s="1"/>
  <c r="BL33" i="5"/>
  <c r="AD38" i="5"/>
  <c r="BL6" i="5"/>
  <c r="BN6" i="5" s="1"/>
  <c r="BL32" i="5"/>
  <c r="BN32" i="5" s="1"/>
  <c r="BP32" i="5" s="1"/>
  <c r="X38" i="5"/>
  <c r="BL15" i="5"/>
  <c r="BM15" i="5" s="1"/>
  <c r="BL31" i="5"/>
  <c r="BL23" i="5"/>
  <c r="BM23" i="5" s="1"/>
  <c r="BF38" i="5"/>
  <c r="BL11" i="5"/>
  <c r="BL19" i="5"/>
  <c r="BL16" i="5"/>
  <c r="BM16" i="5" s="1"/>
  <c r="BJ38" i="5"/>
  <c r="BL34" i="5"/>
  <c r="BM34" i="5" s="1"/>
  <c r="BC38" i="5"/>
  <c r="BK38" i="5"/>
  <c r="BL7" i="5"/>
  <c r="BM7" i="5" s="1"/>
  <c r="BL25" i="5"/>
  <c r="BM25" i="5" s="1"/>
  <c r="BI38" i="5"/>
  <c r="AB38" i="5"/>
  <c r="BL24" i="5"/>
  <c r="BM24" i="5" s="1"/>
  <c r="BL14" i="5"/>
  <c r="BL30" i="5"/>
  <c r="BL22" i="5"/>
  <c r="BM22" i="5" s="1"/>
  <c r="BL27" i="5"/>
  <c r="BL17" i="5"/>
  <c r="BM17" i="5" s="1"/>
  <c r="BG38" i="5"/>
  <c r="BL8" i="5"/>
  <c r="BL5" i="5"/>
  <c r="BM5" i="5" s="1"/>
  <c r="BA38" i="5"/>
  <c r="BB38" i="5"/>
  <c r="BL13" i="5"/>
  <c r="BM13" i="5" s="1"/>
  <c r="BL37" i="5"/>
  <c r="BM37" i="5" s="1"/>
  <c r="BL29" i="5"/>
  <c r="BM29" i="5" s="1"/>
  <c r="BL21" i="5"/>
  <c r="BM21" i="5" s="1"/>
  <c r="BE38" i="5"/>
  <c r="AZ38" i="5"/>
  <c r="R34" i="12"/>
  <c r="BO30" i="5" s="1"/>
  <c r="P37" i="9"/>
  <c r="AM32" i="5"/>
  <c r="AM23" i="5"/>
  <c r="AM25" i="5"/>
  <c r="R25" i="12"/>
  <c r="BO21" i="5" s="1"/>
  <c r="R17" i="12"/>
  <c r="BO13" i="5" s="1"/>
  <c r="R33" i="12"/>
  <c r="BO29" i="5" s="1"/>
  <c r="R28" i="12"/>
  <c r="BO24" i="5" s="1"/>
  <c r="R21" i="12"/>
  <c r="BO17" i="5" s="1"/>
  <c r="R16" i="12"/>
  <c r="BO12" i="5" s="1"/>
  <c r="R13" i="12"/>
  <c r="BO9" i="5" s="1"/>
  <c r="R12" i="12"/>
  <c r="BO8" i="5" s="1"/>
  <c r="R20" i="12"/>
  <c r="BO16" i="5" s="1"/>
  <c r="R30" i="12"/>
  <c r="BO26" i="5" s="1"/>
  <c r="R22" i="12"/>
  <c r="BO18" i="5" s="1"/>
  <c r="R14" i="12"/>
  <c r="BO10" i="5" s="1"/>
  <c r="R29" i="12"/>
  <c r="BO25" i="5" s="1"/>
  <c r="R19" i="12"/>
  <c r="BO15" i="5" s="1"/>
  <c r="R11" i="12"/>
  <c r="BO7" i="5" s="1"/>
  <c r="R31" i="12"/>
  <c r="BO27" i="5" s="1"/>
  <c r="R18" i="12"/>
  <c r="BO14" i="5" s="1"/>
  <c r="R10" i="12"/>
  <c r="BO6" i="5" s="1"/>
  <c r="R32" i="12"/>
  <c r="BO28" i="5" s="1"/>
  <c r="R9" i="12"/>
  <c r="BO5" i="5" s="1"/>
  <c r="R24" i="12"/>
  <c r="BO20" i="5" s="1"/>
  <c r="R26" i="12"/>
  <c r="BO22" i="5" s="1"/>
  <c r="R23" i="12"/>
  <c r="BO19" i="5" s="1"/>
  <c r="R15" i="12"/>
  <c r="BO11" i="5" s="1"/>
  <c r="R27" i="12"/>
  <c r="BO23" i="5" s="1"/>
  <c r="Y11" i="11"/>
  <c r="Z11" i="11" s="1"/>
  <c r="W11" i="11"/>
  <c r="X11" i="11" s="1"/>
  <c r="U11" i="11"/>
  <c r="V11" i="11" s="1"/>
  <c r="S11" i="11"/>
  <c r="T11" i="11" s="1"/>
  <c r="Q11" i="11"/>
  <c r="R11" i="11" s="1"/>
  <c r="O11" i="11"/>
  <c r="P11" i="11" s="1"/>
  <c r="M11" i="11"/>
  <c r="N11" i="11" s="1"/>
  <c r="K11" i="11"/>
  <c r="L11" i="11" s="1"/>
  <c r="I11" i="11"/>
  <c r="J11" i="11" s="1"/>
  <c r="G11" i="11"/>
  <c r="H11" i="11" s="1"/>
  <c r="Y10" i="11"/>
  <c r="Z10" i="11" s="1"/>
  <c r="W10" i="11"/>
  <c r="X10" i="11" s="1"/>
  <c r="U10" i="11"/>
  <c r="V10" i="11" s="1"/>
  <c r="S10" i="11"/>
  <c r="T10" i="11" s="1"/>
  <c r="Q10" i="11"/>
  <c r="R10" i="11" s="1"/>
  <c r="O10" i="11"/>
  <c r="P10" i="11" s="1"/>
  <c r="M10" i="11"/>
  <c r="N10" i="11" s="1"/>
  <c r="K10" i="11"/>
  <c r="L10" i="11" s="1"/>
  <c r="G10" i="11"/>
  <c r="H10" i="11" s="1"/>
  <c r="E10" i="11"/>
  <c r="F10" i="11" s="1"/>
  <c r="C10" i="11"/>
  <c r="D10" i="11" s="1"/>
  <c r="G30" i="5"/>
  <c r="E30" i="5"/>
  <c r="G29" i="5"/>
  <c r="E29" i="5"/>
  <c r="G28" i="5"/>
  <c r="E28" i="5"/>
  <c r="G27" i="5"/>
  <c r="E27" i="5"/>
  <c r="F27" i="5" s="1"/>
  <c r="G26" i="5"/>
  <c r="E26" i="5"/>
  <c r="F26" i="5" s="1"/>
  <c r="G25" i="5"/>
  <c r="E25" i="5"/>
  <c r="F25" i="5" s="1"/>
  <c r="G24" i="5"/>
  <c r="E24" i="5"/>
  <c r="F24" i="5" s="1"/>
  <c r="G23" i="5"/>
  <c r="E23" i="5"/>
  <c r="F23" i="5" s="1"/>
  <c r="G22" i="5"/>
  <c r="E22" i="5"/>
  <c r="G21" i="5"/>
  <c r="E21" i="5"/>
  <c r="G20" i="5"/>
  <c r="E20" i="5"/>
  <c r="G19" i="5"/>
  <c r="E19" i="5"/>
  <c r="G18" i="5"/>
  <c r="E18" i="5"/>
  <c r="G17" i="5"/>
  <c r="E17" i="5"/>
  <c r="G16" i="5"/>
  <c r="E16" i="5"/>
  <c r="G15" i="5"/>
  <c r="E15" i="5"/>
  <c r="G14" i="5"/>
  <c r="E14" i="5"/>
  <c r="G13" i="5"/>
  <c r="E13" i="5"/>
  <c r="G12" i="5"/>
  <c r="E12" i="5"/>
  <c r="G11" i="5"/>
  <c r="E11" i="5"/>
  <c r="G10" i="5"/>
  <c r="E10" i="5"/>
  <c r="G9" i="5"/>
  <c r="E9" i="5"/>
  <c r="G8" i="5"/>
  <c r="E8" i="5"/>
  <c r="G7" i="5"/>
  <c r="E7" i="5"/>
  <c r="G6" i="5"/>
  <c r="E6" i="5"/>
  <c r="G5" i="5"/>
  <c r="E5" i="5"/>
  <c r="V38" i="11" l="1"/>
  <c r="AU33" i="5" s="1"/>
  <c r="J38" i="11"/>
  <c r="AO33" i="5" s="1"/>
  <c r="J37" i="11"/>
  <c r="AO32" i="5" s="1"/>
  <c r="R39" i="11"/>
  <c r="V39" i="11"/>
  <c r="AU34" i="5" s="1"/>
  <c r="X33" i="11"/>
  <c r="AV28" i="5" s="1"/>
  <c r="R36" i="11"/>
  <c r="AS31" i="5" s="1"/>
  <c r="J39" i="11"/>
  <c r="AO34" i="5" s="1"/>
  <c r="AS8" i="5"/>
  <c r="AN20" i="5"/>
  <c r="AO26" i="5"/>
  <c r="AU14" i="5"/>
  <c r="AA40" i="11"/>
  <c r="AC40" i="11" s="1"/>
  <c r="R40" i="11"/>
  <c r="AS35" i="5" s="1"/>
  <c r="T42" i="11"/>
  <c r="AT37" i="5" s="1"/>
  <c r="AW22" i="5"/>
  <c r="AU6" i="5"/>
  <c r="AU26" i="5"/>
  <c r="V37" i="11"/>
  <c r="AU32" i="5" s="1"/>
  <c r="D26" i="11"/>
  <c r="AL21" i="5" s="1"/>
  <c r="AW18" i="5"/>
  <c r="AP9" i="5"/>
  <c r="AU23" i="5"/>
  <c r="AX23" i="5" s="1"/>
  <c r="AU30" i="5"/>
  <c r="AO24" i="5"/>
  <c r="AO16" i="5"/>
  <c r="AW16" i="5"/>
  <c r="AQ7" i="5"/>
  <c r="AV20" i="5"/>
  <c r="AO17" i="5"/>
  <c r="AO25" i="5"/>
  <c r="AO10" i="5"/>
  <c r="AS5" i="5"/>
  <c r="AW20" i="5"/>
  <c r="AW14" i="5"/>
  <c r="AS15" i="5"/>
  <c r="AR19" i="5"/>
  <c r="AX19" i="5" s="1"/>
  <c r="AS24" i="5"/>
  <c r="AR6" i="5"/>
  <c r="AL13" i="5"/>
  <c r="AW10" i="5"/>
  <c r="AO36" i="5"/>
  <c r="AU5" i="5"/>
  <c r="AV15" i="5"/>
  <c r="AN36" i="5"/>
  <c r="AO8" i="5"/>
  <c r="AW28" i="5"/>
  <c r="AR27" i="5"/>
  <c r="AV5" i="5"/>
  <c r="AT6" i="5"/>
  <c r="AO22" i="5"/>
  <c r="AV7" i="5"/>
  <c r="AU36" i="5"/>
  <c r="AW30" i="5"/>
  <c r="AW8" i="5"/>
  <c r="AV12" i="5"/>
  <c r="AO14" i="5"/>
  <c r="AU16" i="5"/>
  <c r="AV6" i="5"/>
  <c r="AW6" i="5"/>
  <c r="AU15" i="5"/>
  <c r="AW5" i="5"/>
  <c r="AO9" i="5"/>
  <c r="AX9" i="5" s="1"/>
  <c r="AU7" i="5"/>
  <c r="AR11" i="5"/>
  <c r="AX11" i="5" s="1"/>
  <c r="AV36" i="5"/>
  <c r="AS16" i="5"/>
  <c r="AO20" i="5"/>
  <c r="AO18" i="5"/>
  <c r="AQ6" i="5"/>
  <c r="AQ37" i="5"/>
  <c r="L38" i="11"/>
  <c r="AP33" i="5" s="1"/>
  <c r="L22" i="11"/>
  <c r="AP17" i="5" s="1"/>
  <c r="L30" i="11"/>
  <c r="AP25" i="5" s="1"/>
  <c r="N36" i="11"/>
  <c r="AQ31" i="5" s="1"/>
  <c r="C40" i="15"/>
  <c r="N18" i="11"/>
  <c r="AB18" i="11" s="1"/>
  <c r="N30" i="11"/>
  <c r="F23" i="11"/>
  <c r="AM18" i="5" s="1"/>
  <c r="F17" i="11"/>
  <c r="AM12" i="5" s="1"/>
  <c r="AX12" i="5" s="1"/>
  <c r="F33" i="11"/>
  <c r="AM28" i="5" s="1"/>
  <c r="F41" i="11"/>
  <c r="AM36" i="5" s="1"/>
  <c r="F25" i="11"/>
  <c r="AM20" i="5" s="1"/>
  <c r="F29" i="11"/>
  <c r="AM24" i="5" s="1"/>
  <c r="F21" i="11"/>
  <c r="AM16" i="5" s="1"/>
  <c r="BO38" i="5"/>
  <c r="D30" i="10"/>
  <c r="E30" i="10" s="1"/>
  <c r="D41" i="10"/>
  <c r="E41" i="10" s="1"/>
  <c r="BN36" i="5"/>
  <c r="BP36" i="5" s="1"/>
  <c r="P41" i="9"/>
  <c r="AA28" i="11"/>
  <c r="AC28" i="11" s="1"/>
  <c r="AA24" i="11"/>
  <c r="AC24" i="11" s="1"/>
  <c r="F36" i="10"/>
  <c r="H36" i="10" s="1"/>
  <c r="G36" i="10" s="1"/>
  <c r="AJ37" i="5"/>
  <c r="AK37" i="5" s="1"/>
  <c r="BN20" i="5"/>
  <c r="BP20" i="5" s="1"/>
  <c r="BL38" i="5"/>
  <c r="BM9" i="5"/>
  <c r="D39" i="10"/>
  <c r="F39" i="10" s="1"/>
  <c r="I39" i="10" s="1"/>
  <c r="AJ34" i="5"/>
  <c r="AK34" i="5" s="1"/>
  <c r="AJ32" i="5"/>
  <c r="AK32" i="5" s="1"/>
  <c r="F40" i="15"/>
  <c r="G40" i="15" s="1"/>
  <c r="P39" i="9"/>
  <c r="D38" i="10"/>
  <c r="AY34" i="5" s="1"/>
  <c r="D37" i="10"/>
  <c r="E37" i="10" s="1"/>
  <c r="B39" i="15"/>
  <c r="F39" i="15" s="1"/>
  <c r="G39" i="15" s="1"/>
  <c r="D21" i="10"/>
  <c r="E21" i="10" s="1"/>
  <c r="D22" i="10"/>
  <c r="F22" i="10" s="1"/>
  <c r="I22" i="10" s="1"/>
  <c r="D23" i="10"/>
  <c r="AY19" i="5" s="1"/>
  <c r="D29" i="10"/>
  <c r="E29" i="10" s="1"/>
  <c r="B38" i="15"/>
  <c r="D38" i="15" s="1"/>
  <c r="E38" i="15" s="1"/>
  <c r="D33" i="10"/>
  <c r="AY29" i="5" s="1"/>
  <c r="D32" i="10"/>
  <c r="F32" i="10" s="1"/>
  <c r="I32" i="10" s="1"/>
  <c r="Q31" i="12"/>
  <c r="B32" i="15"/>
  <c r="Q28" i="12"/>
  <c r="BN24" i="5"/>
  <c r="BP24" i="5" s="1"/>
  <c r="D28" i="10"/>
  <c r="F28" i="10" s="1"/>
  <c r="B31" i="15"/>
  <c r="F31" i="15" s="1"/>
  <c r="G31" i="15" s="1"/>
  <c r="D24" i="10"/>
  <c r="F24" i="10" s="1"/>
  <c r="B30" i="15"/>
  <c r="D30" i="15" s="1"/>
  <c r="E30" i="15" s="1"/>
  <c r="Q18" i="12"/>
  <c r="BN14" i="5"/>
  <c r="BP14" i="5" s="1"/>
  <c r="AA15" i="11"/>
  <c r="AC15" i="11" s="1"/>
  <c r="D12" i="10"/>
  <c r="E12" i="10" s="1"/>
  <c r="BN8" i="5"/>
  <c r="BP8" i="5" s="1"/>
  <c r="AA21" i="11"/>
  <c r="AC21" i="11" s="1"/>
  <c r="B15" i="15"/>
  <c r="D15" i="15" s="1"/>
  <c r="E15" i="15" s="1"/>
  <c r="Q15" i="12"/>
  <c r="D14" i="10"/>
  <c r="E14" i="10" s="1"/>
  <c r="B24" i="15"/>
  <c r="D24" i="15" s="1"/>
  <c r="E24" i="15" s="1"/>
  <c r="B22" i="15"/>
  <c r="C22" i="15" s="1"/>
  <c r="Q16" i="12"/>
  <c r="D19" i="10"/>
  <c r="E19" i="10" s="1"/>
  <c r="Q12" i="12"/>
  <c r="AA36" i="11"/>
  <c r="AC36" i="11" s="1"/>
  <c r="Q29" i="12"/>
  <c r="AJ33" i="5"/>
  <c r="AK33" i="5" s="1"/>
  <c r="AJ31" i="5"/>
  <c r="AK31" i="5" s="1"/>
  <c r="P38" i="9"/>
  <c r="AA29" i="11"/>
  <c r="AC29" i="11" s="1"/>
  <c r="BN31" i="5"/>
  <c r="BP31" i="5" s="1"/>
  <c r="AB15" i="11"/>
  <c r="Q37" i="12"/>
  <c r="AA32" i="11"/>
  <c r="AC32" i="11" s="1"/>
  <c r="Q35" i="12"/>
  <c r="B41" i="15"/>
  <c r="D41" i="15" s="1"/>
  <c r="E41" i="15" s="1"/>
  <c r="AA33" i="11"/>
  <c r="AC33" i="11" s="1"/>
  <c r="AA23" i="11"/>
  <c r="AC23" i="11" s="1"/>
  <c r="D35" i="10"/>
  <c r="E35" i="10" s="1"/>
  <c r="BN33" i="5"/>
  <c r="BP33" i="5" s="1"/>
  <c r="AH38" i="5"/>
  <c r="AX26" i="5"/>
  <c r="BN12" i="5"/>
  <c r="BP12" i="5" s="1"/>
  <c r="AA16" i="11"/>
  <c r="AC16" i="11" s="1"/>
  <c r="AA34" i="11"/>
  <c r="AC34" i="11" s="1"/>
  <c r="AA27" i="11"/>
  <c r="AC27" i="11" s="1"/>
  <c r="Q26" i="12"/>
  <c r="BN15" i="5"/>
  <c r="BP15" i="5" s="1"/>
  <c r="Q21" i="12"/>
  <c r="B35" i="15"/>
  <c r="AF38" i="5"/>
  <c r="AE38" i="5"/>
  <c r="D26" i="10"/>
  <c r="AY22" i="5" s="1"/>
  <c r="AA19" i="11"/>
  <c r="AC19" i="11" s="1"/>
  <c r="Q19" i="12"/>
  <c r="AA35" i="11"/>
  <c r="AC35" i="11" s="1"/>
  <c r="AB31" i="11"/>
  <c r="AA31" i="11"/>
  <c r="AC31" i="11" s="1"/>
  <c r="BN17" i="5"/>
  <c r="BP17" i="5" s="1"/>
  <c r="B23" i="15"/>
  <c r="F23" i="15" s="1"/>
  <c r="G23" i="15" s="1"/>
  <c r="B25" i="15"/>
  <c r="D25" i="15" s="1"/>
  <c r="E25" i="15" s="1"/>
  <c r="Q27" i="12"/>
  <c r="D31" i="10"/>
  <c r="AY27" i="5" s="1"/>
  <c r="B20" i="15"/>
  <c r="F20" i="15" s="1"/>
  <c r="G20" i="15" s="1"/>
  <c r="AC38" i="5"/>
  <c r="Y38" i="5"/>
  <c r="Z38" i="5"/>
  <c r="AI38" i="5"/>
  <c r="BN27" i="5"/>
  <c r="BP27" i="5" s="1"/>
  <c r="AA30" i="11"/>
  <c r="AC30" i="11" s="1"/>
  <c r="D16" i="10"/>
  <c r="E16" i="10" s="1"/>
  <c r="B44" i="15"/>
  <c r="F44" i="15" s="1"/>
  <c r="G44" i="15" s="1"/>
  <c r="BN22" i="5"/>
  <c r="BP22" i="5" s="1"/>
  <c r="BN23" i="5"/>
  <c r="BP23" i="5" s="1"/>
  <c r="D20" i="10"/>
  <c r="E20" i="10" s="1"/>
  <c r="D15" i="10"/>
  <c r="F15" i="10" s="1"/>
  <c r="AA41" i="11"/>
  <c r="AC41" i="11" s="1"/>
  <c r="Q23" i="12"/>
  <c r="AA42" i="11"/>
  <c r="AC42" i="11" s="1"/>
  <c r="AX32" i="5"/>
  <c r="AA39" i="11"/>
  <c r="AC39" i="11" s="1"/>
  <c r="AA37" i="11"/>
  <c r="AC37" i="11" s="1"/>
  <c r="AA20" i="11"/>
  <c r="AC20" i="11" s="1"/>
  <c r="D33" i="15"/>
  <c r="E33" i="15" s="1"/>
  <c r="BN11" i="5"/>
  <c r="BP11" i="5" s="1"/>
  <c r="B26" i="15"/>
  <c r="F26" i="15" s="1"/>
  <c r="AG38" i="5"/>
  <c r="AA18" i="11"/>
  <c r="AC18" i="11" s="1"/>
  <c r="Q22" i="12"/>
  <c r="B19" i="15"/>
  <c r="C19" i="15" s="1"/>
  <c r="D11" i="10"/>
  <c r="AY7" i="5" s="1"/>
  <c r="BN30" i="5"/>
  <c r="BP30" i="5" s="1"/>
  <c r="AA13" i="11"/>
  <c r="AA14" i="11"/>
  <c r="AC14" i="11" s="1"/>
  <c r="D28" i="15"/>
  <c r="E28" i="15" s="1"/>
  <c r="AA12" i="11"/>
  <c r="AC12" i="11" s="1"/>
  <c r="AA22" i="11"/>
  <c r="AC22" i="11" s="1"/>
  <c r="E36" i="10"/>
  <c r="BN28" i="5"/>
  <c r="BP28" i="5" s="1"/>
  <c r="Q20" i="12"/>
  <c r="Q11" i="12"/>
  <c r="Q41" i="12"/>
  <c r="Q38" i="12"/>
  <c r="BN18" i="5"/>
  <c r="BP18" i="5" s="1"/>
  <c r="B42" i="15"/>
  <c r="F42" i="15" s="1"/>
  <c r="G42" i="15" s="1"/>
  <c r="BN37" i="5"/>
  <c r="BP37" i="5" s="1"/>
  <c r="BN7" i="5"/>
  <c r="BP7" i="5" s="1"/>
  <c r="BN34" i="5"/>
  <c r="BP34" i="5" s="1"/>
  <c r="Q39" i="12"/>
  <c r="AA38" i="11"/>
  <c r="AC38" i="11" s="1"/>
  <c r="AB24" i="11"/>
  <c r="P40" i="9"/>
  <c r="BN35" i="5"/>
  <c r="BP35" i="5" s="1"/>
  <c r="D34" i="10"/>
  <c r="E34" i="10" s="1"/>
  <c r="Q34" i="12"/>
  <c r="AY32" i="5"/>
  <c r="Q14" i="12"/>
  <c r="BN19" i="5"/>
  <c r="BP19" i="5" s="1"/>
  <c r="BN10" i="5"/>
  <c r="BP10" i="5" s="1"/>
  <c r="B18" i="15"/>
  <c r="F18" i="15" s="1"/>
  <c r="B27" i="15"/>
  <c r="D17" i="15"/>
  <c r="E17" i="15" s="1"/>
  <c r="Q30" i="12"/>
  <c r="B43" i="15"/>
  <c r="D43" i="15" s="1"/>
  <c r="E43" i="15" s="1"/>
  <c r="B45" i="15"/>
  <c r="C45" i="15" s="1"/>
  <c r="Q32" i="12"/>
  <c r="AA25" i="11"/>
  <c r="AC25" i="11" s="1"/>
  <c r="P42" i="9"/>
  <c r="BN29" i="5"/>
  <c r="BP29" i="5" s="1"/>
  <c r="B34" i="15"/>
  <c r="AA17" i="11"/>
  <c r="AC17" i="11" s="1"/>
  <c r="B36" i="15"/>
  <c r="Q40" i="12"/>
  <c r="D40" i="10"/>
  <c r="D17" i="10"/>
  <c r="F17" i="10" s="1"/>
  <c r="I17" i="10" s="1"/>
  <c r="B21" i="15"/>
  <c r="Q17" i="12"/>
  <c r="D25" i="10"/>
  <c r="E25" i="10" s="1"/>
  <c r="Q25" i="12"/>
  <c r="B29" i="15"/>
  <c r="Q33" i="12"/>
  <c r="B37" i="15"/>
  <c r="D14" i="15"/>
  <c r="E14" i="15" s="1"/>
  <c r="AB16" i="11"/>
  <c r="BM14" i="5"/>
  <c r="BM31" i="5"/>
  <c r="BN21" i="5"/>
  <c r="BP21" i="5" s="1"/>
  <c r="BM8" i="5"/>
  <c r="BM30" i="5"/>
  <c r="BM27" i="5"/>
  <c r="BM19" i="5"/>
  <c r="BM33" i="5"/>
  <c r="BN25" i="5"/>
  <c r="BP25" i="5" s="1"/>
  <c r="BM18" i="5"/>
  <c r="BM32" i="5"/>
  <c r="BM11" i="5"/>
  <c r="BM6" i="5"/>
  <c r="BN16" i="5"/>
  <c r="BP16" i="5" s="1"/>
  <c r="BN26" i="5"/>
  <c r="BP26" i="5" s="1"/>
  <c r="BN13" i="5"/>
  <c r="BP13" i="5" s="1"/>
  <c r="AB27" i="11"/>
  <c r="AM22" i="5"/>
  <c r="AM21" i="5"/>
  <c r="AB34" i="11"/>
  <c r="AL29" i="5"/>
  <c r="AX29" i="5" s="1"/>
  <c r="AL31" i="5"/>
  <c r="AB35" i="11"/>
  <c r="AM30" i="5"/>
  <c r="AB19" i="11"/>
  <c r="AM14" i="5"/>
  <c r="AB32" i="11"/>
  <c r="AL27" i="5"/>
  <c r="AL17" i="5"/>
  <c r="AM37" i="5"/>
  <c r="AL35" i="5"/>
  <c r="AB12" i="11"/>
  <c r="D16" i="15"/>
  <c r="E16" i="15" s="1"/>
  <c r="F16" i="15"/>
  <c r="G16" i="15" s="1"/>
  <c r="AB14" i="11"/>
  <c r="AM5" i="5"/>
  <c r="AN6" i="5"/>
  <c r="AN5" i="5"/>
  <c r="AP5" i="5"/>
  <c r="AB13" i="11"/>
  <c r="AB20" i="11"/>
  <c r="AB28" i="11"/>
  <c r="AA11" i="11"/>
  <c r="AC11" i="11" s="1"/>
  <c r="BP6" i="5"/>
  <c r="AY23" i="5"/>
  <c r="P21" i="9"/>
  <c r="P16" i="9"/>
  <c r="P12" i="9"/>
  <c r="P30" i="9"/>
  <c r="P17" i="9"/>
  <c r="P25" i="9"/>
  <c r="P33" i="9"/>
  <c r="P14" i="9"/>
  <c r="F13" i="10"/>
  <c r="P34" i="9"/>
  <c r="BP9" i="5"/>
  <c r="C28" i="15"/>
  <c r="AQ5" i="5"/>
  <c r="P18" i="9"/>
  <c r="AO6" i="5"/>
  <c r="P26" i="9"/>
  <c r="AL5" i="5"/>
  <c r="P22" i="9"/>
  <c r="P19" i="9"/>
  <c r="AR5" i="5"/>
  <c r="P11" i="9"/>
  <c r="P15" i="9"/>
  <c r="P27" i="9"/>
  <c r="P31" i="9"/>
  <c r="P35" i="9"/>
  <c r="P20" i="9"/>
  <c r="AT5" i="5"/>
  <c r="P23" i="9"/>
  <c r="P24" i="9"/>
  <c r="P32" i="9"/>
  <c r="AP6" i="5"/>
  <c r="P28" i="9"/>
  <c r="P13" i="9"/>
  <c r="P29" i="9"/>
  <c r="AS6" i="5"/>
  <c r="E10" i="10"/>
  <c r="E18" i="10"/>
  <c r="AC26" i="11"/>
  <c r="AY14" i="5"/>
  <c r="AY6" i="5"/>
  <c r="AJ10" i="5"/>
  <c r="AK10" i="5" s="1"/>
  <c r="AJ12" i="5"/>
  <c r="AK12" i="5" s="1"/>
  <c r="AJ14" i="5"/>
  <c r="AK14" i="5" s="1"/>
  <c r="AJ16" i="5"/>
  <c r="AK16" i="5" s="1"/>
  <c r="AJ18" i="5"/>
  <c r="AK18" i="5" s="1"/>
  <c r="AJ20" i="5"/>
  <c r="AK20" i="5" s="1"/>
  <c r="AJ22" i="5"/>
  <c r="AK22" i="5" s="1"/>
  <c r="AJ7" i="5"/>
  <c r="AK7" i="5" s="1"/>
  <c r="AJ9" i="5"/>
  <c r="AK9" i="5" s="1"/>
  <c r="AJ25" i="5"/>
  <c r="AK25" i="5" s="1"/>
  <c r="AJ11" i="5"/>
  <c r="AK11" i="5" s="1"/>
  <c r="AJ13" i="5"/>
  <c r="AK13" i="5" s="1"/>
  <c r="AJ15" i="5"/>
  <c r="AK15" i="5" s="1"/>
  <c r="AJ17" i="5"/>
  <c r="AK17" i="5" s="1"/>
  <c r="AJ19" i="5"/>
  <c r="AK19" i="5" s="1"/>
  <c r="AJ21" i="5"/>
  <c r="AK21" i="5" s="1"/>
  <c r="AJ23" i="5"/>
  <c r="AK23" i="5" s="1"/>
  <c r="AJ8" i="5"/>
  <c r="AK8" i="5" s="1"/>
  <c r="AJ28" i="5"/>
  <c r="AK28" i="5" s="1"/>
  <c r="AJ30" i="5"/>
  <c r="AK30" i="5" s="1"/>
  <c r="F10" i="10"/>
  <c r="F18" i="10"/>
  <c r="AJ6" i="5"/>
  <c r="AK6" i="5" s="1"/>
  <c r="AJ24" i="5"/>
  <c r="AK24" i="5" s="1"/>
  <c r="AJ27" i="5"/>
  <c r="AK27" i="5" s="1"/>
  <c r="AJ29" i="5"/>
  <c r="AK29" i="5" s="1"/>
  <c r="AJ26" i="5"/>
  <c r="AX8" i="5" l="1"/>
  <c r="AX24" i="5"/>
  <c r="AX7" i="5"/>
  <c r="AX15" i="5"/>
  <c r="AB39" i="11"/>
  <c r="AX30" i="5"/>
  <c r="AX27" i="5"/>
  <c r="AX37" i="5"/>
  <c r="AU38" i="5"/>
  <c r="AS34" i="5"/>
  <c r="AX34" i="5" s="1"/>
  <c r="AX28" i="5"/>
  <c r="AX10" i="5"/>
  <c r="AX33" i="5"/>
  <c r="AR38" i="5"/>
  <c r="AX36" i="5"/>
  <c r="AB37" i="11"/>
  <c r="AB42" i="11"/>
  <c r="AW38" i="5"/>
  <c r="AT38" i="5"/>
  <c r="AX18" i="5"/>
  <c r="AX22" i="5"/>
  <c r="AV38" i="5"/>
  <c r="AX20" i="5"/>
  <c r="AB25" i="11"/>
  <c r="AB33" i="11"/>
  <c r="AB36" i="11"/>
  <c r="AX16" i="5"/>
  <c r="AX14" i="5"/>
  <c r="AB38" i="11"/>
  <c r="AB23" i="11"/>
  <c r="AB29" i="11"/>
  <c r="AB21" i="11"/>
  <c r="AB22" i="11"/>
  <c r="I36" i="10"/>
  <c r="AB30" i="11"/>
  <c r="AX17" i="5"/>
  <c r="AY37" i="5"/>
  <c r="AX31" i="5"/>
  <c r="AQ25" i="5"/>
  <c r="AX25" i="5" s="1"/>
  <c r="F37" i="10"/>
  <c r="I37" i="10" s="1"/>
  <c r="AY33" i="5"/>
  <c r="AQ13" i="5"/>
  <c r="AX13" i="5" s="1"/>
  <c r="F30" i="10"/>
  <c r="I30" i="10" s="1"/>
  <c r="E39" i="10"/>
  <c r="AY35" i="5"/>
  <c r="E38" i="10"/>
  <c r="AB41" i="11"/>
  <c r="AY26" i="5"/>
  <c r="AB17" i="11"/>
  <c r="F38" i="10"/>
  <c r="H38" i="10" s="1"/>
  <c r="G38" i="10" s="1"/>
  <c r="AX21" i="5"/>
  <c r="AB26" i="11"/>
  <c r="F41" i="10"/>
  <c r="H41" i="10" s="1"/>
  <c r="G41" i="10" s="1"/>
  <c r="AX35" i="5"/>
  <c r="AB40" i="11"/>
  <c r="AS38" i="5"/>
  <c r="F38" i="15"/>
  <c r="G38" i="15" s="1"/>
  <c r="D31" i="15"/>
  <c r="E31" i="15" s="1"/>
  <c r="D39" i="15"/>
  <c r="E39" i="15" s="1"/>
  <c r="AY31" i="5"/>
  <c r="E28" i="10"/>
  <c r="C39" i="15"/>
  <c r="F41" i="15"/>
  <c r="G41" i="15" s="1"/>
  <c r="F35" i="10"/>
  <c r="H35" i="10" s="1"/>
  <c r="G35" i="10" s="1"/>
  <c r="AY18" i="5"/>
  <c r="E22" i="10"/>
  <c r="E26" i="10"/>
  <c r="F26" i="10"/>
  <c r="H26" i="10" s="1"/>
  <c r="G26" i="10" s="1"/>
  <c r="AY24" i="5"/>
  <c r="D32" i="15"/>
  <c r="E32" i="15" s="1"/>
  <c r="F32" i="15"/>
  <c r="G32" i="15" s="1"/>
  <c r="AY10" i="5"/>
  <c r="D20" i="15"/>
  <c r="E20" i="15" s="1"/>
  <c r="E17" i="10"/>
  <c r="F30" i="15"/>
  <c r="G30" i="15" s="1"/>
  <c r="F25" i="15"/>
  <c r="G25" i="15" s="1"/>
  <c r="F14" i="10"/>
  <c r="I14" i="10" s="1"/>
  <c r="AY8" i="5"/>
  <c r="F12" i="10"/>
  <c r="I12" i="10" s="1"/>
  <c r="F15" i="15"/>
  <c r="G15" i="15" s="1"/>
  <c r="AY13" i="5"/>
  <c r="F24" i="15"/>
  <c r="G24" i="15" s="1"/>
  <c r="D22" i="15"/>
  <c r="E22" i="15" s="1"/>
  <c r="F22" i="15"/>
  <c r="G22" i="15" s="1"/>
  <c r="C41" i="15"/>
  <c r="D44" i="15"/>
  <c r="E44" i="15" s="1"/>
  <c r="C44" i="15"/>
  <c r="D23" i="15"/>
  <c r="E23" i="15" s="1"/>
  <c r="D26" i="15"/>
  <c r="E26" i="15" s="1"/>
  <c r="D35" i="15"/>
  <c r="E35" i="15" s="1"/>
  <c r="F35" i="15"/>
  <c r="G35" i="15" s="1"/>
  <c r="F34" i="10"/>
  <c r="I34" i="10" s="1"/>
  <c r="AY30" i="5"/>
  <c r="F19" i="15"/>
  <c r="G19" i="15" s="1"/>
  <c r="D19" i="15"/>
  <c r="E19" i="15" s="1"/>
  <c r="H39" i="10"/>
  <c r="G39" i="10" s="1"/>
  <c r="D42" i="15"/>
  <c r="E42" i="15" s="1"/>
  <c r="C42" i="15"/>
  <c r="D45" i="15"/>
  <c r="E45" i="15" s="1"/>
  <c r="F45" i="15"/>
  <c r="G45" i="15" s="1"/>
  <c r="D27" i="15"/>
  <c r="E27" i="15" s="1"/>
  <c r="F27" i="15"/>
  <c r="G27" i="15" s="1"/>
  <c r="D18" i="15"/>
  <c r="E18" i="15" s="1"/>
  <c r="C43" i="15"/>
  <c r="F43" i="15"/>
  <c r="G43" i="15" s="1"/>
  <c r="AY36" i="5"/>
  <c r="F40" i="10"/>
  <c r="E40" i="10"/>
  <c r="F36" i="15"/>
  <c r="G36" i="15" s="1"/>
  <c r="D36" i="15"/>
  <c r="E36" i="15" s="1"/>
  <c r="F34" i="15"/>
  <c r="G34" i="15" s="1"/>
  <c r="D34" i="15"/>
  <c r="E34" i="15" s="1"/>
  <c r="F21" i="15"/>
  <c r="G21" i="15" s="1"/>
  <c r="D21" i="15"/>
  <c r="E21" i="15" s="1"/>
  <c r="F37" i="15"/>
  <c r="G37" i="15" s="1"/>
  <c r="D37" i="15"/>
  <c r="E37" i="15" s="1"/>
  <c r="F29" i="15"/>
  <c r="G29" i="15" s="1"/>
  <c r="D29" i="15"/>
  <c r="E29" i="15" s="1"/>
  <c r="BM38" i="5"/>
  <c r="AN38" i="5"/>
  <c r="AL38" i="5"/>
  <c r="AM38" i="5"/>
  <c r="AP38" i="5"/>
  <c r="AX6" i="5"/>
  <c r="AB11" i="11"/>
  <c r="C31" i="15"/>
  <c r="C35" i="15"/>
  <c r="C27" i="15"/>
  <c r="C23" i="15"/>
  <c r="G28" i="15"/>
  <c r="C16" i="15"/>
  <c r="C15" i="15"/>
  <c r="C32" i="15"/>
  <c r="E23" i="10"/>
  <c r="E11" i="10"/>
  <c r="AY11" i="5"/>
  <c r="AY16" i="5"/>
  <c r="F20" i="10"/>
  <c r="I20" i="10" s="1"/>
  <c r="AY28" i="5"/>
  <c r="AY12" i="5"/>
  <c r="H15" i="10"/>
  <c r="G15" i="10" s="1"/>
  <c r="I15" i="10"/>
  <c r="C34" i="15"/>
  <c r="AY9" i="5"/>
  <c r="E32" i="10"/>
  <c r="E13" i="10"/>
  <c r="AY17" i="5"/>
  <c r="E15" i="10"/>
  <c r="F21" i="10"/>
  <c r="I21" i="10" s="1"/>
  <c r="F16" i="10"/>
  <c r="I16" i="10" s="1"/>
  <c r="E31" i="10"/>
  <c r="F23" i="10"/>
  <c r="I23" i="10" s="1"/>
  <c r="F31" i="10"/>
  <c r="I24" i="10"/>
  <c r="H24" i="10"/>
  <c r="G24" i="10" s="1"/>
  <c r="I13" i="10"/>
  <c r="H13" i="10"/>
  <c r="G13" i="10" s="1"/>
  <c r="AY20" i="5"/>
  <c r="F19" i="10"/>
  <c r="E27" i="10"/>
  <c r="E33" i="10"/>
  <c r="AY15" i="5"/>
  <c r="F33" i="10"/>
  <c r="C20" i="15"/>
  <c r="AY21" i="5"/>
  <c r="F25" i="10"/>
  <c r="E24" i="10"/>
  <c r="AY25" i="5"/>
  <c r="C24" i="15"/>
  <c r="H17" i="10"/>
  <c r="G17" i="10" s="1"/>
  <c r="C21" i="15"/>
  <c r="C36" i="15"/>
  <c r="F29" i="10"/>
  <c r="C26" i="15"/>
  <c r="G26" i="15"/>
  <c r="F11" i="10"/>
  <c r="C29" i="15"/>
  <c r="G18" i="15"/>
  <c r="C18" i="15"/>
  <c r="F27" i="10"/>
  <c r="C33" i="15"/>
  <c r="G33" i="15"/>
  <c r="C37" i="15"/>
  <c r="C38" i="15"/>
  <c r="C14" i="15"/>
  <c r="G14" i="15"/>
  <c r="G17" i="15"/>
  <c r="C17" i="15"/>
  <c r="C25" i="15"/>
  <c r="C30" i="15"/>
  <c r="AC13" i="11"/>
  <c r="H32" i="10"/>
  <c r="G32" i="10" s="1"/>
  <c r="H22" i="10"/>
  <c r="G22" i="10" s="1"/>
  <c r="I18" i="10"/>
  <c r="H18" i="10"/>
  <c r="G18" i="10" s="1"/>
  <c r="I10" i="10"/>
  <c r="H10" i="10"/>
  <c r="G10" i="10" s="1"/>
  <c r="I28" i="10"/>
  <c r="H28" i="10"/>
  <c r="G28" i="10" s="1"/>
  <c r="AK26" i="5"/>
  <c r="H30" i="10" l="1"/>
  <c r="G30" i="10" s="1"/>
  <c r="AQ38" i="5"/>
  <c r="H37" i="10"/>
  <c r="G37" i="10" s="1"/>
  <c r="I38" i="10"/>
  <c r="I41" i="10"/>
  <c r="I35" i="10"/>
  <c r="I26" i="10"/>
  <c r="H14" i="10"/>
  <c r="G14" i="10" s="1"/>
  <c r="H12" i="10"/>
  <c r="G12" i="10" s="1"/>
  <c r="H34" i="10"/>
  <c r="G34" i="10" s="1"/>
  <c r="I40" i="10"/>
  <c r="H40" i="10"/>
  <c r="G40" i="10" s="1"/>
  <c r="H20" i="10"/>
  <c r="G20" i="10" s="1"/>
  <c r="H21" i="10"/>
  <c r="G21" i="10" s="1"/>
  <c r="H23" i="10"/>
  <c r="G23" i="10" s="1"/>
  <c r="H31" i="10"/>
  <c r="G31" i="10" s="1"/>
  <c r="I31" i="10"/>
  <c r="H16" i="10"/>
  <c r="G16" i="10" s="1"/>
  <c r="I25" i="10"/>
  <c r="H25" i="10"/>
  <c r="G25" i="10" s="1"/>
  <c r="H33" i="10"/>
  <c r="G33" i="10" s="1"/>
  <c r="I33" i="10"/>
  <c r="I19" i="10"/>
  <c r="H19" i="10"/>
  <c r="G19" i="10" s="1"/>
  <c r="I11" i="10"/>
  <c r="H11" i="10"/>
  <c r="G11" i="10" s="1"/>
  <c r="H29" i="10"/>
  <c r="G29" i="10" s="1"/>
  <c r="I29" i="10"/>
  <c r="I27" i="10"/>
  <c r="H27" i="10"/>
  <c r="G27" i="10" s="1"/>
  <c r="I10" i="11" l="1"/>
  <c r="AA5" i="5"/>
  <c r="AA38" i="5" s="1"/>
  <c r="O10" i="9"/>
  <c r="AA10" i="11" l="1"/>
  <c r="J10" i="11"/>
  <c r="AO5" i="5" s="1"/>
  <c r="AX5" i="5" s="1"/>
  <c r="AX38" i="5" s="1"/>
  <c r="Q9" i="12"/>
  <c r="B13" i="15"/>
  <c r="AJ5" i="5"/>
  <c r="D9" i="10"/>
  <c r="BN5" i="5"/>
  <c r="P10" i="9"/>
  <c r="P43" i="9" s="1"/>
  <c r="AC10" i="11" l="1"/>
  <c r="T5" i="5" s="1"/>
  <c r="AB10" i="11"/>
  <c r="AO38" i="5"/>
  <c r="T4" i="5"/>
  <c r="AY5" i="5"/>
  <c r="AY38" i="5" s="1"/>
  <c r="E9" i="10"/>
  <c r="F9" i="10"/>
  <c r="AJ38" i="5"/>
  <c r="AK5" i="5"/>
  <c r="AK38" i="5" s="1"/>
  <c r="BN38" i="5"/>
  <c r="BP5" i="5"/>
  <c r="BP38" i="5" s="1"/>
  <c r="F13" i="15"/>
  <c r="C13" i="15"/>
  <c r="D13" i="15"/>
  <c r="B46" i="15"/>
  <c r="T6" i="5" l="1"/>
  <c r="D46" i="15"/>
  <c r="E13" i="15"/>
  <c r="E46" i="15" s="1"/>
  <c r="E90" i="15" s="1"/>
  <c r="C46" i="15"/>
  <c r="F46" i="15"/>
  <c r="G13" i="15"/>
  <c r="G46" i="15" s="1"/>
  <c r="I9" i="10"/>
  <c r="H9" i="10"/>
  <c r="G9" i="10" s="1"/>
  <c r="C90" i="15" l="1"/>
  <c r="T9" i="5"/>
  <c r="D90" i="15"/>
  <c r="T10" i="5"/>
  <c r="I43" i="10"/>
  <c r="T7" i="5" s="1"/>
</calcChain>
</file>

<file path=xl/sharedStrings.xml><?xml version="1.0" encoding="utf-8"?>
<sst xmlns="http://schemas.openxmlformats.org/spreadsheetml/2006/main" count="577" uniqueCount="152">
  <si>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</si>
  <si>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</si>
  <si>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</si>
  <si>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</si>
  <si>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</si>
  <si>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</si>
  <si>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</si>
  <si>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</si>
  <si>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</si>
  <si>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</si>
  <si>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</si>
  <si>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</si>
  <si>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Stock dépôt</t>
  </si>
  <si>
    <t>Produits</t>
  </si>
  <si>
    <t>Qté</t>
  </si>
  <si>
    <t>Unité</t>
  </si>
  <si>
    <t>Kilogramme</t>
  </si>
  <si>
    <t>Litre</t>
  </si>
  <si>
    <t>Quintal</t>
  </si>
  <si>
    <t>Tonne</t>
  </si>
  <si>
    <t>Origine/ Fournisseur</t>
  </si>
  <si>
    <t>Total volumes</t>
  </si>
  <si>
    <t>Total en tonnes</t>
  </si>
  <si>
    <t>Prévisionnel importation en volumes (T) et en valeurs (DZD)</t>
  </si>
  <si>
    <t>Total en unité</t>
  </si>
  <si>
    <t>Pré.Vente</t>
  </si>
  <si>
    <t>Totale vente en volumes</t>
  </si>
  <si>
    <t>Totale ventes en valeurs</t>
  </si>
  <si>
    <t>PR Total par produit (DZD TTC)</t>
  </si>
  <si>
    <t>Valeurs Janvier en (DZD TTC)</t>
  </si>
  <si>
    <t>Valeurs Février en (DZD TTC)</t>
  </si>
  <si>
    <t>Valeurs Mars en (DZD TTC)</t>
  </si>
  <si>
    <t>Valeurs Avril en (DZD TTC)</t>
  </si>
  <si>
    <t>Valeurs Mai en (DZD TTC)</t>
  </si>
  <si>
    <t>Valeurs Juin en (DZD TTC)</t>
  </si>
  <si>
    <t>Valeurs Juillet en (DZD TTC)</t>
  </si>
  <si>
    <t>Valeurs Aout en (DZD TTC)</t>
  </si>
  <si>
    <t>Valeurs Septembre en (DZD TTC)</t>
  </si>
  <si>
    <t>Valeurs Octobre en (DZD TTC)</t>
  </si>
  <si>
    <t>Valeurs Novembre en (DZD TTC)</t>
  </si>
  <si>
    <t>Valeurs Décembre en (DZD TTC)</t>
  </si>
  <si>
    <t>Total valeurs par produit en (DZD TTC)</t>
  </si>
  <si>
    <t>Marge unitaire par produit en(DZD TTC)</t>
  </si>
  <si>
    <t>Valeurs importation en DZD HT</t>
  </si>
  <si>
    <t>Total géneral prévisionel CA 2025</t>
  </si>
  <si>
    <t>Valeur importations (prix d'achat total annuel/produit en €</t>
  </si>
  <si>
    <t>Feuille 1</t>
  </si>
  <si>
    <t>Forecast-Volumes annuels importations Total</t>
  </si>
  <si>
    <t xml:space="preserve">                                                            Mois-2025                  Produits                                 </t>
  </si>
  <si>
    <t>Feuille 2</t>
  </si>
  <si>
    <t>Feuille 3</t>
  </si>
  <si>
    <t>Feuille 4</t>
  </si>
  <si>
    <t>Feuille 6</t>
  </si>
  <si>
    <t>Feuille 7</t>
  </si>
  <si>
    <t>Feuille 8</t>
  </si>
  <si>
    <t>Feuille 9</t>
  </si>
  <si>
    <t>Feuille 10</t>
  </si>
  <si>
    <t>CA prévisionnel annuel</t>
  </si>
  <si>
    <t>Previsionnel Importations</t>
  </si>
  <si>
    <t>Récape</t>
  </si>
  <si>
    <t>Vente facturés livrés</t>
  </si>
  <si>
    <t>dates d'encaissements prev</t>
  </si>
  <si>
    <t>Total annuel en tonnes</t>
  </si>
  <si>
    <t>Total volumes en tonnes</t>
  </si>
  <si>
    <t>Prévisionnel importation en DZD</t>
  </si>
  <si>
    <t>Totale en volume</t>
  </si>
  <si>
    <t>Valeur importations (prix d'achat total annuel/produit en €)</t>
  </si>
  <si>
    <t>Totale envaleurs DZD TTC</t>
  </si>
  <si>
    <t xml:space="preserve">Total achats  € </t>
  </si>
  <si>
    <t xml:space="preserve">Prix de vente total par produit (DZD TTC) </t>
  </si>
  <si>
    <t>Reste en stock au 31/12/2025</t>
  </si>
  <si>
    <t>Janvier2</t>
  </si>
  <si>
    <t>Février3</t>
  </si>
  <si>
    <t>Mars4</t>
  </si>
  <si>
    <t>Avril5</t>
  </si>
  <si>
    <t>Mai6</t>
  </si>
  <si>
    <t>Juin7</t>
  </si>
  <si>
    <t>Juillet8</t>
  </si>
  <si>
    <t>Août9</t>
  </si>
  <si>
    <t>Septembre10</t>
  </si>
  <si>
    <t>Octobre11</t>
  </si>
  <si>
    <t>Novembre12</t>
  </si>
  <si>
    <t>Décembre13</t>
  </si>
  <si>
    <t>Totale en Tonnes</t>
  </si>
  <si>
    <t>Total ventes en tonnes</t>
  </si>
  <si>
    <t>Reste en stock au 31/12/2025 en T</t>
  </si>
  <si>
    <t>Prix achat unitaire en €</t>
  </si>
  <si>
    <t>Quantités prévisionelles par produit par unité</t>
  </si>
  <si>
    <t>Marge brute totale anuelle par produit (DZD TTC)</t>
  </si>
  <si>
    <t>Total géneral prévisionel CA 2025 (DZD TTC)</t>
  </si>
  <si>
    <t>Total en tonnes par produit</t>
  </si>
  <si>
    <t>Taux de change (1€ = 145)</t>
  </si>
  <si>
    <t>Prévisionnel  chiffre d'affaire total annuel par produit (DZD TTC)</t>
  </si>
  <si>
    <t>Prix en Quintaux €</t>
  </si>
  <si>
    <t>Prix en tonne €</t>
  </si>
  <si>
    <t>Prix de vente DZD TTC</t>
  </si>
  <si>
    <t xml:space="preserve">                                                              Mois 2025           Produits                                 </t>
  </si>
  <si>
    <t>Janvier3</t>
  </si>
  <si>
    <t>Février4</t>
  </si>
  <si>
    <t>Mars5</t>
  </si>
  <si>
    <t>Avril6</t>
  </si>
  <si>
    <t>Mai7</t>
  </si>
  <si>
    <t>Juin8</t>
  </si>
  <si>
    <t>Juillet9</t>
  </si>
  <si>
    <t>Août10</t>
  </si>
  <si>
    <t>Septembre11</t>
  </si>
  <si>
    <t>Octobre12</t>
  </si>
  <si>
    <t>Novembre13</t>
  </si>
  <si>
    <t>Décembre14</t>
  </si>
  <si>
    <t xml:space="preserve">Total importation 2026 mensuelle en valeurs </t>
  </si>
  <si>
    <t>Importation 2026 mensuel en volume</t>
  </si>
  <si>
    <t>Total ventes 2026 en volume</t>
  </si>
  <si>
    <t>Reste en stock au 31/12/2026 en volumes et valeurs</t>
  </si>
  <si>
    <t>Prix unitaire € 2025</t>
  </si>
  <si>
    <t>Prix unitaire € 2026</t>
  </si>
  <si>
    <t xml:space="preserve">Janvier </t>
  </si>
  <si>
    <t xml:space="preserve">Février </t>
  </si>
  <si>
    <t xml:space="preserve">Mars </t>
  </si>
  <si>
    <t>Prévisionnel importation 2026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</si>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</sst>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"/>
  </numFmts>
  <fonts count="1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Daytona"/>
      <family val="2"/>
    </font>
    <font>
      <sz val="10"/>
      <color theme="0"/>
      <name val="Daytona"/>
      <family val="2"/>
    </font>
    <font>
      <sz val="11"/>
      <color theme="0"/>
      <name val="Daytona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1"/>
      <name val="Abadi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Daytona"/>
      <family val="2"/>
    </font>
    <font>
      <b/>
      <sz val="10"/>
      <color theme="1"/>
      <name val="Daytona"/>
      <family val="2"/>
    </font>
    <font>
      <b/>
      <sz val="11"/>
      <color theme="0" tint="-4.9989318521683403E-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A6B37D"/>
        <bgColor indexed="64"/>
      </patternFill>
    </fill>
    <fill>
      <patternFill patternType="solid">
        <fgColor rgb="FF000B58"/>
        <bgColor indexed="64"/>
      </patternFill>
    </fill>
    <fill>
      <patternFill patternType="solid">
        <fgColor rgb="FF81A263"/>
        <bgColor indexed="64"/>
      </patternFill>
    </fill>
    <fill>
      <patternFill patternType="solid">
        <fgColor rgb="FFBCAC92"/>
        <bgColor indexed="64"/>
      </patternFill>
    </fill>
    <fill>
      <patternFill patternType="solid">
        <fgColor rgb="FF57B4BA"/>
        <bgColor indexed="64"/>
      </patternFill>
    </fill>
    <fill>
      <patternFill patternType="solid">
        <fgColor rgb="FFF1E7E7"/>
        <bgColor indexed="64"/>
      </patternFill>
    </fill>
  </fills>
  <borders count="5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double">
        <color theme="0"/>
      </left>
      <right style="double">
        <color theme="0"/>
      </right>
      <top style="double">
        <color theme="0"/>
      </top>
      <bottom/>
      <diagonal/>
    </border>
    <border>
      <left style="double">
        <color theme="0"/>
      </left>
      <right style="double">
        <color theme="0"/>
      </right>
      <top/>
      <bottom style="double">
        <color theme="0"/>
      </bottom>
      <diagonal/>
    </border>
    <border>
      <left style="double">
        <color theme="0"/>
      </left>
      <right/>
      <top style="double">
        <color theme="0"/>
      </top>
      <bottom style="double">
        <color theme="0"/>
      </bottom>
      <diagonal/>
    </border>
    <border>
      <left style="thin">
        <color theme="0" tint="-0.249977111117893"/>
      </left>
      <right/>
      <top/>
      <bottom/>
      <diagonal/>
    </border>
    <border>
      <left/>
      <right style="double">
        <color theme="0"/>
      </right>
      <top style="double">
        <color theme="0"/>
      </top>
      <bottom style="double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double">
        <color indexed="64"/>
      </right>
      <top style="double">
        <color theme="0"/>
      </top>
      <bottom style="thin">
        <color theme="0"/>
      </bottom>
      <diagonal/>
    </border>
    <border>
      <left style="thin">
        <color theme="0"/>
      </left>
      <right style="double">
        <color indexed="64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double">
        <color indexed="64"/>
      </right>
      <top style="thin">
        <color theme="0"/>
      </top>
      <bottom style="double">
        <color indexed="64"/>
      </bottom>
      <diagonal/>
    </border>
    <border>
      <left style="thin">
        <color theme="0"/>
      </left>
      <right style="double">
        <color indexed="64"/>
      </right>
      <top/>
      <bottom style="thin">
        <color theme="0"/>
      </bottom>
      <diagonal/>
    </border>
    <border>
      <left style="double">
        <color theme="0"/>
      </left>
      <right style="double">
        <color theme="0"/>
      </right>
      <top/>
      <bottom/>
      <diagonal/>
    </border>
    <border>
      <left style="double">
        <color theme="0"/>
      </left>
      <right style="double">
        <color theme="1"/>
      </right>
      <top/>
      <bottom/>
      <diagonal/>
    </border>
    <border>
      <left/>
      <right style="double">
        <color theme="0"/>
      </right>
      <top/>
      <bottom/>
      <diagonal/>
    </border>
    <border>
      <left style="double">
        <color theme="0"/>
      </left>
      <right/>
      <top/>
      <bottom/>
      <diagonal/>
    </border>
    <border>
      <left style="double">
        <color theme="0"/>
      </left>
      <right/>
      <top style="double">
        <color theme="0"/>
      </top>
      <bottom/>
      <diagonal/>
    </border>
    <border>
      <left/>
      <right/>
      <top style="double">
        <color theme="0"/>
      </top>
      <bottom/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thin">
        <color theme="0"/>
      </left>
      <right style="double">
        <color indexed="64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 style="double">
        <color theme="1"/>
      </top>
      <bottom/>
      <diagonal/>
    </border>
    <border>
      <left style="thin">
        <color theme="0" tint="-0.249977111117893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0"/>
      </left>
      <right/>
      <top style="thin">
        <color theme="4" tint="0.39997558519241921"/>
      </top>
      <bottom/>
      <diagonal/>
    </border>
    <border>
      <left style="thin">
        <color theme="0"/>
      </left>
      <right style="double">
        <color theme="1"/>
      </right>
      <top style="thin">
        <color theme="4" tint="0.39997558519241921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double">
        <color theme="1"/>
      </right>
      <top style="thin">
        <color theme="0"/>
      </top>
      <bottom/>
      <diagonal/>
    </border>
    <border>
      <left style="thin">
        <color theme="4" tint="0.39997558519241921"/>
      </left>
      <right/>
      <top/>
      <bottom/>
      <diagonal/>
    </border>
    <border>
      <left style="double">
        <color theme="0"/>
      </left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double">
        <color theme="0"/>
      </top>
      <bottom/>
      <diagonal/>
    </border>
    <border>
      <left style="thin">
        <color theme="0"/>
      </left>
      <right/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4" tint="0.39997558519241921"/>
      </right>
      <top/>
      <bottom/>
      <diagonal/>
    </border>
    <border>
      <left style="thin">
        <color theme="0"/>
      </left>
      <right style="double">
        <color theme="1"/>
      </right>
      <top style="double">
        <color theme="0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/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 style="double">
        <color theme="1"/>
      </top>
      <bottom style="double">
        <color theme="1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/>
      <diagonal/>
    </border>
    <border>
      <left style="double">
        <color theme="1"/>
      </left>
      <right/>
      <top style="double">
        <color theme="1"/>
      </top>
      <bottom/>
      <diagonal/>
    </border>
    <border>
      <left style="double">
        <color theme="0"/>
      </left>
      <right/>
      <top/>
      <bottom style="double">
        <color theme="0"/>
      </bottom>
      <diagonal/>
    </border>
    <border>
      <left style="double">
        <color theme="1"/>
      </left>
      <right/>
      <top style="double">
        <color theme="0"/>
      </top>
      <bottom/>
      <diagonal/>
    </border>
    <border>
      <left style="double">
        <color theme="1"/>
      </left>
      <right/>
      <top style="thin">
        <color theme="0"/>
      </top>
      <bottom/>
      <diagonal/>
    </border>
    <border>
      <left style="double">
        <color theme="0"/>
      </left>
      <right style="double">
        <color theme="1"/>
      </right>
      <top style="thin">
        <color theme="0"/>
      </top>
      <bottom/>
      <diagonal/>
    </border>
    <border>
      <left style="double">
        <color theme="1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double">
        <color theme="1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 tint="-0.249977111117893"/>
      </top>
      <bottom style="thin">
        <color theme="4" tint="0.39997558519241921"/>
      </bottom>
      <diagonal/>
    </border>
    <border>
      <left style="thin">
        <color theme="0"/>
      </left>
      <right/>
      <top style="thin">
        <color theme="0" tint="-0.249977111117893"/>
      </top>
      <bottom style="thin">
        <color theme="0"/>
      </bottom>
      <diagonal/>
    </border>
  </borders>
  <cellStyleXfs count="1">
    <xf numFmtId="0" fontId="0" fillId="0" borderId="0"/>
  </cellStyleXfs>
  <cellXfs count="154">
    <xf numFmtId="0" fontId="0" fillId="0" borderId="0" xfId="0"/>
    <xf numFmtId="0" fontId="0" fillId="0" borderId="0" xfId="0" applyAlignment="1">
      <alignment horizontal="center" vertic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2" fillId="4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3" fontId="0" fillId="2" borderId="2" xfId="0" applyNumberFormat="1" applyFont="1" applyFill="1" applyBorder="1" applyAlignment="1">
      <alignment horizontal="center" vertical="center"/>
    </xf>
    <xf numFmtId="3" fontId="0" fillId="2" borderId="1" xfId="0" applyNumberFormat="1" applyFont="1" applyFill="1" applyBorder="1" applyAlignment="1">
      <alignment horizontal="center" vertical="center"/>
    </xf>
    <xf numFmtId="4" fontId="0" fillId="3" borderId="5" xfId="0" applyNumberFormat="1" applyFill="1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horizontal="left" vertical="center"/>
    </xf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vertical="center"/>
    </xf>
    <xf numFmtId="3" fontId="0" fillId="3" borderId="5" xfId="0" applyNumberFormat="1" applyFill="1" applyBorder="1" applyAlignment="1">
      <alignment horizontal="center" vertical="center"/>
    </xf>
    <xf numFmtId="165" fontId="0" fillId="2" borderId="2" xfId="0" applyNumberFormat="1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4" fontId="0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3" fontId="0" fillId="2" borderId="12" xfId="0" applyNumberFormat="1" applyFont="1" applyFill="1" applyBorder="1" applyAlignment="1">
      <alignment horizontal="center" vertical="center"/>
    </xf>
    <xf numFmtId="3" fontId="0" fillId="2" borderId="13" xfId="0" applyNumberFormat="1" applyFont="1" applyFill="1" applyBorder="1" applyAlignment="1">
      <alignment horizontal="center" vertical="center"/>
    </xf>
    <xf numFmtId="4" fontId="0" fillId="2" borderId="13" xfId="0" applyNumberFormat="1" applyFont="1" applyFill="1" applyBorder="1" applyAlignment="1">
      <alignment horizontal="center" vertical="center"/>
    </xf>
    <xf numFmtId="3" fontId="0" fillId="2" borderId="14" xfId="0" applyNumberFormat="1" applyFont="1" applyFill="1" applyBorder="1" applyAlignment="1">
      <alignment horizontal="center" vertical="center"/>
    </xf>
    <xf numFmtId="3" fontId="0" fillId="2" borderId="15" xfId="0" applyNumberFormat="1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4" fontId="0" fillId="2" borderId="15" xfId="0" applyNumberFormat="1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0" fillId="0" borderId="0" xfId="0" applyAlignment="1"/>
    <xf numFmtId="164" fontId="0" fillId="6" borderId="0" xfId="0" applyNumberFormat="1" applyFill="1" applyAlignment="1">
      <alignment horizontal="center" vertical="center"/>
    </xf>
    <xf numFmtId="4" fontId="0" fillId="7" borderId="11" xfId="0" applyNumberFormat="1" applyFill="1" applyBorder="1" applyAlignment="1">
      <alignment horizontal="center" vertical="center"/>
    </xf>
    <xf numFmtId="3" fontId="9" fillId="5" borderId="8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 wrapText="1"/>
    </xf>
    <xf numFmtId="3" fontId="9" fillId="5" borderId="4" xfId="0" applyNumberFormat="1" applyFont="1" applyFill="1" applyBorder="1" applyAlignment="1">
      <alignment horizontal="center" vertical="center"/>
    </xf>
    <xf numFmtId="0" fontId="8" fillId="0" borderId="0" xfId="0" applyFont="1"/>
    <xf numFmtId="0" fontId="3" fillId="4" borderId="18" xfId="0" applyFont="1" applyFill="1" applyBorder="1" applyAlignment="1">
      <alignment vertical="center"/>
    </xf>
    <xf numFmtId="4" fontId="0" fillId="2" borderId="1" xfId="0" applyNumberFormat="1" applyFill="1" applyBorder="1" applyAlignment="1">
      <alignment horizontal="center" vertical="center"/>
    </xf>
    <xf numFmtId="3" fontId="0" fillId="2" borderId="2" xfId="0" applyNumberFormat="1" applyFill="1" applyBorder="1" applyAlignment="1">
      <alignment horizontal="center" vertical="center"/>
    </xf>
    <xf numFmtId="3" fontId="0" fillId="2" borderId="1" xfId="0" applyNumberFormat="1" applyFill="1" applyBorder="1" applyAlignment="1">
      <alignment horizontal="center" vertical="center"/>
    </xf>
    <xf numFmtId="4" fontId="2" fillId="4" borderId="9" xfId="0" applyNumberFormat="1" applyFont="1" applyFill="1" applyBorder="1" applyAlignment="1">
      <alignment horizontal="center" vertical="center"/>
    </xf>
    <xf numFmtId="0" fontId="0" fillId="7" borderId="1" xfId="0" applyFill="1" applyBorder="1"/>
    <xf numFmtId="3" fontId="4" fillId="5" borderId="10" xfId="0" applyNumberFormat="1" applyFont="1" applyFill="1" applyBorder="1" applyAlignment="1">
      <alignment horizontal="center" vertical="top"/>
    </xf>
    <xf numFmtId="0" fontId="0" fillId="8" borderId="0" xfId="0" applyFill="1" applyAlignment="1">
      <alignment horizontal="left" vertical="center"/>
    </xf>
    <xf numFmtId="0" fontId="0" fillId="8" borderId="0" xfId="0" applyFill="1" applyAlignment="1">
      <alignment horizontal="center" vertical="center"/>
    </xf>
    <xf numFmtId="0" fontId="0" fillId="8" borderId="0" xfId="0" applyFill="1"/>
    <xf numFmtId="0" fontId="6" fillId="8" borderId="0" xfId="0" applyFont="1" applyFill="1"/>
    <xf numFmtId="0" fontId="0" fillId="9" borderId="0" xfId="0" applyFill="1" applyAlignment="1">
      <alignment horizontal="left" vertical="center"/>
    </xf>
    <xf numFmtId="0" fontId="0" fillId="9" borderId="0" xfId="0" applyFill="1" applyAlignment="1">
      <alignment horizontal="center" vertical="center"/>
    </xf>
    <xf numFmtId="0" fontId="0" fillId="9" borderId="0" xfId="0" applyFill="1"/>
    <xf numFmtId="0" fontId="0" fillId="9" borderId="0" xfId="0" applyFont="1" applyFill="1" applyAlignment="1"/>
    <xf numFmtId="4" fontId="0" fillId="9" borderId="0" xfId="0" applyNumberFormat="1" applyFont="1" applyFill="1" applyAlignment="1"/>
    <xf numFmtId="0" fontId="6" fillId="9" borderId="0" xfId="0" applyFont="1" applyFill="1"/>
    <xf numFmtId="0" fontId="8" fillId="9" borderId="0" xfId="0" applyFont="1" applyFill="1"/>
    <xf numFmtId="0" fontId="5" fillId="9" borderId="0" xfId="0" applyFont="1" applyFill="1"/>
    <xf numFmtId="4" fontId="0" fillId="9" borderId="0" xfId="0" applyNumberFormat="1" applyFill="1"/>
    <xf numFmtId="0" fontId="0" fillId="9" borderId="0" xfId="0" applyFill="1" applyAlignment="1">
      <alignment horizontal="center"/>
    </xf>
    <xf numFmtId="0" fontId="7" fillId="9" borderId="0" xfId="0" applyFont="1" applyFill="1" applyAlignment="1">
      <alignment horizontal="center" vertical="center"/>
    </xf>
    <xf numFmtId="4" fontId="0" fillId="8" borderId="0" xfId="0" applyNumberFormat="1" applyFill="1"/>
    <xf numFmtId="4" fontId="6" fillId="8" borderId="0" xfId="0" applyNumberFormat="1" applyFont="1" applyFill="1"/>
    <xf numFmtId="0" fontId="0" fillId="8" borderId="0" xfId="0" applyFill="1" applyAlignment="1"/>
    <xf numFmtId="165" fontId="0" fillId="8" borderId="0" xfId="0" applyNumberFormat="1" applyFill="1"/>
    <xf numFmtId="3" fontId="0" fillId="2" borderId="23" xfId="0" applyNumberFormat="1" applyFont="1" applyFill="1" applyBorder="1" applyAlignment="1">
      <alignment horizontal="center" vertical="center"/>
    </xf>
    <xf numFmtId="0" fontId="0" fillId="10" borderId="0" xfId="0" applyFill="1" applyAlignment="1">
      <alignment horizontal="left" vertical="center"/>
    </xf>
    <xf numFmtId="0" fontId="0" fillId="10" borderId="0" xfId="0" applyFill="1" applyAlignment="1">
      <alignment horizontal="center" vertical="center"/>
    </xf>
    <xf numFmtId="0" fontId="0" fillId="10" borderId="0" xfId="0" applyFill="1"/>
    <xf numFmtId="0" fontId="0" fillId="10" borderId="0" xfId="0" applyFill="1" applyAlignment="1"/>
    <xf numFmtId="4" fontId="0" fillId="10" borderId="0" xfId="0" applyNumberFormat="1" applyFill="1" applyAlignment="1">
      <alignment horizontal="center"/>
    </xf>
    <xf numFmtId="0" fontId="12" fillId="12" borderId="4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0" fontId="0" fillId="6" borderId="0" xfId="0" applyFill="1" applyAlignment="1"/>
    <xf numFmtId="0" fontId="0" fillId="3" borderId="24" xfId="0" applyFont="1" applyFill="1" applyBorder="1"/>
    <xf numFmtId="165" fontId="0" fillId="2" borderId="27" xfId="0" applyNumberFormat="1" applyFont="1" applyFill="1" applyBorder="1" applyAlignment="1">
      <alignment horizontal="center" vertical="center"/>
    </xf>
    <xf numFmtId="4" fontId="0" fillId="2" borderId="28" xfId="0" applyNumberFormat="1" applyFont="1" applyFill="1" applyBorder="1" applyAlignment="1">
      <alignment horizontal="center" vertical="center"/>
    </xf>
    <xf numFmtId="165" fontId="0" fillId="2" borderId="29" xfId="0" applyNumberFormat="1" applyFont="1" applyFill="1" applyBorder="1" applyAlignment="1">
      <alignment horizontal="center" vertical="center"/>
    </xf>
    <xf numFmtId="4" fontId="0" fillId="2" borderId="30" xfId="0" applyNumberFormat="1" applyFont="1" applyFill="1" applyBorder="1" applyAlignment="1">
      <alignment horizontal="center" vertical="center"/>
    </xf>
    <xf numFmtId="0" fontId="2" fillId="4" borderId="31" xfId="0" applyFont="1" applyFill="1" applyBorder="1" applyAlignment="1">
      <alignment vertical="center"/>
    </xf>
    <xf numFmtId="0" fontId="2" fillId="4" borderId="19" xfId="0" applyFont="1" applyFill="1" applyBorder="1" applyAlignment="1">
      <alignment vertical="center"/>
    </xf>
    <xf numFmtId="0" fontId="2" fillId="4" borderId="17" xfId="0" applyFont="1" applyFill="1" applyBorder="1" applyAlignment="1">
      <alignment vertical="center"/>
    </xf>
    <xf numFmtId="4" fontId="2" fillId="4" borderId="32" xfId="0" applyNumberFormat="1" applyFont="1" applyFill="1" applyBorder="1" applyAlignment="1">
      <alignment horizontal="center" vertical="center"/>
    </xf>
    <xf numFmtId="4" fontId="0" fillId="2" borderId="14" xfId="0" applyNumberFormat="1" applyFont="1" applyFill="1" applyBorder="1" applyAlignment="1">
      <alignment horizontal="center" vertical="center"/>
    </xf>
    <xf numFmtId="0" fontId="0" fillId="3" borderId="35" xfId="0" applyFont="1" applyFill="1" applyBorder="1"/>
    <xf numFmtId="4" fontId="0" fillId="3" borderId="29" xfId="0" applyNumberFormat="1" applyFont="1" applyFill="1" applyBorder="1" applyAlignment="1">
      <alignment horizontal="center" vertical="center"/>
    </xf>
    <xf numFmtId="4" fontId="0" fillId="3" borderId="33" xfId="0" applyNumberFormat="1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 wrapText="1"/>
    </xf>
    <xf numFmtId="0" fontId="2" fillId="4" borderId="36" xfId="0" applyFont="1" applyFill="1" applyBorder="1" applyAlignment="1">
      <alignment horizontal="center" vertical="center"/>
    </xf>
    <xf numFmtId="3" fontId="0" fillId="11" borderId="34" xfId="0" applyNumberFormat="1" applyFont="1" applyFill="1" applyBorder="1" applyAlignment="1">
      <alignment horizontal="center" vertical="center"/>
    </xf>
    <xf numFmtId="3" fontId="0" fillId="11" borderId="29" xfId="0" applyNumberFormat="1" applyFont="1" applyFill="1" applyBorder="1" applyAlignment="1">
      <alignment horizontal="center" vertical="center"/>
    </xf>
    <xf numFmtId="4" fontId="0" fillId="11" borderId="29" xfId="0" applyNumberFormat="1" applyFont="1" applyFill="1" applyBorder="1" applyAlignment="1">
      <alignment horizontal="center" vertical="center"/>
    </xf>
    <xf numFmtId="3" fontId="0" fillId="3" borderId="34" xfId="0" applyNumberFormat="1" applyFont="1" applyFill="1" applyBorder="1" applyAlignment="1">
      <alignment horizontal="center" vertical="center"/>
    </xf>
    <xf numFmtId="3" fontId="0" fillId="3" borderId="29" xfId="0" applyNumberFormat="1" applyFont="1" applyFill="1" applyBorder="1" applyAlignment="1">
      <alignment horizontal="center" vertical="center"/>
    </xf>
    <xf numFmtId="3" fontId="0" fillId="14" borderId="34" xfId="0" applyNumberFormat="1" applyFont="1" applyFill="1" applyBorder="1" applyAlignment="1">
      <alignment horizontal="center" vertical="center"/>
    </xf>
    <xf numFmtId="3" fontId="0" fillId="14" borderId="29" xfId="0" applyNumberFormat="1" applyFont="1" applyFill="1" applyBorder="1" applyAlignment="1">
      <alignment horizontal="center" vertical="center"/>
    </xf>
    <xf numFmtId="165" fontId="0" fillId="15" borderId="34" xfId="0" applyNumberFormat="1" applyFont="1" applyFill="1" applyBorder="1" applyAlignment="1">
      <alignment horizontal="center" vertical="center"/>
    </xf>
    <xf numFmtId="165" fontId="0" fillId="15" borderId="37" xfId="0" applyNumberFormat="1" applyFont="1" applyFill="1" applyBorder="1" applyAlignment="1">
      <alignment horizontal="center" vertical="center"/>
    </xf>
    <xf numFmtId="165" fontId="0" fillId="15" borderId="29" xfId="0" applyNumberFormat="1" applyFont="1" applyFill="1" applyBorder="1" applyAlignment="1">
      <alignment horizontal="center" vertical="center"/>
    </xf>
    <xf numFmtId="165" fontId="0" fillId="15" borderId="30" xfId="0" applyNumberFormat="1" applyFont="1" applyFill="1" applyBorder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165" fontId="0" fillId="8" borderId="0" xfId="0" applyNumberFormat="1" applyFill="1" applyAlignment="1">
      <alignment horizontal="center" vertical="center"/>
    </xf>
    <xf numFmtId="3" fontId="4" fillId="5" borderId="7" xfId="0" applyNumberFormat="1" applyFont="1" applyFill="1" applyBorder="1" applyAlignment="1">
      <alignment horizontal="center" vertical="center"/>
    </xf>
    <xf numFmtId="3" fontId="4" fillId="5" borderId="44" xfId="0" applyNumberFormat="1" applyFont="1" applyFill="1" applyBorder="1" applyAlignment="1">
      <alignment horizontal="center" vertical="center"/>
    </xf>
    <xf numFmtId="4" fontId="0" fillId="11" borderId="34" xfId="0" applyNumberFormat="1" applyFont="1" applyFill="1" applyBorder="1" applyAlignment="1">
      <alignment horizontal="center" vertical="center"/>
    </xf>
    <xf numFmtId="3" fontId="0" fillId="3" borderId="45" xfId="0" applyNumberFormat="1" applyFont="1" applyFill="1" applyBorder="1" applyAlignment="1">
      <alignment horizontal="center" vertical="center"/>
    </xf>
    <xf numFmtId="4" fontId="0" fillId="3" borderId="34" xfId="0" applyNumberFormat="1" applyFont="1" applyFill="1" applyBorder="1" applyAlignment="1">
      <alignment horizontal="center" vertical="center"/>
    </xf>
    <xf numFmtId="3" fontId="0" fillId="14" borderId="45" xfId="0" applyNumberFormat="1" applyFont="1" applyFill="1" applyBorder="1" applyAlignment="1">
      <alignment horizontal="center" vertical="center"/>
    </xf>
    <xf numFmtId="4" fontId="0" fillId="14" borderId="34" xfId="0" applyNumberFormat="1" applyFont="1" applyFill="1" applyBorder="1" applyAlignment="1">
      <alignment horizontal="center" vertical="center"/>
    </xf>
    <xf numFmtId="3" fontId="0" fillId="15" borderId="45" xfId="0" applyNumberFormat="1" applyFont="1" applyFill="1" applyBorder="1" applyAlignment="1">
      <alignment horizontal="center" vertical="center"/>
    </xf>
    <xf numFmtId="3" fontId="0" fillId="3" borderId="46" xfId="0" applyNumberFormat="1" applyFont="1" applyFill="1" applyBorder="1" applyAlignment="1">
      <alignment horizontal="center" vertical="center"/>
    </xf>
    <xf numFmtId="3" fontId="0" fillId="14" borderId="46" xfId="0" applyNumberFormat="1" applyFont="1" applyFill="1" applyBorder="1" applyAlignment="1">
      <alignment horizontal="center" vertical="center"/>
    </xf>
    <xf numFmtId="4" fontId="0" fillId="14" borderId="29" xfId="0" applyNumberFormat="1" applyFont="1" applyFill="1" applyBorder="1" applyAlignment="1">
      <alignment horizontal="center" vertical="center"/>
    </xf>
    <xf numFmtId="3" fontId="0" fillId="15" borderId="46" xfId="0" applyNumberFormat="1" applyFont="1" applyFill="1" applyBorder="1" applyAlignment="1">
      <alignment horizontal="center" vertical="center"/>
    </xf>
    <xf numFmtId="4" fontId="2" fillId="4" borderId="47" xfId="0" applyNumberFormat="1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left" vertical="center"/>
    </xf>
    <xf numFmtId="3" fontId="9" fillId="5" borderId="19" xfId="0" applyNumberFormat="1" applyFont="1" applyFill="1" applyBorder="1" applyAlignment="1">
      <alignment horizontal="center" vertical="center"/>
    </xf>
    <xf numFmtId="3" fontId="0" fillId="11" borderId="33" xfId="0" applyNumberFormat="1" applyFont="1" applyFill="1" applyBorder="1" applyAlignment="1">
      <alignment horizontal="center" vertical="center"/>
    </xf>
    <xf numFmtId="4" fontId="0" fillId="11" borderId="33" xfId="0" applyNumberFormat="1" applyFont="1" applyFill="1" applyBorder="1" applyAlignment="1">
      <alignment horizontal="center" vertical="center"/>
    </xf>
    <xf numFmtId="3" fontId="0" fillId="3" borderId="48" xfId="0" applyNumberFormat="1" applyFont="1" applyFill="1" applyBorder="1" applyAlignment="1">
      <alignment horizontal="center" vertical="center"/>
    </xf>
    <xf numFmtId="3" fontId="0" fillId="3" borderId="33" xfId="0" applyNumberFormat="1" applyFont="1" applyFill="1" applyBorder="1" applyAlignment="1">
      <alignment horizontal="center" vertical="center"/>
    </xf>
    <xf numFmtId="3" fontId="0" fillId="14" borderId="48" xfId="0" applyNumberFormat="1" applyFont="1" applyFill="1" applyBorder="1" applyAlignment="1">
      <alignment horizontal="center" vertical="center"/>
    </xf>
    <xf numFmtId="3" fontId="0" fillId="14" borderId="33" xfId="0" applyNumberFormat="1" applyFont="1" applyFill="1" applyBorder="1" applyAlignment="1">
      <alignment horizontal="center" vertical="center"/>
    </xf>
    <xf numFmtId="4" fontId="0" fillId="14" borderId="33" xfId="0" applyNumberFormat="1" applyFont="1" applyFill="1" applyBorder="1" applyAlignment="1">
      <alignment horizontal="center" vertical="center"/>
    </xf>
    <xf numFmtId="3" fontId="0" fillId="15" borderId="48" xfId="0" applyNumberFormat="1" applyFont="1" applyFill="1" applyBorder="1" applyAlignment="1">
      <alignment horizontal="center" vertical="center"/>
    </xf>
    <xf numFmtId="3" fontId="0" fillId="15" borderId="33" xfId="0" applyNumberFormat="1" applyFont="1" applyFill="1" applyBorder="1" applyAlignment="1">
      <alignment horizontal="center" vertical="center"/>
    </xf>
    <xf numFmtId="3" fontId="0" fillId="15" borderId="49" xfId="0" applyNumberFormat="1" applyFont="1" applyFill="1" applyBorder="1" applyAlignment="1">
      <alignment horizontal="center" vertical="center"/>
    </xf>
    <xf numFmtId="3" fontId="9" fillId="5" borderId="17" xfId="0" applyNumberFormat="1" applyFont="1" applyFill="1" applyBorder="1" applyAlignment="1">
      <alignment horizontal="center" vertical="center"/>
    </xf>
    <xf numFmtId="0" fontId="0" fillId="0" borderId="31" xfId="0" applyFont="1" applyBorder="1"/>
    <xf numFmtId="4" fontId="11" fillId="4" borderId="0" xfId="0" applyNumberFormat="1" applyFont="1" applyFill="1" applyBorder="1" applyAlignment="1">
      <alignment horizontal="center" vertical="center"/>
    </xf>
    <xf numFmtId="4" fontId="11" fillId="4" borderId="19" xfId="0" applyNumberFormat="1" applyFont="1" applyFill="1" applyBorder="1" applyAlignment="1">
      <alignment horizontal="center" vertical="center"/>
    </xf>
    <xf numFmtId="4" fontId="11" fillId="4" borderId="18" xfId="0" applyNumberFormat="1" applyFont="1" applyFill="1" applyBorder="1" applyAlignment="1">
      <alignment horizontal="center" vertical="center"/>
    </xf>
    <xf numFmtId="0" fontId="0" fillId="16" borderId="0" xfId="0" applyFill="1"/>
    <xf numFmtId="0" fontId="0" fillId="3" borderId="50" xfId="0" applyFont="1" applyFill="1" applyBorder="1"/>
    <xf numFmtId="0" fontId="0" fillId="3" borderId="51" xfId="0" applyFont="1" applyFill="1" applyBorder="1"/>
    <xf numFmtId="0" fontId="13" fillId="11" borderId="39" xfId="0" applyFont="1" applyFill="1" applyBorder="1" applyAlignment="1">
      <alignment horizontal="center" vertical="center"/>
    </xf>
    <xf numFmtId="0" fontId="13" fillId="11" borderId="40" xfId="0" applyFont="1" applyFill="1" applyBorder="1" applyAlignment="1">
      <alignment horizontal="center" vertical="center"/>
    </xf>
    <xf numFmtId="0" fontId="13" fillId="11" borderId="41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left" vertical="center" wrapText="1"/>
    </xf>
    <xf numFmtId="0" fontId="2" fillId="4" borderId="7" xfId="0" applyFont="1" applyFill="1" applyBorder="1" applyAlignment="1">
      <alignment horizontal="left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4" fontId="2" fillId="4" borderId="6" xfId="0" applyNumberFormat="1" applyFont="1" applyFill="1" applyBorder="1" applyAlignment="1">
      <alignment horizontal="center" vertical="center" wrapText="1"/>
    </xf>
    <xf numFmtId="4" fontId="2" fillId="4" borderId="7" xfId="0" applyNumberFormat="1" applyFont="1" applyFill="1" applyBorder="1" applyAlignment="1">
      <alignment horizontal="center" vertical="center" wrapText="1"/>
    </xf>
    <xf numFmtId="0" fontId="10" fillId="9" borderId="20" xfId="0" applyFont="1" applyFill="1" applyBorder="1" applyAlignment="1">
      <alignment horizontal="center" vertical="center" wrapText="1"/>
    </xf>
    <xf numFmtId="0" fontId="10" fillId="9" borderId="21" xfId="0" applyFont="1" applyFill="1" applyBorder="1" applyAlignment="1">
      <alignment horizontal="center" vertical="center" wrapText="1"/>
    </xf>
    <xf numFmtId="0" fontId="7" fillId="11" borderId="0" xfId="0" applyFont="1" applyFill="1" applyAlignment="1">
      <alignment horizontal="center" vertical="center"/>
    </xf>
    <xf numFmtId="0" fontId="2" fillId="4" borderId="4" xfId="0" applyFont="1" applyFill="1" applyBorder="1" applyAlignment="1">
      <alignment horizontal="center" vertical="center" wrapText="1"/>
    </xf>
    <xf numFmtId="0" fontId="13" fillId="13" borderId="43" xfId="0" applyFont="1" applyFill="1" applyBorder="1" applyAlignment="1">
      <alignment horizontal="center"/>
    </xf>
    <xf numFmtId="0" fontId="13" fillId="13" borderId="25" xfId="0" applyFont="1" applyFill="1" applyBorder="1" applyAlignment="1">
      <alignment horizontal="center"/>
    </xf>
    <xf numFmtId="0" fontId="13" fillId="13" borderId="38" xfId="0" applyFont="1" applyFill="1" applyBorder="1" applyAlignment="1">
      <alignment horizontal="center"/>
    </xf>
    <xf numFmtId="0" fontId="13" fillId="13" borderId="42" xfId="0" applyFont="1" applyFill="1" applyBorder="1" applyAlignment="1">
      <alignment horizontal="center"/>
    </xf>
    <xf numFmtId="0" fontId="13" fillId="13" borderId="22" xfId="0" applyFont="1" applyFill="1" applyBorder="1" applyAlignment="1">
      <alignment horizontal="center"/>
    </xf>
  </cellXfs>
  <cellStyles count="1">
    <cellStyle name="Normal" xfId="0" builtinId="0"/>
  </cellStyles>
  <dxfs count="8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"/>
      <fill>
        <patternFill patternType="solid">
          <fgColor indexed="64"/>
          <bgColor rgb="FF57B4BA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double">
          <color theme="1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"/>
      <fill>
        <patternFill patternType="solid">
          <fgColor indexed="64"/>
          <bgColor rgb="FF57B4BA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57B4BA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1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solid">
          <fgColor indexed="64"/>
          <bgColor rgb="FFBCAC9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BCAC9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BCAC9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BCAC9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BCAC9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BCAC9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BCAC9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BCAC9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BCAC9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BCAC9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BCAC9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BCAC9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BCAC9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BCAC9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1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1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solid">
          <fgColor indexed="64"/>
          <bgColor rgb="FFA6B37D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solid">
          <fgColor indexed="64"/>
          <bgColor rgb="FFA6B37D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A6B37D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A6B37D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A6B37D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A6B37D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A6B37D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A6B37D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A6B37D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A6B37D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A6B37D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A6B37D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A6B37D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rgb="FFA6B37D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border outline="0">
        <top style="double">
          <color theme="0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Daytona"/>
        <family val="2"/>
        <scheme val="none"/>
      </font>
      <numFmt numFmtId="3" formatCode="#,##0"/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border outline="0">
        <top style="thin">
          <color theme="4" tint="0.39997558519241921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Daytona"/>
        <family val="2"/>
        <scheme val="none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double">
          <color theme="1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border outline="0">
        <top style="double">
          <color theme="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Daytona"/>
        <family val="2"/>
        <scheme val="none"/>
      </font>
      <fill>
        <patternFill patternType="solid">
          <fgColor indexed="64"/>
          <bgColor theme="3" tint="-0.49998474074526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 tint="-0.249977111117893"/>
        </top>
        <bottom/>
        <vertical/>
        <horizontal/>
      </border>
    </dxf>
    <dxf>
      <border outline="0">
        <right style="double">
          <color theme="1"/>
        </right>
        <bottom style="double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Daytona"/>
        <family val="2"/>
        <scheme val="none"/>
      </font>
      <fill>
        <patternFill patternType="solid">
          <fgColor indexed="64"/>
          <bgColor theme="3" tint="-0.499984740745262"/>
        </patternFill>
      </fill>
      <alignment horizontal="general" vertical="center" textRotation="0" wrapText="0" indent="0" justifyLastLine="0" shrinkToFit="0" readingOrder="0"/>
    </dxf>
    <dxf>
      <numFmt numFmtId="4" formatCode="#,##0.0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numFmt numFmtId="4" formatCode="#,##0.0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numFmt numFmtId="4" formatCode="#,##0.0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numFmt numFmtId="4" formatCode="#,##0.0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numFmt numFmtId="3" formatCode="#,##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numFmt numFmtId="3" formatCode="#,##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numFmt numFmtId="164" formatCode="#,##0.00\ &quot;€&quot;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 tint="-0.249977111117893"/>
        </top>
        <bottom/>
        <vertical/>
        <horizontal/>
      </border>
    </dxf>
    <dxf>
      <border outline="0">
        <top style="double">
          <color theme="0"/>
        </top>
        <bottom style="thin">
          <color theme="0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Daytona"/>
        <family val="2"/>
        <scheme val="none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0"/>
        </left>
        <right style="double">
          <color theme="0"/>
        </right>
        <top/>
        <bottom/>
      </border>
    </dxf>
  </dxfs>
  <tableStyles count="0" defaultTableStyle="TableStyleMedium2" defaultPivotStyle="PivotStyleLight16"/>
  <colors>
    <mruColors>
      <color rgb="FFCFADAD"/>
      <color rgb="FFF1E7E7"/>
      <color rgb="FFF8ED8C"/>
      <color rgb="FFBCAC92"/>
      <color rgb="FFC7D9DD"/>
      <color rgb="FFADB2D4"/>
      <color rgb="FF336D82"/>
      <color rgb="FFA6B37D"/>
      <color rgb="FFF1EFEC"/>
      <color rgb="FF57B4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colorful4">
  <dgm:title val=""/>
  <dgm:desc val=""/>
  <dgm:catLst>
    <dgm:cat type="colorful" pri="10400"/>
  </dgm:catLst>
  <dgm:styleLbl name="node0">
    <dgm:fillClrLst meth="repeat"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4"/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4"/>
      <a:schemeClr val="accent5"/>
    </dgm:fillClrLst>
    <dgm:linClrLst>
      <a:schemeClr val="accent4"/>
      <a:schemeClr val="accent5"/>
    </dgm:linClrLst>
    <dgm:effectClrLst/>
    <dgm:txLinClrLst/>
    <dgm:txFillClrLst/>
    <dgm:txEffectClrLst/>
  </dgm:styleLbl>
  <dgm:styleLbl name="lnNode1">
    <dgm:fillClrLst>
      <a:schemeClr val="accent4"/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4">
        <a:alpha val="50000"/>
      </a:schemeClr>
      <a:schemeClr val="accent5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4">
        <a:tint val="50000"/>
      </a:schemeClr>
      <a:schemeClr val="accent5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4">
        <a:tint val="50000"/>
      </a:schemeClr>
      <a:schemeClr val="accent5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4">
        <a:tint val="50000"/>
      </a:schemeClr>
      <a:schemeClr val="accent5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4"/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4"/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4"/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4"/>
      <a:schemeClr val="accent5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4"/>
    </dgm:fillClrLst>
    <dgm:linClrLst meth="repeat"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4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5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4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4"/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4">
        <a:tint val="90000"/>
      </a:schemeClr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4">
        <a:tint val="7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4">
        <a:tint val="50000"/>
      </a:schemeClr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4"/>
      <a:schemeClr val="accent5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4"/>
      <a:schemeClr val="accent5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4"/>
      <a:schemeClr val="accent5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4"/>
      <a:schemeClr val="accent5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4"/>
      <a:schemeClr val="accent5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4"/>
      <a:schemeClr val="accent5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4"/>
      <a:schemeClr val="accent5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4">
        <a:tint val="40000"/>
        <a:alpha val="90000"/>
      </a:schemeClr>
      <a:schemeClr val="accent5">
        <a:tint val="40000"/>
        <a:alpha val="90000"/>
      </a:schemeClr>
    </dgm:fillClrLst>
    <dgm:linClrLst>
      <a:schemeClr val="accent4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4">
        <a:tint val="40000"/>
        <a:alpha val="90000"/>
      </a:schemeClr>
      <a:schemeClr val="accent5">
        <a:tint val="40000"/>
        <a:alpha val="90000"/>
      </a:schemeClr>
    </dgm:fillClrLst>
    <dgm:linClrLst>
      <a:schemeClr val="accent4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4">
        <a:tint val="40000"/>
        <a:alpha val="90000"/>
      </a:schemeClr>
      <a:schemeClr val="accent5">
        <a:tint val="40000"/>
        <a:alpha val="90000"/>
      </a:schemeClr>
    </dgm:fillClrLst>
    <dgm:linClrLst>
      <a:schemeClr val="accent4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3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5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4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4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4">
        <a:tint val="50000"/>
        <a:alpha val="40000"/>
      </a:schemeClr>
    </dgm:fillClrLst>
    <dgm:linClrLst meth="repeat">
      <a:schemeClr val="accent4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4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B2F201FA-C18B-4068-A05A-66E3D686B9B5}" type="doc">
      <dgm:prSet loTypeId="urn:microsoft.com/office/officeart/2005/8/layout/hProcess9" loCatId="process" qsTypeId="urn:microsoft.com/office/officeart/2005/8/quickstyle/simple3" qsCatId="simple" csTypeId="urn:microsoft.com/office/officeart/2005/8/colors/colorful4" csCatId="colorful" phldr="1"/>
      <dgm:spPr/>
    </dgm:pt>
    <dgm:pt modelId="{E1F94071-62B7-4F29-A36A-765D6C977615}">
      <dgm:prSet phldrT="[Texte]" custT="1"/>
      <dgm:spPr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dgm:spPr>
      <dgm:t>
        <a:bodyPr anchor="t"/>
        <a:lstStyle/>
        <a:p>
          <a:r>
            <a:rPr lang="fr-FR" sz="1600">
              <a:latin typeface="Abadi" panose="020B0604020104020204" pitchFamily="34" charset="0"/>
            </a:rPr>
            <a:t>Total ventes 2026 en (T)</a:t>
          </a:r>
        </a:p>
      </dgm:t>
    </dgm:pt>
    <dgm:pt modelId="{B62A1695-2984-4CE3-8F0B-803C47E589AA}" type="parTrans" cxnId="{FE35D182-B98A-463E-94C7-33089849B325}">
      <dgm:prSet/>
      <dgm:spPr/>
      <dgm:t>
        <a:bodyPr/>
        <a:lstStyle/>
        <a:p>
          <a:endParaRPr lang="fr-FR"/>
        </a:p>
      </dgm:t>
    </dgm:pt>
    <dgm:pt modelId="{1EC32421-68EE-4B4A-8242-0993A55DF79B}" type="sibTrans" cxnId="{FE35D182-B98A-463E-94C7-33089849B325}">
      <dgm:prSet/>
      <dgm:spPr/>
      <dgm:t>
        <a:bodyPr/>
        <a:lstStyle/>
        <a:p>
          <a:endParaRPr lang="fr-FR"/>
        </a:p>
      </dgm:t>
    </dgm:pt>
    <dgm:pt modelId="{9AC9E3FB-A8D4-4B41-8126-B60C953A8626}">
      <dgm:prSet phldrT="[Texte]" custT="1"/>
      <dgm:spPr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dgm:spPr>
      <dgm:t>
        <a:bodyPr anchor="t"/>
        <a:lstStyle/>
        <a:p>
          <a:r>
            <a:rPr lang="fr-FR" sz="1600">
              <a:latin typeface="Abadi" panose="020B0604020104020204" pitchFamily="34" charset="0"/>
            </a:rPr>
            <a:t>Total ventes 2026 en (DZD TTC)</a:t>
          </a:r>
          <a:endParaRPr lang="fr-FR" sz="1600"/>
        </a:p>
      </dgm:t>
    </dgm:pt>
    <dgm:pt modelId="{0CAF5509-48CD-45EC-89A1-6B6B4667CBDC}" type="parTrans" cxnId="{B1DA6299-85F5-446D-A0D5-C89C243681B0}">
      <dgm:prSet/>
      <dgm:spPr/>
      <dgm:t>
        <a:bodyPr/>
        <a:lstStyle/>
        <a:p>
          <a:endParaRPr lang="fr-FR"/>
        </a:p>
      </dgm:t>
    </dgm:pt>
    <dgm:pt modelId="{617A75F8-3DE6-483B-BA63-FF49353973DB}" type="sibTrans" cxnId="{B1DA6299-85F5-446D-A0D5-C89C243681B0}">
      <dgm:prSet/>
      <dgm:spPr/>
      <dgm:t>
        <a:bodyPr/>
        <a:lstStyle/>
        <a:p>
          <a:endParaRPr lang="fr-FR"/>
        </a:p>
      </dgm:t>
    </dgm:pt>
    <dgm:pt modelId="{CC492227-D758-4064-96E0-67895F256E17}">
      <dgm:prSet phldrT="[Texte]" custT="1"/>
      <dgm:spPr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dgm:spPr>
      <dgm:t>
        <a:bodyPr anchor="t"/>
        <a:lstStyle/>
        <a:p>
          <a:r>
            <a:rPr lang="fr-FR" sz="1600">
              <a:latin typeface="Abadi" panose="020B0604020104020204" pitchFamily="34" charset="0"/>
            </a:rPr>
            <a:t>Stock restant au 31/12/2026 en (T)</a:t>
          </a:r>
          <a:endParaRPr lang="fr-FR" sz="1600"/>
        </a:p>
      </dgm:t>
    </dgm:pt>
    <dgm:pt modelId="{C29797BF-CC80-465B-A026-80438EF6FC40}" type="parTrans" cxnId="{0A080033-B1F5-480D-B8CF-76146C7A0B80}">
      <dgm:prSet/>
      <dgm:spPr/>
      <dgm:t>
        <a:bodyPr/>
        <a:lstStyle/>
        <a:p>
          <a:endParaRPr lang="fr-FR"/>
        </a:p>
      </dgm:t>
    </dgm:pt>
    <dgm:pt modelId="{CDA68A39-475A-4AAC-BE0C-867067CDFAAD}" type="sibTrans" cxnId="{0A080033-B1F5-480D-B8CF-76146C7A0B80}">
      <dgm:prSet/>
      <dgm:spPr/>
      <dgm:t>
        <a:bodyPr/>
        <a:lstStyle/>
        <a:p>
          <a:endParaRPr lang="fr-FR"/>
        </a:p>
      </dgm:t>
    </dgm:pt>
    <dgm:pt modelId="{D56434DA-E327-4208-966D-2369C9444BB6}" type="pres">
      <dgm:prSet presAssocID="{B2F201FA-C18B-4068-A05A-66E3D686B9B5}" presName="CompostProcess" presStyleCnt="0">
        <dgm:presLayoutVars>
          <dgm:dir/>
          <dgm:resizeHandles val="exact"/>
        </dgm:presLayoutVars>
      </dgm:prSet>
      <dgm:spPr/>
    </dgm:pt>
    <dgm:pt modelId="{04AFF742-6E46-4A9A-90BB-A6542F136EEB}" type="pres">
      <dgm:prSet presAssocID="{B2F201FA-C18B-4068-A05A-66E3D686B9B5}" presName="arrow" presStyleLbl="bgShp" presStyleIdx="0" presStyleCnt="1"/>
      <dgm:spPr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dgm:spPr>
    </dgm:pt>
    <dgm:pt modelId="{7FD77A6E-832A-4563-B741-0965C8AD4DCD}" type="pres">
      <dgm:prSet presAssocID="{B2F201FA-C18B-4068-A05A-66E3D686B9B5}" presName="linearProcess" presStyleCnt="0"/>
      <dgm:spPr/>
    </dgm:pt>
    <dgm:pt modelId="{53C29ADF-58E4-4FCA-8B8F-51356238E9DA}" type="pres">
      <dgm:prSet presAssocID="{E1F94071-62B7-4F29-A36A-765D6C977615}" presName="textNode" presStyleLbl="node1" presStyleIdx="0" presStyleCnt="3">
        <dgm:presLayoutVars>
          <dgm:bulletEnabled val="1"/>
        </dgm:presLayoutVars>
      </dgm:prSet>
      <dgm:spPr/>
    </dgm:pt>
    <dgm:pt modelId="{B0E0D28B-D90C-457C-957D-09F6729EDE25}" type="pres">
      <dgm:prSet presAssocID="{1EC32421-68EE-4B4A-8242-0993A55DF79B}" presName="sibTrans" presStyleCnt="0"/>
      <dgm:spPr/>
    </dgm:pt>
    <dgm:pt modelId="{4162F5D7-9E96-4E06-955E-443235A61692}" type="pres">
      <dgm:prSet presAssocID="{9AC9E3FB-A8D4-4B41-8126-B60C953A8626}" presName="textNode" presStyleLbl="node1" presStyleIdx="1" presStyleCnt="3">
        <dgm:presLayoutVars>
          <dgm:bulletEnabled val="1"/>
        </dgm:presLayoutVars>
      </dgm:prSet>
      <dgm:spPr/>
    </dgm:pt>
    <dgm:pt modelId="{68A061D9-46C5-473C-BEDF-7F9332D3036F}" type="pres">
      <dgm:prSet presAssocID="{617A75F8-3DE6-483B-BA63-FF49353973DB}" presName="sibTrans" presStyleCnt="0"/>
      <dgm:spPr/>
    </dgm:pt>
    <dgm:pt modelId="{60184317-5B70-40B6-8113-65E07D5C11C8}" type="pres">
      <dgm:prSet presAssocID="{CC492227-D758-4064-96E0-67895F256E17}" presName="textNode" presStyleLbl="node1" presStyleIdx="2" presStyleCnt="3">
        <dgm:presLayoutVars>
          <dgm:bulletEnabled val="1"/>
        </dgm:presLayoutVars>
      </dgm:prSet>
      <dgm:spPr/>
    </dgm:pt>
  </dgm:ptLst>
  <dgm:cxnLst>
    <dgm:cxn modelId="{E4056311-14CB-4A7A-AC70-09FD26820DC3}" type="presOf" srcId="{9AC9E3FB-A8D4-4B41-8126-B60C953A8626}" destId="{4162F5D7-9E96-4E06-955E-443235A61692}" srcOrd="0" destOrd="0" presId="urn:microsoft.com/office/officeart/2005/8/layout/hProcess9"/>
    <dgm:cxn modelId="{0A080033-B1F5-480D-B8CF-76146C7A0B80}" srcId="{B2F201FA-C18B-4068-A05A-66E3D686B9B5}" destId="{CC492227-D758-4064-96E0-67895F256E17}" srcOrd="2" destOrd="0" parTransId="{C29797BF-CC80-465B-A026-80438EF6FC40}" sibTransId="{CDA68A39-475A-4AAC-BE0C-867067CDFAAD}"/>
    <dgm:cxn modelId="{2A80656E-EA1F-4401-85C0-CA0C2FB1B677}" type="presOf" srcId="{E1F94071-62B7-4F29-A36A-765D6C977615}" destId="{53C29ADF-58E4-4FCA-8B8F-51356238E9DA}" srcOrd="0" destOrd="0" presId="urn:microsoft.com/office/officeart/2005/8/layout/hProcess9"/>
    <dgm:cxn modelId="{A453A475-DB54-41A4-B9A0-2AF94FDAAB5C}" type="presOf" srcId="{B2F201FA-C18B-4068-A05A-66E3D686B9B5}" destId="{D56434DA-E327-4208-966D-2369C9444BB6}" srcOrd="0" destOrd="0" presId="urn:microsoft.com/office/officeart/2005/8/layout/hProcess9"/>
    <dgm:cxn modelId="{FE35D182-B98A-463E-94C7-33089849B325}" srcId="{B2F201FA-C18B-4068-A05A-66E3D686B9B5}" destId="{E1F94071-62B7-4F29-A36A-765D6C977615}" srcOrd="0" destOrd="0" parTransId="{B62A1695-2984-4CE3-8F0B-803C47E589AA}" sibTransId="{1EC32421-68EE-4B4A-8242-0993A55DF79B}"/>
    <dgm:cxn modelId="{B1DA6299-85F5-446D-A0D5-C89C243681B0}" srcId="{B2F201FA-C18B-4068-A05A-66E3D686B9B5}" destId="{9AC9E3FB-A8D4-4B41-8126-B60C953A8626}" srcOrd="1" destOrd="0" parTransId="{0CAF5509-48CD-45EC-89A1-6B6B4667CBDC}" sibTransId="{617A75F8-3DE6-483B-BA63-FF49353973DB}"/>
    <dgm:cxn modelId="{54A081D1-A883-41BC-9FBA-E5E8194F597F}" type="presOf" srcId="{CC492227-D758-4064-96E0-67895F256E17}" destId="{60184317-5B70-40B6-8113-65E07D5C11C8}" srcOrd="0" destOrd="0" presId="urn:microsoft.com/office/officeart/2005/8/layout/hProcess9"/>
    <dgm:cxn modelId="{0AD71DF5-ADDB-4B01-BAED-5426FB7A4CD0}" type="presParOf" srcId="{D56434DA-E327-4208-966D-2369C9444BB6}" destId="{04AFF742-6E46-4A9A-90BB-A6542F136EEB}" srcOrd="0" destOrd="0" presId="urn:microsoft.com/office/officeart/2005/8/layout/hProcess9"/>
    <dgm:cxn modelId="{DA8D176B-3100-433F-8EE0-5C06773B9D6F}" type="presParOf" srcId="{D56434DA-E327-4208-966D-2369C9444BB6}" destId="{7FD77A6E-832A-4563-B741-0965C8AD4DCD}" srcOrd="1" destOrd="0" presId="urn:microsoft.com/office/officeart/2005/8/layout/hProcess9"/>
    <dgm:cxn modelId="{2787F9ED-5607-4583-925B-EB5F9BE67484}" type="presParOf" srcId="{7FD77A6E-832A-4563-B741-0965C8AD4DCD}" destId="{53C29ADF-58E4-4FCA-8B8F-51356238E9DA}" srcOrd="0" destOrd="0" presId="urn:microsoft.com/office/officeart/2005/8/layout/hProcess9"/>
    <dgm:cxn modelId="{393BE37A-06AA-4166-8636-73C1D67CF0E4}" type="presParOf" srcId="{7FD77A6E-832A-4563-B741-0965C8AD4DCD}" destId="{B0E0D28B-D90C-457C-957D-09F6729EDE25}" srcOrd="1" destOrd="0" presId="urn:microsoft.com/office/officeart/2005/8/layout/hProcess9"/>
    <dgm:cxn modelId="{0455F51C-CC58-4DAB-8AA5-6D857BDB0976}" type="presParOf" srcId="{7FD77A6E-832A-4563-B741-0965C8AD4DCD}" destId="{4162F5D7-9E96-4E06-955E-443235A61692}" srcOrd="2" destOrd="0" presId="urn:microsoft.com/office/officeart/2005/8/layout/hProcess9"/>
    <dgm:cxn modelId="{8798725F-1896-4C8C-B1B7-5B5E6E115A01}" type="presParOf" srcId="{7FD77A6E-832A-4563-B741-0965C8AD4DCD}" destId="{68A061D9-46C5-473C-BEDF-7F9332D3036F}" srcOrd="3" destOrd="0" presId="urn:microsoft.com/office/officeart/2005/8/layout/hProcess9"/>
    <dgm:cxn modelId="{AFA4E358-8483-4CDA-85C7-7F8D7A0E3F06}" type="presParOf" srcId="{7FD77A6E-832A-4563-B741-0965C8AD4DCD}" destId="{60184317-5B70-40B6-8113-65E07D5C11C8}" srcOrd="4" destOrd="0" presId="urn:microsoft.com/office/officeart/2005/8/layout/hProcess9"/>
  </dgm:cxnLst>
  <dgm:bg>
    <a:solidFill>
      <a:schemeClr val="tx2">
        <a:lumMod val="50000"/>
      </a:schemeClr>
    </a:solidFill>
  </dgm:bg>
  <dgm:whole>
    <a:ln>
      <a:noFill/>
    </a:ln>
  </dgm:whole>
  <dgm:extLst>
    <a:ext uri="http://schemas.microsoft.com/office/drawing/2008/diagram">
      <dsp:dataModelExt xmlns:dsp="http://schemas.microsoft.com/office/drawing/2008/diagram" relId="rId10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04AFF742-6E46-4A9A-90BB-A6542F136EEB}">
      <dsp:nvSpPr>
        <dsp:cNvPr id="0" name=""/>
        <dsp:cNvSpPr/>
      </dsp:nvSpPr>
      <dsp:spPr>
        <a:xfrm>
          <a:off x="625078" y="0"/>
          <a:ext cx="7084218" cy="2810934"/>
        </a:xfrm>
        <a:prstGeom prst="rightArrow">
          <a:avLst/>
        </a:prstGeom>
        <a:solidFill>
          <a:schemeClr val="accent4">
            <a:tint val="40000"/>
            <a:hueOff val="0"/>
            <a:satOff val="0"/>
            <a:lumOff val="0"/>
            <a:alphaOff val="0"/>
          </a:schemeClr>
        </a:solidFill>
        <a:ln>
          <a:noFill/>
        </a:ln>
        <a:effectLst>
          <a:outerShdw blurRad="44450" dist="27940" dir="5400000" algn="ctr" rotWithShape="0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dsp:spPr>
      <dsp:style>
        <a:lnRef idx="0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/>
      </dsp:style>
    </dsp:sp>
    <dsp:sp modelId="{53C29ADF-58E4-4FCA-8B8F-51356238E9DA}">
      <dsp:nvSpPr>
        <dsp:cNvPr id="0" name=""/>
        <dsp:cNvSpPr/>
      </dsp:nvSpPr>
      <dsp:spPr>
        <a:xfrm>
          <a:off x="0" y="843280"/>
          <a:ext cx="2500312" cy="1124373"/>
        </a:xfrm>
        <a:prstGeom prst="roundRect">
          <a:avLst/>
        </a:prstGeom>
        <a:gradFill rotWithShape="0">
          <a:gsLst>
            <a:gs pos="0">
              <a:schemeClr val="accent4">
                <a:hueOff val="0"/>
                <a:satOff val="0"/>
                <a:lumOff val="0"/>
                <a:alphaOff val="0"/>
                <a:lumMod val="110000"/>
                <a:satMod val="105000"/>
                <a:tint val="67000"/>
              </a:schemeClr>
            </a:gs>
            <a:gs pos="50000">
              <a:schemeClr val="accent4">
                <a:hueOff val="0"/>
                <a:satOff val="0"/>
                <a:lumOff val="0"/>
                <a:alphaOff val="0"/>
                <a:lumMod val="105000"/>
                <a:satMod val="103000"/>
                <a:tint val="73000"/>
              </a:schemeClr>
            </a:gs>
            <a:gs pos="100000">
              <a:schemeClr val="accent4">
                <a:hueOff val="0"/>
                <a:satOff val="0"/>
                <a:lumOff val="0"/>
                <a:alphaOff val="0"/>
                <a:lumMod val="105000"/>
                <a:satMod val="109000"/>
                <a:tint val="81000"/>
              </a:schemeClr>
            </a:gs>
          </a:gsLst>
          <a:lin ang="5400000" scaled="0"/>
        </a:gradFill>
        <a:ln>
          <a:noFill/>
        </a:ln>
        <a:effectLst>
          <a:outerShdw blurRad="44450" dist="27940" dir="5400000" algn="ctr" rotWithShape="0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60960" tIns="60960" rIns="60960" bIns="60960" numCol="1" spcCol="1270" anchor="t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kern="1200">
              <a:latin typeface="Abadi" panose="020B0604020104020204" pitchFamily="34" charset="0"/>
            </a:rPr>
            <a:t>Total ventes 2026 en (T)</a:t>
          </a:r>
        </a:p>
      </dsp:txBody>
      <dsp:txXfrm>
        <a:off x="54887" y="898167"/>
        <a:ext cx="2390538" cy="1014599"/>
      </dsp:txXfrm>
    </dsp:sp>
    <dsp:sp modelId="{4162F5D7-9E96-4E06-955E-443235A61692}">
      <dsp:nvSpPr>
        <dsp:cNvPr id="0" name=""/>
        <dsp:cNvSpPr/>
      </dsp:nvSpPr>
      <dsp:spPr>
        <a:xfrm>
          <a:off x="2917031" y="843280"/>
          <a:ext cx="2500312" cy="1124373"/>
        </a:xfrm>
        <a:prstGeom prst="roundRect">
          <a:avLst/>
        </a:prstGeom>
        <a:gradFill rotWithShape="0">
          <a:gsLst>
            <a:gs pos="0">
              <a:schemeClr val="accent4">
                <a:hueOff val="5197846"/>
                <a:satOff val="-23984"/>
                <a:lumOff val="883"/>
                <a:alphaOff val="0"/>
                <a:lumMod val="110000"/>
                <a:satMod val="105000"/>
                <a:tint val="67000"/>
              </a:schemeClr>
            </a:gs>
            <a:gs pos="50000">
              <a:schemeClr val="accent4">
                <a:hueOff val="5197846"/>
                <a:satOff val="-23984"/>
                <a:lumOff val="883"/>
                <a:alphaOff val="0"/>
                <a:lumMod val="105000"/>
                <a:satMod val="103000"/>
                <a:tint val="73000"/>
              </a:schemeClr>
            </a:gs>
            <a:gs pos="100000">
              <a:schemeClr val="accent4">
                <a:hueOff val="5197846"/>
                <a:satOff val="-23984"/>
                <a:lumOff val="883"/>
                <a:alphaOff val="0"/>
                <a:lumMod val="105000"/>
                <a:satMod val="109000"/>
                <a:tint val="81000"/>
              </a:schemeClr>
            </a:gs>
          </a:gsLst>
          <a:lin ang="5400000" scaled="0"/>
        </a:gradFill>
        <a:ln>
          <a:noFill/>
        </a:ln>
        <a:effectLst>
          <a:outerShdw blurRad="44450" dist="27940" dir="5400000" algn="ctr" rotWithShape="0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60960" tIns="60960" rIns="60960" bIns="60960" numCol="1" spcCol="1270" anchor="t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kern="1200">
              <a:latin typeface="Abadi" panose="020B0604020104020204" pitchFamily="34" charset="0"/>
            </a:rPr>
            <a:t>Total ventes 2026 en (DZD TTC)</a:t>
          </a:r>
          <a:endParaRPr lang="fr-FR" sz="1600" kern="1200"/>
        </a:p>
      </dsp:txBody>
      <dsp:txXfrm>
        <a:off x="2971918" y="898167"/>
        <a:ext cx="2390538" cy="1014599"/>
      </dsp:txXfrm>
    </dsp:sp>
    <dsp:sp modelId="{60184317-5B70-40B6-8113-65E07D5C11C8}">
      <dsp:nvSpPr>
        <dsp:cNvPr id="0" name=""/>
        <dsp:cNvSpPr/>
      </dsp:nvSpPr>
      <dsp:spPr>
        <a:xfrm>
          <a:off x="5834062" y="843280"/>
          <a:ext cx="2500312" cy="1124373"/>
        </a:xfrm>
        <a:prstGeom prst="roundRect">
          <a:avLst/>
        </a:prstGeom>
        <a:gradFill rotWithShape="0">
          <a:gsLst>
            <a:gs pos="0">
              <a:schemeClr val="accent4">
                <a:hueOff val="10395692"/>
                <a:satOff val="-47968"/>
                <a:lumOff val="1765"/>
                <a:alphaOff val="0"/>
                <a:lumMod val="110000"/>
                <a:satMod val="105000"/>
                <a:tint val="67000"/>
              </a:schemeClr>
            </a:gs>
            <a:gs pos="50000">
              <a:schemeClr val="accent4">
                <a:hueOff val="10395692"/>
                <a:satOff val="-47968"/>
                <a:lumOff val="1765"/>
                <a:alphaOff val="0"/>
                <a:lumMod val="105000"/>
                <a:satMod val="103000"/>
                <a:tint val="73000"/>
              </a:schemeClr>
            </a:gs>
            <a:gs pos="100000">
              <a:schemeClr val="accent4">
                <a:hueOff val="10395692"/>
                <a:satOff val="-47968"/>
                <a:lumOff val="1765"/>
                <a:alphaOff val="0"/>
                <a:lumMod val="105000"/>
                <a:satMod val="109000"/>
                <a:tint val="81000"/>
              </a:schemeClr>
            </a:gs>
          </a:gsLst>
          <a:lin ang="5400000" scaled="0"/>
        </a:gradFill>
        <a:ln>
          <a:noFill/>
        </a:ln>
        <a:effectLst>
          <a:outerShdw blurRad="44450" dist="27940" dir="5400000" algn="ctr" rotWithShape="0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60960" tIns="60960" rIns="60960" bIns="60960" numCol="1" spcCol="1270" anchor="t" anchorCtr="0">
          <a:noAutofit/>
        </a:bodyPr>
        <a:lstStyle/>
        <a:p>
          <a:pPr marL="0" lvl="0" indent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600" kern="1200">
              <a:latin typeface="Abadi" panose="020B0604020104020204" pitchFamily="34" charset="0"/>
            </a:rPr>
            <a:t>Stock restant au 31/12/2026 en (T)</a:t>
          </a:r>
          <a:endParaRPr lang="fr-FR" sz="1600" kern="1200"/>
        </a:p>
      </dsp:txBody>
      <dsp:txXfrm>
        <a:off x="5888949" y="898167"/>
        <a:ext cx="2390538" cy="1014599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hProcess9">
  <dgm:title val=""/>
  <dgm:desc val=""/>
  <dgm:catLst>
    <dgm:cat type="process" pri="5000"/>
    <dgm:cat type="convert" pri="13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CompostProcess">
    <dgm:varLst>
      <dgm:dir/>
      <dgm:resizeHandles val="exact"/>
    </dgm:varLst>
    <dgm:alg type="composite">
      <dgm:param type="horzAlign" val="ctr"/>
      <dgm:param type="vertAlign" val="mid"/>
    </dgm:alg>
    <dgm:shape xmlns:r="http://schemas.openxmlformats.org/officeDocument/2006/relationships" r:blip="">
      <dgm:adjLst/>
    </dgm:shape>
    <dgm:presOf/>
    <dgm:constrLst>
      <dgm:constr type="w" for="ch" forName="arrow" refType="w" fact="0.85"/>
      <dgm:constr type="h" for="ch" forName="arrow" refType="h"/>
      <dgm:constr type="ctrX" for="ch" forName="arrow" refType="w" fact="0.5"/>
      <dgm:constr type="ctrY" for="ch" forName="arrow" refType="h" fact="0.5"/>
      <dgm:constr type="w" for="ch" forName="linearProcess" refType="w"/>
      <dgm:constr type="h" for="ch" forName="linearProcess" refType="h" fact="0.4"/>
      <dgm:constr type="ctrX" for="ch" forName="linearProcess" refType="w" fact="0.5"/>
      <dgm:constr type="ctrY" for="ch" forName="linearProcess" refType="h" fact="0.5"/>
    </dgm:constrLst>
    <dgm:ruleLst/>
    <dgm:layoutNode name="arrow" styleLbl="bgShp">
      <dgm:alg type="sp"/>
      <dgm:choose name="Name0">
        <dgm:if name="Name1" func="var" arg="dir" op="equ" val="norm">
          <dgm:shape xmlns:r="http://schemas.openxmlformats.org/officeDocument/2006/relationships" type="rightArrow" r:blip="">
            <dgm:adjLst/>
          </dgm:shape>
        </dgm:if>
        <dgm:else name="Name2">
          <dgm:shape xmlns:r="http://schemas.openxmlformats.org/officeDocument/2006/relationships" type="leftArrow" r:blip="">
            <dgm:adjLst/>
          </dgm:shape>
        </dgm:else>
      </dgm:choose>
      <dgm:presOf/>
      <dgm:constrLst/>
      <dgm:ruleLst/>
    </dgm:layoutNode>
    <dgm:layoutNode name="linearProcess">
      <dgm:choose name="Name3">
        <dgm:if name="Name4" func="var" arg="dir" op="equ" val="norm">
          <dgm:alg type="lin"/>
        </dgm:if>
        <dgm:else name="Name5">
          <dgm:alg type="lin">
            <dgm:param type="linDir" val="fromR"/>
          </dgm:alg>
        </dgm:else>
      </dgm:choose>
      <dgm:shape xmlns:r="http://schemas.openxmlformats.org/officeDocument/2006/relationships" r:blip="">
        <dgm:adjLst/>
      </dgm:shape>
      <dgm:presOf/>
      <dgm:constrLst>
        <dgm:constr type="userA" for="ch" ptType="node" refType="w"/>
        <dgm:constr type="h" for="ch" ptType="node" refType="h"/>
        <dgm:constr type="w" for="ch" ptType="node" op="equ"/>
        <dgm:constr type="w" for="ch" forName="sibTrans" refType="w" fact="0.05"/>
        <dgm:constr type="primFontSz" for="ch" ptType="node" op="equ" val="65"/>
      </dgm:constrLst>
      <dgm:ruleLst/>
      <dgm:forEach name="Name6" axis="ch" ptType="node">
        <dgm:layoutNode name="textNode" styleLbl="node1">
          <dgm:varLst>
            <dgm:bulletEnabled val="1"/>
          </dgm:varLst>
          <dgm:alg type="tx"/>
          <dgm:shape xmlns:r="http://schemas.openxmlformats.org/officeDocument/2006/relationships" type="roundRect" r:blip="">
            <dgm:adjLst/>
          </dgm:shape>
          <dgm:presOf axis="desOrSelf" ptType="node"/>
          <dgm:constrLst>
            <dgm:constr type="userA"/>
            <dgm:constr type="w" refType="userA" fact="0.3"/>
            <dgm:constr type="tMarg" refType="primFontSz" fact="0.3"/>
            <dgm:constr type="bMarg" refType="primFontSz" fact="0.3"/>
            <dgm:constr type="lMarg" refType="primFontSz" fact="0.3"/>
            <dgm:constr type="rMarg" refType="primFontSz" fact="0.3"/>
          </dgm:constrLst>
          <dgm:ruleLst>
            <dgm:rule type="w" val="NaN" fact="1" max="NaN"/>
            <dgm:rule type="primFontSz" val="5" fact="NaN" max="NaN"/>
          </dgm:ruleLst>
        </dgm:layoutNode>
        <dgm:forEach name="Name7" axis="followSib" ptType="sibTrans" cnt="1">
          <dgm:layoutNode name="sibTrans">
            <dgm:alg type="sp"/>
            <dgm:shape xmlns:r="http://schemas.openxmlformats.org/officeDocument/2006/relationships" r:blip="">
              <dgm:adjLst/>
            </dgm:shape>
            <dgm:presOf/>
            <dgm:constrLst/>
            <dgm:ruleLst/>
          </dgm:layoutNode>
        </dgm:forEach>
      </dgm:forEach>
    </dgm:layoutNode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3">
  <dgm:title val=""/>
  <dgm:desc val=""/>
  <dgm:catLst>
    <dgm:cat type="simple" pri="10300"/>
  </dgm:catLst>
  <dgm:scene3d>
    <a:camera prst="orthographicFront"/>
    <a:lightRig rig="threePt" dir="t"/>
  </dgm:scene3d>
  <dgm:styleLbl name="node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lnNode1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dk1"/>
      </a:fontRef>
    </dgm:style>
  </dgm:styleLbl>
  <dgm:styleLbl name="venn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diagramQuickStyle" Target="../diagrams/quickStyle1.xml"/><Relationship Id="rId3" Type="http://schemas.openxmlformats.org/officeDocument/2006/relationships/hyperlink" Target="#'Previsionnels Importations'!A1"/><Relationship Id="rId7" Type="http://schemas.openxmlformats.org/officeDocument/2006/relationships/diagramLayout" Target="../diagrams/layout1.xml"/><Relationship Id="rId2" Type="http://schemas.openxmlformats.org/officeDocument/2006/relationships/hyperlink" Target="#'CA pr&#233;visionnel annuel'!A1"/><Relationship Id="rId1" Type="http://schemas.openxmlformats.org/officeDocument/2006/relationships/hyperlink" Target="#'Forecast-Volumes annuels import'!A1"/><Relationship Id="rId6" Type="http://schemas.openxmlformats.org/officeDocument/2006/relationships/diagramData" Target="../diagrams/data1.xml"/><Relationship Id="rId5" Type="http://schemas.openxmlformats.org/officeDocument/2006/relationships/hyperlink" Target="#Ventes!A1"/><Relationship Id="rId10" Type="http://schemas.microsoft.com/office/2007/relationships/diagramDrawing" Target="../diagrams/drawing1.xml"/><Relationship Id="rId4" Type="http://schemas.openxmlformats.org/officeDocument/2006/relationships/hyperlink" Target="#R&#233;cape!A1"/><Relationship Id="rId9" Type="http://schemas.openxmlformats.org/officeDocument/2006/relationships/diagramColors" Target="../diagrams/colors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TBD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TBD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TBD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TBD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TBD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23</xdr:col>
      <xdr:colOff>-1</xdr:colOff>
      <xdr:row>0</xdr:row>
      <xdr:rowOff>69273</xdr:rowOff>
    </xdr:from>
    <xdr:to>
      <xdr:col>26</xdr:col>
      <xdr:colOff>328082</xdr:colOff>
      <xdr:row>49</xdr:row>
      <xdr:rowOff>69274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7" name="Produits 1">
              <a:extLst>
                <a:ext uri="{FF2B5EF4-FFF2-40B4-BE49-F238E27FC236}">
                  <a16:creationId xmlns:a16="http://schemas.microsoft.com/office/drawing/2014/main" id="{69A6334E-35A1-482B-9A3F-BBB0757538F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879454" y="69273"/>
              <a:ext cx="2614083" cy="905163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0</xdr:colOff>
      <xdr:row>5</xdr:row>
      <xdr:rowOff>95249</xdr:rowOff>
    </xdr:from>
    <xdr:to>
      <xdr:col>6</xdr:col>
      <xdr:colOff>217715</xdr:colOff>
      <xdr:row>7</xdr:row>
      <xdr:rowOff>99785</xdr:rowOff>
    </xdr:to>
    <xdr:sp macro="" textlink="Données!AL38">
      <xdr:nvSpPr>
        <xdr:cNvPr id="85" name="Rectangle : coins arrondis 84">
          <a:extLst>
            <a:ext uri="{FF2B5EF4-FFF2-40B4-BE49-F238E27FC236}">
              <a16:creationId xmlns:a16="http://schemas.microsoft.com/office/drawing/2014/main" id="{5A6C38C1-97C6-4C83-A6CA-5A9A71722509}"/>
            </a:ext>
          </a:extLst>
        </xdr:cNvPr>
        <xdr:cNvSpPr/>
      </xdr:nvSpPr>
      <xdr:spPr>
        <a:xfrm>
          <a:off x="0" y="1728106"/>
          <a:ext cx="4027715" cy="367393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Abadi" panose="020B0604020104020204" pitchFamily="34" charset="0"/>
            </a:rPr>
            <a:t>Importation Janvier 2026</a:t>
          </a:r>
        </a:p>
      </xdr:txBody>
    </xdr:sp>
    <xdr:clientData/>
  </xdr:twoCellAnchor>
  <xdr:twoCellAnchor>
    <xdr:from>
      <xdr:col>3</xdr:col>
      <xdr:colOff>535215</xdr:colOff>
      <xdr:row>8</xdr:row>
      <xdr:rowOff>58964</xdr:rowOff>
    </xdr:from>
    <xdr:to>
      <xdr:col>6</xdr:col>
      <xdr:colOff>206822</xdr:colOff>
      <xdr:row>10</xdr:row>
      <xdr:rowOff>9071</xdr:rowOff>
    </xdr:to>
    <xdr:sp macro="" textlink="Données!AL38">
      <xdr:nvSpPr>
        <xdr:cNvPr id="86" name="Rectangle : coins arrondis 85">
          <a:extLst>
            <a:ext uri="{FF2B5EF4-FFF2-40B4-BE49-F238E27FC236}">
              <a16:creationId xmlns:a16="http://schemas.microsoft.com/office/drawing/2014/main" id="{71932A96-FBD3-4065-ACB1-C914F816DCAF}"/>
            </a:ext>
          </a:extLst>
        </xdr:cNvPr>
        <xdr:cNvSpPr/>
      </xdr:nvSpPr>
      <xdr:spPr>
        <a:xfrm>
          <a:off x="2059215" y="2236107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CA09834F-BD65-4221-8830-FE858C888D24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125 453 987,31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5</xdr:col>
      <xdr:colOff>54428</xdr:colOff>
      <xdr:row>8</xdr:row>
      <xdr:rowOff>54428</xdr:rowOff>
    </xdr:from>
    <xdr:to>
      <xdr:col>6</xdr:col>
      <xdr:colOff>172357</xdr:colOff>
      <xdr:row>10</xdr:row>
      <xdr:rowOff>0</xdr:rowOff>
    </xdr:to>
    <xdr:sp macro="" textlink="">
      <xdr:nvSpPr>
        <xdr:cNvPr id="88" name="ZoneTexte 87">
          <a:extLst>
            <a:ext uri="{FF2B5EF4-FFF2-40B4-BE49-F238E27FC236}">
              <a16:creationId xmlns:a16="http://schemas.microsoft.com/office/drawing/2014/main" id="{DBD6F998-BFEE-4838-84AA-2319B3E0EBEE}"/>
            </a:ext>
          </a:extLst>
        </xdr:cNvPr>
        <xdr:cNvSpPr txBox="1"/>
      </xdr:nvSpPr>
      <xdr:spPr>
        <a:xfrm>
          <a:off x="3102428" y="2231571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  DZD</a:t>
          </a:r>
          <a:r>
            <a:rPr lang="fr-FR" sz="1100" b="1" baseline="0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TTC</a:t>
          </a:r>
          <a:endParaRPr lang="fr-FR" sz="1100" b="1">
            <a:solidFill>
              <a:schemeClr val="accent4">
                <a:lumMod val="60000"/>
                <a:lumOff val="40000"/>
              </a:schemeClr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</xdr:col>
      <xdr:colOff>16330</xdr:colOff>
      <xdr:row>8</xdr:row>
      <xdr:rowOff>57150</xdr:rowOff>
    </xdr:from>
    <xdr:to>
      <xdr:col>3</xdr:col>
      <xdr:colOff>449937</xdr:colOff>
      <xdr:row>10</xdr:row>
      <xdr:rowOff>7257</xdr:rowOff>
    </xdr:to>
    <xdr:sp macro="" textlink="Données!X38">
      <xdr:nvSpPr>
        <xdr:cNvPr id="89" name="Rectangle : coins arrondis 88">
          <a:extLst>
            <a:ext uri="{FF2B5EF4-FFF2-40B4-BE49-F238E27FC236}">
              <a16:creationId xmlns:a16="http://schemas.microsoft.com/office/drawing/2014/main" id="{2119DB4E-515B-4C81-A1B3-98750CBFC186}"/>
            </a:ext>
          </a:extLst>
        </xdr:cNvPr>
        <xdr:cNvSpPr/>
      </xdr:nvSpPr>
      <xdr:spPr>
        <a:xfrm>
          <a:off x="16330" y="2234293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EFD99128-DBAA-4C8D-B31E-0D40C4B4027B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32 200,00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2</xdr:col>
      <xdr:colOff>297543</xdr:colOff>
      <xdr:row>8</xdr:row>
      <xdr:rowOff>52614</xdr:rowOff>
    </xdr:from>
    <xdr:to>
      <xdr:col>3</xdr:col>
      <xdr:colOff>415472</xdr:colOff>
      <xdr:row>9</xdr:row>
      <xdr:rowOff>179615</xdr:rowOff>
    </xdr:to>
    <xdr:sp macro="" textlink="">
      <xdr:nvSpPr>
        <xdr:cNvPr id="90" name="ZoneTexte 89">
          <a:extLst>
            <a:ext uri="{FF2B5EF4-FFF2-40B4-BE49-F238E27FC236}">
              <a16:creationId xmlns:a16="http://schemas.microsoft.com/office/drawing/2014/main" id="{7B8606E9-DBE0-4A8A-86DC-42FBFDAB4624}"/>
            </a:ext>
          </a:extLst>
        </xdr:cNvPr>
        <xdr:cNvSpPr txBox="1"/>
      </xdr:nvSpPr>
      <xdr:spPr>
        <a:xfrm>
          <a:off x="1059543" y="2229757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Tonnes</a:t>
          </a:r>
        </a:p>
      </xdr:txBody>
    </xdr:sp>
    <xdr:clientData/>
  </xdr:twoCellAnchor>
  <xdr:twoCellAnchor>
    <xdr:from>
      <xdr:col>6</xdr:col>
      <xdr:colOff>324756</xdr:colOff>
      <xdr:row>5</xdr:row>
      <xdr:rowOff>102507</xdr:rowOff>
    </xdr:from>
    <xdr:to>
      <xdr:col>11</xdr:col>
      <xdr:colOff>542471</xdr:colOff>
      <xdr:row>7</xdr:row>
      <xdr:rowOff>107043</xdr:rowOff>
    </xdr:to>
    <xdr:sp macro="" textlink="Données!AL38">
      <xdr:nvSpPr>
        <xdr:cNvPr id="91" name="Rectangle : coins arrondis 90">
          <a:extLst>
            <a:ext uri="{FF2B5EF4-FFF2-40B4-BE49-F238E27FC236}">
              <a16:creationId xmlns:a16="http://schemas.microsoft.com/office/drawing/2014/main" id="{E669B132-90E2-4563-A5B8-4D5503752FA8}"/>
            </a:ext>
          </a:extLst>
        </xdr:cNvPr>
        <xdr:cNvSpPr/>
      </xdr:nvSpPr>
      <xdr:spPr>
        <a:xfrm>
          <a:off x="4134756" y="1735364"/>
          <a:ext cx="4027715" cy="367393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Abadi" panose="020B0604020104020204" pitchFamily="34" charset="0"/>
            </a:rPr>
            <a:t>Importation févrie 2026</a:t>
          </a:r>
        </a:p>
      </xdr:txBody>
    </xdr:sp>
    <xdr:clientData/>
  </xdr:twoCellAnchor>
  <xdr:twoCellAnchor>
    <xdr:from>
      <xdr:col>9</xdr:col>
      <xdr:colOff>97971</xdr:colOff>
      <xdr:row>8</xdr:row>
      <xdr:rowOff>66222</xdr:rowOff>
    </xdr:from>
    <xdr:to>
      <xdr:col>11</xdr:col>
      <xdr:colOff>531578</xdr:colOff>
      <xdr:row>10</xdr:row>
      <xdr:rowOff>16329</xdr:rowOff>
    </xdr:to>
    <xdr:sp macro="" textlink="Données!AM38">
      <xdr:nvSpPr>
        <xdr:cNvPr id="92" name="Rectangle : coins arrondis 91">
          <a:extLst>
            <a:ext uri="{FF2B5EF4-FFF2-40B4-BE49-F238E27FC236}">
              <a16:creationId xmlns:a16="http://schemas.microsoft.com/office/drawing/2014/main" id="{251B86F2-86C1-4CBB-BB36-20AA2657B206}"/>
            </a:ext>
          </a:extLst>
        </xdr:cNvPr>
        <xdr:cNvSpPr/>
      </xdr:nvSpPr>
      <xdr:spPr>
        <a:xfrm>
          <a:off x="6193971" y="2243365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8056A084-780E-4C0F-9214-E007C518E973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29 526 756,00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10</xdr:col>
      <xdr:colOff>379184</xdr:colOff>
      <xdr:row>8</xdr:row>
      <xdr:rowOff>61686</xdr:rowOff>
    </xdr:from>
    <xdr:to>
      <xdr:col>11</xdr:col>
      <xdr:colOff>497113</xdr:colOff>
      <xdr:row>10</xdr:row>
      <xdr:rowOff>7258</xdr:rowOff>
    </xdr:to>
    <xdr:sp macro="" textlink="">
      <xdr:nvSpPr>
        <xdr:cNvPr id="93" name="ZoneTexte 92">
          <a:extLst>
            <a:ext uri="{FF2B5EF4-FFF2-40B4-BE49-F238E27FC236}">
              <a16:creationId xmlns:a16="http://schemas.microsoft.com/office/drawing/2014/main" id="{5E7E40B4-BCC2-4D89-977B-5088457AFA45}"/>
            </a:ext>
          </a:extLst>
        </xdr:cNvPr>
        <xdr:cNvSpPr txBox="1"/>
      </xdr:nvSpPr>
      <xdr:spPr>
        <a:xfrm>
          <a:off x="7237184" y="2238829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  DZD</a:t>
          </a:r>
          <a:r>
            <a:rPr lang="fr-FR" sz="1100" b="1" baseline="0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TTC</a:t>
          </a:r>
          <a:endParaRPr lang="fr-FR" sz="1100" b="1">
            <a:solidFill>
              <a:schemeClr val="accent4">
                <a:lumMod val="60000"/>
                <a:lumOff val="40000"/>
              </a:schemeClr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6</xdr:col>
      <xdr:colOff>341086</xdr:colOff>
      <xdr:row>8</xdr:row>
      <xdr:rowOff>64408</xdr:rowOff>
    </xdr:from>
    <xdr:to>
      <xdr:col>9</xdr:col>
      <xdr:colOff>12693</xdr:colOff>
      <xdr:row>10</xdr:row>
      <xdr:rowOff>14515</xdr:rowOff>
    </xdr:to>
    <xdr:sp macro="" textlink="Données!Y38">
      <xdr:nvSpPr>
        <xdr:cNvPr id="94" name="Rectangle : coins arrondis 93">
          <a:extLst>
            <a:ext uri="{FF2B5EF4-FFF2-40B4-BE49-F238E27FC236}">
              <a16:creationId xmlns:a16="http://schemas.microsoft.com/office/drawing/2014/main" id="{5531CD61-84D1-4B6C-8BA0-140F612EB72F}"/>
            </a:ext>
          </a:extLst>
        </xdr:cNvPr>
        <xdr:cNvSpPr/>
      </xdr:nvSpPr>
      <xdr:spPr>
        <a:xfrm>
          <a:off x="4151086" y="2241551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44238B55-BFAF-4850-B304-36257D3DFB50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49 000,00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7</xdr:col>
      <xdr:colOff>622299</xdr:colOff>
      <xdr:row>8</xdr:row>
      <xdr:rowOff>59872</xdr:rowOff>
    </xdr:from>
    <xdr:to>
      <xdr:col>8</xdr:col>
      <xdr:colOff>740228</xdr:colOff>
      <xdr:row>10</xdr:row>
      <xdr:rowOff>5444</xdr:rowOff>
    </xdr:to>
    <xdr:sp macro="" textlink="">
      <xdr:nvSpPr>
        <xdr:cNvPr id="95" name="ZoneTexte 94">
          <a:extLst>
            <a:ext uri="{FF2B5EF4-FFF2-40B4-BE49-F238E27FC236}">
              <a16:creationId xmlns:a16="http://schemas.microsoft.com/office/drawing/2014/main" id="{0C61C892-0067-425F-8E58-57FC31EF87F4}"/>
            </a:ext>
          </a:extLst>
        </xdr:cNvPr>
        <xdr:cNvSpPr txBox="1"/>
      </xdr:nvSpPr>
      <xdr:spPr>
        <a:xfrm>
          <a:off x="5194299" y="2237015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Tonnes</a:t>
          </a:r>
        </a:p>
      </xdr:txBody>
    </xdr:sp>
    <xdr:clientData/>
  </xdr:twoCellAnchor>
  <xdr:twoCellAnchor>
    <xdr:from>
      <xdr:col>11</xdr:col>
      <xdr:colOff>640444</xdr:colOff>
      <xdr:row>5</xdr:row>
      <xdr:rowOff>100693</xdr:rowOff>
    </xdr:from>
    <xdr:to>
      <xdr:col>17</xdr:col>
      <xdr:colOff>96159</xdr:colOff>
      <xdr:row>7</xdr:row>
      <xdr:rowOff>105229</xdr:rowOff>
    </xdr:to>
    <xdr:sp macro="" textlink="Données!AL38">
      <xdr:nvSpPr>
        <xdr:cNvPr id="96" name="Rectangle : coins arrondis 95">
          <a:extLst>
            <a:ext uri="{FF2B5EF4-FFF2-40B4-BE49-F238E27FC236}">
              <a16:creationId xmlns:a16="http://schemas.microsoft.com/office/drawing/2014/main" id="{00B83360-5256-46B6-A6FC-DF45A6C518B6}"/>
            </a:ext>
          </a:extLst>
        </xdr:cNvPr>
        <xdr:cNvSpPr/>
      </xdr:nvSpPr>
      <xdr:spPr>
        <a:xfrm>
          <a:off x="8260444" y="1733550"/>
          <a:ext cx="4027715" cy="367393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Abadi" panose="020B0604020104020204" pitchFamily="34" charset="0"/>
            </a:rPr>
            <a:t>Importation mars 2026</a:t>
          </a:r>
        </a:p>
      </xdr:txBody>
    </xdr:sp>
    <xdr:clientData/>
  </xdr:twoCellAnchor>
  <xdr:twoCellAnchor>
    <xdr:from>
      <xdr:col>14</xdr:col>
      <xdr:colOff>413659</xdr:colOff>
      <xdr:row>8</xdr:row>
      <xdr:rowOff>64408</xdr:rowOff>
    </xdr:from>
    <xdr:to>
      <xdr:col>17</xdr:col>
      <xdr:colOff>85266</xdr:colOff>
      <xdr:row>10</xdr:row>
      <xdr:rowOff>14515</xdr:rowOff>
    </xdr:to>
    <xdr:sp macro="" textlink="Données!AN38">
      <xdr:nvSpPr>
        <xdr:cNvPr id="97" name="Rectangle : coins arrondis 96">
          <a:extLst>
            <a:ext uri="{FF2B5EF4-FFF2-40B4-BE49-F238E27FC236}">
              <a16:creationId xmlns:a16="http://schemas.microsoft.com/office/drawing/2014/main" id="{FD8219F7-40AE-4E3A-AE8C-EAEB98DFAF35}"/>
            </a:ext>
          </a:extLst>
        </xdr:cNvPr>
        <xdr:cNvSpPr/>
      </xdr:nvSpPr>
      <xdr:spPr>
        <a:xfrm>
          <a:off x="10319659" y="2241551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89AB24A4-7E19-4646-BBBD-57A82AF5B755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38 756 387,34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15</xdr:col>
      <xdr:colOff>694872</xdr:colOff>
      <xdr:row>8</xdr:row>
      <xdr:rowOff>59872</xdr:rowOff>
    </xdr:from>
    <xdr:to>
      <xdr:col>17</xdr:col>
      <xdr:colOff>50801</xdr:colOff>
      <xdr:row>10</xdr:row>
      <xdr:rowOff>5444</xdr:rowOff>
    </xdr:to>
    <xdr:sp macro="" textlink="">
      <xdr:nvSpPr>
        <xdr:cNvPr id="98" name="ZoneTexte 97">
          <a:extLst>
            <a:ext uri="{FF2B5EF4-FFF2-40B4-BE49-F238E27FC236}">
              <a16:creationId xmlns:a16="http://schemas.microsoft.com/office/drawing/2014/main" id="{850CEAE6-C9FE-4149-87D6-E2810E74156B}"/>
            </a:ext>
          </a:extLst>
        </xdr:cNvPr>
        <xdr:cNvSpPr txBox="1"/>
      </xdr:nvSpPr>
      <xdr:spPr>
        <a:xfrm>
          <a:off x="11362872" y="2237015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  DZD</a:t>
          </a:r>
          <a:r>
            <a:rPr lang="fr-FR" sz="1100" b="1" baseline="0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TTC</a:t>
          </a:r>
          <a:endParaRPr lang="fr-FR" sz="1100" b="1">
            <a:solidFill>
              <a:schemeClr val="accent4">
                <a:lumMod val="60000"/>
                <a:lumOff val="40000"/>
              </a:schemeClr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11</xdr:col>
      <xdr:colOff>656774</xdr:colOff>
      <xdr:row>8</xdr:row>
      <xdr:rowOff>62594</xdr:rowOff>
    </xdr:from>
    <xdr:to>
      <xdr:col>14</xdr:col>
      <xdr:colOff>328381</xdr:colOff>
      <xdr:row>10</xdr:row>
      <xdr:rowOff>12701</xdr:rowOff>
    </xdr:to>
    <xdr:sp macro="" textlink="Données!Z38">
      <xdr:nvSpPr>
        <xdr:cNvPr id="99" name="Rectangle : coins arrondis 98">
          <a:extLst>
            <a:ext uri="{FF2B5EF4-FFF2-40B4-BE49-F238E27FC236}">
              <a16:creationId xmlns:a16="http://schemas.microsoft.com/office/drawing/2014/main" id="{606B1FE0-6290-4996-A316-2093F9865E81}"/>
            </a:ext>
          </a:extLst>
        </xdr:cNvPr>
        <xdr:cNvSpPr/>
      </xdr:nvSpPr>
      <xdr:spPr>
        <a:xfrm>
          <a:off x="8276774" y="2239737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63CACB1E-0B71-43EF-A36C-722D1087B310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28 500,00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13</xdr:col>
      <xdr:colOff>175987</xdr:colOff>
      <xdr:row>8</xdr:row>
      <xdr:rowOff>58058</xdr:rowOff>
    </xdr:from>
    <xdr:to>
      <xdr:col>14</xdr:col>
      <xdr:colOff>293916</xdr:colOff>
      <xdr:row>10</xdr:row>
      <xdr:rowOff>3630</xdr:rowOff>
    </xdr:to>
    <xdr:sp macro="" textlink="">
      <xdr:nvSpPr>
        <xdr:cNvPr id="100" name="ZoneTexte 99">
          <a:extLst>
            <a:ext uri="{FF2B5EF4-FFF2-40B4-BE49-F238E27FC236}">
              <a16:creationId xmlns:a16="http://schemas.microsoft.com/office/drawing/2014/main" id="{0E9D1ADC-0697-4523-AC29-61D4B6F8AD9D}"/>
            </a:ext>
          </a:extLst>
        </xdr:cNvPr>
        <xdr:cNvSpPr txBox="1"/>
      </xdr:nvSpPr>
      <xdr:spPr>
        <a:xfrm>
          <a:off x="9319987" y="2235201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Tonnes</a:t>
          </a:r>
        </a:p>
      </xdr:txBody>
    </xdr:sp>
    <xdr:clientData/>
  </xdr:twoCellAnchor>
  <xdr:twoCellAnchor>
    <xdr:from>
      <xdr:col>17</xdr:col>
      <xdr:colOff>194132</xdr:colOff>
      <xdr:row>5</xdr:row>
      <xdr:rowOff>98879</xdr:rowOff>
    </xdr:from>
    <xdr:to>
      <xdr:col>22</xdr:col>
      <xdr:colOff>411847</xdr:colOff>
      <xdr:row>7</xdr:row>
      <xdr:rowOff>103415</xdr:rowOff>
    </xdr:to>
    <xdr:sp macro="" textlink="Données!AL38">
      <xdr:nvSpPr>
        <xdr:cNvPr id="101" name="Rectangle : coins arrondis 100">
          <a:extLst>
            <a:ext uri="{FF2B5EF4-FFF2-40B4-BE49-F238E27FC236}">
              <a16:creationId xmlns:a16="http://schemas.microsoft.com/office/drawing/2014/main" id="{2E7E184E-7240-435B-9DFF-EFEBF45BAE4E}"/>
            </a:ext>
          </a:extLst>
        </xdr:cNvPr>
        <xdr:cNvSpPr/>
      </xdr:nvSpPr>
      <xdr:spPr>
        <a:xfrm>
          <a:off x="12386132" y="1731736"/>
          <a:ext cx="4027715" cy="367393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Abadi" panose="020B0604020104020204" pitchFamily="34" charset="0"/>
            </a:rPr>
            <a:t>Importation avril 2026</a:t>
          </a:r>
        </a:p>
      </xdr:txBody>
    </xdr:sp>
    <xdr:clientData/>
  </xdr:twoCellAnchor>
  <xdr:twoCellAnchor>
    <xdr:from>
      <xdr:col>19</xdr:col>
      <xdr:colOff>729347</xdr:colOff>
      <xdr:row>8</xdr:row>
      <xdr:rowOff>62594</xdr:rowOff>
    </xdr:from>
    <xdr:to>
      <xdr:col>22</xdr:col>
      <xdr:colOff>400954</xdr:colOff>
      <xdr:row>10</xdr:row>
      <xdr:rowOff>12701</xdr:rowOff>
    </xdr:to>
    <xdr:sp macro="" textlink="Données!AO38">
      <xdr:nvSpPr>
        <xdr:cNvPr id="102" name="Rectangle : coins arrondis 101">
          <a:extLst>
            <a:ext uri="{FF2B5EF4-FFF2-40B4-BE49-F238E27FC236}">
              <a16:creationId xmlns:a16="http://schemas.microsoft.com/office/drawing/2014/main" id="{BBF47B04-9D36-42D7-B49C-BFFD7FF55AB7}"/>
            </a:ext>
          </a:extLst>
        </xdr:cNvPr>
        <xdr:cNvSpPr/>
      </xdr:nvSpPr>
      <xdr:spPr>
        <a:xfrm>
          <a:off x="14445347" y="2239737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3A3D63D3-0C27-4C82-AE9A-DD428979EB0E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10 564 546,30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21</xdr:col>
      <xdr:colOff>248560</xdr:colOff>
      <xdr:row>8</xdr:row>
      <xdr:rowOff>58058</xdr:rowOff>
    </xdr:from>
    <xdr:to>
      <xdr:col>22</xdr:col>
      <xdr:colOff>366489</xdr:colOff>
      <xdr:row>10</xdr:row>
      <xdr:rowOff>3630</xdr:rowOff>
    </xdr:to>
    <xdr:sp macro="" textlink="">
      <xdr:nvSpPr>
        <xdr:cNvPr id="103" name="ZoneTexte 102">
          <a:extLst>
            <a:ext uri="{FF2B5EF4-FFF2-40B4-BE49-F238E27FC236}">
              <a16:creationId xmlns:a16="http://schemas.microsoft.com/office/drawing/2014/main" id="{C77C2D31-DCF5-4407-9F5E-702A93347E2D}"/>
            </a:ext>
          </a:extLst>
        </xdr:cNvPr>
        <xdr:cNvSpPr txBox="1"/>
      </xdr:nvSpPr>
      <xdr:spPr>
        <a:xfrm>
          <a:off x="15488560" y="2235201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  DZD</a:t>
          </a:r>
          <a:r>
            <a:rPr lang="fr-FR" sz="1100" b="1" baseline="0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TTC</a:t>
          </a:r>
          <a:endParaRPr lang="fr-FR" sz="1100" b="1">
            <a:solidFill>
              <a:schemeClr val="accent4">
                <a:lumMod val="60000"/>
                <a:lumOff val="40000"/>
              </a:schemeClr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17</xdr:col>
      <xdr:colOff>210462</xdr:colOff>
      <xdr:row>8</xdr:row>
      <xdr:rowOff>60780</xdr:rowOff>
    </xdr:from>
    <xdr:to>
      <xdr:col>19</xdr:col>
      <xdr:colOff>644069</xdr:colOff>
      <xdr:row>10</xdr:row>
      <xdr:rowOff>10887</xdr:rowOff>
    </xdr:to>
    <xdr:sp macro="" textlink="Données!AA38">
      <xdr:nvSpPr>
        <xdr:cNvPr id="104" name="Rectangle : coins arrondis 103">
          <a:extLst>
            <a:ext uri="{FF2B5EF4-FFF2-40B4-BE49-F238E27FC236}">
              <a16:creationId xmlns:a16="http://schemas.microsoft.com/office/drawing/2014/main" id="{6B32A6C3-5ECC-423A-AC62-F4E0A1A46ECD}"/>
            </a:ext>
          </a:extLst>
        </xdr:cNvPr>
        <xdr:cNvSpPr/>
      </xdr:nvSpPr>
      <xdr:spPr>
        <a:xfrm>
          <a:off x="12402462" y="2237923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CEA1B892-7EE6-4FDA-BA67-9EF4522D1A5B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600,00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18</xdr:col>
      <xdr:colOff>491675</xdr:colOff>
      <xdr:row>8</xdr:row>
      <xdr:rowOff>56244</xdr:rowOff>
    </xdr:from>
    <xdr:to>
      <xdr:col>19</xdr:col>
      <xdr:colOff>609604</xdr:colOff>
      <xdr:row>10</xdr:row>
      <xdr:rowOff>1816</xdr:rowOff>
    </xdr:to>
    <xdr:sp macro="" textlink="">
      <xdr:nvSpPr>
        <xdr:cNvPr id="105" name="ZoneTexte 104">
          <a:extLst>
            <a:ext uri="{FF2B5EF4-FFF2-40B4-BE49-F238E27FC236}">
              <a16:creationId xmlns:a16="http://schemas.microsoft.com/office/drawing/2014/main" id="{0A28FF9A-84C1-4D34-BF39-C1152A09961B}"/>
            </a:ext>
          </a:extLst>
        </xdr:cNvPr>
        <xdr:cNvSpPr txBox="1"/>
      </xdr:nvSpPr>
      <xdr:spPr>
        <a:xfrm>
          <a:off x="13445675" y="2233387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Tonnes</a:t>
          </a:r>
        </a:p>
      </xdr:txBody>
    </xdr:sp>
    <xdr:clientData/>
  </xdr:twoCellAnchor>
  <xdr:twoCellAnchor>
    <xdr:from>
      <xdr:col>1</xdr:col>
      <xdr:colOff>0</xdr:colOff>
      <xdr:row>11</xdr:row>
      <xdr:rowOff>102506</xdr:rowOff>
    </xdr:from>
    <xdr:to>
      <xdr:col>6</xdr:col>
      <xdr:colOff>217715</xdr:colOff>
      <xdr:row>13</xdr:row>
      <xdr:rowOff>107042</xdr:rowOff>
    </xdr:to>
    <xdr:sp macro="" textlink="Données!AL38">
      <xdr:nvSpPr>
        <xdr:cNvPr id="106" name="Rectangle : coins arrondis 105">
          <a:extLst>
            <a:ext uri="{FF2B5EF4-FFF2-40B4-BE49-F238E27FC236}">
              <a16:creationId xmlns:a16="http://schemas.microsoft.com/office/drawing/2014/main" id="{91B7C255-B816-404A-A64E-2CF890357011}"/>
            </a:ext>
          </a:extLst>
        </xdr:cNvPr>
        <xdr:cNvSpPr/>
      </xdr:nvSpPr>
      <xdr:spPr>
        <a:xfrm>
          <a:off x="0" y="2823935"/>
          <a:ext cx="4027715" cy="367393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Abadi" panose="020B0604020104020204" pitchFamily="34" charset="0"/>
            </a:rPr>
            <a:t>Importation mai 2026</a:t>
          </a:r>
        </a:p>
      </xdr:txBody>
    </xdr:sp>
    <xdr:clientData/>
  </xdr:twoCellAnchor>
  <xdr:twoCellAnchor>
    <xdr:from>
      <xdr:col>3</xdr:col>
      <xdr:colOff>535215</xdr:colOff>
      <xdr:row>14</xdr:row>
      <xdr:rowOff>66222</xdr:rowOff>
    </xdr:from>
    <xdr:to>
      <xdr:col>6</xdr:col>
      <xdr:colOff>206822</xdr:colOff>
      <xdr:row>16</xdr:row>
      <xdr:rowOff>16329</xdr:rowOff>
    </xdr:to>
    <xdr:sp macro="" textlink="Données!AP38">
      <xdr:nvSpPr>
        <xdr:cNvPr id="107" name="Rectangle : coins arrondis 106">
          <a:extLst>
            <a:ext uri="{FF2B5EF4-FFF2-40B4-BE49-F238E27FC236}">
              <a16:creationId xmlns:a16="http://schemas.microsoft.com/office/drawing/2014/main" id="{92396DD6-9995-4BA4-B72F-7FAFA6F6C5BB}"/>
            </a:ext>
          </a:extLst>
        </xdr:cNvPr>
        <xdr:cNvSpPr/>
      </xdr:nvSpPr>
      <xdr:spPr>
        <a:xfrm>
          <a:off x="2059215" y="3331936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E2058284-A047-417D-95FE-3FA133397E08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31 366 225,28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5</xdr:col>
      <xdr:colOff>54428</xdr:colOff>
      <xdr:row>14</xdr:row>
      <xdr:rowOff>61686</xdr:rowOff>
    </xdr:from>
    <xdr:to>
      <xdr:col>6</xdr:col>
      <xdr:colOff>172357</xdr:colOff>
      <xdr:row>16</xdr:row>
      <xdr:rowOff>7258</xdr:rowOff>
    </xdr:to>
    <xdr:sp macro="" textlink="">
      <xdr:nvSpPr>
        <xdr:cNvPr id="108" name="ZoneTexte 107">
          <a:extLst>
            <a:ext uri="{FF2B5EF4-FFF2-40B4-BE49-F238E27FC236}">
              <a16:creationId xmlns:a16="http://schemas.microsoft.com/office/drawing/2014/main" id="{60B29636-480F-40AB-BA8A-860B2E9AB06C}"/>
            </a:ext>
          </a:extLst>
        </xdr:cNvPr>
        <xdr:cNvSpPr txBox="1"/>
      </xdr:nvSpPr>
      <xdr:spPr>
        <a:xfrm>
          <a:off x="3102428" y="3327400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  DZD</a:t>
          </a:r>
          <a:r>
            <a:rPr lang="fr-FR" sz="1100" b="1" baseline="0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TTC</a:t>
          </a:r>
          <a:endParaRPr lang="fr-FR" sz="1100" b="1">
            <a:solidFill>
              <a:schemeClr val="accent4">
                <a:lumMod val="60000"/>
                <a:lumOff val="40000"/>
              </a:schemeClr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</xdr:col>
      <xdr:colOff>16330</xdr:colOff>
      <xdr:row>14</xdr:row>
      <xdr:rowOff>64408</xdr:rowOff>
    </xdr:from>
    <xdr:to>
      <xdr:col>3</xdr:col>
      <xdr:colOff>449937</xdr:colOff>
      <xdr:row>16</xdr:row>
      <xdr:rowOff>14515</xdr:rowOff>
    </xdr:to>
    <xdr:sp macro="" textlink="Données!AB38">
      <xdr:nvSpPr>
        <xdr:cNvPr id="109" name="Rectangle : coins arrondis 108">
          <a:extLst>
            <a:ext uri="{FF2B5EF4-FFF2-40B4-BE49-F238E27FC236}">
              <a16:creationId xmlns:a16="http://schemas.microsoft.com/office/drawing/2014/main" id="{F1EB7DBC-F3AD-4F1E-BC3C-ABD963124DB9}"/>
            </a:ext>
          </a:extLst>
        </xdr:cNvPr>
        <xdr:cNvSpPr/>
      </xdr:nvSpPr>
      <xdr:spPr>
        <a:xfrm>
          <a:off x="16330" y="3330122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55AB45D0-7CDF-4AD8-BC4E-6C33BDE8A633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11 400,00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2</xdr:col>
      <xdr:colOff>297543</xdr:colOff>
      <xdr:row>14</xdr:row>
      <xdr:rowOff>59872</xdr:rowOff>
    </xdr:from>
    <xdr:to>
      <xdr:col>3</xdr:col>
      <xdr:colOff>415472</xdr:colOff>
      <xdr:row>16</xdr:row>
      <xdr:rowOff>5444</xdr:rowOff>
    </xdr:to>
    <xdr:sp macro="" textlink="">
      <xdr:nvSpPr>
        <xdr:cNvPr id="110" name="ZoneTexte 109">
          <a:extLst>
            <a:ext uri="{FF2B5EF4-FFF2-40B4-BE49-F238E27FC236}">
              <a16:creationId xmlns:a16="http://schemas.microsoft.com/office/drawing/2014/main" id="{5EB2090D-7EE8-4B13-83EF-0A1F970B6869}"/>
            </a:ext>
          </a:extLst>
        </xdr:cNvPr>
        <xdr:cNvSpPr txBox="1"/>
      </xdr:nvSpPr>
      <xdr:spPr>
        <a:xfrm>
          <a:off x="1059543" y="3325586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Tonnes</a:t>
          </a:r>
        </a:p>
      </xdr:txBody>
    </xdr:sp>
    <xdr:clientData/>
  </xdr:twoCellAnchor>
  <xdr:twoCellAnchor>
    <xdr:from>
      <xdr:col>6</xdr:col>
      <xdr:colOff>324756</xdr:colOff>
      <xdr:row>11</xdr:row>
      <xdr:rowOff>109764</xdr:rowOff>
    </xdr:from>
    <xdr:to>
      <xdr:col>11</xdr:col>
      <xdr:colOff>542471</xdr:colOff>
      <xdr:row>13</xdr:row>
      <xdr:rowOff>114300</xdr:rowOff>
    </xdr:to>
    <xdr:sp macro="" textlink="Données!AL38">
      <xdr:nvSpPr>
        <xdr:cNvPr id="111" name="Rectangle : coins arrondis 110">
          <a:extLst>
            <a:ext uri="{FF2B5EF4-FFF2-40B4-BE49-F238E27FC236}">
              <a16:creationId xmlns:a16="http://schemas.microsoft.com/office/drawing/2014/main" id="{2EF73FA9-48D3-4166-A532-CDC0CFEB33CB}"/>
            </a:ext>
          </a:extLst>
        </xdr:cNvPr>
        <xdr:cNvSpPr/>
      </xdr:nvSpPr>
      <xdr:spPr>
        <a:xfrm>
          <a:off x="4134756" y="2831193"/>
          <a:ext cx="4027715" cy="367393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Abadi" panose="020B0604020104020204" pitchFamily="34" charset="0"/>
            </a:rPr>
            <a:t>Importation juin 2026</a:t>
          </a:r>
        </a:p>
      </xdr:txBody>
    </xdr:sp>
    <xdr:clientData/>
  </xdr:twoCellAnchor>
  <xdr:twoCellAnchor>
    <xdr:from>
      <xdr:col>9</xdr:col>
      <xdr:colOff>97971</xdr:colOff>
      <xdr:row>14</xdr:row>
      <xdr:rowOff>73480</xdr:rowOff>
    </xdr:from>
    <xdr:to>
      <xdr:col>11</xdr:col>
      <xdr:colOff>531578</xdr:colOff>
      <xdr:row>16</xdr:row>
      <xdr:rowOff>23587</xdr:rowOff>
    </xdr:to>
    <xdr:sp macro="" textlink="Données!AQ38">
      <xdr:nvSpPr>
        <xdr:cNvPr id="112" name="Rectangle : coins arrondis 111">
          <a:extLst>
            <a:ext uri="{FF2B5EF4-FFF2-40B4-BE49-F238E27FC236}">
              <a16:creationId xmlns:a16="http://schemas.microsoft.com/office/drawing/2014/main" id="{BF429B1E-EFC1-4891-A7B8-72C3019C0B98}"/>
            </a:ext>
          </a:extLst>
        </xdr:cNvPr>
        <xdr:cNvSpPr/>
      </xdr:nvSpPr>
      <xdr:spPr>
        <a:xfrm>
          <a:off x="6193971" y="3339194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D75985A1-9E82-47AD-83BF-A18BB363D332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60 212 675,29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10</xdr:col>
      <xdr:colOff>379184</xdr:colOff>
      <xdr:row>14</xdr:row>
      <xdr:rowOff>68944</xdr:rowOff>
    </xdr:from>
    <xdr:to>
      <xdr:col>11</xdr:col>
      <xdr:colOff>497113</xdr:colOff>
      <xdr:row>16</xdr:row>
      <xdr:rowOff>14516</xdr:rowOff>
    </xdr:to>
    <xdr:sp macro="" textlink="">
      <xdr:nvSpPr>
        <xdr:cNvPr id="113" name="ZoneTexte 112">
          <a:extLst>
            <a:ext uri="{FF2B5EF4-FFF2-40B4-BE49-F238E27FC236}">
              <a16:creationId xmlns:a16="http://schemas.microsoft.com/office/drawing/2014/main" id="{98DB45E8-754C-44C4-BB54-B97CAEE50F33}"/>
            </a:ext>
          </a:extLst>
        </xdr:cNvPr>
        <xdr:cNvSpPr txBox="1"/>
      </xdr:nvSpPr>
      <xdr:spPr>
        <a:xfrm>
          <a:off x="7237184" y="3334658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  DZD</a:t>
          </a:r>
          <a:r>
            <a:rPr lang="fr-FR" sz="1100" b="1" baseline="0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TTC</a:t>
          </a:r>
          <a:endParaRPr lang="fr-FR" sz="1100" b="1">
            <a:solidFill>
              <a:schemeClr val="accent4">
                <a:lumMod val="60000"/>
                <a:lumOff val="40000"/>
              </a:schemeClr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6</xdr:col>
      <xdr:colOff>341086</xdr:colOff>
      <xdr:row>14</xdr:row>
      <xdr:rowOff>71666</xdr:rowOff>
    </xdr:from>
    <xdr:to>
      <xdr:col>9</xdr:col>
      <xdr:colOff>12693</xdr:colOff>
      <xdr:row>16</xdr:row>
      <xdr:rowOff>21773</xdr:rowOff>
    </xdr:to>
    <xdr:sp macro="" textlink="Données!AC38">
      <xdr:nvSpPr>
        <xdr:cNvPr id="114" name="Rectangle : coins arrondis 113">
          <a:extLst>
            <a:ext uri="{FF2B5EF4-FFF2-40B4-BE49-F238E27FC236}">
              <a16:creationId xmlns:a16="http://schemas.microsoft.com/office/drawing/2014/main" id="{384E99E5-B050-4126-AC57-1B057F2F81B2}"/>
            </a:ext>
          </a:extLst>
        </xdr:cNvPr>
        <xdr:cNvSpPr/>
      </xdr:nvSpPr>
      <xdr:spPr>
        <a:xfrm>
          <a:off x="4151086" y="3337380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ED64A5A7-ACA3-425C-8354-460742FECBFF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50 300,00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7</xdr:col>
      <xdr:colOff>622299</xdr:colOff>
      <xdr:row>14</xdr:row>
      <xdr:rowOff>67130</xdr:rowOff>
    </xdr:from>
    <xdr:to>
      <xdr:col>8</xdr:col>
      <xdr:colOff>740228</xdr:colOff>
      <xdr:row>16</xdr:row>
      <xdr:rowOff>12702</xdr:rowOff>
    </xdr:to>
    <xdr:sp macro="" textlink="">
      <xdr:nvSpPr>
        <xdr:cNvPr id="115" name="ZoneTexte 114">
          <a:extLst>
            <a:ext uri="{FF2B5EF4-FFF2-40B4-BE49-F238E27FC236}">
              <a16:creationId xmlns:a16="http://schemas.microsoft.com/office/drawing/2014/main" id="{ADF9A8D9-349F-420F-87F6-E0887038463A}"/>
            </a:ext>
          </a:extLst>
        </xdr:cNvPr>
        <xdr:cNvSpPr txBox="1"/>
      </xdr:nvSpPr>
      <xdr:spPr>
        <a:xfrm>
          <a:off x="5194299" y="3332844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Tonnes</a:t>
          </a:r>
        </a:p>
      </xdr:txBody>
    </xdr:sp>
    <xdr:clientData/>
  </xdr:twoCellAnchor>
  <xdr:twoCellAnchor>
    <xdr:from>
      <xdr:col>11</xdr:col>
      <xdr:colOff>640444</xdr:colOff>
      <xdr:row>11</xdr:row>
      <xdr:rowOff>107950</xdr:rowOff>
    </xdr:from>
    <xdr:to>
      <xdr:col>17</xdr:col>
      <xdr:colOff>96159</xdr:colOff>
      <xdr:row>13</xdr:row>
      <xdr:rowOff>112486</xdr:rowOff>
    </xdr:to>
    <xdr:sp macro="" textlink="Données!AL38">
      <xdr:nvSpPr>
        <xdr:cNvPr id="116" name="Rectangle : coins arrondis 115">
          <a:extLst>
            <a:ext uri="{FF2B5EF4-FFF2-40B4-BE49-F238E27FC236}">
              <a16:creationId xmlns:a16="http://schemas.microsoft.com/office/drawing/2014/main" id="{727C9329-66AE-4233-838D-B242C0285119}"/>
            </a:ext>
          </a:extLst>
        </xdr:cNvPr>
        <xdr:cNvSpPr/>
      </xdr:nvSpPr>
      <xdr:spPr>
        <a:xfrm>
          <a:off x="8260444" y="2829379"/>
          <a:ext cx="4027715" cy="367393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Abadi" panose="020B0604020104020204" pitchFamily="34" charset="0"/>
            </a:rPr>
            <a:t>Importation juillet 2026</a:t>
          </a:r>
        </a:p>
      </xdr:txBody>
    </xdr:sp>
    <xdr:clientData/>
  </xdr:twoCellAnchor>
  <xdr:twoCellAnchor>
    <xdr:from>
      <xdr:col>14</xdr:col>
      <xdr:colOff>413659</xdr:colOff>
      <xdr:row>14</xdr:row>
      <xdr:rowOff>71666</xdr:rowOff>
    </xdr:from>
    <xdr:to>
      <xdr:col>17</xdr:col>
      <xdr:colOff>85266</xdr:colOff>
      <xdr:row>16</xdr:row>
      <xdr:rowOff>21773</xdr:rowOff>
    </xdr:to>
    <xdr:sp macro="" textlink="Données!AR38">
      <xdr:nvSpPr>
        <xdr:cNvPr id="117" name="Rectangle : coins arrondis 116">
          <a:extLst>
            <a:ext uri="{FF2B5EF4-FFF2-40B4-BE49-F238E27FC236}">
              <a16:creationId xmlns:a16="http://schemas.microsoft.com/office/drawing/2014/main" id="{224F02E0-D92A-4DA6-9964-C7F7B2AFD22A}"/>
            </a:ext>
          </a:extLst>
        </xdr:cNvPr>
        <xdr:cNvSpPr/>
      </xdr:nvSpPr>
      <xdr:spPr>
        <a:xfrm>
          <a:off x="10319659" y="3337380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ACE92887-6963-4D03-A5AF-FE9FA06A4413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180 375 142,50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15</xdr:col>
      <xdr:colOff>694872</xdr:colOff>
      <xdr:row>14</xdr:row>
      <xdr:rowOff>67130</xdr:rowOff>
    </xdr:from>
    <xdr:to>
      <xdr:col>17</xdr:col>
      <xdr:colOff>50801</xdr:colOff>
      <xdr:row>16</xdr:row>
      <xdr:rowOff>12702</xdr:rowOff>
    </xdr:to>
    <xdr:sp macro="" textlink="">
      <xdr:nvSpPr>
        <xdr:cNvPr id="118" name="ZoneTexte 117">
          <a:extLst>
            <a:ext uri="{FF2B5EF4-FFF2-40B4-BE49-F238E27FC236}">
              <a16:creationId xmlns:a16="http://schemas.microsoft.com/office/drawing/2014/main" id="{97E6C665-71FA-4AAA-B250-DDB16AB43C80}"/>
            </a:ext>
          </a:extLst>
        </xdr:cNvPr>
        <xdr:cNvSpPr txBox="1"/>
      </xdr:nvSpPr>
      <xdr:spPr>
        <a:xfrm>
          <a:off x="11362872" y="3332844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  DZD</a:t>
          </a:r>
          <a:r>
            <a:rPr lang="fr-FR" sz="1100" b="1" baseline="0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TTC</a:t>
          </a:r>
          <a:endParaRPr lang="fr-FR" sz="1100" b="1">
            <a:solidFill>
              <a:schemeClr val="accent4">
                <a:lumMod val="60000"/>
                <a:lumOff val="40000"/>
              </a:schemeClr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11</xdr:col>
      <xdr:colOff>656774</xdr:colOff>
      <xdr:row>14</xdr:row>
      <xdr:rowOff>69852</xdr:rowOff>
    </xdr:from>
    <xdr:to>
      <xdr:col>14</xdr:col>
      <xdr:colOff>328381</xdr:colOff>
      <xdr:row>16</xdr:row>
      <xdr:rowOff>19959</xdr:rowOff>
    </xdr:to>
    <xdr:sp macro="" textlink="Données!AD38">
      <xdr:nvSpPr>
        <xdr:cNvPr id="119" name="Rectangle : coins arrondis 118">
          <a:extLst>
            <a:ext uri="{FF2B5EF4-FFF2-40B4-BE49-F238E27FC236}">
              <a16:creationId xmlns:a16="http://schemas.microsoft.com/office/drawing/2014/main" id="{396875BE-7848-4281-8597-BD4817ED846B}"/>
            </a:ext>
          </a:extLst>
        </xdr:cNvPr>
        <xdr:cNvSpPr/>
      </xdr:nvSpPr>
      <xdr:spPr>
        <a:xfrm>
          <a:off x="8276774" y="3335566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7C2AF214-50D4-42BB-9249-F79A419D081A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25 000,00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13</xdr:col>
      <xdr:colOff>175987</xdr:colOff>
      <xdr:row>14</xdr:row>
      <xdr:rowOff>65316</xdr:rowOff>
    </xdr:from>
    <xdr:to>
      <xdr:col>14</xdr:col>
      <xdr:colOff>293916</xdr:colOff>
      <xdr:row>16</xdr:row>
      <xdr:rowOff>10888</xdr:rowOff>
    </xdr:to>
    <xdr:sp macro="" textlink="">
      <xdr:nvSpPr>
        <xdr:cNvPr id="120" name="ZoneTexte 119">
          <a:extLst>
            <a:ext uri="{FF2B5EF4-FFF2-40B4-BE49-F238E27FC236}">
              <a16:creationId xmlns:a16="http://schemas.microsoft.com/office/drawing/2014/main" id="{8FB5B922-34B9-4814-8333-1AFA14BA5732}"/>
            </a:ext>
          </a:extLst>
        </xdr:cNvPr>
        <xdr:cNvSpPr txBox="1"/>
      </xdr:nvSpPr>
      <xdr:spPr>
        <a:xfrm>
          <a:off x="9319987" y="3331030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Tonnes</a:t>
          </a:r>
        </a:p>
      </xdr:txBody>
    </xdr:sp>
    <xdr:clientData/>
  </xdr:twoCellAnchor>
  <xdr:twoCellAnchor>
    <xdr:from>
      <xdr:col>17</xdr:col>
      <xdr:colOff>194132</xdr:colOff>
      <xdr:row>11</xdr:row>
      <xdr:rowOff>106136</xdr:rowOff>
    </xdr:from>
    <xdr:to>
      <xdr:col>22</xdr:col>
      <xdr:colOff>411847</xdr:colOff>
      <xdr:row>13</xdr:row>
      <xdr:rowOff>110672</xdr:rowOff>
    </xdr:to>
    <xdr:sp macro="" textlink="Données!AL38">
      <xdr:nvSpPr>
        <xdr:cNvPr id="121" name="Rectangle : coins arrondis 120">
          <a:extLst>
            <a:ext uri="{FF2B5EF4-FFF2-40B4-BE49-F238E27FC236}">
              <a16:creationId xmlns:a16="http://schemas.microsoft.com/office/drawing/2014/main" id="{CAEB0D5F-05E8-48CB-AAC1-484629DBA996}"/>
            </a:ext>
          </a:extLst>
        </xdr:cNvPr>
        <xdr:cNvSpPr/>
      </xdr:nvSpPr>
      <xdr:spPr>
        <a:xfrm>
          <a:off x="12386132" y="2827565"/>
          <a:ext cx="4027715" cy="367393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Abadi" panose="020B0604020104020204" pitchFamily="34" charset="0"/>
            </a:rPr>
            <a:t>Importation aout 2026</a:t>
          </a:r>
        </a:p>
      </xdr:txBody>
    </xdr:sp>
    <xdr:clientData/>
  </xdr:twoCellAnchor>
  <xdr:twoCellAnchor>
    <xdr:from>
      <xdr:col>19</xdr:col>
      <xdr:colOff>729347</xdr:colOff>
      <xdr:row>14</xdr:row>
      <xdr:rowOff>69852</xdr:rowOff>
    </xdr:from>
    <xdr:to>
      <xdr:col>22</xdr:col>
      <xdr:colOff>400954</xdr:colOff>
      <xdr:row>16</xdr:row>
      <xdr:rowOff>19959</xdr:rowOff>
    </xdr:to>
    <xdr:sp macro="" textlink="Données!AS38">
      <xdr:nvSpPr>
        <xdr:cNvPr id="122" name="Rectangle : coins arrondis 121">
          <a:extLst>
            <a:ext uri="{FF2B5EF4-FFF2-40B4-BE49-F238E27FC236}">
              <a16:creationId xmlns:a16="http://schemas.microsoft.com/office/drawing/2014/main" id="{88920102-535B-46BD-B577-D3144CE410AB}"/>
            </a:ext>
          </a:extLst>
        </xdr:cNvPr>
        <xdr:cNvSpPr/>
      </xdr:nvSpPr>
      <xdr:spPr>
        <a:xfrm>
          <a:off x="14445347" y="3335566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E77DD693-90BC-407E-8EA6-0417BCE593A8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352 995 542,90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21</xdr:col>
      <xdr:colOff>248560</xdr:colOff>
      <xdr:row>14</xdr:row>
      <xdr:rowOff>65316</xdr:rowOff>
    </xdr:from>
    <xdr:to>
      <xdr:col>22</xdr:col>
      <xdr:colOff>366489</xdr:colOff>
      <xdr:row>16</xdr:row>
      <xdr:rowOff>10888</xdr:rowOff>
    </xdr:to>
    <xdr:sp macro="" textlink="">
      <xdr:nvSpPr>
        <xdr:cNvPr id="123" name="ZoneTexte 122">
          <a:extLst>
            <a:ext uri="{FF2B5EF4-FFF2-40B4-BE49-F238E27FC236}">
              <a16:creationId xmlns:a16="http://schemas.microsoft.com/office/drawing/2014/main" id="{4D6429BD-30EF-4CFE-8F2B-B0BF03C0953B}"/>
            </a:ext>
          </a:extLst>
        </xdr:cNvPr>
        <xdr:cNvSpPr txBox="1"/>
      </xdr:nvSpPr>
      <xdr:spPr>
        <a:xfrm>
          <a:off x="15488560" y="3331030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  DZD</a:t>
          </a:r>
          <a:r>
            <a:rPr lang="fr-FR" sz="1100" b="1" baseline="0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TTC</a:t>
          </a:r>
          <a:endParaRPr lang="fr-FR" sz="1100" b="1">
            <a:solidFill>
              <a:schemeClr val="accent4">
                <a:lumMod val="60000"/>
                <a:lumOff val="40000"/>
              </a:schemeClr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17</xdr:col>
      <xdr:colOff>210462</xdr:colOff>
      <xdr:row>14</xdr:row>
      <xdr:rowOff>68038</xdr:rowOff>
    </xdr:from>
    <xdr:to>
      <xdr:col>19</xdr:col>
      <xdr:colOff>644069</xdr:colOff>
      <xdr:row>16</xdr:row>
      <xdr:rowOff>18145</xdr:rowOff>
    </xdr:to>
    <xdr:sp macro="" textlink="Données!AE38">
      <xdr:nvSpPr>
        <xdr:cNvPr id="124" name="Rectangle : coins arrondis 123">
          <a:extLst>
            <a:ext uri="{FF2B5EF4-FFF2-40B4-BE49-F238E27FC236}">
              <a16:creationId xmlns:a16="http://schemas.microsoft.com/office/drawing/2014/main" id="{63FCD1A0-4071-4D7D-80ED-3A9EBB339EF5}"/>
            </a:ext>
          </a:extLst>
        </xdr:cNvPr>
        <xdr:cNvSpPr/>
      </xdr:nvSpPr>
      <xdr:spPr>
        <a:xfrm>
          <a:off x="12402462" y="3333752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07D421EC-0097-4C50-BDA1-E838EF3EA40F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2 500,00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18</xdr:col>
      <xdr:colOff>491675</xdr:colOff>
      <xdr:row>14</xdr:row>
      <xdr:rowOff>63502</xdr:rowOff>
    </xdr:from>
    <xdr:to>
      <xdr:col>19</xdr:col>
      <xdr:colOff>609604</xdr:colOff>
      <xdr:row>16</xdr:row>
      <xdr:rowOff>9074</xdr:rowOff>
    </xdr:to>
    <xdr:sp macro="" textlink="">
      <xdr:nvSpPr>
        <xdr:cNvPr id="125" name="ZoneTexte 124">
          <a:extLst>
            <a:ext uri="{FF2B5EF4-FFF2-40B4-BE49-F238E27FC236}">
              <a16:creationId xmlns:a16="http://schemas.microsoft.com/office/drawing/2014/main" id="{B485A36A-4F07-4906-9D49-1B75127CA7C7}"/>
            </a:ext>
          </a:extLst>
        </xdr:cNvPr>
        <xdr:cNvSpPr txBox="1"/>
      </xdr:nvSpPr>
      <xdr:spPr>
        <a:xfrm>
          <a:off x="13445675" y="3329216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Tonnes</a:t>
          </a:r>
        </a:p>
      </xdr:txBody>
    </xdr:sp>
    <xdr:clientData/>
  </xdr:twoCellAnchor>
  <xdr:twoCellAnchor>
    <xdr:from>
      <xdr:col>1</xdr:col>
      <xdr:colOff>0</xdr:colOff>
      <xdr:row>17</xdr:row>
      <xdr:rowOff>109764</xdr:rowOff>
    </xdr:from>
    <xdr:to>
      <xdr:col>6</xdr:col>
      <xdr:colOff>217715</xdr:colOff>
      <xdr:row>19</xdr:row>
      <xdr:rowOff>114300</xdr:rowOff>
    </xdr:to>
    <xdr:sp macro="" textlink="Données!AL38">
      <xdr:nvSpPr>
        <xdr:cNvPr id="126" name="Rectangle : coins arrondis 125">
          <a:extLst>
            <a:ext uri="{FF2B5EF4-FFF2-40B4-BE49-F238E27FC236}">
              <a16:creationId xmlns:a16="http://schemas.microsoft.com/office/drawing/2014/main" id="{D3FD13E7-B808-4724-B5DA-134F6DAB4778}"/>
            </a:ext>
          </a:extLst>
        </xdr:cNvPr>
        <xdr:cNvSpPr/>
      </xdr:nvSpPr>
      <xdr:spPr>
        <a:xfrm>
          <a:off x="0" y="3919764"/>
          <a:ext cx="4027715" cy="367393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Abadi" panose="020B0604020104020204" pitchFamily="34" charset="0"/>
            </a:rPr>
            <a:t>Importation septembre 2026</a:t>
          </a:r>
        </a:p>
      </xdr:txBody>
    </xdr:sp>
    <xdr:clientData/>
  </xdr:twoCellAnchor>
  <xdr:twoCellAnchor>
    <xdr:from>
      <xdr:col>3</xdr:col>
      <xdr:colOff>535215</xdr:colOff>
      <xdr:row>20</xdr:row>
      <xdr:rowOff>73479</xdr:rowOff>
    </xdr:from>
    <xdr:to>
      <xdr:col>6</xdr:col>
      <xdr:colOff>206822</xdr:colOff>
      <xdr:row>22</xdr:row>
      <xdr:rowOff>23586</xdr:rowOff>
    </xdr:to>
    <xdr:sp macro="" textlink="Données!AT38">
      <xdr:nvSpPr>
        <xdr:cNvPr id="127" name="Rectangle : coins arrondis 126">
          <a:extLst>
            <a:ext uri="{FF2B5EF4-FFF2-40B4-BE49-F238E27FC236}">
              <a16:creationId xmlns:a16="http://schemas.microsoft.com/office/drawing/2014/main" id="{A21EFED9-6661-4581-A052-97477015B537}"/>
            </a:ext>
          </a:extLst>
        </xdr:cNvPr>
        <xdr:cNvSpPr/>
      </xdr:nvSpPr>
      <xdr:spPr>
        <a:xfrm>
          <a:off x="2059215" y="4427765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3BE6F047-F0DB-47FF-BE50-E8F6942C8E95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59 115 621,37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5</xdr:col>
      <xdr:colOff>54428</xdr:colOff>
      <xdr:row>20</xdr:row>
      <xdr:rowOff>68943</xdr:rowOff>
    </xdr:from>
    <xdr:to>
      <xdr:col>6</xdr:col>
      <xdr:colOff>172357</xdr:colOff>
      <xdr:row>22</xdr:row>
      <xdr:rowOff>14515</xdr:rowOff>
    </xdr:to>
    <xdr:sp macro="" textlink="">
      <xdr:nvSpPr>
        <xdr:cNvPr id="128" name="ZoneTexte 127">
          <a:extLst>
            <a:ext uri="{FF2B5EF4-FFF2-40B4-BE49-F238E27FC236}">
              <a16:creationId xmlns:a16="http://schemas.microsoft.com/office/drawing/2014/main" id="{EF033D2B-AFAB-4DB4-867E-2053565C86A9}"/>
            </a:ext>
          </a:extLst>
        </xdr:cNvPr>
        <xdr:cNvSpPr txBox="1"/>
      </xdr:nvSpPr>
      <xdr:spPr>
        <a:xfrm>
          <a:off x="3102428" y="4423229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  DZD</a:t>
          </a:r>
          <a:r>
            <a:rPr lang="fr-FR" sz="1100" b="1" baseline="0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TTC</a:t>
          </a:r>
          <a:endParaRPr lang="fr-FR" sz="1100" b="1">
            <a:solidFill>
              <a:schemeClr val="accent4">
                <a:lumMod val="60000"/>
                <a:lumOff val="40000"/>
              </a:schemeClr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</xdr:col>
      <xdr:colOff>16330</xdr:colOff>
      <xdr:row>20</xdr:row>
      <xdr:rowOff>71665</xdr:rowOff>
    </xdr:from>
    <xdr:to>
      <xdr:col>3</xdr:col>
      <xdr:colOff>449937</xdr:colOff>
      <xdr:row>22</xdr:row>
      <xdr:rowOff>21772</xdr:rowOff>
    </xdr:to>
    <xdr:sp macro="" textlink="Données!AF38">
      <xdr:nvSpPr>
        <xdr:cNvPr id="129" name="Rectangle : coins arrondis 128">
          <a:extLst>
            <a:ext uri="{FF2B5EF4-FFF2-40B4-BE49-F238E27FC236}">
              <a16:creationId xmlns:a16="http://schemas.microsoft.com/office/drawing/2014/main" id="{589C8DCB-ED8E-4C3D-9CF3-FCA4A4231613}"/>
            </a:ext>
          </a:extLst>
        </xdr:cNvPr>
        <xdr:cNvSpPr/>
      </xdr:nvSpPr>
      <xdr:spPr>
        <a:xfrm>
          <a:off x="16330" y="4425951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712F4D0F-2D96-47F6-9C61-3A099BD26115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49 800,00</a:t>
          </a:fld>
          <a:endParaRPr lang="fr-FR" sz="3600" b="1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2</xdr:col>
      <xdr:colOff>297543</xdr:colOff>
      <xdr:row>20</xdr:row>
      <xdr:rowOff>67129</xdr:rowOff>
    </xdr:from>
    <xdr:to>
      <xdr:col>3</xdr:col>
      <xdr:colOff>415472</xdr:colOff>
      <xdr:row>22</xdr:row>
      <xdr:rowOff>12701</xdr:rowOff>
    </xdr:to>
    <xdr:sp macro="" textlink="">
      <xdr:nvSpPr>
        <xdr:cNvPr id="130" name="ZoneTexte 129">
          <a:extLst>
            <a:ext uri="{FF2B5EF4-FFF2-40B4-BE49-F238E27FC236}">
              <a16:creationId xmlns:a16="http://schemas.microsoft.com/office/drawing/2014/main" id="{DCB9EA14-56B6-4EC0-9B22-D25631D975F7}"/>
            </a:ext>
          </a:extLst>
        </xdr:cNvPr>
        <xdr:cNvSpPr txBox="1"/>
      </xdr:nvSpPr>
      <xdr:spPr>
        <a:xfrm>
          <a:off x="1059543" y="4421415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Tonnes</a:t>
          </a:r>
        </a:p>
      </xdr:txBody>
    </xdr:sp>
    <xdr:clientData/>
  </xdr:twoCellAnchor>
  <xdr:twoCellAnchor>
    <xdr:from>
      <xdr:col>6</xdr:col>
      <xdr:colOff>324756</xdr:colOff>
      <xdr:row>17</xdr:row>
      <xdr:rowOff>117022</xdr:rowOff>
    </xdr:from>
    <xdr:to>
      <xdr:col>11</xdr:col>
      <xdr:colOff>542471</xdr:colOff>
      <xdr:row>19</xdr:row>
      <xdr:rowOff>121558</xdr:rowOff>
    </xdr:to>
    <xdr:sp macro="" textlink="Données!AL38">
      <xdr:nvSpPr>
        <xdr:cNvPr id="131" name="Rectangle : coins arrondis 130">
          <a:extLst>
            <a:ext uri="{FF2B5EF4-FFF2-40B4-BE49-F238E27FC236}">
              <a16:creationId xmlns:a16="http://schemas.microsoft.com/office/drawing/2014/main" id="{06E54866-A18A-45A6-9D6A-C40ECBA8BCDC}"/>
            </a:ext>
          </a:extLst>
        </xdr:cNvPr>
        <xdr:cNvSpPr/>
      </xdr:nvSpPr>
      <xdr:spPr>
        <a:xfrm>
          <a:off x="4134756" y="3927022"/>
          <a:ext cx="4027715" cy="367393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Abadi" panose="020B0604020104020204" pitchFamily="34" charset="0"/>
            </a:rPr>
            <a:t>Importation octobre 2026</a:t>
          </a:r>
        </a:p>
      </xdr:txBody>
    </xdr:sp>
    <xdr:clientData/>
  </xdr:twoCellAnchor>
  <xdr:twoCellAnchor>
    <xdr:from>
      <xdr:col>9</xdr:col>
      <xdr:colOff>97971</xdr:colOff>
      <xdr:row>20</xdr:row>
      <xdr:rowOff>80737</xdr:rowOff>
    </xdr:from>
    <xdr:to>
      <xdr:col>11</xdr:col>
      <xdr:colOff>531578</xdr:colOff>
      <xdr:row>22</xdr:row>
      <xdr:rowOff>30844</xdr:rowOff>
    </xdr:to>
    <xdr:sp macro="" textlink="Données!AU38">
      <xdr:nvSpPr>
        <xdr:cNvPr id="132" name="Rectangle : coins arrondis 131">
          <a:extLst>
            <a:ext uri="{FF2B5EF4-FFF2-40B4-BE49-F238E27FC236}">
              <a16:creationId xmlns:a16="http://schemas.microsoft.com/office/drawing/2014/main" id="{92162156-FAAA-4350-BD9B-E2233D17FB85}"/>
            </a:ext>
          </a:extLst>
        </xdr:cNvPr>
        <xdr:cNvSpPr/>
      </xdr:nvSpPr>
      <xdr:spPr>
        <a:xfrm>
          <a:off x="6193971" y="4435023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BB5BAF0F-8EA4-4DA3-B727-0D1C37530EAB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11 905 950,00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10</xdr:col>
      <xdr:colOff>379184</xdr:colOff>
      <xdr:row>20</xdr:row>
      <xdr:rowOff>76201</xdr:rowOff>
    </xdr:from>
    <xdr:to>
      <xdr:col>11</xdr:col>
      <xdr:colOff>497113</xdr:colOff>
      <xdr:row>22</xdr:row>
      <xdr:rowOff>21773</xdr:rowOff>
    </xdr:to>
    <xdr:sp macro="" textlink="">
      <xdr:nvSpPr>
        <xdr:cNvPr id="133" name="ZoneTexte 132">
          <a:extLst>
            <a:ext uri="{FF2B5EF4-FFF2-40B4-BE49-F238E27FC236}">
              <a16:creationId xmlns:a16="http://schemas.microsoft.com/office/drawing/2014/main" id="{EA0402DE-E39D-4DD7-9DF5-CC1474849E0B}"/>
            </a:ext>
          </a:extLst>
        </xdr:cNvPr>
        <xdr:cNvSpPr txBox="1"/>
      </xdr:nvSpPr>
      <xdr:spPr>
        <a:xfrm>
          <a:off x="7237184" y="4430487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  DZD</a:t>
          </a:r>
          <a:r>
            <a:rPr lang="fr-FR" sz="1100" b="1" baseline="0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TTC</a:t>
          </a:r>
          <a:endParaRPr lang="fr-FR" sz="1100" b="1">
            <a:solidFill>
              <a:schemeClr val="accent4">
                <a:lumMod val="60000"/>
                <a:lumOff val="40000"/>
              </a:schemeClr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6</xdr:col>
      <xdr:colOff>341086</xdr:colOff>
      <xdr:row>20</xdr:row>
      <xdr:rowOff>78923</xdr:rowOff>
    </xdr:from>
    <xdr:to>
      <xdr:col>9</xdr:col>
      <xdr:colOff>12693</xdr:colOff>
      <xdr:row>22</xdr:row>
      <xdr:rowOff>29030</xdr:rowOff>
    </xdr:to>
    <xdr:sp macro="" textlink="Données!AG38">
      <xdr:nvSpPr>
        <xdr:cNvPr id="134" name="Rectangle : coins arrondis 133">
          <a:extLst>
            <a:ext uri="{FF2B5EF4-FFF2-40B4-BE49-F238E27FC236}">
              <a16:creationId xmlns:a16="http://schemas.microsoft.com/office/drawing/2014/main" id="{1FE03743-1659-4611-961B-938DC3C572B9}"/>
            </a:ext>
          </a:extLst>
        </xdr:cNvPr>
        <xdr:cNvSpPr/>
      </xdr:nvSpPr>
      <xdr:spPr>
        <a:xfrm>
          <a:off x="4151086" y="4433209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CE307BDD-35AC-4DCD-B725-D812838FC7CB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24 000,00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7</xdr:col>
      <xdr:colOff>622299</xdr:colOff>
      <xdr:row>20</xdr:row>
      <xdr:rowOff>74387</xdr:rowOff>
    </xdr:from>
    <xdr:to>
      <xdr:col>8</xdr:col>
      <xdr:colOff>740228</xdr:colOff>
      <xdr:row>22</xdr:row>
      <xdr:rowOff>19959</xdr:rowOff>
    </xdr:to>
    <xdr:sp macro="" textlink="">
      <xdr:nvSpPr>
        <xdr:cNvPr id="135" name="ZoneTexte 134">
          <a:extLst>
            <a:ext uri="{FF2B5EF4-FFF2-40B4-BE49-F238E27FC236}">
              <a16:creationId xmlns:a16="http://schemas.microsoft.com/office/drawing/2014/main" id="{6C311B28-77B1-421E-A2F1-D3253B21CC48}"/>
            </a:ext>
          </a:extLst>
        </xdr:cNvPr>
        <xdr:cNvSpPr txBox="1"/>
      </xdr:nvSpPr>
      <xdr:spPr>
        <a:xfrm>
          <a:off x="5194299" y="4428673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Tonnes</a:t>
          </a:r>
        </a:p>
      </xdr:txBody>
    </xdr:sp>
    <xdr:clientData/>
  </xdr:twoCellAnchor>
  <xdr:twoCellAnchor>
    <xdr:from>
      <xdr:col>11</xdr:col>
      <xdr:colOff>640444</xdr:colOff>
      <xdr:row>17</xdr:row>
      <xdr:rowOff>115208</xdr:rowOff>
    </xdr:from>
    <xdr:to>
      <xdr:col>17</xdr:col>
      <xdr:colOff>96159</xdr:colOff>
      <xdr:row>19</xdr:row>
      <xdr:rowOff>119744</xdr:rowOff>
    </xdr:to>
    <xdr:sp macro="" textlink="Données!AL38">
      <xdr:nvSpPr>
        <xdr:cNvPr id="136" name="Rectangle : coins arrondis 135">
          <a:extLst>
            <a:ext uri="{FF2B5EF4-FFF2-40B4-BE49-F238E27FC236}">
              <a16:creationId xmlns:a16="http://schemas.microsoft.com/office/drawing/2014/main" id="{3C64E2FE-6656-494A-93F3-7AB31F6BABE1}"/>
            </a:ext>
          </a:extLst>
        </xdr:cNvPr>
        <xdr:cNvSpPr/>
      </xdr:nvSpPr>
      <xdr:spPr>
        <a:xfrm>
          <a:off x="8260444" y="3925208"/>
          <a:ext cx="4027715" cy="367393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Abadi" panose="020B0604020104020204" pitchFamily="34" charset="0"/>
            </a:rPr>
            <a:t>Importation novembre 2026</a:t>
          </a:r>
        </a:p>
      </xdr:txBody>
    </xdr:sp>
    <xdr:clientData/>
  </xdr:twoCellAnchor>
  <xdr:twoCellAnchor>
    <xdr:from>
      <xdr:col>14</xdr:col>
      <xdr:colOff>413659</xdr:colOff>
      <xdr:row>20</xdr:row>
      <xdr:rowOff>78923</xdr:rowOff>
    </xdr:from>
    <xdr:to>
      <xdr:col>17</xdr:col>
      <xdr:colOff>85266</xdr:colOff>
      <xdr:row>22</xdr:row>
      <xdr:rowOff>29030</xdr:rowOff>
    </xdr:to>
    <xdr:sp macro="" textlink="Données!AV38">
      <xdr:nvSpPr>
        <xdr:cNvPr id="137" name="Rectangle : coins arrondis 136">
          <a:extLst>
            <a:ext uri="{FF2B5EF4-FFF2-40B4-BE49-F238E27FC236}">
              <a16:creationId xmlns:a16="http://schemas.microsoft.com/office/drawing/2014/main" id="{82B4A4D4-FAA6-4593-ADB1-A96950C65621}"/>
            </a:ext>
          </a:extLst>
        </xdr:cNvPr>
        <xdr:cNvSpPr/>
      </xdr:nvSpPr>
      <xdr:spPr>
        <a:xfrm>
          <a:off x="10319659" y="4433209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9C0EAE6A-0876-410A-99DE-C5E5A3BA7E20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85 939 528,29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15</xdr:col>
      <xdr:colOff>694872</xdr:colOff>
      <xdr:row>20</xdr:row>
      <xdr:rowOff>74387</xdr:rowOff>
    </xdr:from>
    <xdr:to>
      <xdr:col>17</xdr:col>
      <xdr:colOff>50801</xdr:colOff>
      <xdr:row>22</xdr:row>
      <xdr:rowOff>19959</xdr:rowOff>
    </xdr:to>
    <xdr:sp macro="" textlink="">
      <xdr:nvSpPr>
        <xdr:cNvPr id="138" name="ZoneTexte 137">
          <a:extLst>
            <a:ext uri="{FF2B5EF4-FFF2-40B4-BE49-F238E27FC236}">
              <a16:creationId xmlns:a16="http://schemas.microsoft.com/office/drawing/2014/main" id="{4018CD6C-9CE9-4386-BE85-E3DBC0E2C34A}"/>
            </a:ext>
          </a:extLst>
        </xdr:cNvPr>
        <xdr:cNvSpPr txBox="1"/>
      </xdr:nvSpPr>
      <xdr:spPr>
        <a:xfrm>
          <a:off x="11362872" y="4428673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  DZD</a:t>
          </a:r>
          <a:r>
            <a:rPr lang="fr-FR" sz="1100" b="1" baseline="0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TTC</a:t>
          </a:r>
          <a:endParaRPr lang="fr-FR" sz="1100" b="1">
            <a:solidFill>
              <a:schemeClr val="accent4">
                <a:lumMod val="60000"/>
                <a:lumOff val="40000"/>
              </a:schemeClr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11</xdr:col>
      <xdr:colOff>656774</xdr:colOff>
      <xdr:row>20</xdr:row>
      <xdr:rowOff>77109</xdr:rowOff>
    </xdr:from>
    <xdr:to>
      <xdr:col>14</xdr:col>
      <xdr:colOff>328381</xdr:colOff>
      <xdr:row>22</xdr:row>
      <xdr:rowOff>27216</xdr:rowOff>
    </xdr:to>
    <xdr:sp macro="" textlink="Données!AH38">
      <xdr:nvSpPr>
        <xdr:cNvPr id="139" name="Rectangle : coins arrondis 138">
          <a:extLst>
            <a:ext uri="{FF2B5EF4-FFF2-40B4-BE49-F238E27FC236}">
              <a16:creationId xmlns:a16="http://schemas.microsoft.com/office/drawing/2014/main" id="{63923B41-AEAB-453D-A523-74952A953CF3}"/>
            </a:ext>
          </a:extLst>
        </xdr:cNvPr>
        <xdr:cNvSpPr/>
      </xdr:nvSpPr>
      <xdr:spPr>
        <a:xfrm>
          <a:off x="8276774" y="4431395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EF763128-37FE-45D3-937A-8BAB0E00297F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49 100,00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13</xdr:col>
      <xdr:colOff>175987</xdr:colOff>
      <xdr:row>20</xdr:row>
      <xdr:rowOff>72573</xdr:rowOff>
    </xdr:from>
    <xdr:to>
      <xdr:col>14</xdr:col>
      <xdr:colOff>293916</xdr:colOff>
      <xdr:row>22</xdr:row>
      <xdr:rowOff>18145</xdr:rowOff>
    </xdr:to>
    <xdr:sp macro="" textlink="">
      <xdr:nvSpPr>
        <xdr:cNvPr id="140" name="ZoneTexte 139">
          <a:extLst>
            <a:ext uri="{FF2B5EF4-FFF2-40B4-BE49-F238E27FC236}">
              <a16:creationId xmlns:a16="http://schemas.microsoft.com/office/drawing/2014/main" id="{DE20B976-DE0B-49F0-8B9B-7D96CE3035C3}"/>
            </a:ext>
          </a:extLst>
        </xdr:cNvPr>
        <xdr:cNvSpPr txBox="1"/>
      </xdr:nvSpPr>
      <xdr:spPr>
        <a:xfrm>
          <a:off x="9319987" y="4426859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Tonnes</a:t>
          </a:r>
        </a:p>
      </xdr:txBody>
    </xdr:sp>
    <xdr:clientData/>
  </xdr:twoCellAnchor>
  <xdr:twoCellAnchor>
    <xdr:from>
      <xdr:col>17</xdr:col>
      <xdr:colOff>194132</xdr:colOff>
      <xdr:row>17</xdr:row>
      <xdr:rowOff>113394</xdr:rowOff>
    </xdr:from>
    <xdr:to>
      <xdr:col>22</xdr:col>
      <xdr:colOff>411847</xdr:colOff>
      <xdr:row>19</xdr:row>
      <xdr:rowOff>117930</xdr:rowOff>
    </xdr:to>
    <xdr:sp macro="" textlink="Données!AL38">
      <xdr:nvSpPr>
        <xdr:cNvPr id="141" name="Rectangle : coins arrondis 140">
          <a:extLst>
            <a:ext uri="{FF2B5EF4-FFF2-40B4-BE49-F238E27FC236}">
              <a16:creationId xmlns:a16="http://schemas.microsoft.com/office/drawing/2014/main" id="{B024E391-8EC6-41CF-A475-DBB4BC1F41E2}"/>
            </a:ext>
          </a:extLst>
        </xdr:cNvPr>
        <xdr:cNvSpPr/>
      </xdr:nvSpPr>
      <xdr:spPr>
        <a:xfrm>
          <a:off x="12386132" y="3923394"/>
          <a:ext cx="4027715" cy="367393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Abadi" panose="020B0604020104020204" pitchFamily="34" charset="0"/>
            </a:rPr>
            <a:t>Importation décembre 2026</a:t>
          </a:r>
        </a:p>
      </xdr:txBody>
    </xdr:sp>
    <xdr:clientData/>
  </xdr:twoCellAnchor>
  <xdr:twoCellAnchor>
    <xdr:from>
      <xdr:col>19</xdr:col>
      <xdr:colOff>729347</xdr:colOff>
      <xdr:row>20</xdr:row>
      <xdr:rowOff>77109</xdr:rowOff>
    </xdr:from>
    <xdr:to>
      <xdr:col>22</xdr:col>
      <xdr:colOff>400954</xdr:colOff>
      <xdr:row>22</xdr:row>
      <xdr:rowOff>27216</xdr:rowOff>
    </xdr:to>
    <xdr:sp macro="" textlink="Données!AW38">
      <xdr:nvSpPr>
        <xdr:cNvPr id="142" name="Rectangle : coins arrondis 141">
          <a:extLst>
            <a:ext uri="{FF2B5EF4-FFF2-40B4-BE49-F238E27FC236}">
              <a16:creationId xmlns:a16="http://schemas.microsoft.com/office/drawing/2014/main" id="{7E468A40-1762-4685-B0FA-A91D335C84FF}"/>
            </a:ext>
          </a:extLst>
        </xdr:cNvPr>
        <xdr:cNvSpPr/>
      </xdr:nvSpPr>
      <xdr:spPr>
        <a:xfrm>
          <a:off x="14445347" y="4431395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3C065026-0997-42DE-8D4A-11AB5C6E53ED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426 282 618,13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21</xdr:col>
      <xdr:colOff>248560</xdr:colOff>
      <xdr:row>20</xdr:row>
      <xdr:rowOff>72573</xdr:rowOff>
    </xdr:from>
    <xdr:to>
      <xdr:col>22</xdr:col>
      <xdr:colOff>366489</xdr:colOff>
      <xdr:row>22</xdr:row>
      <xdr:rowOff>18145</xdr:rowOff>
    </xdr:to>
    <xdr:sp macro="" textlink="">
      <xdr:nvSpPr>
        <xdr:cNvPr id="143" name="ZoneTexte 142">
          <a:extLst>
            <a:ext uri="{FF2B5EF4-FFF2-40B4-BE49-F238E27FC236}">
              <a16:creationId xmlns:a16="http://schemas.microsoft.com/office/drawing/2014/main" id="{E55EB2E6-BF62-44E1-B64A-1EC851994C54}"/>
            </a:ext>
          </a:extLst>
        </xdr:cNvPr>
        <xdr:cNvSpPr txBox="1"/>
      </xdr:nvSpPr>
      <xdr:spPr>
        <a:xfrm>
          <a:off x="15488560" y="4426859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  DZD</a:t>
          </a:r>
          <a:r>
            <a:rPr lang="fr-FR" sz="1100" b="1" baseline="0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 TTC</a:t>
          </a:r>
          <a:endParaRPr lang="fr-FR" sz="1100" b="1">
            <a:solidFill>
              <a:schemeClr val="accent4">
                <a:lumMod val="60000"/>
                <a:lumOff val="40000"/>
              </a:schemeClr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17</xdr:col>
      <xdr:colOff>210462</xdr:colOff>
      <xdr:row>20</xdr:row>
      <xdr:rowOff>75295</xdr:rowOff>
    </xdr:from>
    <xdr:to>
      <xdr:col>19</xdr:col>
      <xdr:colOff>644069</xdr:colOff>
      <xdr:row>22</xdr:row>
      <xdr:rowOff>25402</xdr:rowOff>
    </xdr:to>
    <xdr:sp macro="" textlink="Données!AI38">
      <xdr:nvSpPr>
        <xdr:cNvPr id="144" name="Rectangle : coins arrondis 143">
          <a:extLst>
            <a:ext uri="{FF2B5EF4-FFF2-40B4-BE49-F238E27FC236}">
              <a16:creationId xmlns:a16="http://schemas.microsoft.com/office/drawing/2014/main" id="{ED7B3EFA-E2E1-4E51-A637-73C6B9AA8A90}"/>
            </a:ext>
          </a:extLst>
        </xdr:cNvPr>
        <xdr:cNvSpPr/>
      </xdr:nvSpPr>
      <xdr:spPr>
        <a:xfrm>
          <a:off x="12402462" y="4429581"/>
          <a:ext cx="1957607" cy="312964"/>
        </a:xfrm>
        <a:prstGeom prst="roundRect">
          <a:avLst/>
        </a:prstGeom>
        <a:solidFill>
          <a:srgbClr val="7F92AD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51F5E44C-57C7-4FAA-9274-9732FEEECA83}" type="TxLink">
            <a:rPr lang="en-US" sz="1200" b="1" i="0" u="none" strike="noStrike">
              <a:solidFill>
                <a:schemeClr val="bg1"/>
              </a:solidFill>
              <a:latin typeface="Abadi" panose="020B0604020104020204" pitchFamily="34" charset="0"/>
              <a:ea typeface="Calibri"/>
              <a:cs typeface="Calibri"/>
            </a:rPr>
            <a:pPr algn="l"/>
            <a:t>26 250,00</a:t>
          </a:fld>
          <a:endParaRPr lang="fr-FR" sz="36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18</xdr:col>
      <xdr:colOff>491675</xdr:colOff>
      <xdr:row>20</xdr:row>
      <xdr:rowOff>70759</xdr:rowOff>
    </xdr:from>
    <xdr:to>
      <xdr:col>19</xdr:col>
      <xdr:colOff>609604</xdr:colOff>
      <xdr:row>22</xdr:row>
      <xdr:rowOff>16331</xdr:rowOff>
    </xdr:to>
    <xdr:sp macro="" textlink="">
      <xdr:nvSpPr>
        <xdr:cNvPr id="145" name="ZoneTexte 144">
          <a:extLst>
            <a:ext uri="{FF2B5EF4-FFF2-40B4-BE49-F238E27FC236}">
              <a16:creationId xmlns:a16="http://schemas.microsoft.com/office/drawing/2014/main" id="{900C100D-4CAC-43F8-B3B6-505E0841CEB5}"/>
            </a:ext>
          </a:extLst>
        </xdr:cNvPr>
        <xdr:cNvSpPr txBox="1"/>
      </xdr:nvSpPr>
      <xdr:spPr>
        <a:xfrm>
          <a:off x="13445675" y="4425045"/>
          <a:ext cx="879929" cy="3084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  <a:latin typeface="Abadi" panose="020B0604020104020204" pitchFamily="34" charset="0"/>
            </a:rPr>
            <a:t>Tonnes</a:t>
          </a:r>
        </a:p>
      </xdr:txBody>
    </xdr:sp>
    <xdr:clientData/>
  </xdr:twoCellAnchor>
  <xdr:twoCellAnchor>
    <xdr:from>
      <xdr:col>1</xdr:col>
      <xdr:colOff>71058</xdr:colOff>
      <xdr:row>23</xdr:row>
      <xdr:rowOff>133654</xdr:rowOff>
    </xdr:from>
    <xdr:to>
      <xdr:col>4</xdr:col>
      <xdr:colOff>44450</xdr:colOff>
      <xdr:row>37</xdr:row>
      <xdr:rowOff>116416</xdr:rowOff>
    </xdr:to>
    <xdr:sp macro="" textlink="Données!AK38">
      <xdr:nvSpPr>
        <xdr:cNvPr id="146" name="Cylindre 145">
          <a:extLst>
            <a:ext uri="{FF2B5EF4-FFF2-40B4-BE49-F238E27FC236}">
              <a16:creationId xmlns:a16="http://schemas.microsoft.com/office/drawing/2014/main" id="{9D0C983C-7AB8-427B-9990-651033B7BB5A}"/>
            </a:ext>
          </a:extLst>
        </xdr:cNvPr>
        <xdr:cNvSpPr/>
      </xdr:nvSpPr>
      <xdr:spPr>
        <a:xfrm>
          <a:off x="187475" y="4271737"/>
          <a:ext cx="2259392" cy="2501596"/>
        </a:xfrm>
        <a:prstGeom prst="can">
          <a:avLst/>
        </a:prstGeom>
        <a:solidFill>
          <a:srgbClr val="CFADAD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fld id="{7711B36D-B7BF-42F3-8C99-31A8A435BA44}" type="TxLink">
            <a:rPr lang="en-US" sz="2400" b="0" i="0" u="none" strike="noStrike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badi" panose="020B0604020104020204" pitchFamily="34" charset="0"/>
            </a:rPr>
            <a:pPr algn="ctr"/>
            <a:t>6 058,70</a:t>
          </a:fld>
          <a:endParaRPr lang="en-US" sz="54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Abadi" panose="020B0604020104020204" pitchFamily="34" charset="0"/>
          </a:endParaRPr>
        </a:p>
      </xdr:txBody>
    </xdr:sp>
    <xdr:clientData/>
  </xdr:twoCellAnchor>
  <xdr:twoCellAnchor>
    <xdr:from>
      <xdr:col>1</xdr:col>
      <xdr:colOff>74082</xdr:colOff>
      <xdr:row>26</xdr:row>
      <xdr:rowOff>179913</xdr:rowOff>
    </xdr:from>
    <xdr:to>
      <xdr:col>3</xdr:col>
      <xdr:colOff>634999</xdr:colOff>
      <xdr:row>30</xdr:row>
      <xdr:rowOff>74080</xdr:rowOff>
    </xdr:to>
    <xdr:sp macro="" textlink="">
      <xdr:nvSpPr>
        <xdr:cNvPr id="148" name="ZoneTexte 147">
          <a:extLst>
            <a:ext uri="{FF2B5EF4-FFF2-40B4-BE49-F238E27FC236}">
              <a16:creationId xmlns:a16="http://schemas.microsoft.com/office/drawing/2014/main" id="{34018A30-A182-415F-AEDF-4649AB2801E2}"/>
            </a:ext>
          </a:extLst>
        </xdr:cNvPr>
        <xdr:cNvSpPr txBox="1"/>
      </xdr:nvSpPr>
      <xdr:spPr>
        <a:xfrm>
          <a:off x="190499" y="4857746"/>
          <a:ext cx="2084917" cy="61383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  <a:latin typeface="Abadi" panose="020B0604020104020204" pitchFamily="34" charset="0"/>
            </a:rPr>
            <a:t>Total importatiosn 2026 en Tonnes</a:t>
          </a:r>
        </a:p>
      </xdr:txBody>
    </xdr:sp>
    <xdr:clientData/>
  </xdr:twoCellAnchor>
  <xdr:twoCellAnchor>
    <xdr:from>
      <xdr:col>1</xdr:col>
      <xdr:colOff>-1</xdr:colOff>
      <xdr:row>0</xdr:row>
      <xdr:rowOff>135466</xdr:rowOff>
    </xdr:from>
    <xdr:to>
      <xdr:col>5</xdr:col>
      <xdr:colOff>-1</xdr:colOff>
      <xdr:row>3</xdr:row>
      <xdr:rowOff>40216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7D584AD-9902-4DF5-92F3-2E439B2B314B}"/>
            </a:ext>
          </a:extLst>
        </xdr:cNvPr>
        <xdr:cNvSpPr/>
      </xdr:nvSpPr>
      <xdr:spPr>
        <a:xfrm>
          <a:off x="116416" y="135466"/>
          <a:ext cx="3048000" cy="444500"/>
        </a:xfrm>
        <a:prstGeom prst="roundRect">
          <a:avLst/>
        </a:prstGeom>
        <a:solidFill>
          <a:srgbClr val="CE307F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400" b="0">
              <a:latin typeface="Abadi" panose="020B0604020104020204" pitchFamily="34" charset="0"/>
            </a:rPr>
            <a:t>Forecast-volumes annuels importations</a:t>
          </a:r>
        </a:p>
      </xdr:txBody>
    </xdr:sp>
    <xdr:clientData/>
  </xdr:twoCellAnchor>
  <xdr:twoCellAnchor>
    <xdr:from>
      <xdr:col>5</xdr:col>
      <xdr:colOff>162982</xdr:colOff>
      <xdr:row>0</xdr:row>
      <xdr:rowOff>135466</xdr:rowOff>
    </xdr:from>
    <xdr:to>
      <xdr:col>9</xdr:col>
      <xdr:colOff>162982</xdr:colOff>
      <xdr:row>3</xdr:row>
      <xdr:rowOff>40216</xdr:rowOff>
    </xdr:to>
    <xdr:sp macro="" textlink="">
      <xdr:nvSpPr>
        <xdr:cNvPr id="72" name="Rectangle : coins arrondis 7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EFADD23C-C8B7-4EC6-9EBB-5F7962EB0538}"/>
            </a:ext>
          </a:extLst>
        </xdr:cNvPr>
        <xdr:cNvSpPr/>
      </xdr:nvSpPr>
      <xdr:spPr>
        <a:xfrm>
          <a:off x="3327399" y="135466"/>
          <a:ext cx="3048000" cy="444500"/>
        </a:xfrm>
        <a:prstGeom prst="roundRect">
          <a:avLst/>
        </a:prstGeom>
        <a:solidFill>
          <a:srgbClr val="CE307F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400" b="0">
              <a:latin typeface="Abadi" panose="020B0604020104020204" pitchFamily="34" charset="0"/>
            </a:rPr>
            <a:t>CA prévisionnel annuel</a:t>
          </a:r>
        </a:p>
      </xdr:txBody>
    </xdr:sp>
    <xdr:clientData/>
  </xdr:twoCellAnchor>
  <xdr:twoCellAnchor>
    <xdr:from>
      <xdr:col>9</xdr:col>
      <xdr:colOff>325964</xdr:colOff>
      <xdr:row>0</xdr:row>
      <xdr:rowOff>135466</xdr:rowOff>
    </xdr:from>
    <xdr:to>
      <xdr:col>13</xdr:col>
      <xdr:colOff>325964</xdr:colOff>
      <xdr:row>3</xdr:row>
      <xdr:rowOff>40216</xdr:rowOff>
    </xdr:to>
    <xdr:sp macro="" textlink="">
      <xdr:nvSpPr>
        <xdr:cNvPr id="73" name="Rectangle : coins arrondis 7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469B382-74B7-426A-8D0F-58C74D6F0DE7}"/>
            </a:ext>
          </a:extLst>
        </xdr:cNvPr>
        <xdr:cNvSpPr/>
      </xdr:nvSpPr>
      <xdr:spPr>
        <a:xfrm>
          <a:off x="6538381" y="135466"/>
          <a:ext cx="3048000" cy="444500"/>
        </a:xfrm>
        <a:prstGeom prst="roundRect">
          <a:avLst/>
        </a:prstGeom>
        <a:solidFill>
          <a:srgbClr val="CE307F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400" b="0">
              <a:latin typeface="Abadi" panose="020B0604020104020204" pitchFamily="34" charset="0"/>
            </a:rPr>
            <a:t>Prévisionnels importations 2026</a:t>
          </a:r>
        </a:p>
      </xdr:txBody>
    </xdr:sp>
    <xdr:clientData/>
  </xdr:twoCellAnchor>
  <xdr:twoCellAnchor>
    <xdr:from>
      <xdr:col>13</xdr:col>
      <xdr:colOff>499532</xdr:colOff>
      <xdr:row>0</xdr:row>
      <xdr:rowOff>135466</xdr:rowOff>
    </xdr:from>
    <xdr:to>
      <xdr:col>17</xdr:col>
      <xdr:colOff>499532</xdr:colOff>
      <xdr:row>3</xdr:row>
      <xdr:rowOff>40216</xdr:rowOff>
    </xdr:to>
    <xdr:sp macro="" textlink="">
      <xdr:nvSpPr>
        <xdr:cNvPr id="74" name="Rectangle : coins arrondis 7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744DA498-9393-4A50-9AE6-D040187EDEF7}"/>
            </a:ext>
          </a:extLst>
        </xdr:cNvPr>
        <xdr:cNvSpPr/>
      </xdr:nvSpPr>
      <xdr:spPr>
        <a:xfrm>
          <a:off x="9759949" y="135466"/>
          <a:ext cx="3048000" cy="444500"/>
        </a:xfrm>
        <a:prstGeom prst="roundRect">
          <a:avLst/>
        </a:prstGeom>
        <a:solidFill>
          <a:srgbClr val="CE307F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400" b="0">
              <a:latin typeface="Abadi" panose="020B0604020104020204" pitchFamily="34" charset="0"/>
            </a:rPr>
            <a:t>Récape</a:t>
          </a:r>
        </a:p>
      </xdr:txBody>
    </xdr:sp>
    <xdr:clientData/>
  </xdr:twoCellAnchor>
  <xdr:twoCellAnchor>
    <xdr:from>
      <xdr:col>17</xdr:col>
      <xdr:colOff>673101</xdr:colOff>
      <xdr:row>0</xdr:row>
      <xdr:rowOff>135466</xdr:rowOff>
    </xdr:from>
    <xdr:to>
      <xdr:col>21</xdr:col>
      <xdr:colOff>673101</xdr:colOff>
      <xdr:row>3</xdr:row>
      <xdr:rowOff>40216</xdr:rowOff>
    </xdr:to>
    <xdr:sp macro="" textlink="">
      <xdr:nvSpPr>
        <xdr:cNvPr id="75" name="Rectangle : coins arrondis 7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75A7E693-25A4-4F63-808D-3479A258BA5D}"/>
            </a:ext>
          </a:extLst>
        </xdr:cNvPr>
        <xdr:cNvSpPr/>
      </xdr:nvSpPr>
      <xdr:spPr>
        <a:xfrm>
          <a:off x="12981518" y="135466"/>
          <a:ext cx="3048000" cy="444500"/>
        </a:xfrm>
        <a:prstGeom prst="roundRect">
          <a:avLst/>
        </a:prstGeom>
        <a:solidFill>
          <a:srgbClr val="CE307F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400" b="0">
              <a:latin typeface="Abadi" panose="020B0604020104020204" pitchFamily="34" charset="0"/>
            </a:rPr>
            <a:t>Ventes </a:t>
          </a:r>
        </a:p>
      </xdr:txBody>
    </xdr:sp>
    <xdr:clientData/>
  </xdr:twoCellAnchor>
  <xdr:twoCellAnchor>
    <xdr:from>
      <xdr:col>4</xdr:col>
      <xdr:colOff>361041</xdr:colOff>
      <xdr:row>23</xdr:row>
      <xdr:rowOff>169638</xdr:rowOff>
    </xdr:from>
    <xdr:to>
      <xdr:col>7</xdr:col>
      <xdr:colOff>334433</xdr:colOff>
      <xdr:row>37</xdr:row>
      <xdr:rowOff>152400</xdr:rowOff>
    </xdr:to>
    <xdr:sp macro="" textlink="Données!AX38">
      <xdr:nvSpPr>
        <xdr:cNvPr id="78" name="Cylindre 77">
          <a:extLst>
            <a:ext uri="{FF2B5EF4-FFF2-40B4-BE49-F238E27FC236}">
              <a16:creationId xmlns:a16="http://schemas.microsoft.com/office/drawing/2014/main" id="{D987EFC3-512A-45A1-8059-6E436A880054}"/>
            </a:ext>
          </a:extLst>
        </xdr:cNvPr>
        <xdr:cNvSpPr/>
      </xdr:nvSpPr>
      <xdr:spPr>
        <a:xfrm>
          <a:off x="2763458" y="4307721"/>
          <a:ext cx="2259392" cy="2501596"/>
        </a:xfrm>
        <a:prstGeom prst="can">
          <a:avLst/>
        </a:prstGeom>
        <a:solidFill>
          <a:srgbClr val="ADB2D4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fld id="{ED44379E-BD52-4A2C-97F1-26BB439EA9F3}" type="TxLink">
            <a:rPr lang="en-US" sz="2000" b="1" i="0" u="none" strike="noStrike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badi" panose="020B0604020104020204" pitchFamily="34" charset="0"/>
              <a:ea typeface="Calibri"/>
              <a:cs typeface="Calibri"/>
            </a:rPr>
            <a:pPr algn="ctr"/>
            <a:t>1 412 494 980,71</a:t>
          </a:fld>
          <a:endParaRPr lang="en-US" sz="20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Abadi" panose="020B0604020104020204" pitchFamily="34" charset="0"/>
          </a:endParaRPr>
        </a:p>
      </xdr:txBody>
    </xdr:sp>
    <xdr:clientData/>
  </xdr:twoCellAnchor>
  <xdr:twoCellAnchor>
    <xdr:from>
      <xdr:col>4</xdr:col>
      <xdr:colOff>364065</xdr:colOff>
      <xdr:row>27</xdr:row>
      <xdr:rowOff>35980</xdr:rowOff>
    </xdr:from>
    <xdr:to>
      <xdr:col>7</xdr:col>
      <xdr:colOff>162982</xdr:colOff>
      <xdr:row>30</xdr:row>
      <xdr:rowOff>110064</xdr:rowOff>
    </xdr:to>
    <xdr:sp macro="" textlink="">
      <xdr:nvSpPr>
        <xdr:cNvPr id="79" name="ZoneTexte 78">
          <a:extLst>
            <a:ext uri="{FF2B5EF4-FFF2-40B4-BE49-F238E27FC236}">
              <a16:creationId xmlns:a16="http://schemas.microsoft.com/office/drawing/2014/main" id="{D5B897C5-A123-4345-966D-E0C2EF538BED}"/>
            </a:ext>
          </a:extLst>
        </xdr:cNvPr>
        <xdr:cNvSpPr txBox="1"/>
      </xdr:nvSpPr>
      <xdr:spPr>
        <a:xfrm>
          <a:off x="2766482" y="4893730"/>
          <a:ext cx="2084917" cy="61383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0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Total importations 2026 en  (DZD TTC)</a:t>
          </a:r>
          <a:r>
            <a:rPr lang="fr-FR" sz="1600" b="0">
              <a:latin typeface="Abadi" panose="020B0604020104020204" pitchFamily="34" charset="0"/>
            </a:rPr>
            <a:t> </a:t>
          </a:r>
          <a:endParaRPr lang="fr-FR" sz="1600" b="0">
            <a:solidFill>
              <a:schemeClr val="tx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7</xdr:col>
      <xdr:colOff>651024</xdr:colOff>
      <xdr:row>24</xdr:row>
      <xdr:rowOff>25705</xdr:rowOff>
    </xdr:from>
    <xdr:to>
      <xdr:col>10</xdr:col>
      <xdr:colOff>624416</xdr:colOff>
      <xdr:row>38</xdr:row>
      <xdr:rowOff>8468</xdr:rowOff>
    </xdr:to>
    <xdr:sp macro="" textlink="Données!AY38">
      <xdr:nvSpPr>
        <xdr:cNvPr id="80" name="Cylindre 79">
          <a:extLst>
            <a:ext uri="{FF2B5EF4-FFF2-40B4-BE49-F238E27FC236}">
              <a16:creationId xmlns:a16="http://schemas.microsoft.com/office/drawing/2014/main" id="{2E9B3E5A-3768-43D9-B83D-7D45EBC22E12}"/>
            </a:ext>
          </a:extLst>
        </xdr:cNvPr>
        <xdr:cNvSpPr/>
      </xdr:nvSpPr>
      <xdr:spPr>
        <a:xfrm>
          <a:off x="5339441" y="4343705"/>
          <a:ext cx="2259392" cy="2501596"/>
        </a:xfrm>
        <a:prstGeom prst="can">
          <a:avLst/>
        </a:prstGeom>
        <a:solidFill>
          <a:srgbClr val="A6B37D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fld id="{53DFDDF3-BA16-4A66-8468-C153AD04AD65}" type="TxLink">
            <a:rPr lang="en-US" sz="2000" b="1" i="0" u="none" strike="noStrike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badi" panose="020B0604020104020204" pitchFamily="34" charset="0"/>
            </a:rPr>
            <a:pPr algn="ctr"/>
            <a:t>7 118 264,30</a:t>
          </a:fld>
          <a:endParaRPr lang="en-US" sz="20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Abadi" panose="020B0604020104020204" pitchFamily="34" charset="0"/>
          </a:endParaRPr>
        </a:p>
      </xdr:txBody>
    </xdr:sp>
    <xdr:clientData/>
  </xdr:twoCellAnchor>
  <xdr:twoCellAnchor>
    <xdr:from>
      <xdr:col>7</xdr:col>
      <xdr:colOff>654048</xdr:colOff>
      <xdr:row>27</xdr:row>
      <xdr:rowOff>71964</xdr:rowOff>
    </xdr:from>
    <xdr:to>
      <xdr:col>10</xdr:col>
      <xdr:colOff>452965</xdr:colOff>
      <xdr:row>30</xdr:row>
      <xdr:rowOff>146048</xdr:rowOff>
    </xdr:to>
    <xdr:sp macro="" textlink="">
      <xdr:nvSpPr>
        <xdr:cNvPr id="81" name="ZoneTexte 80">
          <a:extLst>
            <a:ext uri="{FF2B5EF4-FFF2-40B4-BE49-F238E27FC236}">
              <a16:creationId xmlns:a16="http://schemas.microsoft.com/office/drawing/2014/main" id="{8A7806CE-EFD1-4F77-9A34-588E0820D110}"/>
            </a:ext>
          </a:extLst>
        </xdr:cNvPr>
        <xdr:cNvSpPr txBox="1"/>
      </xdr:nvSpPr>
      <xdr:spPr>
        <a:xfrm>
          <a:off x="5342465" y="4929714"/>
          <a:ext cx="2084917" cy="61383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0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Total importation 2026 en €</a:t>
          </a:r>
          <a:r>
            <a:rPr lang="fr-FR" sz="1600" b="0" i="0" u="none" strike="noStrike" baseline="0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 (CFR)</a:t>
          </a:r>
          <a:r>
            <a:rPr lang="fr-FR" sz="1600" b="0">
              <a:latin typeface="Abadi" panose="020B0604020104020204" pitchFamily="34" charset="0"/>
            </a:rPr>
            <a:t> </a:t>
          </a:r>
          <a:endParaRPr lang="fr-FR" sz="1600" b="0">
            <a:solidFill>
              <a:schemeClr val="tx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11</xdr:col>
      <xdr:colOff>68790</xdr:colOff>
      <xdr:row>22</xdr:row>
      <xdr:rowOff>136525</xdr:rowOff>
    </xdr:from>
    <xdr:to>
      <xdr:col>22</xdr:col>
      <xdr:colOff>21165</xdr:colOff>
      <xdr:row>38</xdr:row>
      <xdr:rowOff>1059</xdr:rowOff>
    </xdr:to>
    <xdr:graphicFrame macro="">
      <xdr:nvGraphicFramePr>
        <xdr:cNvPr id="5" name="Diagramme 4">
          <a:extLst>
            <a:ext uri="{FF2B5EF4-FFF2-40B4-BE49-F238E27FC236}">
              <a16:creationId xmlns:a16="http://schemas.microsoft.com/office/drawing/2014/main" id="{F4BE5C72-D740-45F2-A44D-4BB53F6D6FE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6" r:lo="rId7" r:qs="rId8" r:cs="rId9"/>
        </a:graphicData>
      </a:graphic>
    </xdr:graphicFrame>
    <xdr:clientData/>
  </xdr:twoCellAnchor>
  <xdr:twoCellAnchor>
    <xdr:from>
      <xdr:col>11</xdr:col>
      <xdr:colOff>137584</xdr:colOff>
      <xdr:row>30</xdr:row>
      <xdr:rowOff>42333</xdr:rowOff>
    </xdr:from>
    <xdr:to>
      <xdr:col>14</xdr:col>
      <xdr:colOff>169334</xdr:colOff>
      <xdr:row>32</xdr:row>
      <xdr:rowOff>148167</xdr:rowOff>
    </xdr:to>
    <xdr:sp macro="" textlink="Données!BO38">
      <xdr:nvSpPr>
        <xdr:cNvPr id="6" name="ZoneTexte 5">
          <a:extLst>
            <a:ext uri="{FF2B5EF4-FFF2-40B4-BE49-F238E27FC236}">
              <a16:creationId xmlns:a16="http://schemas.microsoft.com/office/drawing/2014/main" id="{2F22A370-3C37-4401-9910-CD8372BE0D8B}"/>
            </a:ext>
          </a:extLst>
        </xdr:cNvPr>
        <xdr:cNvSpPr txBox="1"/>
      </xdr:nvSpPr>
      <xdr:spPr>
        <a:xfrm>
          <a:off x="7874001" y="5439833"/>
          <a:ext cx="2317750" cy="465667"/>
        </a:xfrm>
        <a:prstGeom prst="rect">
          <a:avLst/>
        </a:prstGeom>
        <a:noFill/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4833700D-E4E8-4BAE-86B9-F296DF86D78F}" type="TxLink">
            <a:rPr lang="en-US" sz="2000" b="1" i="0" u="none" strike="noStrike">
              <a:solidFill>
                <a:sysClr val="windowText" lastClr="000000"/>
              </a:solidFill>
              <a:latin typeface="Abadi" panose="020B0604020104020204" pitchFamily="34" charset="0"/>
            </a:rPr>
            <a:pPr algn="ctr"/>
            <a:t>2 803,47</a:t>
          </a:fld>
          <a:endParaRPr lang="fr-FR" sz="2800">
            <a:solidFill>
              <a:sysClr val="windowText" lastClr="000000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14</xdr:col>
      <xdr:colOff>745066</xdr:colOff>
      <xdr:row>30</xdr:row>
      <xdr:rowOff>99483</xdr:rowOff>
    </xdr:from>
    <xdr:to>
      <xdr:col>18</xdr:col>
      <xdr:colOff>116415</xdr:colOff>
      <xdr:row>33</xdr:row>
      <xdr:rowOff>52917</xdr:rowOff>
    </xdr:to>
    <xdr:sp macro="" textlink="Données!BM38">
      <xdr:nvSpPr>
        <xdr:cNvPr id="83" name="ZoneTexte 82">
          <a:extLst>
            <a:ext uri="{FF2B5EF4-FFF2-40B4-BE49-F238E27FC236}">
              <a16:creationId xmlns:a16="http://schemas.microsoft.com/office/drawing/2014/main" id="{57359453-2F6F-407A-9BA2-0013764A726F}"/>
            </a:ext>
          </a:extLst>
        </xdr:cNvPr>
        <xdr:cNvSpPr txBox="1"/>
      </xdr:nvSpPr>
      <xdr:spPr>
        <a:xfrm>
          <a:off x="10767483" y="5496983"/>
          <a:ext cx="2419349" cy="493184"/>
        </a:xfrm>
        <a:prstGeom prst="rect">
          <a:avLst/>
        </a:prstGeom>
        <a:noFill/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39A662F8-06D4-4672-AF66-E0B65AAEDC1B}" type="TxLink">
            <a:rPr lang="en-US" sz="2000" b="1" i="0" u="none" strike="noStrike">
              <a:solidFill>
                <a:sysClr val="windowText" lastClr="000000"/>
              </a:solidFill>
              <a:latin typeface="Abadi" panose="020B0604020104020204" pitchFamily="34" charset="0"/>
            </a:rPr>
            <a:pPr algn="ctr"/>
            <a:t>1 241 463 793,66</a:t>
          </a:fld>
          <a:endParaRPr lang="fr-FR" sz="2000">
            <a:solidFill>
              <a:sysClr val="windowText" lastClr="000000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18</xdr:col>
      <xdr:colOff>590551</xdr:colOff>
      <xdr:row>30</xdr:row>
      <xdr:rowOff>114299</xdr:rowOff>
    </xdr:from>
    <xdr:to>
      <xdr:col>21</xdr:col>
      <xdr:colOff>723900</xdr:colOff>
      <xdr:row>33</xdr:row>
      <xdr:rowOff>67733</xdr:rowOff>
    </xdr:to>
    <xdr:sp macro="" textlink="Données!BP38">
      <xdr:nvSpPr>
        <xdr:cNvPr id="84" name="ZoneTexte 83">
          <a:extLst>
            <a:ext uri="{FF2B5EF4-FFF2-40B4-BE49-F238E27FC236}">
              <a16:creationId xmlns:a16="http://schemas.microsoft.com/office/drawing/2014/main" id="{19C03E18-A225-4D98-BA1C-C2E01A63A2F9}"/>
            </a:ext>
          </a:extLst>
        </xdr:cNvPr>
        <xdr:cNvSpPr txBox="1"/>
      </xdr:nvSpPr>
      <xdr:spPr>
        <a:xfrm>
          <a:off x="13660968" y="5511799"/>
          <a:ext cx="2419349" cy="493184"/>
        </a:xfrm>
        <a:prstGeom prst="rect">
          <a:avLst/>
        </a:prstGeom>
        <a:noFill/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0EE3F257-1289-4698-B298-D4916C17D199}" type="TxLink">
            <a:rPr lang="en-US" sz="2000" b="1" i="0" u="none" strike="noStrike">
              <a:solidFill>
                <a:sysClr val="windowText" lastClr="000000"/>
              </a:solidFill>
              <a:latin typeface="Abadi" panose="020B0604020104020204" pitchFamily="34" charset="0"/>
            </a:rPr>
            <a:pPr algn="ctr"/>
            <a:t>3 205,73</a:t>
          </a:fld>
          <a:endParaRPr lang="fr-FR" sz="2000">
            <a:solidFill>
              <a:sysClr val="windowText" lastClr="000000"/>
            </a:solidFill>
            <a:latin typeface="Abadi" panose="020B0604020104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299357</xdr:colOff>
      <xdr:row>63</xdr:row>
      <xdr:rowOff>16627</xdr:rowOff>
    </xdr:from>
    <xdr:to>
      <xdr:col>9</xdr:col>
      <xdr:colOff>553357</xdr:colOff>
      <xdr:row>70</xdr:row>
      <xdr:rowOff>75591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C626BB6-725D-42CE-A340-3E216D0FC317}"/>
            </a:ext>
          </a:extLst>
        </xdr:cNvPr>
        <xdr:cNvSpPr/>
      </xdr:nvSpPr>
      <xdr:spPr>
        <a:xfrm>
          <a:off x="5197928" y="11502567"/>
          <a:ext cx="5969000" cy="1328965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299357</xdr:colOff>
      <xdr:row>64</xdr:row>
      <xdr:rowOff>28422</xdr:rowOff>
    </xdr:from>
    <xdr:to>
      <xdr:col>6</xdr:col>
      <xdr:colOff>299357</xdr:colOff>
      <xdr:row>69</xdr:row>
      <xdr:rowOff>79827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5DC4306B-7F5F-440D-ACAE-D83430C75AB4}"/>
            </a:ext>
          </a:extLst>
        </xdr:cNvPr>
        <xdr:cNvSpPr/>
      </xdr:nvSpPr>
      <xdr:spPr>
        <a:xfrm>
          <a:off x="5197928" y="11695792"/>
          <a:ext cx="2857500" cy="958547"/>
        </a:xfrm>
        <a:prstGeom prst="rect">
          <a:avLst/>
        </a:prstGeom>
        <a:noFill/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tx1"/>
              </a:solidFill>
              <a:latin typeface="Abadi" panose="020B0604020104020204" pitchFamily="34" charset="0"/>
            </a:rPr>
            <a:t>Prévisionnel total annuel en Tonnes</a:t>
          </a:r>
        </a:p>
      </xdr:txBody>
    </xdr:sp>
    <xdr:clientData/>
  </xdr:twoCellAnchor>
  <xdr:twoCellAnchor editAs="absolute">
    <xdr:from>
      <xdr:col>6</xdr:col>
      <xdr:colOff>209852</xdr:colOff>
      <xdr:row>64</xdr:row>
      <xdr:rowOff>16629</xdr:rowOff>
    </xdr:from>
    <xdr:to>
      <xdr:col>8</xdr:col>
      <xdr:colOff>653143</xdr:colOff>
      <xdr:row>69</xdr:row>
      <xdr:rowOff>73779</xdr:rowOff>
    </xdr:to>
    <xdr:sp macro="" textlink="Données!T4">
      <xdr:nvSpPr>
        <xdr:cNvPr id="8" name="Rectangle 7">
          <a:extLst>
            <a:ext uri="{FF2B5EF4-FFF2-40B4-BE49-F238E27FC236}">
              <a16:creationId xmlns:a16="http://schemas.microsoft.com/office/drawing/2014/main" id="{360745E6-9153-4C5A-B3CE-47F441585D7E}"/>
            </a:ext>
          </a:extLst>
        </xdr:cNvPr>
        <xdr:cNvSpPr/>
      </xdr:nvSpPr>
      <xdr:spPr>
        <a:xfrm>
          <a:off x="7965923" y="11683999"/>
          <a:ext cx="2348291" cy="964292"/>
        </a:xfrm>
        <a:prstGeom prst="rect">
          <a:avLst/>
        </a:prstGeom>
        <a:noFill/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998C8B02-1C57-4E8F-9B42-D7E86B7C0A16}" type="TxLink">
            <a:rPr lang="en-US" sz="4000" b="0" i="0" u="none" strike="noStrike">
              <a:solidFill>
                <a:sysClr val="windowText" lastClr="000000"/>
              </a:solidFill>
              <a:latin typeface="Abadi" panose="020B0604020104020204" pitchFamily="34" charset="0"/>
              <a:ea typeface="Calibri"/>
              <a:cs typeface="Calibri"/>
            </a:rPr>
            <a:pPr algn="ctr"/>
            <a:t>6 047,70</a:t>
          </a:fld>
          <a:endParaRPr lang="fr-FR" sz="41300" b="0">
            <a:solidFill>
              <a:sysClr val="windowText" lastClr="000000"/>
            </a:solidFill>
            <a:latin typeface="Abadi" panose="020B0604020104020204" pitchFamily="34" charset="0"/>
          </a:endParaRPr>
        </a:p>
      </xdr:txBody>
    </xdr:sp>
    <xdr:clientData/>
  </xdr:twoCellAnchor>
  <xdr:twoCellAnchor editAs="absolute">
    <xdr:from>
      <xdr:col>8</xdr:col>
      <xdr:colOff>535214</xdr:colOff>
      <xdr:row>64</xdr:row>
      <xdr:rowOff>25700</xdr:rowOff>
    </xdr:from>
    <xdr:to>
      <xdr:col>9</xdr:col>
      <xdr:colOff>145143</xdr:colOff>
      <xdr:row>69</xdr:row>
      <xdr:rowOff>134556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5D6673D0-C75D-4783-993C-874E5C7E4884}"/>
            </a:ext>
          </a:extLst>
        </xdr:cNvPr>
        <xdr:cNvSpPr txBox="1"/>
      </xdr:nvSpPr>
      <xdr:spPr>
        <a:xfrm>
          <a:off x="10196285" y="11693070"/>
          <a:ext cx="562429" cy="101599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400">
              <a:latin typeface="Abadi" panose="020B0604020104020204" pitchFamily="34" charset="0"/>
            </a:rPr>
            <a:t>T</a:t>
          </a:r>
          <a:endParaRPr lang="fr-FR" sz="1200">
            <a:latin typeface="Abadi" panose="020B0604020104020204" pitchFamily="34" charset="0"/>
          </a:endParaRPr>
        </a:p>
      </xdr:txBody>
    </xdr:sp>
    <xdr:clientData/>
  </xdr:twoCellAnchor>
  <xdr:twoCellAnchor>
    <xdr:from>
      <xdr:col>0</xdr:col>
      <xdr:colOff>36286</xdr:colOff>
      <xdr:row>7</xdr:row>
      <xdr:rowOff>18143</xdr:rowOff>
    </xdr:from>
    <xdr:to>
      <xdr:col>0</xdr:col>
      <xdr:colOff>2966357</xdr:colOff>
      <xdr:row>8</xdr:row>
      <xdr:rowOff>145142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id="{AD5425BE-FCF4-47C9-A1D7-9F427436370A}"/>
            </a:ext>
          </a:extLst>
        </xdr:cNvPr>
        <xdr:cNvCxnSpPr/>
      </xdr:nvCxnSpPr>
      <xdr:spPr>
        <a:xfrm>
          <a:off x="36286" y="571500"/>
          <a:ext cx="2930071" cy="326571"/>
        </a:xfrm>
        <a:prstGeom prst="line">
          <a:avLst/>
        </a:prstGeom>
        <a:ln>
          <a:solidFill>
            <a:schemeClr val="bg1"/>
          </a:solidFill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254000</xdr:colOff>
      <xdr:row>0</xdr:row>
      <xdr:rowOff>117929</xdr:rowOff>
    </xdr:from>
    <xdr:to>
      <xdr:col>0</xdr:col>
      <xdr:colOff>1206500</xdr:colOff>
      <xdr:row>5</xdr:row>
      <xdr:rowOff>163286</xdr:rowOff>
    </xdr:to>
    <xdr:pic>
      <xdr:nvPicPr>
        <xdr:cNvPr id="6" name="Imag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22AC0B8-9916-4C7C-8D79-E8FF74FA10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54000" y="117929"/>
          <a:ext cx="952500" cy="952500"/>
        </a:xfrm>
        <a:prstGeom prst="roundRect">
          <a:avLst>
            <a:gd name="adj" fmla="val 8594"/>
          </a:avLst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  <a:reflection blurRad="12700" stA="38000" endPos="28000" dist="5000" dir="5400000" sy="-100000" algn="bl" rotWithShape="0"/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465667</xdr:colOff>
      <xdr:row>0</xdr:row>
      <xdr:rowOff>158750</xdr:rowOff>
    </xdr:from>
    <xdr:to>
      <xdr:col>0</xdr:col>
      <xdr:colOff>1418167</xdr:colOff>
      <xdr:row>5</xdr:row>
      <xdr:rowOff>158750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D2C904F-522B-4408-B603-45DC60A72A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65667" y="158750"/>
          <a:ext cx="952500" cy="952500"/>
        </a:xfrm>
        <a:prstGeom prst="roundRect">
          <a:avLst>
            <a:gd name="adj" fmla="val 8594"/>
          </a:avLst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  <a:reflection blurRad="12700" stA="38000" endPos="28000" dist="5000" dir="5400000" sy="-100000" algn="bl" rotWithShape="0"/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14111</xdr:colOff>
      <xdr:row>7</xdr:row>
      <xdr:rowOff>28222</xdr:rowOff>
    </xdr:from>
    <xdr:to>
      <xdr:col>1</xdr:col>
      <xdr:colOff>15875</xdr:colOff>
      <xdr:row>8</xdr:row>
      <xdr:rowOff>142875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9D38109D-3A85-4414-B997-6E2355218ED3}"/>
            </a:ext>
          </a:extLst>
        </xdr:cNvPr>
        <xdr:cNvCxnSpPr/>
      </xdr:nvCxnSpPr>
      <xdr:spPr>
        <a:xfrm>
          <a:off x="14111" y="587022"/>
          <a:ext cx="2230614" cy="317853"/>
        </a:xfrm>
        <a:prstGeom prst="line">
          <a:avLst/>
        </a:prstGeom>
        <a:ln>
          <a:solidFill>
            <a:schemeClr val="bg1"/>
          </a:solidFill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217109</xdr:colOff>
      <xdr:row>43</xdr:row>
      <xdr:rowOff>188387</xdr:rowOff>
    </xdr:from>
    <xdr:to>
      <xdr:col>8</xdr:col>
      <xdr:colOff>1077384</xdr:colOff>
      <xdr:row>50</xdr:row>
      <xdr:rowOff>101600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46C5BF3-8D78-4AD0-A091-C8AF10185F5C}"/>
            </a:ext>
          </a:extLst>
        </xdr:cNvPr>
        <xdr:cNvSpPr/>
      </xdr:nvSpPr>
      <xdr:spPr>
        <a:xfrm>
          <a:off x="217109" y="12012087"/>
          <a:ext cx="11464775" cy="1246713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300867</xdr:colOff>
      <xdr:row>44</xdr:row>
      <xdr:rowOff>142785</xdr:rowOff>
    </xdr:from>
    <xdr:to>
      <xdr:col>3</xdr:col>
      <xdr:colOff>812798</xdr:colOff>
      <xdr:row>49</xdr:row>
      <xdr:rowOff>131097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2FDF6D14-3B1B-4D5C-BEA9-52EA290F88C4}"/>
            </a:ext>
          </a:extLst>
        </xdr:cNvPr>
        <xdr:cNvSpPr/>
      </xdr:nvSpPr>
      <xdr:spPr>
        <a:xfrm>
          <a:off x="300867" y="12156985"/>
          <a:ext cx="4575931" cy="940812"/>
        </a:xfrm>
        <a:prstGeom prst="rect">
          <a:avLst/>
        </a:prstGeom>
        <a:noFill/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2400">
              <a:solidFill>
                <a:schemeClr val="bg1"/>
              </a:solidFill>
              <a:latin typeface="Abadi" panose="020B0604020104020204" pitchFamily="34" charset="0"/>
            </a:rPr>
            <a:t>Totale Volumes en Tonnes </a:t>
          </a:r>
        </a:p>
      </xdr:txBody>
    </xdr:sp>
    <xdr:clientData/>
  </xdr:twoCellAnchor>
  <xdr:twoCellAnchor>
    <xdr:from>
      <xdr:col>4</xdr:col>
      <xdr:colOff>1079499</xdr:colOff>
      <xdr:row>44</xdr:row>
      <xdr:rowOff>136941</xdr:rowOff>
    </xdr:from>
    <xdr:to>
      <xdr:col>8</xdr:col>
      <xdr:colOff>1168400</xdr:colOff>
      <xdr:row>49</xdr:row>
      <xdr:rowOff>136941</xdr:rowOff>
    </xdr:to>
    <xdr:sp macro="" textlink="Données!T5">
      <xdr:nvSpPr>
        <xdr:cNvPr id="13" name="Rectangle 12">
          <a:extLst>
            <a:ext uri="{FF2B5EF4-FFF2-40B4-BE49-F238E27FC236}">
              <a16:creationId xmlns:a16="http://schemas.microsoft.com/office/drawing/2014/main" id="{54450E25-7DE9-43D8-9EFA-8C3104BC13DF}"/>
            </a:ext>
          </a:extLst>
        </xdr:cNvPr>
        <xdr:cNvSpPr/>
      </xdr:nvSpPr>
      <xdr:spPr>
        <a:xfrm>
          <a:off x="6451599" y="12151141"/>
          <a:ext cx="5321301" cy="952500"/>
        </a:xfrm>
        <a:prstGeom prst="rect">
          <a:avLst/>
        </a:prstGeom>
        <a:noFill/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B3A7E0A-F476-48BD-9BDB-06E2EED46435}" type="TxLink">
            <a:rPr lang="en-US" sz="4000" b="1" i="0" u="none" strike="noStrike">
              <a:solidFill>
                <a:srgbClr val="FFFFFF"/>
              </a:solidFill>
              <a:latin typeface="Abadi" panose="020B0604020104020204" pitchFamily="34" charset="0"/>
              <a:ea typeface="Calibri"/>
              <a:cs typeface="Calibri"/>
            </a:rPr>
            <a:pPr algn="ctr"/>
            <a:t>6 058,70</a:t>
          </a:fld>
          <a:endParaRPr lang="fr-FR" sz="138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  <xdr:twoCellAnchor>
    <xdr:from>
      <xdr:col>0</xdr:col>
      <xdr:colOff>14111</xdr:colOff>
      <xdr:row>7</xdr:row>
      <xdr:rowOff>28222</xdr:rowOff>
    </xdr:from>
    <xdr:to>
      <xdr:col>1</xdr:col>
      <xdr:colOff>15875</xdr:colOff>
      <xdr:row>8</xdr:row>
      <xdr:rowOff>142875</xdr:rowOff>
    </xdr:to>
    <xdr:cxnSp macro="">
      <xdr:nvCxnSpPr>
        <xdr:cNvPr id="37" name="Connecteur droit 36">
          <a:extLst>
            <a:ext uri="{FF2B5EF4-FFF2-40B4-BE49-F238E27FC236}">
              <a16:creationId xmlns:a16="http://schemas.microsoft.com/office/drawing/2014/main" id="{5668A456-554A-4125-B2AA-446D607F9756}"/>
            </a:ext>
          </a:extLst>
        </xdr:cNvPr>
        <xdr:cNvCxnSpPr/>
      </xdr:nvCxnSpPr>
      <xdr:spPr>
        <a:xfrm>
          <a:off x="14111" y="587022"/>
          <a:ext cx="2230614" cy="317853"/>
        </a:xfrm>
        <a:prstGeom prst="line">
          <a:avLst/>
        </a:prstGeom>
        <a:ln>
          <a:solidFill>
            <a:schemeClr val="bg1"/>
          </a:solidFill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457200</xdr:colOff>
      <xdr:row>0</xdr:row>
      <xdr:rowOff>177800</xdr:rowOff>
    </xdr:from>
    <xdr:to>
      <xdr:col>0</xdr:col>
      <xdr:colOff>1409700</xdr:colOff>
      <xdr:row>5</xdr:row>
      <xdr:rowOff>177800</xdr:rowOff>
    </xdr:to>
    <xdr:pic>
      <xdr:nvPicPr>
        <xdr:cNvPr id="48" name="Image 4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A2CF671-CD3C-49A9-ACD2-32A7B70D00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57200" y="177800"/>
          <a:ext cx="952500" cy="952500"/>
        </a:xfrm>
        <a:prstGeom prst="roundRect">
          <a:avLst>
            <a:gd name="adj" fmla="val 8594"/>
          </a:avLst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  <a:reflection blurRad="12700" stA="38000" endPos="28000" dist="5000" dir="5400000" sy="-100000" algn="bl" rotWithShape="0"/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pic>
    <xdr:clientData/>
  </xdr:twoCellAnchor>
  <xdr:twoCellAnchor>
    <xdr:from>
      <xdr:col>8</xdr:col>
      <xdr:colOff>1168400</xdr:colOff>
      <xdr:row>43</xdr:row>
      <xdr:rowOff>188387</xdr:rowOff>
    </xdr:from>
    <xdr:to>
      <xdr:col>17</xdr:col>
      <xdr:colOff>860275</xdr:colOff>
      <xdr:row>50</xdr:row>
      <xdr:rowOff>101600</xdr:rowOff>
    </xdr:to>
    <xdr:sp macro="" textlink="">
      <xdr:nvSpPr>
        <xdr:cNvPr id="90" name="Rectangle : coins arrondis 89">
          <a:extLst>
            <a:ext uri="{FF2B5EF4-FFF2-40B4-BE49-F238E27FC236}">
              <a16:creationId xmlns:a16="http://schemas.microsoft.com/office/drawing/2014/main" id="{140FEC87-A538-4D16-8051-0154FA985A80}"/>
            </a:ext>
          </a:extLst>
        </xdr:cNvPr>
        <xdr:cNvSpPr/>
      </xdr:nvSpPr>
      <xdr:spPr>
        <a:xfrm>
          <a:off x="11772900" y="12012087"/>
          <a:ext cx="11464775" cy="1246713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1168400</xdr:colOff>
      <xdr:row>43</xdr:row>
      <xdr:rowOff>172282</xdr:rowOff>
    </xdr:from>
    <xdr:to>
      <xdr:col>12</xdr:col>
      <xdr:colOff>829433</xdr:colOff>
      <xdr:row>50</xdr:row>
      <xdr:rowOff>101600</xdr:rowOff>
    </xdr:to>
    <xdr:sp macro="" textlink="">
      <xdr:nvSpPr>
        <xdr:cNvPr id="91" name="Rectangle 90">
          <a:extLst>
            <a:ext uri="{FF2B5EF4-FFF2-40B4-BE49-F238E27FC236}">
              <a16:creationId xmlns:a16="http://schemas.microsoft.com/office/drawing/2014/main" id="{056BC31F-87CE-491C-B5BA-84D63EA9B8A7}"/>
            </a:ext>
          </a:extLst>
        </xdr:cNvPr>
        <xdr:cNvSpPr/>
      </xdr:nvSpPr>
      <xdr:spPr>
        <a:xfrm>
          <a:off x="11772900" y="11995982"/>
          <a:ext cx="4893433" cy="1262818"/>
        </a:xfrm>
        <a:prstGeom prst="rect">
          <a:avLst/>
        </a:prstGeom>
        <a:noFill/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2400">
              <a:solidFill>
                <a:schemeClr val="bg1"/>
              </a:solidFill>
              <a:latin typeface="Abadi" panose="020B0604020104020204" pitchFamily="34" charset="0"/>
            </a:rPr>
            <a:t>Prévisionnel importation en DZD</a:t>
          </a:r>
        </a:p>
      </xdr:txBody>
    </xdr:sp>
    <xdr:clientData/>
  </xdr:twoCellAnchor>
  <xdr:twoCellAnchor>
    <xdr:from>
      <xdr:col>13</xdr:col>
      <xdr:colOff>1168400</xdr:colOff>
      <xdr:row>44</xdr:row>
      <xdr:rowOff>38062</xdr:rowOff>
    </xdr:from>
    <xdr:to>
      <xdr:col>17</xdr:col>
      <xdr:colOff>286166</xdr:colOff>
      <xdr:row>50</xdr:row>
      <xdr:rowOff>45320</xdr:rowOff>
    </xdr:to>
    <xdr:sp macro="" textlink="Données!T6">
      <xdr:nvSpPr>
        <xdr:cNvPr id="92" name="Rectangle 91">
          <a:extLst>
            <a:ext uri="{FF2B5EF4-FFF2-40B4-BE49-F238E27FC236}">
              <a16:creationId xmlns:a16="http://schemas.microsoft.com/office/drawing/2014/main" id="{7876BDDE-5F27-4F2E-AC95-D08276EAF188}"/>
            </a:ext>
          </a:extLst>
        </xdr:cNvPr>
        <xdr:cNvSpPr/>
      </xdr:nvSpPr>
      <xdr:spPr>
        <a:xfrm>
          <a:off x="18313400" y="12052262"/>
          <a:ext cx="4350166" cy="1150258"/>
        </a:xfrm>
        <a:prstGeom prst="rect">
          <a:avLst/>
        </a:prstGeom>
        <a:noFill/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807F21A-1B9A-4964-9CF0-3F3EBD79549F}" type="TxLink">
            <a:rPr lang="en-US" sz="3600" b="1" i="0" u="none" strike="noStrike">
              <a:solidFill>
                <a:srgbClr val="FFFFFF"/>
              </a:solidFill>
              <a:latin typeface="Abadi" panose="020B0604020104020204" pitchFamily="34" charset="0"/>
              <a:ea typeface="Calibri"/>
              <a:cs typeface="Calibri"/>
            </a:rPr>
            <a:pPr algn="ctr"/>
            <a:t>1 412 494 980,71</a:t>
          </a:fld>
          <a:endParaRPr lang="fr-FR" sz="28700">
            <a:solidFill>
              <a:schemeClr val="bg1"/>
            </a:solidFill>
            <a:latin typeface="Abadi" panose="020B0604020104020204" pitchFamily="34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9071</xdr:colOff>
      <xdr:row>0</xdr:row>
      <xdr:rowOff>68489</xdr:rowOff>
    </xdr:from>
    <xdr:to>
      <xdr:col>6</xdr:col>
      <xdr:colOff>2558141</xdr:colOff>
      <xdr:row>8</xdr:row>
      <xdr:rowOff>51026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Produits">
              <a:extLst>
                <a:ext uri="{FF2B5EF4-FFF2-40B4-BE49-F238E27FC236}">
                  <a16:creationId xmlns:a16="http://schemas.microsoft.com/office/drawing/2014/main" id="{E8B1B265-B9B6-41A1-9840-391C08D7B4F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49071" y="68489"/>
              <a:ext cx="13334999" cy="143396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308428</xdr:colOff>
      <xdr:row>1</xdr:row>
      <xdr:rowOff>45356</xdr:rowOff>
    </xdr:from>
    <xdr:to>
      <xdr:col>0</xdr:col>
      <xdr:colOff>1260928</xdr:colOff>
      <xdr:row>6</xdr:row>
      <xdr:rowOff>90714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D44CDCB-F5FD-420D-A50A-8CF7604792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08428" y="226785"/>
          <a:ext cx="952500" cy="952500"/>
        </a:xfrm>
        <a:prstGeom prst="roundRect">
          <a:avLst>
            <a:gd name="adj" fmla="val 8594"/>
          </a:avLst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  <a:reflection blurRad="12700" stA="38000" endPos="28000" dist="5000" dir="5400000" sy="-100000" algn="bl" rotWithShape="0"/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14111</xdr:colOff>
      <xdr:row>6</xdr:row>
      <xdr:rowOff>28222</xdr:rowOff>
    </xdr:from>
    <xdr:to>
      <xdr:col>1</xdr:col>
      <xdr:colOff>15875</xdr:colOff>
      <xdr:row>7</xdr:row>
      <xdr:rowOff>142875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67308CD0-ED97-42D8-B893-E6529ADCE769}"/>
            </a:ext>
          </a:extLst>
        </xdr:cNvPr>
        <xdr:cNvCxnSpPr/>
      </xdr:nvCxnSpPr>
      <xdr:spPr>
        <a:xfrm>
          <a:off x="14111" y="587022"/>
          <a:ext cx="2230614" cy="317853"/>
        </a:xfrm>
        <a:prstGeom prst="line">
          <a:avLst/>
        </a:prstGeom>
        <a:ln>
          <a:solidFill>
            <a:schemeClr val="bg1"/>
          </a:solidFill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36286</xdr:colOff>
      <xdr:row>6</xdr:row>
      <xdr:rowOff>18143</xdr:rowOff>
    </xdr:from>
    <xdr:to>
      <xdr:col>0</xdr:col>
      <xdr:colOff>2966357</xdr:colOff>
      <xdr:row>7</xdr:row>
      <xdr:rowOff>145142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66C4C88A-C107-43D2-9299-0EC412456209}"/>
            </a:ext>
          </a:extLst>
        </xdr:cNvPr>
        <xdr:cNvCxnSpPr/>
      </xdr:nvCxnSpPr>
      <xdr:spPr>
        <a:xfrm>
          <a:off x="36286" y="1313543"/>
          <a:ext cx="2930071" cy="330199"/>
        </a:xfrm>
        <a:prstGeom prst="line">
          <a:avLst/>
        </a:prstGeom>
        <a:ln>
          <a:solidFill>
            <a:schemeClr val="bg1"/>
          </a:solidFill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137583</xdr:colOff>
      <xdr:row>0</xdr:row>
      <xdr:rowOff>42333</xdr:rowOff>
    </xdr:from>
    <xdr:to>
      <xdr:col>0</xdr:col>
      <xdr:colOff>1090083</xdr:colOff>
      <xdr:row>5</xdr:row>
      <xdr:rowOff>95250</xdr:rowOff>
    </xdr:to>
    <xdr:pic>
      <xdr:nvPicPr>
        <xdr:cNvPr id="5" name="Imag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5C1FAEF-F54A-48CC-A937-5DADE72141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37583" y="42333"/>
          <a:ext cx="952500" cy="952500"/>
        </a:xfrm>
        <a:prstGeom prst="roundRect">
          <a:avLst>
            <a:gd name="adj" fmla="val 8594"/>
          </a:avLst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  <a:reflection blurRad="12700" stA="38000" endPos="28000" dist="5000" dir="5400000" sy="-100000" algn="bl" rotWithShape="0"/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pic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duits" xr10:uid="{58C0B525-3303-427D-91B0-F7F5B0B636E4}" sourceName="Produits">
  <extLst>
    <x:ext xmlns:x15="http://schemas.microsoft.com/office/spreadsheetml/2010/11/main" uri="{2F2917AC-EB37-4324-AD4E-5DD8C200BD13}">
      <x15:tableSlicerCache tableId="4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duits1" xr10:uid="{9E55B146-470B-4C78-8693-19D751533A56}" sourceName="Produits">
  <extLst>
    <x:ext xmlns:x15="http://schemas.microsoft.com/office/spreadsheetml/2010/11/main" uri="{2F2917AC-EB37-4324-AD4E-5DD8C200BD13}">
      <x15:tableSlicerCache tableId="3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duits 1" xr10:uid="{F8E38CFD-A93D-40AA-99CB-6FFF2E27D64C}" cache="Segment_Produits1" caption="Produits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duits" xr10:uid="{7E68C0A1-EBE5-40CD-8E94-7E8C74BF0401}" cache="Segment_Produits" caption="FERTIMED" columnCount="7" style="SlicerStyleLight5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25B918B-1D21-4A25-9BE4-0543A86CC8E3}" name="Tableau8" displayName="Tableau8" ref="A8:I41" totalsRowShown="0" headerRowDxfId="82" dataDxfId="81" tableBorderDxfId="80">
  <tableColumns count="9">
    <tableColumn id="1" xr3:uid="{AE04B57D-9390-46EC-B7B1-F34617D32B56}" name="Produits" dataDxfId="79"/>
    <tableColumn id="2" xr3:uid="{DA5575CA-8DC8-4EF1-80F6-669B0762C4AF}" name="Unité" dataDxfId="78"/>
    <tableColumn id="4" xr3:uid="{FF966350-7A14-43D2-8A6D-E8B27CBC6E54}" name="Prix achat unitaire en €" dataDxfId="77">
      <calculatedColumnFormula>_xlfn.XLOOKUP(Tableau8[[#This Row],[Produits]],Tableau12[Produits],Tableau12[Prix unitaire € 2026])</calculatedColumnFormula>
    </tableColumn>
    <tableColumn id="5" xr3:uid="{DD36C87C-2BC6-4826-BDF8-3BD8A646C894}" name="Quantités prévisionelles par produit par unité" dataDxfId="76">
      <calculatedColumnFormula>_xlfn.XLOOKUP(Tableau8[[#This Row],[Produits]],'Forecast-Volumes annuels import'!A10:A42,'Forecast-Volumes annuels import'!O10:O42)</calculatedColumnFormula>
    </tableColumn>
    <tableColumn id="9" xr3:uid="{5E741513-37EB-4C43-92C5-89F205279F2C}" name="Valeur importations (prix d'achat total annuel/produit en €" dataDxfId="75">
      <calculatedColumnFormula>Tableau8[[#This Row],[Prix achat unitaire en €]]*Tableau8[[#This Row],[Quantités prévisionelles par produit par unité]]</calculatedColumnFormula>
    </tableColumn>
    <tableColumn id="6" xr3:uid="{2EAC66E9-33D6-4CD5-8D45-DBE96471A530}" name="PR Total par produit (DZD TTC)" dataDxfId="74">
      <calculatedColumnFormula>(C9*D9)*145*1.19*1.15</calculatedColumnFormula>
    </tableColumn>
    <tableColumn id="13" xr3:uid="{99163CF8-DBDD-4330-ABB1-0E5A5A13FD2D}" name="Marge unitaire par produit en(DZD TTC)" dataDxfId="73">
      <calculatedColumnFormula>IFERROR(Tableau8[[#This Row],[Marge brute totale anuelle par produit (DZD TTC)]]/Tableau8[[#This Row],[Quantités prévisionelles par produit par unité]],"00")</calculatedColumnFormula>
    </tableColumn>
    <tableColumn id="7" xr3:uid="{342650FE-30A9-4ABF-9175-95E750CF02C2}" name="Marge brute totale anuelle par produit (DZD TTC)" dataDxfId="72">
      <calculatedColumnFormula>I9-F9</calculatedColumnFormula>
    </tableColumn>
    <tableColumn id="8" xr3:uid="{071E1E91-A6D6-4185-B5A8-6EB48B729315}" name="Prévisionnel  chiffre d'affaire total annuel par produit (DZD TTC)" dataDxfId="71">
      <calculatedColumnFormula>F9*1.15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395F740-0E3A-4CF3-B5C6-99B9D7953F00}" name="Tableau4" displayName="Tableau4" ref="A12:A45" totalsRowShown="0" headerRowDxfId="70" dataDxfId="69" tableBorderDxfId="68">
  <autoFilter ref="A12:A45" xr:uid="{1395F740-0E3A-4CF3-B5C6-99B9D7953F00}"/>
  <tableColumns count="1">
    <tableColumn id="1" xr3:uid="{1AE1A60D-2802-492F-AAB9-06AACBEA3C4B}" name="Produits" dataDxfId="6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66DB07AE-C4E2-4F5B-AB31-BEED6F704404}" name="Tableau10" displayName="Tableau10" ref="B12:G46" totalsRowShown="0" headerRowDxfId="66" dataDxfId="65" tableBorderDxfId="64">
  <tableColumns count="6">
    <tableColumn id="1" xr3:uid="{C0BFF0B1-E59C-4E9E-A72C-242548F265BB}" name="Total volumes" dataDxfId="63"/>
    <tableColumn id="2" xr3:uid="{8DC1C262-12DF-4F5E-9578-5B280CEE7280}" name="Total en tonnes" dataDxfId="62"/>
    <tableColumn id="3" xr3:uid="{0F7983E8-1D22-4F16-8C6E-570E57A30582}" name="Valeur importations (prix d'achat total annuel/produit en €)" dataDxfId="61"/>
    <tableColumn id="4" xr3:uid="{CAF3884E-46F8-4FB8-AE32-3F75ABF98371}" name="Valeurs importation en DZD HT" dataDxfId="60"/>
    <tableColumn id="5" xr3:uid="{553A9684-B353-45FB-9AAC-BF41BB9E74B1}" name="PR Total par produit (DZD TTC)" dataDxfId="59"/>
    <tableColumn id="6" xr3:uid="{283C8A82-6F66-471A-9555-777B55E7D841}" name="Prix de vente total par produit (DZD TTC) " dataDxfId="5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575C9EF1-8240-434E-89A6-7C16EA486D4A}" name="Tableau12" displayName="Tableau12" ref="B4:H37" totalsRowShown="0" headerRowDxfId="57" dataDxfId="56" tableBorderDxfId="55">
  <tableColumns count="7">
    <tableColumn id="1" xr3:uid="{FC15C360-256F-45DE-80B4-D8F9306EC0A1}" name="Produits" dataDxfId="54"/>
    <tableColumn id="8" xr3:uid="{878EEEEE-AAF6-4590-A861-E9A0FEA26407}" name="Prix unitaire € 2025" dataDxfId="53"/>
    <tableColumn id="2" xr3:uid="{47F1AD5C-CF26-4461-BEDB-7BC5FB76A39D}" name="Prix unitaire € 2026" dataDxfId="52">
      <calculatedColumnFormula>C5*(1+10%)</calculatedColumnFormula>
    </tableColumn>
    <tableColumn id="3" xr3:uid="{E40E7428-B291-499D-B637-962AF7B0FE80}" name="Prix en tonne €" dataDxfId="51"/>
    <tableColumn id="4" xr3:uid="{BCCEAEEF-6BEF-4FAD-BDB4-BB10019252E1}" name="Prix en Quintaux €" dataDxfId="50"/>
    <tableColumn id="5" xr3:uid="{FEC716CC-837F-4E55-9A43-3062E1DC56EC}" name="Prix de vente DZD TTC" dataDxfId="49"/>
    <tableColumn id="6" xr3:uid="{8E35DDDA-12CB-4D24-9B4D-B7A5FA0C4445}" name="Origine/ Fournisseur" dataDxfId="4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C5586E9-CFE0-4FA3-891F-4A78824FCB92}" name="Tableau3" displayName="Tableau3" ref="W4:BP38" totalsRowShown="0" headerRowDxfId="47" tableBorderDxfId="46">
  <autoFilter ref="W4:BP38" xr:uid="{7C5586E9-CFE0-4FA3-891F-4A78824FCB92}"/>
  <tableColumns count="46">
    <tableColumn id="1" xr3:uid="{C2EA99EE-9465-464C-9140-7490A5F3563E}" name="Produits" dataDxfId="45"/>
    <tableColumn id="2" xr3:uid="{DB9BDA97-E94D-46CE-B119-86BE33FF0A2B}" name="Janvier" dataDxfId="44"/>
    <tableColumn id="3" xr3:uid="{63CC75D5-B87E-483E-A5DB-F29474C6B72A}" name="Février" dataDxfId="43"/>
    <tableColumn id="4" xr3:uid="{F0C8035B-2A30-48DD-A855-95FD7D2ED614}" name="Mars" dataDxfId="42"/>
    <tableColumn id="5" xr3:uid="{508B8F86-B6F4-4855-9BD4-13DF3C1205F2}" name="Avril" dataDxfId="41"/>
    <tableColumn id="6" xr3:uid="{6EED553F-C620-4353-90D7-7308885F5930}" name="Mai" dataDxfId="40"/>
    <tableColumn id="7" xr3:uid="{708238EE-B8FB-4068-BF94-C461473EA227}" name="Juin" dataDxfId="39"/>
    <tableColumn id="8" xr3:uid="{BD5E60E6-2FCB-4612-881D-43DDAA3C8661}" name="Juillet" dataDxfId="38"/>
    <tableColumn id="9" xr3:uid="{35AC1D6D-17B1-4AAA-AA78-1180E2FB3618}" name="Août" dataDxfId="37"/>
    <tableColumn id="10" xr3:uid="{4ADE77A7-57C5-461D-A707-B94786B33B6F}" name="Septembre" dataDxfId="36"/>
    <tableColumn id="11" xr3:uid="{6DB35D5C-6DE4-4439-A8D4-286FF69EA37B}" name="Octobre" dataDxfId="35"/>
    <tableColumn id="12" xr3:uid="{8F024750-3BD1-4AD0-B057-CD0360E84727}" name="Novembre" dataDxfId="34"/>
    <tableColumn id="13" xr3:uid="{8185E1B8-ABC2-48BA-98BC-5677B4C0EEFD}" name="Décembre" dataDxfId="33"/>
    <tableColumn id="14" xr3:uid="{29E0D917-1090-4786-A3C0-31EBC43EA2A7}" name="Totale en volume" dataDxfId="32"/>
    <tableColumn id="15" xr3:uid="{4E19F7AB-9815-4167-86F7-3ECDCA84D046}" name="Total en tonnes" dataDxfId="31"/>
    <tableColumn id="16" xr3:uid="{2002018B-7167-4EC2-A8A1-ED4C43939C42}" name="Janvier3" dataDxfId="30"/>
    <tableColumn id="17" xr3:uid="{2B7B7210-194F-433C-9CFF-CB6544A0C818}" name="Février4" dataDxfId="29"/>
    <tableColumn id="18" xr3:uid="{6BB5ECA0-8E1F-42A2-82E4-102749AA6CE0}" name="Mars5" dataDxfId="28"/>
    <tableColumn id="19" xr3:uid="{EFB540C1-16E1-46A9-B5D0-F8C548AC9C5B}" name="Avril6" dataDxfId="27"/>
    <tableColumn id="20" xr3:uid="{328A7951-BBC0-428F-A399-F299AACC6242}" name="Mai7" dataDxfId="26"/>
    <tableColumn id="21" xr3:uid="{4DD71F9A-14DD-4099-AB90-BB976B92A85A}" name="Juin8" dataDxfId="25"/>
    <tableColumn id="22" xr3:uid="{880F396C-22FA-4141-BEF3-4E78D8E26815}" name="Juillet9" dataDxfId="24"/>
    <tableColumn id="23" xr3:uid="{44A6F4C0-9B88-4F6E-A04A-827455D2A4F9}" name="Août10" dataDxfId="23"/>
    <tableColumn id="24" xr3:uid="{1FD98C18-90F3-4F3E-95A9-E4224990D956}" name="Septembre11" dataDxfId="22"/>
    <tableColumn id="25" xr3:uid="{F1C4DBCB-97F3-4D8B-8089-DE1334187DD6}" name="Octobre12" dataDxfId="21"/>
    <tableColumn id="26" xr3:uid="{FE6230D2-F6E6-464E-A19C-FBB50522FB36}" name="Novembre13" dataDxfId="20"/>
    <tableColumn id="27" xr3:uid="{70CE2F6E-6D4C-48F4-9796-A1D9154A6829}" name="Décembre14" dataDxfId="19"/>
    <tableColumn id="28" xr3:uid="{E3600A76-237C-483C-9054-0D3AEE351A80}" name="Totale envaleurs DZD TTC" dataDxfId="18"/>
    <tableColumn id="29" xr3:uid="{406D0D46-C490-456F-A5BE-93D9C47F51FA}" name="Total achats  € " dataDxfId="17"/>
    <tableColumn id="30" xr3:uid="{9946B946-1CF0-4C4F-9D9F-5ED3CAF81FFB}" name="Janvier2" dataDxfId="16"/>
    <tableColumn id="31" xr3:uid="{357DFB04-73DA-46A4-AC40-ED48E9001D82}" name="Février3" dataDxfId="15"/>
    <tableColumn id="32" xr3:uid="{41949C71-C35C-49E3-B707-C3AEE5530B99}" name="Mars4" dataDxfId="14"/>
    <tableColumn id="33" xr3:uid="{4A40F16E-8AB4-4EB7-9264-02F5B156B097}" name="Avril5" dataDxfId="13"/>
    <tableColumn id="34" xr3:uid="{30B3E01B-E9FF-4DA4-8CF1-D393713263DD}" name="Mai6" dataDxfId="12"/>
    <tableColumn id="35" xr3:uid="{14DF495F-C1A1-44F8-BE44-7BFD0D752F6B}" name="Juin7" dataDxfId="11"/>
    <tableColumn id="36" xr3:uid="{7060EC3B-A51A-4013-A82D-040973C10B8E}" name="Juillet8" dataDxfId="10"/>
    <tableColumn id="37" xr3:uid="{9298A236-BD78-4BC9-BC59-F9FC70601174}" name="Août9" dataDxfId="9"/>
    <tableColumn id="38" xr3:uid="{986F1789-3C85-4FB2-B793-F89F619C75D1}" name="Septembre10" dataDxfId="8"/>
    <tableColumn id="39" xr3:uid="{7DE5DF24-DBAE-40A8-98C4-3914B18B7A99}" name="Octobre11" dataDxfId="7"/>
    <tableColumn id="40" xr3:uid="{5CAD4A97-3842-4E4A-84C6-9E1B413115F0}" name="Novembre12" dataDxfId="6"/>
    <tableColumn id="41" xr3:uid="{A8A9054B-C0AA-43A6-BF3C-397F6049C084}" name="Décembre13" dataDxfId="5"/>
    <tableColumn id="42" xr3:uid="{4D1A7E63-B921-459C-9379-4A34377D7826}" name="Totale vente en volumes" dataDxfId="4"/>
    <tableColumn id="43" xr3:uid="{4D42177C-C046-4EB2-8456-39E07E063DAD}" name="Totale ventes en valeurs" dataDxfId="3"/>
    <tableColumn id="44" xr3:uid="{7D1E8914-DB83-4077-8222-5B517AB2E00B}" name="Reste en stock au 31/12/2025" dataDxfId="2"/>
    <tableColumn id="45" xr3:uid="{C1B4D129-79AE-4944-871F-33D21E90D3CF}" name="Total ventes en tonnes" dataDxfId="1"/>
    <tableColumn id="46" xr3:uid="{5601088D-4302-4DE8-8A28-241B7DD08801}" name="Reste en stock au 31/12/2025 en 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5" Type="http://schemas.microsoft.com/office/2007/relationships/slicer" Target="../slicers/slicer2.xml"/><Relationship Id="rId4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7B9B5D-BA75-4386-A60B-ED69AE93620F}">
  <sheetPr codeName="Feuil9"/>
  <dimension ref="A1"/>
  <sheetViews>
    <sheetView tabSelected="1" zoomScale="55" zoomScaleNormal="55" workbookViewId="0">
      <selection activeCell="C5" sqref="C5"/>
    </sheetView>
  </sheetViews>
  <sheetFormatPr baseColWidth="10" defaultRowHeight="14.5" x14ac:dyDescent="0.35"/>
  <cols>
    <col min="1" max="1" width="1.7265625" style="132" customWidth="1"/>
    <col min="2" max="16384" width="10.90625" style="132"/>
  </cols>
  <sheetData/>
  <sheetProtection formatCells="0" formatColumns="0" formatRows="0" insertColumns="0" insertRows="0" insertHyperlinks="0" deleteColumns="0" deleteRows="0" pivotTables="0"/>
  <pageMargins left="0.7" right="0.7" top="0.75" bottom="0.75" header="0.3" footer="0.3"/>
  <drawing r:id="rId1"/>
  <extLst>
    <ext xmlns:x15="http://schemas.microsoft.com/office/spreadsheetml/2010/11/main" uri="{3A4CF648-6AED-40f4-86FF-DC5316D8AED3}">
      <x14:slicerList xmlns:x14="http://schemas.microsoft.com/office/spreadsheetml/2009/9/main">
        <x14:slicer r:id="rId2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BD5BB2-592B-4448-A113-184DBEF37C4A}">
  <sheetPr codeName="Feuil1"/>
  <dimension ref="A1:BQ67"/>
  <sheetViews>
    <sheetView zoomScale="60" zoomScaleNormal="60" workbookViewId="0">
      <selection activeCell="T22" sqref="T22"/>
    </sheetView>
  </sheetViews>
  <sheetFormatPr baseColWidth="10" defaultRowHeight="14.5" x14ac:dyDescent="0.35"/>
  <cols>
    <col min="1" max="1" width="42.90625" style="4" bestFit="1" customWidth="1"/>
    <col min="2" max="2" width="13.6328125" style="4" customWidth="1"/>
    <col min="3" max="14" width="13.6328125" style="1" customWidth="1"/>
    <col min="15" max="15" width="13.6328125" customWidth="1"/>
    <col min="16" max="16" width="13.90625" customWidth="1"/>
    <col min="17" max="17" width="1.6328125" style="48" customWidth="1"/>
    <col min="18" max="18" width="0.7265625" style="48" hidden="1" customWidth="1"/>
    <col min="19" max="69" width="10.90625" style="48"/>
  </cols>
  <sheetData>
    <row r="1" spans="1:18" s="48" customFormat="1" x14ac:dyDescent="0.35">
      <c r="A1" s="46"/>
      <c r="B1" s="46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</row>
    <row r="2" spans="1:18" s="48" customFormat="1" x14ac:dyDescent="0.35">
      <c r="A2" s="46"/>
      <c r="B2" s="46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</row>
    <row r="3" spans="1:18" s="48" customFormat="1" x14ac:dyDescent="0.35">
      <c r="A3" s="46"/>
      <c r="B3" s="46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</row>
    <row r="4" spans="1:18" s="48" customFormat="1" x14ac:dyDescent="0.35">
      <c r="A4" s="46"/>
      <c r="B4" s="46"/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</row>
    <row r="5" spans="1:18" s="48" customFormat="1" x14ac:dyDescent="0.35">
      <c r="A5" s="46"/>
      <c r="B5" s="46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</row>
    <row r="6" spans="1:18" s="48" customFormat="1" ht="15" thickBot="1" x14ac:dyDescent="0.4">
      <c r="A6" s="46"/>
      <c r="B6" s="46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</row>
    <row r="7" spans="1:18" s="48" customFormat="1" ht="16.5" thickTop="1" thickBot="1" x14ac:dyDescent="0.4">
      <c r="A7" s="46"/>
      <c r="B7" s="46"/>
      <c r="C7" s="135" t="s">
        <v>118</v>
      </c>
      <c r="D7" s="136"/>
      <c r="E7" s="136"/>
      <c r="F7" s="136"/>
      <c r="G7" s="136"/>
      <c r="H7" s="136"/>
      <c r="I7" s="136"/>
      <c r="J7" s="136"/>
      <c r="K7" s="136"/>
      <c r="L7" s="136"/>
      <c r="M7" s="136"/>
      <c r="N7" s="137"/>
    </row>
    <row r="8" spans="1:18" ht="16" customHeight="1" thickTop="1" thickBot="1" x14ac:dyDescent="0.4">
      <c r="A8" s="139" t="s">
        <v>48</v>
      </c>
      <c r="B8" s="141" t="s">
        <v>15</v>
      </c>
      <c r="C8" s="102" t="s">
        <v>0</v>
      </c>
      <c r="D8" s="102" t="s">
        <v>1</v>
      </c>
      <c r="E8" s="102" t="s">
        <v>2</v>
      </c>
      <c r="F8" s="102" t="s">
        <v>3</v>
      </c>
      <c r="G8" s="102" t="s">
        <v>4</v>
      </c>
      <c r="H8" s="102" t="s">
        <v>5</v>
      </c>
      <c r="I8" s="102" t="s">
        <v>6</v>
      </c>
      <c r="J8" s="102" t="s">
        <v>7</v>
      </c>
      <c r="K8" s="102" t="s">
        <v>8</v>
      </c>
      <c r="L8" s="102" t="s">
        <v>9</v>
      </c>
      <c r="M8" s="102" t="s">
        <v>10</v>
      </c>
      <c r="N8" s="103" t="s">
        <v>11</v>
      </c>
      <c r="O8" s="138" t="s">
        <v>21</v>
      </c>
      <c r="P8" s="138" t="s">
        <v>22</v>
      </c>
      <c r="R8" s="138" t="s">
        <v>21</v>
      </c>
    </row>
    <row r="9" spans="1:18" ht="14.5" customHeight="1" thickTop="1" thickBot="1" x14ac:dyDescent="0.4">
      <c r="A9" s="140"/>
      <c r="B9" s="142"/>
      <c r="C9" s="6" t="s">
        <v>14</v>
      </c>
      <c r="D9" s="6" t="s">
        <v>14</v>
      </c>
      <c r="E9" s="6" t="s">
        <v>14</v>
      </c>
      <c r="F9" s="6" t="s">
        <v>14</v>
      </c>
      <c r="G9" s="6" t="s">
        <v>14</v>
      </c>
      <c r="H9" s="6" t="s">
        <v>14</v>
      </c>
      <c r="I9" s="6" t="s">
        <v>14</v>
      </c>
      <c r="J9" s="6" t="s">
        <v>14</v>
      </c>
      <c r="K9" s="6" t="s">
        <v>14</v>
      </c>
      <c r="L9" s="6" t="s">
        <v>14</v>
      </c>
      <c r="M9" s="6" t="s">
        <v>14</v>
      </c>
      <c r="N9" s="6" t="s">
        <v>14</v>
      </c>
      <c r="O9" s="138"/>
      <c r="P9" s="138"/>
      <c r="R9" s="138"/>
    </row>
    <row r="10" spans="1:18" ht="14.5" customHeight="1" thickTop="1" x14ac:dyDescent="0.35">
      <c r="A10" s="133" t="s">
        <v>119</v>
      </c>
      <c r="B10" s="7" t="s">
        <v>17</v>
      </c>
      <c r="C10" s="41">
        <v>2600</v>
      </c>
      <c r="D10" s="41"/>
      <c r="E10" s="41">
        <v>2000</v>
      </c>
      <c r="F10" s="41"/>
      <c r="G10" s="41"/>
      <c r="H10" s="41">
        <v>3200</v>
      </c>
      <c r="I10" s="41"/>
      <c r="J10" s="41"/>
      <c r="K10" s="41">
        <v>5000</v>
      </c>
      <c r="L10" s="41"/>
      <c r="M10" s="41">
        <v>3000</v>
      </c>
      <c r="N10" s="41"/>
      <c r="O10" s="19">
        <f>SUM(C10:N10)</f>
        <v>15800</v>
      </c>
      <c r="P10" s="16">
        <f>O10/1000</f>
        <v>15.8</v>
      </c>
      <c r="R10" s="19">
        <v>10550</v>
      </c>
    </row>
    <row r="11" spans="1:18" x14ac:dyDescent="0.35">
      <c r="A11" s="133" t="s">
        <v>120</v>
      </c>
      <c r="B11" s="8" t="s">
        <v>17</v>
      </c>
      <c r="C11" s="42">
        <v>3900</v>
      </c>
      <c r="D11" s="42"/>
      <c r="E11" s="42">
        <v>2000</v>
      </c>
      <c r="F11" s="42"/>
      <c r="G11" s="42"/>
      <c r="H11" s="42">
        <v>2000</v>
      </c>
      <c r="I11" s="42"/>
      <c r="J11" s="42"/>
      <c r="K11" s="42">
        <v>2000</v>
      </c>
      <c r="L11" s="42"/>
      <c r="M11" s="42">
        <v>2200</v>
      </c>
      <c r="N11" s="42"/>
      <c r="O11" s="19">
        <f t="shared" ref="O11:O42" si="0">SUM(C11:N11)</f>
        <v>12100</v>
      </c>
      <c r="P11" s="16">
        <f t="shared" ref="P11:P19" si="1">O11/1000</f>
        <v>12.1</v>
      </c>
      <c r="R11" s="19">
        <v>8100</v>
      </c>
    </row>
    <row r="12" spans="1:18" x14ac:dyDescent="0.35">
      <c r="A12" s="133" t="s">
        <v>121</v>
      </c>
      <c r="B12" s="8" t="s">
        <v>17</v>
      </c>
      <c r="C12" s="42">
        <v>3000</v>
      </c>
      <c r="D12" s="42"/>
      <c r="E12" s="42">
        <v>500</v>
      </c>
      <c r="F12" s="42"/>
      <c r="G12" s="42"/>
      <c r="H12" s="42">
        <v>3000</v>
      </c>
      <c r="I12" s="42"/>
      <c r="J12" s="42"/>
      <c r="K12" s="42">
        <v>1000</v>
      </c>
      <c r="L12" s="42"/>
      <c r="M12" s="42">
        <v>3000</v>
      </c>
      <c r="N12" s="42"/>
      <c r="O12" s="19">
        <f t="shared" si="0"/>
        <v>10500</v>
      </c>
      <c r="P12" s="16">
        <f t="shared" si="1"/>
        <v>10.5</v>
      </c>
      <c r="R12" s="19">
        <v>7000</v>
      </c>
    </row>
    <row r="13" spans="1:18" x14ac:dyDescent="0.35">
      <c r="A13" s="133" t="s">
        <v>122</v>
      </c>
      <c r="B13" s="8" t="s">
        <v>17</v>
      </c>
      <c r="C13" s="42">
        <v>1000</v>
      </c>
      <c r="D13" s="42"/>
      <c r="E13" s="42">
        <v>1200</v>
      </c>
      <c r="F13" s="42"/>
      <c r="G13" s="42"/>
      <c r="H13" s="42">
        <v>2000</v>
      </c>
      <c r="I13" s="42"/>
      <c r="J13" s="42"/>
      <c r="K13" s="42">
        <v>1000</v>
      </c>
      <c r="L13" s="42"/>
      <c r="M13" s="42">
        <v>2000</v>
      </c>
      <c r="N13" s="42"/>
      <c r="O13" s="19">
        <f t="shared" si="0"/>
        <v>7200</v>
      </c>
      <c r="P13" s="16">
        <f t="shared" si="1"/>
        <v>7.2</v>
      </c>
      <c r="R13" s="19">
        <v>4800</v>
      </c>
    </row>
    <row r="14" spans="1:18" x14ac:dyDescent="0.35">
      <c r="A14" s="133" t="s">
        <v>123</v>
      </c>
      <c r="B14" s="8" t="s">
        <v>17</v>
      </c>
      <c r="C14" s="42">
        <v>2000</v>
      </c>
      <c r="D14" s="42"/>
      <c r="E14" s="42">
        <v>2200</v>
      </c>
      <c r="F14" s="42"/>
      <c r="G14" s="42"/>
      <c r="H14" s="42">
        <v>4000</v>
      </c>
      <c r="I14" s="42"/>
      <c r="J14" s="42"/>
      <c r="K14" s="42">
        <v>1800</v>
      </c>
      <c r="L14" s="42"/>
      <c r="M14" s="42">
        <v>4000</v>
      </c>
      <c r="N14" s="42"/>
      <c r="O14" s="19">
        <f t="shared" si="0"/>
        <v>14000</v>
      </c>
      <c r="P14" s="16">
        <f t="shared" si="1"/>
        <v>14</v>
      </c>
      <c r="R14" s="19">
        <v>9300</v>
      </c>
    </row>
    <row r="15" spans="1:18" x14ac:dyDescent="0.35">
      <c r="A15" s="133" t="s">
        <v>124</v>
      </c>
      <c r="B15" s="8" t="s">
        <v>17</v>
      </c>
      <c r="C15" s="42">
        <v>2000</v>
      </c>
      <c r="D15" s="42"/>
      <c r="E15" s="42">
        <v>2500</v>
      </c>
      <c r="F15" s="42"/>
      <c r="G15" s="42"/>
      <c r="H15" s="42"/>
      <c r="I15" s="42"/>
      <c r="J15" s="42"/>
      <c r="K15" s="42">
        <v>5000</v>
      </c>
      <c r="L15" s="42"/>
      <c r="M15" s="42"/>
      <c r="N15" s="42"/>
      <c r="O15" s="19">
        <f t="shared" si="0"/>
        <v>9500</v>
      </c>
      <c r="P15" s="16">
        <f t="shared" si="1"/>
        <v>9.5</v>
      </c>
      <c r="R15" s="19">
        <v>6300</v>
      </c>
    </row>
    <row r="16" spans="1:18" x14ac:dyDescent="0.35">
      <c r="A16" s="133" t="s">
        <v>125</v>
      </c>
      <c r="B16" s="8" t="s">
        <v>17</v>
      </c>
      <c r="C16" s="42">
        <v>500</v>
      </c>
      <c r="D16" s="42"/>
      <c r="E16" s="42"/>
      <c r="F16" s="42"/>
      <c r="G16" s="42"/>
      <c r="H16" s="42">
        <v>1500</v>
      </c>
      <c r="I16" s="42"/>
      <c r="J16" s="42"/>
      <c r="K16" s="42"/>
      <c r="L16" s="42"/>
      <c r="M16" s="42">
        <v>5500</v>
      </c>
      <c r="N16" s="42"/>
      <c r="O16" s="19">
        <f t="shared" si="0"/>
        <v>7500</v>
      </c>
      <c r="P16" s="16">
        <f t="shared" si="1"/>
        <v>7.5</v>
      </c>
      <c r="R16" s="19">
        <v>5000</v>
      </c>
    </row>
    <row r="17" spans="1:18" x14ac:dyDescent="0.35">
      <c r="A17" s="133" t="s">
        <v>126</v>
      </c>
      <c r="B17" s="8" t="s">
        <v>17</v>
      </c>
      <c r="C17" s="41">
        <v>1000</v>
      </c>
      <c r="D17" s="41"/>
      <c r="E17" s="41"/>
      <c r="F17" s="41"/>
      <c r="G17" s="41"/>
      <c r="H17" s="41"/>
      <c r="I17" s="41"/>
      <c r="J17" s="41"/>
      <c r="K17" s="41">
        <v>4000</v>
      </c>
      <c r="L17" s="41"/>
      <c r="M17" s="41">
        <v>1000</v>
      </c>
      <c r="N17" s="41"/>
      <c r="O17" s="19">
        <f t="shared" si="0"/>
        <v>6000</v>
      </c>
      <c r="P17" s="16">
        <f t="shared" si="1"/>
        <v>6</v>
      </c>
      <c r="R17" s="19">
        <v>4000</v>
      </c>
    </row>
    <row r="18" spans="1:18" x14ac:dyDescent="0.35">
      <c r="A18" s="133" t="s">
        <v>127</v>
      </c>
      <c r="B18" s="8" t="s">
        <v>17</v>
      </c>
      <c r="C18" s="41"/>
      <c r="D18" s="41"/>
      <c r="E18" s="41">
        <v>2500</v>
      </c>
      <c r="F18" s="41"/>
      <c r="G18" s="41"/>
      <c r="H18" s="41"/>
      <c r="I18" s="41"/>
      <c r="J18" s="41"/>
      <c r="K18" s="41">
        <v>5000</v>
      </c>
      <c r="L18" s="41"/>
      <c r="M18" s="41"/>
      <c r="N18" s="41"/>
      <c r="O18" s="19">
        <f t="shared" si="0"/>
        <v>7500</v>
      </c>
      <c r="P18" s="16">
        <f t="shared" si="1"/>
        <v>7.5</v>
      </c>
      <c r="R18" s="19">
        <v>5000</v>
      </c>
    </row>
    <row r="19" spans="1:18" x14ac:dyDescent="0.35">
      <c r="A19" s="133" t="s">
        <v>128</v>
      </c>
      <c r="B19" s="8" t="s">
        <v>17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19">
        <f t="shared" si="0"/>
        <v>0</v>
      </c>
      <c r="P19" s="16">
        <f t="shared" si="1"/>
        <v>0</v>
      </c>
      <c r="R19" s="19">
        <v>0</v>
      </c>
    </row>
    <row r="20" spans="1:18" x14ac:dyDescent="0.35">
      <c r="A20" s="133" t="s">
        <v>129</v>
      </c>
      <c r="B20" s="8" t="s">
        <v>16</v>
      </c>
      <c r="C20" s="41"/>
      <c r="D20" s="41"/>
      <c r="E20" s="41">
        <v>1000</v>
      </c>
      <c r="F20" s="41"/>
      <c r="G20" s="41"/>
      <c r="H20" s="41">
        <v>1000</v>
      </c>
      <c r="I20" s="41"/>
      <c r="J20" s="41"/>
      <c r="K20" s="41">
        <v>4000</v>
      </c>
      <c r="L20" s="41"/>
      <c r="M20" s="41"/>
      <c r="N20" s="41"/>
      <c r="O20" s="19">
        <f t="shared" si="0"/>
        <v>6000</v>
      </c>
      <c r="P20" s="16">
        <f t="shared" ref="P20:P25" si="2">O20/1000</f>
        <v>6</v>
      </c>
      <c r="R20" s="19">
        <v>4000</v>
      </c>
    </row>
    <row r="21" spans="1:18" x14ac:dyDescent="0.35">
      <c r="A21" s="133" t="s">
        <v>130</v>
      </c>
      <c r="B21" s="8" t="s">
        <v>16</v>
      </c>
      <c r="C21" s="42">
        <v>13600</v>
      </c>
      <c r="D21" s="42"/>
      <c r="E21" s="42">
        <v>13600</v>
      </c>
      <c r="F21" s="42"/>
      <c r="G21" s="42"/>
      <c r="H21" s="42">
        <v>13600</v>
      </c>
      <c r="I21" s="42"/>
      <c r="J21" s="42"/>
      <c r="K21" s="42">
        <v>3000</v>
      </c>
      <c r="L21" s="42"/>
      <c r="M21" s="42">
        <v>6000</v>
      </c>
      <c r="N21" s="42"/>
      <c r="O21" s="19">
        <f t="shared" si="0"/>
        <v>49800</v>
      </c>
      <c r="P21" s="16">
        <f t="shared" si="2"/>
        <v>49.8</v>
      </c>
      <c r="R21" s="19">
        <v>33200</v>
      </c>
    </row>
    <row r="22" spans="1:18" x14ac:dyDescent="0.35">
      <c r="A22" s="133" t="s">
        <v>131</v>
      </c>
      <c r="B22" s="8" t="s">
        <v>16</v>
      </c>
      <c r="C22" s="42">
        <v>1800</v>
      </c>
      <c r="D22" s="42"/>
      <c r="E22" s="42">
        <v>1000</v>
      </c>
      <c r="F22" s="42"/>
      <c r="G22" s="42"/>
      <c r="H22" s="42">
        <v>5000</v>
      </c>
      <c r="I22" s="42"/>
      <c r="J22" s="42"/>
      <c r="K22" s="42">
        <v>5000</v>
      </c>
      <c r="L22" s="42"/>
      <c r="M22" s="42">
        <v>4000</v>
      </c>
      <c r="N22" s="42"/>
      <c r="O22" s="19">
        <f t="shared" si="0"/>
        <v>16800</v>
      </c>
      <c r="P22" s="16">
        <f t="shared" si="2"/>
        <v>16.8</v>
      </c>
      <c r="R22" s="19">
        <v>11200</v>
      </c>
    </row>
    <row r="23" spans="1:18" x14ac:dyDescent="0.35">
      <c r="A23" s="133" t="s">
        <v>132</v>
      </c>
      <c r="B23" s="8" t="s">
        <v>16</v>
      </c>
      <c r="C23" s="42"/>
      <c r="D23" s="42"/>
      <c r="E23" s="42"/>
      <c r="F23" s="42"/>
      <c r="G23" s="42"/>
      <c r="H23" s="42">
        <v>5000</v>
      </c>
      <c r="I23" s="42"/>
      <c r="J23" s="40"/>
      <c r="K23" s="40">
        <v>7000</v>
      </c>
      <c r="L23" s="42"/>
      <c r="M23" s="42">
        <v>3000</v>
      </c>
      <c r="N23" s="42"/>
      <c r="O23" s="19">
        <f t="shared" si="0"/>
        <v>15000</v>
      </c>
      <c r="P23" s="16">
        <f t="shared" si="2"/>
        <v>15</v>
      </c>
      <c r="R23" s="19">
        <v>10000</v>
      </c>
    </row>
    <row r="24" spans="1:18" x14ac:dyDescent="0.35">
      <c r="A24" s="133" t="s">
        <v>133</v>
      </c>
      <c r="B24" s="8" t="s">
        <v>16</v>
      </c>
      <c r="C24" s="42"/>
      <c r="D24" s="42"/>
      <c r="E24" s="42"/>
      <c r="F24" s="42"/>
      <c r="G24" s="42"/>
      <c r="H24" s="42">
        <v>5000</v>
      </c>
      <c r="I24" s="42"/>
      <c r="J24" s="42"/>
      <c r="K24" s="42">
        <v>3000</v>
      </c>
      <c r="L24" s="42"/>
      <c r="M24" s="42">
        <v>7000</v>
      </c>
      <c r="N24" s="42"/>
      <c r="O24" s="19">
        <f t="shared" si="0"/>
        <v>15000</v>
      </c>
      <c r="P24" s="16">
        <f t="shared" si="2"/>
        <v>15</v>
      </c>
      <c r="R24" s="19">
        <v>10000</v>
      </c>
    </row>
    <row r="25" spans="1:18" x14ac:dyDescent="0.35">
      <c r="A25" s="133" t="s">
        <v>134</v>
      </c>
      <c r="B25" s="8" t="s">
        <v>18</v>
      </c>
      <c r="C25" s="42"/>
      <c r="D25" s="42"/>
      <c r="E25" s="42"/>
      <c r="F25" s="42"/>
      <c r="G25" s="42"/>
      <c r="H25" s="42">
        <v>5000</v>
      </c>
      <c r="I25" s="42"/>
      <c r="J25" s="42"/>
      <c r="K25" s="42">
        <v>3000</v>
      </c>
      <c r="L25" s="42"/>
      <c r="M25" s="42">
        <v>7000</v>
      </c>
      <c r="N25" s="42"/>
      <c r="O25" s="19">
        <f t="shared" si="0"/>
        <v>15000</v>
      </c>
      <c r="P25" s="16">
        <f t="shared" si="2"/>
        <v>15</v>
      </c>
      <c r="R25" s="19">
        <v>10000</v>
      </c>
    </row>
    <row r="26" spans="1:18" x14ac:dyDescent="0.35">
      <c r="A26" s="133" t="s">
        <v>135</v>
      </c>
      <c r="B26" s="8" t="s">
        <v>18</v>
      </c>
      <c r="C26" s="42"/>
      <c r="D26" s="42"/>
      <c r="E26" s="42"/>
      <c r="F26" s="42">
        <v>400</v>
      </c>
      <c r="G26" s="42">
        <v>400</v>
      </c>
      <c r="H26" s="42"/>
      <c r="I26" s="42"/>
      <c r="J26" s="42"/>
      <c r="K26" s="42"/>
      <c r="L26" s="42"/>
      <c r="M26" s="42"/>
      <c r="N26" s="42"/>
      <c r="O26" s="19">
        <f t="shared" si="0"/>
        <v>800</v>
      </c>
      <c r="P26" s="16">
        <f t="shared" ref="P26:P32" si="3">O26/10</f>
        <v>80</v>
      </c>
      <c r="R26" s="19">
        <v>500</v>
      </c>
    </row>
    <row r="27" spans="1:18" x14ac:dyDescent="0.35">
      <c r="A27" s="133" t="s">
        <v>136</v>
      </c>
      <c r="B27" s="8" t="s">
        <v>18</v>
      </c>
      <c r="C27" s="42"/>
      <c r="D27" s="42"/>
      <c r="E27" s="42"/>
      <c r="F27" s="42">
        <v>200</v>
      </c>
      <c r="G27" s="42">
        <v>400</v>
      </c>
      <c r="H27" s="42"/>
      <c r="I27" s="42"/>
      <c r="J27" s="42"/>
      <c r="K27" s="42"/>
      <c r="L27" s="42"/>
      <c r="M27" s="42"/>
      <c r="N27" s="42"/>
      <c r="O27" s="19">
        <f t="shared" si="0"/>
        <v>600</v>
      </c>
      <c r="P27" s="16">
        <f t="shared" si="3"/>
        <v>60</v>
      </c>
      <c r="R27" s="19">
        <v>400</v>
      </c>
    </row>
    <row r="28" spans="1:18" x14ac:dyDescent="0.35">
      <c r="A28" s="133" t="s">
        <v>137</v>
      </c>
      <c r="B28" s="8" t="s">
        <v>18</v>
      </c>
      <c r="C28" s="42">
        <v>400</v>
      </c>
      <c r="D28" s="42"/>
      <c r="E28" s="42"/>
      <c r="F28" s="42"/>
      <c r="G28" s="42">
        <v>600</v>
      </c>
      <c r="H28" s="42"/>
      <c r="I28" s="42"/>
      <c r="J28" s="42"/>
      <c r="K28" s="42"/>
      <c r="L28" s="42"/>
      <c r="M28" s="42">
        <v>200</v>
      </c>
      <c r="N28" s="42"/>
      <c r="O28" s="19">
        <f t="shared" si="0"/>
        <v>1200</v>
      </c>
      <c r="P28" s="16">
        <f t="shared" si="3"/>
        <v>120</v>
      </c>
      <c r="R28" s="19">
        <v>800</v>
      </c>
    </row>
    <row r="29" spans="1:18" x14ac:dyDescent="0.35">
      <c r="A29" s="133" t="s">
        <v>138</v>
      </c>
      <c r="B29" s="8" t="s">
        <v>18</v>
      </c>
      <c r="C29" s="42"/>
      <c r="D29" s="42"/>
      <c r="E29" s="42"/>
      <c r="F29" s="42"/>
      <c r="G29" s="42"/>
      <c r="H29" s="42"/>
      <c r="I29" s="42"/>
      <c r="J29" s="42">
        <v>300</v>
      </c>
      <c r="K29" s="42"/>
      <c r="L29" s="42"/>
      <c r="M29" s="42"/>
      <c r="N29" s="42"/>
      <c r="O29" s="19">
        <f t="shared" si="0"/>
        <v>300</v>
      </c>
      <c r="P29" s="16">
        <f t="shared" si="3"/>
        <v>30</v>
      </c>
      <c r="R29" s="19">
        <v>200</v>
      </c>
    </row>
    <row r="30" spans="1:18" x14ac:dyDescent="0.35">
      <c r="A30" s="133" t="s">
        <v>139</v>
      </c>
      <c r="B30" s="8" t="s">
        <v>18</v>
      </c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>
        <v>600</v>
      </c>
      <c r="N30" s="42"/>
      <c r="O30" s="19">
        <f t="shared" si="0"/>
        <v>600</v>
      </c>
      <c r="P30" s="16">
        <f t="shared" si="3"/>
        <v>60</v>
      </c>
      <c r="R30" s="19">
        <v>400</v>
      </c>
    </row>
    <row r="31" spans="1:18" x14ac:dyDescent="0.35">
      <c r="A31" s="133" t="s">
        <v>140</v>
      </c>
      <c r="B31" s="8" t="s">
        <v>18</v>
      </c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19">
        <f t="shared" si="0"/>
        <v>0</v>
      </c>
      <c r="P31" s="16">
        <f t="shared" si="3"/>
        <v>0</v>
      </c>
      <c r="R31" s="19">
        <v>0</v>
      </c>
    </row>
    <row r="32" spans="1:18" x14ac:dyDescent="0.35">
      <c r="A32" s="133" t="s">
        <v>141</v>
      </c>
      <c r="B32" s="8" t="s">
        <v>18</v>
      </c>
      <c r="C32" s="42"/>
      <c r="D32" s="42"/>
      <c r="E32" s="42"/>
      <c r="F32" s="42"/>
      <c r="G32" s="42"/>
      <c r="H32" s="42"/>
      <c r="I32" s="42"/>
      <c r="J32" s="42">
        <v>600</v>
      </c>
      <c r="K32" s="42"/>
      <c r="L32" s="42"/>
      <c r="M32" s="42">
        <v>600</v>
      </c>
      <c r="N32" s="42"/>
      <c r="O32" s="19">
        <f t="shared" si="0"/>
        <v>1200</v>
      </c>
      <c r="P32" s="16">
        <f t="shared" si="3"/>
        <v>120</v>
      </c>
      <c r="R32" s="19">
        <v>800</v>
      </c>
    </row>
    <row r="33" spans="1:18" x14ac:dyDescent="0.35">
      <c r="A33" s="133" t="s">
        <v>142</v>
      </c>
      <c r="B33" s="8" t="s">
        <v>19</v>
      </c>
      <c r="C33" s="42"/>
      <c r="D33" s="42"/>
      <c r="E33" s="42"/>
      <c r="F33" s="42"/>
      <c r="G33" s="42"/>
      <c r="H33" s="42"/>
      <c r="I33" s="42">
        <v>1000</v>
      </c>
      <c r="J33" s="42"/>
      <c r="K33" s="42"/>
      <c r="L33" s="42"/>
      <c r="M33" s="42"/>
      <c r="N33" s="42">
        <v>650</v>
      </c>
      <c r="O33" s="19">
        <f t="shared" si="0"/>
        <v>1650</v>
      </c>
      <c r="P33" s="19">
        <f>O33</f>
        <v>1650</v>
      </c>
      <c r="R33" s="19">
        <v>1100</v>
      </c>
    </row>
    <row r="34" spans="1:18" x14ac:dyDescent="0.35">
      <c r="A34" s="133" t="s">
        <v>143</v>
      </c>
      <c r="B34" s="8" t="s">
        <v>19</v>
      </c>
      <c r="C34" s="42"/>
      <c r="D34" s="42"/>
      <c r="E34" s="42"/>
      <c r="F34" s="42"/>
      <c r="G34" s="42"/>
      <c r="H34" s="42"/>
      <c r="I34" s="42"/>
      <c r="J34" s="42">
        <v>1600</v>
      </c>
      <c r="K34" s="42"/>
      <c r="L34" s="42"/>
      <c r="M34" s="42"/>
      <c r="N34" s="42">
        <v>800</v>
      </c>
      <c r="O34" s="19">
        <f t="shared" si="0"/>
        <v>2400</v>
      </c>
      <c r="P34" s="19">
        <f>O34</f>
        <v>2400</v>
      </c>
      <c r="R34" s="19">
        <v>1600</v>
      </c>
    </row>
    <row r="35" spans="1:18" x14ac:dyDescent="0.35">
      <c r="A35" s="133" t="s">
        <v>144</v>
      </c>
      <c r="B35" s="8" t="s">
        <v>19</v>
      </c>
      <c r="C35" s="42">
        <v>400</v>
      </c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>
        <v>800</v>
      </c>
      <c r="O35" s="19">
        <f t="shared" si="0"/>
        <v>1200</v>
      </c>
      <c r="P35" s="19">
        <f>O35</f>
        <v>1200</v>
      </c>
      <c r="R35" s="19">
        <v>800</v>
      </c>
    </row>
    <row r="36" spans="1:18" x14ac:dyDescent="0.35">
      <c r="A36" s="133" t="s">
        <v>145</v>
      </c>
      <c r="B36" s="8" t="s">
        <v>17</v>
      </c>
      <c r="C36" s="42"/>
      <c r="D36" s="42">
        <v>24000</v>
      </c>
      <c r="E36" s="42"/>
      <c r="F36" s="42"/>
      <c r="G36" s="42"/>
      <c r="H36" s="42"/>
      <c r="I36" s="42"/>
      <c r="J36" s="42"/>
      <c r="K36" s="42"/>
      <c r="L36" s="42"/>
      <c r="M36" s="42"/>
      <c r="N36" s="42"/>
      <c r="O36" s="19">
        <f>SUM(C36:N36)</f>
        <v>24000</v>
      </c>
      <c r="P36" s="19">
        <f>O36/1000</f>
        <v>24</v>
      </c>
      <c r="R36" s="19">
        <v>0</v>
      </c>
    </row>
    <row r="37" spans="1:18" x14ac:dyDescent="0.35">
      <c r="A37" s="133" t="s">
        <v>146</v>
      </c>
      <c r="B37" s="8" t="s">
        <v>17</v>
      </c>
      <c r="C37" s="42"/>
      <c r="D37" s="42"/>
      <c r="E37" s="42"/>
      <c r="F37" s="42"/>
      <c r="G37" s="42"/>
      <c r="H37" s="42"/>
      <c r="I37" s="42">
        <v>24000</v>
      </c>
      <c r="J37" s="42"/>
      <c r="K37" s="42"/>
      <c r="L37" s="42"/>
      <c r="M37" s="42"/>
      <c r="N37" s="42"/>
      <c r="O37" s="19">
        <f t="shared" si="0"/>
        <v>24000</v>
      </c>
      <c r="P37" s="19">
        <f t="shared" ref="P37:P42" si="4">O37/1000</f>
        <v>24</v>
      </c>
      <c r="R37" s="19">
        <v>0</v>
      </c>
    </row>
    <row r="38" spans="1:18" x14ac:dyDescent="0.35">
      <c r="A38" s="133" t="s">
        <v>147</v>
      </c>
      <c r="B38" s="8" t="s">
        <v>17</v>
      </c>
      <c r="C38" s="42"/>
      <c r="D38" s="42"/>
      <c r="E38" s="42"/>
      <c r="F38" s="42"/>
      <c r="G38" s="42"/>
      <c r="H38" s="42"/>
      <c r="I38" s="42"/>
      <c r="J38" s="42"/>
      <c r="K38" s="42"/>
      <c r="L38" s="42">
        <v>24000</v>
      </c>
      <c r="M38" s="42"/>
      <c r="N38" s="42"/>
      <c r="O38" s="19">
        <f t="shared" si="0"/>
        <v>24000</v>
      </c>
      <c r="P38" s="19">
        <f t="shared" si="4"/>
        <v>24</v>
      </c>
      <c r="R38" s="19">
        <v>0</v>
      </c>
    </row>
    <row r="39" spans="1:18" x14ac:dyDescent="0.35">
      <c r="A39" s="133" t="s">
        <v>148</v>
      </c>
      <c r="B39" s="8" t="s">
        <v>17</v>
      </c>
      <c r="C39" s="42"/>
      <c r="D39" s="42">
        <v>24000</v>
      </c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19">
        <f t="shared" si="0"/>
        <v>24000</v>
      </c>
      <c r="P39" s="19">
        <f t="shared" si="4"/>
        <v>24</v>
      </c>
      <c r="R39" s="19">
        <v>0</v>
      </c>
    </row>
    <row r="40" spans="1:18" x14ac:dyDescent="0.35">
      <c r="A40" s="133" t="s">
        <v>149</v>
      </c>
      <c r="B40" s="8" t="s">
        <v>17</v>
      </c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>
        <v>24000</v>
      </c>
      <c r="O40" s="19">
        <f t="shared" si="0"/>
        <v>24000</v>
      </c>
      <c r="P40" s="19">
        <f t="shared" si="4"/>
        <v>24</v>
      </c>
      <c r="R40" s="19">
        <v>0</v>
      </c>
    </row>
    <row r="41" spans="1:18" s="48" customFormat="1" x14ac:dyDescent="0.35">
      <c r="A41" s="133" t="s">
        <v>150</v>
      </c>
      <c r="B41" s="8" t="s">
        <v>16</v>
      </c>
      <c r="C41" s="42"/>
      <c r="D41" s="42">
        <v>1000</v>
      </c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19">
        <f t="shared" si="0"/>
        <v>1000</v>
      </c>
      <c r="P41" s="19">
        <f t="shared" si="4"/>
        <v>1</v>
      </c>
      <c r="R41" s="19">
        <v>0</v>
      </c>
    </row>
    <row r="42" spans="1:18" s="48" customFormat="1" x14ac:dyDescent="0.35">
      <c r="A42" s="134" t="s">
        <v>151</v>
      </c>
      <c r="B42" s="8" t="s">
        <v>16</v>
      </c>
      <c r="C42" s="42"/>
      <c r="D42" s="42"/>
      <c r="E42" s="42"/>
      <c r="F42" s="42"/>
      <c r="G42" s="42">
        <v>10000</v>
      </c>
      <c r="H42" s="42"/>
      <c r="I42" s="42"/>
      <c r="J42" s="42"/>
      <c r="K42" s="42"/>
      <c r="L42" s="42"/>
      <c r="M42" s="42"/>
      <c r="N42" s="42"/>
      <c r="O42" s="19">
        <f t="shared" si="0"/>
        <v>10000</v>
      </c>
      <c r="P42" s="19">
        <f t="shared" si="4"/>
        <v>10</v>
      </c>
      <c r="R42" s="19">
        <v>0</v>
      </c>
    </row>
    <row r="43" spans="1:18" s="48" customFormat="1" x14ac:dyDescent="0.35">
      <c r="A43" s="46"/>
      <c r="B43" s="46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P43" s="101">
        <f>SUM(P10:P42)</f>
        <v>6058.7</v>
      </c>
    </row>
    <row r="44" spans="1:18" s="48" customFormat="1" x14ac:dyDescent="0.35">
      <c r="A44" s="46"/>
      <c r="B44" s="46"/>
      <c r="C44" s="47"/>
      <c r="D44" s="47"/>
      <c r="E44" s="47"/>
      <c r="F44" s="47"/>
      <c r="G44" s="47"/>
      <c r="H44" s="47"/>
      <c r="I44" s="47"/>
      <c r="J44" s="47"/>
      <c r="K44" s="47"/>
      <c r="L44" s="47"/>
      <c r="M44" s="47"/>
      <c r="N44" s="47"/>
    </row>
    <row r="45" spans="1:18" s="48" customFormat="1" x14ac:dyDescent="0.35">
      <c r="A45" s="46"/>
      <c r="B45" s="46"/>
      <c r="C45" s="47"/>
      <c r="D45" s="47"/>
      <c r="E45" s="47"/>
      <c r="F45" s="47"/>
      <c r="G45" s="47"/>
      <c r="H45" s="47"/>
      <c r="I45" s="47"/>
      <c r="J45" s="47"/>
      <c r="K45" s="47"/>
      <c r="L45" s="47"/>
      <c r="M45" s="47"/>
      <c r="N45" s="47"/>
    </row>
    <row r="46" spans="1:18" s="48" customFormat="1" x14ac:dyDescent="0.35">
      <c r="A46" s="46"/>
      <c r="B46" s="46"/>
      <c r="C46" s="47"/>
      <c r="D46" s="47"/>
      <c r="E46" s="47"/>
      <c r="F46" s="47"/>
      <c r="G46" s="47"/>
      <c r="H46" s="47"/>
      <c r="I46" s="47"/>
      <c r="J46" s="47"/>
      <c r="K46" s="47"/>
      <c r="L46" s="47"/>
      <c r="M46" s="47"/>
      <c r="N46" s="47"/>
    </row>
    <row r="47" spans="1:18" s="48" customFormat="1" x14ac:dyDescent="0.35">
      <c r="A47" s="46"/>
      <c r="B47" s="46"/>
      <c r="C47" s="47"/>
      <c r="D47" s="47"/>
      <c r="E47" s="47"/>
      <c r="F47" s="47"/>
      <c r="G47" s="47"/>
      <c r="H47" s="47"/>
      <c r="I47" s="47"/>
      <c r="J47" s="47"/>
      <c r="K47" s="47"/>
      <c r="L47" s="47"/>
      <c r="M47" s="47"/>
      <c r="N47" s="47"/>
    </row>
    <row r="48" spans="1:18" s="48" customFormat="1" x14ac:dyDescent="0.35">
      <c r="A48" s="46"/>
      <c r="B48" s="46"/>
      <c r="C48" s="47"/>
      <c r="D48" s="47"/>
      <c r="E48" s="47"/>
      <c r="F48" s="47"/>
      <c r="G48" s="47"/>
      <c r="H48" s="47"/>
      <c r="I48" s="47"/>
      <c r="J48" s="47"/>
      <c r="K48" s="47"/>
      <c r="L48" s="47"/>
      <c r="M48" s="47"/>
      <c r="N48" s="47"/>
    </row>
    <row r="49" spans="1:14" s="48" customFormat="1" x14ac:dyDescent="0.35">
      <c r="A49" s="46"/>
      <c r="B49" s="46"/>
      <c r="C49" s="47"/>
      <c r="D49" s="47"/>
      <c r="E49" s="47"/>
      <c r="F49" s="47"/>
      <c r="G49" s="47"/>
      <c r="H49" s="47"/>
      <c r="I49" s="47"/>
      <c r="J49" s="47"/>
      <c r="K49" s="47"/>
      <c r="L49" s="47"/>
      <c r="M49" s="47"/>
      <c r="N49" s="47"/>
    </row>
    <row r="50" spans="1:14" s="48" customFormat="1" x14ac:dyDescent="0.35">
      <c r="A50" s="46"/>
      <c r="B50" s="46"/>
      <c r="C50" s="47"/>
      <c r="D50" s="47"/>
      <c r="E50" s="47"/>
      <c r="F50" s="47"/>
      <c r="G50" s="47"/>
      <c r="H50" s="47"/>
      <c r="I50" s="47"/>
      <c r="J50" s="47"/>
      <c r="K50" s="47"/>
      <c r="L50" s="47"/>
      <c r="M50" s="47"/>
      <c r="N50" s="47"/>
    </row>
    <row r="51" spans="1:14" s="48" customFormat="1" x14ac:dyDescent="0.35">
      <c r="A51" s="46"/>
      <c r="B51" s="46"/>
      <c r="C51" s="47"/>
      <c r="D51" s="47"/>
      <c r="E51" s="47"/>
      <c r="F51" s="47"/>
      <c r="G51" s="47"/>
      <c r="H51" s="47"/>
      <c r="I51" s="47"/>
      <c r="J51" s="47"/>
      <c r="K51" s="47"/>
      <c r="L51" s="47"/>
      <c r="M51" s="47"/>
      <c r="N51" s="47"/>
    </row>
    <row r="52" spans="1:14" s="48" customFormat="1" x14ac:dyDescent="0.35">
      <c r="A52" s="46"/>
      <c r="B52" s="46"/>
      <c r="C52" s="47"/>
      <c r="D52" s="47"/>
      <c r="E52" s="47"/>
      <c r="F52" s="47"/>
      <c r="G52" s="47"/>
      <c r="H52" s="47"/>
      <c r="I52" s="47"/>
      <c r="J52" s="47"/>
      <c r="K52" s="47"/>
      <c r="L52" s="47"/>
      <c r="M52" s="47"/>
      <c r="N52" s="47"/>
    </row>
    <row r="53" spans="1:14" s="48" customFormat="1" x14ac:dyDescent="0.35">
      <c r="A53" s="46"/>
      <c r="B53" s="46"/>
      <c r="C53" s="47"/>
      <c r="D53" s="47"/>
      <c r="E53" s="47"/>
      <c r="F53" s="47"/>
      <c r="G53" s="47"/>
      <c r="H53" s="47"/>
      <c r="I53" s="47"/>
      <c r="J53" s="47"/>
      <c r="K53" s="47"/>
      <c r="L53" s="47"/>
      <c r="M53" s="47"/>
      <c r="N53" s="47"/>
    </row>
    <row r="54" spans="1:14" s="48" customFormat="1" x14ac:dyDescent="0.35">
      <c r="A54" s="46"/>
      <c r="B54" s="46"/>
      <c r="C54" s="47"/>
      <c r="D54" s="47"/>
      <c r="E54" s="47"/>
      <c r="F54" s="47"/>
      <c r="G54" s="47"/>
      <c r="H54" s="47"/>
      <c r="I54" s="47"/>
      <c r="J54" s="47"/>
      <c r="K54" s="47"/>
      <c r="L54" s="47"/>
      <c r="M54" s="47"/>
      <c r="N54" s="47"/>
    </row>
    <row r="55" spans="1:14" s="48" customFormat="1" x14ac:dyDescent="0.35">
      <c r="A55" s="46"/>
      <c r="B55" s="46"/>
      <c r="C55" s="47"/>
      <c r="D55" s="47"/>
      <c r="E55" s="47"/>
      <c r="F55" s="47"/>
      <c r="G55" s="47"/>
      <c r="H55" s="47"/>
      <c r="I55" s="47"/>
      <c r="J55" s="47"/>
      <c r="K55" s="47"/>
      <c r="L55" s="47"/>
      <c r="M55" s="47"/>
      <c r="N55" s="47"/>
    </row>
    <row r="56" spans="1:14" s="48" customFormat="1" x14ac:dyDescent="0.35">
      <c r="A56" s="46"/>
      <c r="B56" s="46"/>
      <c r="C56" s="47"/>
      <c r="D56" s="47"/>
      <c r="E56" s="47"/>
      <c r="F56" s="47"/>
      <c r="G56" s="47"/>
      <c r="H56" s="47"/>
      <c r="I56" s="47"/>
      <c r="J56" s="47"/>
      <c r="K56" s="47"/>
      <c r="L56" s="47"/>
      <c r="M56" s="47"/>
      <c r="N56" s="47"/>
    </row>
    <row r="57" spans="1:14" s="48" customFormat="1" x14ac:dyDescent="0.35">
      <c r="A57" s="46"/>
      <c r="B57" s="46"/>
      <c r="C57" s="47"/>
      <c r="D57" s="47"/>
      <c r="E57" s="47"/>
      <c r="F57" s="47"/>
      <c r="G57" s="47"/>
      <c r="H57" s="47"/>
      <c r="I57" s="47"/>
      <c r="J57" s="47"/>
      <c r="K57" s="47"/>
      <c r="L57" s="47"/>
      <c r="M57" s="47"/>
      <c r="N57" s="47"/>
    </row>
    <row r="58" spans="1:14" s="48" customFormat="1" x14ac:dyDescent="0.35">
      <c r="A58" s="46"/>
      <c r="B58" s="46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7"/>
    </row>
    <row r="59" spans="1:14" s="48" customFormat="1" x14ac:dyDescent="0.35">
      <c r="A59" s="46"/>
      <c r="B59" s="46"/>
      <c r="C59" s="47"/>
      <c r="D59" s="47"/>
      <c r="E59" s="47"/>
      <c r="F59" s="47"/>
      <c r="G59" s="47"/>
      <c r="H59" s="47"/>
      <c r="I59" s="47"/>
      <c r="J59" s="47"/>
      <c r="K59" s="47"/>
      <c r="L59" s="47"/>
      <c r="M59" s="47"/>
      <c r="N59" s="47"/>
    </row>
    <row r="60" spans="1:14" s="48" customFormat="1" x14ac:dyDescent="0.35">
      <c r="A60" s="46"/>
      <c r="B60" s="46"/>
      <c r="C60" s="47"/>
      <c r="D60" s="47"/>
      <c r="E60" s="47"/>
      <c r="F60" s="47"/>
      <c r="G60" s="47"/>
      <c r="H60" s="47"/>
      <c r="I60" s="47"/>
      <c r="J60" s="47"/>
      <c r="K60" s="47"/>
      <c r="L60" s="47"/>
      <c r="M60" s="47"/>
      <c r="N60" s="47"/>
    </row>
    <row r="61" spans="1:14" s="48" customFormat="1" x14ac:dyDescent="0.35">
      <c r="A61" s="46"/>
      <c r="B61" s="46"/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</row>
    <row r="62" spans="1:14" s="48" customFormat="1" x14ac:dyDescent="0.35">
      <c r="A62" s="46"/>
      <c r="B62" s="46"/>
      <c r="C62" s="47"/>
      <c r="D62" s="47"/>
      <c r="E62" s="47"/>
      <c r="F62" s="47"/>
      <c r="G62" s="47"/>
      <c r="H62" s="47"/>
      <c r="I62" s="47"/>
      <c r="J62" s="47"/>
      <c r="K62" s="47"/>
      <c r="L62" s="47"/>
      <c r="M62" s="47"/>
      <c r="N62" s="47"/>
    </row>
    <row r="63" spans="1:14" s="48" customFormat="1" x14ac:dyDescent="0.35">
      <c r="A63" s="46"/>
      <c r="B63" s="46"/>
      <c r="C63" s="47"/>
      <c r="D63" s="47"/>
      <c r="E63" s="47"/>
      <c r="F63" s="47"/>
      <c r="G63" s="47"/>
      <c r="H63" s="47"/>
      <c r="I63" s="47"/>
      <c r="J63" s="47"/>
      <c r="K63" s="47"/>
      <c r="L63" s="47"/>
      <c r="M63" s="47"/>
      <c r="N63" s="47"/>
    </row>
    <row r="64" spans="1:14" s="48" customFormat="1" x14ac:dyDescent="0.35">
      <c r="A64" s="46"/>
      <c r="B64" s="46"/>
      <c r="C64" s="47"/>
      <c r="D64" s="47"/>
      <c r="E64" s="47"/>
      <c r="F64" s="47"/>
      <c r="G64" s="47"/>
      <c r="H64" s="47"/>
      <c r="I64" s="47"/>
      <c r="J64" s="47"/>
      <c r="K64" s="47"/>
      <c r="L64" s="47"/>
      <c r="M64" s="47"/>
      <c r="N64" s="47"/>
    </row>
    <row r="65" spans="1:14" s="48" customFormat="1" x14ac:dyDescent="0.35">
      <c r="A65" s="46"/>
      <c r="B65" s="46"/>
      <c r="C65" s="47"/>
      <c r="D65" s="47"/>
      <c r="E65" s="47"/>
      <c r="F65" s="47"/>
      <c r="G65" s="47"/>
      <c r="H65" s="47"/>
      <c r="I65" s="47"/>
      <c r="J65" s="47"/>
      <c r="K65" s="47"/>
      <c r="L65" s="47"/>
      <c r="M65" s="47"/>
      <c r="N65" s="47"/>
    </row>
    <row r="66" spans="1:14" s="48" customFormat="1" x14ac:dyDescent="0.35">
      <c r="A66" s="46"/>
      <c r="B66" s="46"/>
      <c r="C66" s="47"/>
      <c r="D66" s="47"/>
      <c r="E66" s="47"/>
      <c r="F66" s="47"/>
      <c r="G66" s="47"/>
      <c r="H66" s="47"/>
      <c r="I66" s="47"/>
      <c r="J66" s="47"/>
      <c r="K66" s="47"/>
      <c r="L66" s="47"/>
      <c r="M66" s="47"/>
      <c r="N66" s="47"/>
    </row>
    <row r="67" spans="1:14" s="48" customFormat="1" x14ac:dyDescent="0.35">
      <c r="A67" s="46"/>
      <c r="B67" s="46"/>
      <c r="C67" s="47"/>
      <c r="D67" s="47"/>
      <c r="E67" s="47"/>
      <c r="F67" s="47"/>
      <c r="G67" s="47"/>
      <c r="H67" s="47"/>
      <c r="I67" s="47"/>
      <c r="J67" s="47"/>
      <c r="K67" s="47"/>
      <c r="L67" s="47"/>
      <c r="M67" s="47"/>
      <c r="N67" s="47"/>
    </row>
  </sheetData>
  <mergeCells count="6">
    <mergeCell ref="C7:N7"/>
    <mergeCell ref="R8:R9"/>
    <mergeCell ref="O8:O9"/>
    <mergeCell ref="A8:A9"/>
    <mergeCell ref="B8:B9"/>
    <mergeCell ref="P8:P9"/>
  </mergeCells>
  <phoneticPr fontId="1" type="noConversion"/>
  <pageMargins left="0.7" right="0.7" top="0.75" bottom="0.75" header="0.3" footer="0.3"/>
  <pageSetup paperSize="9" orientation="portrait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6651449-51F3-45A1-AFDD-9A2AB1D19649}">
          <x14:formula1>
            <xm:f>Données!$M$5:$M$9</xm:f>
          </x14:formula1>
          <xm:sqref>B10:B40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F40B49-A163-4C7C-B5BF-E5AF7584E52A}">
  <sheetPr codeName="Feuil2"/>
  <dimension ref="A1:CG235"/>
  <sheetViews>
    <sheetView zoomScale="60" zoomScaleNormal="60" workbookViewId="0">
      <pane xSplit="1" topLeftCell="B1" activePane="topRight" state="frozen"/>
      <selection pane="topRight" activeCell="D22" sqref="D22"/>
    </sheetView>
  </sheetViews>
  <sheetFormatPr baseColWidth="10" defaultRowHeight="14.5" x14ac:dyDescent="0.35"/>
  <cols>
    <col min="1" max="1" width="32.6328125" style="4" customWidth="1"/>
    <col min="2" max="2" width="16.1796875" style="1" customWidth="1"/>
    <col min="3" max="3" width="31.26953125" style="4" bestFit="1" customWidth="1"/>
    <col min="4" max="4" width="44.08984375" style="4" bestFit="1" customWidth="1"/>
    <col min="5" max="5" width="56.81640625" style="4" bestFit="1" customWidth="1"/>
    <col min="6" max="6" width="29.90625" style="1" bestFit="1" customWidth="1"/>
    <col min="7" max="7" width="38.453125" style="1" bestFit="1" customWidth="1"/>
    <col min="8" max="8" width="47.453125" style="1" bestFit="1" customWidth="1"/>
    <col min="9" max="9" width="61.453125" style="1" bestFit="1" customWidth="1"/>
    <col min="32" max="85" width="10.90625" style="48"/>
  </cols>
  <sheetData>
    <row r="1" spans="1:85" ht="15" customHeight="1" x14ac:dyDescent="0.35">
      <c r="A1" s="12"/>
      <c r="B1" s="13"/>
      <c r="C1" s="12"/>
      <c r="D1" s="12"/>
      <c r="E1" s="12"/>
      <c r="F1" s="13"/>
      <c r="G1" s="13"/>
      <c r="H1" s="13"/>
      <c r="I1" s="13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</row>
    <row r="2" spans="1:85" ht="15" customHeight="1" x14ac:dyDescent="0.35">
      <c r="A2" s="12"/>
      <c r="B2" s="13"/>
      <c r="C2" s="12"/>
      <c r="D2" s="12"/>
      <c r="E2" s="12"/>
      <c r="F2" s="13"/>
      <c r="G2" s="13"/>
      <c r="H2" s="13"/>
      <c r="I2" s="13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</row>
    <row r="3" spans="1:85" ht="15" customHeight="1" x14ac:dyDescent="0.35">
      <c r="A3" s="12"/>
      <c r="B3" s="13"/>
      <c r="C3" s="12"/>
      <c r="D3" s="12"/>
      <c r="E3" s="12"/>
      <c r="F3" s="13"/>
      <c r="G3" s="13"/>
      <c r="H3" s="13"/>
      <c r="I3" s="13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</row>
    <row r="4" spans="1:85" ht="15" customHeight="1" x14ac:dyDescent="0.35">
      <c r="A4" s="12"/>
      <c r="B4" s="13"/>
      <c r="C4" s="12"/>
      <c r="D4" s="12"/>
      <c r="E4" s="12"/>
      <c r="F4" s="13"/>
      <c r="G4" s="13"/>
      <c r="H4" s="13"/>
      <c r="I4" s="13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</row>
    <row r="5" spans="1:85" ht="15" customHeight="1" thickBot="1" x14ac:dyDescent="0.4">
      <c r="A5" s="12"/>
      <c r="B5" s="13"/>
      <c r="C5" s="12"/>
      <c r="D5" s="12"/>
      <c r="E5" s="12"/>
      <c r="F5" s="13"/>
      <c r="G5" s="13"/>
      <c r="H5" s="13"/>
      <c r="I5" s="13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</row>
    <row r="6" spans="1:85" ht="15" customHeight="1" thickTop="1" thickBot="1" x14ac:dyDescent="0.4">
      <c r="A6" s="12"/>
      <c r="B6" s="13"/>
      <c r="C6" s="12"/>
      <c r="D6" s="12"/>
      <c r="E6" s="12"/>
      <c r="F6" s="71" t="s">
        <v>91</v>
      </c>
      <c r="G6" s="13"/>
      <c r="H6" s="13"/>
      <c r="I6" s="13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85" ht="15.5" customHeight="1" thickTop="1" x14ac:dyDescent="0.35">
      <c r="A7" s="12"/>
      <c r="B7" s="13"/>
      <c r="C7" s="12"/>
      <c r="D7" s="12"/>
      <c r="E7" s="12"/>
      <c r="F7" s="13"/>
      <c r="G7" s="13"/>
      <c r="H7" s="13"/>
      <c r="I7" s="13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</row>
    <row r="8" spans="1:85" s="32" customFormat="1" ht="16" customHeight="1" x14ac:dyDescent="0.35">
      <c r="A8" s="72" t="s">
        <v>13</v>
      </c>
      <c r="B8" s="72" t="s">
        <v>15</v>
      </c>
      <c r="C8" s="72" t="s">
        <v>86</v>
      </c>
      <c r="D8" s="72" t="s">
        <v>87</v>
      </c>
      <c r="E8" s="72" t="s">
        <v>45</v>
      </c>
      <c r="F8" s="72" t="s">
        <v>28</v>
      </c>
      <c r="G8" s="72" t="s">
        <v>42</v>
      </c>
      <c r="H8" s="72" t="s">
        <v>88</v>
      </c>
      <c r="I8" s="72" t="s">
        <v>92</v>
      </c>
      <c r="J8" s="73"/>
      <c r="K8" s="73"/>
      <c r="L8" s="73"/>
      <c r="M8" s="73"/>
      <c r="N8" s="73"/>
      <c r="O8" s="73"/>
      <c r="P8" s="73"/>
      <c r="Q8" s="73"/>
      <c r="R8" s="73"/>
      <c r="S8" s="73"/>
      <c r="T8" s="73"/>
      <c r="U8" s="73"/>
      <c r="V8" s="73"/>
      <c r="W8" s="73"/>
      <c r="X8" s="73"/>
      <c r="Y8" s="73"/>
      <c r="Z8" s="73"/>
      <c r="AA8" s="73"/>
      <c r="AB8" s="73"/>
      <c r="AC8" s="73"/>
      <c r="AD8" s="73"/>
      <c r="AE8" s="73"/>
      <c r="AF8" s="63"/>
      <c r="AG8" s="63"/>
      <c r="AH8" s="63"/>
      <c r="AI8" s="63"/>
      <c r="AJ8" s="63"/>
      <c r="AK8" s="63"/>
      <c r="AL8" s="63"/>
      <c r="AM8" s="63"/>
      <c r="AN8" s="63"/>
      <c r="AO8" s="63"/>
      <c r="AP8" s="63"/>
      <c r="AQ8" s="63"/>
      <c r="AR8" s="63"/>
      <c r="AS8" s="63"/>
      <c r="AT8" s="63"/>
      <c r="AU8" s="63"/>
      <c r="AV8" s="63"/>
      <c r="AW8" s="63"/>
      <c r="AX8" s="63"/>
      <c r="AY8" s="63"/>
      <c r="AZ8" s="63"/>
      <c r="BA8" s="63"/>
      <c r="BB8" s="63"/>
      <c r="BC8" s="63"/>
      <c r="BD8" s="63"/>
      <c r="BE8" s="63"/>
      <c r="BF8" s="63"/>
      <c r="BG8" s="63"/>
      <c r="BH8" s="63"/>
      <c r="BI8" s="63"/>
      <c r="BJ8" s="63"/>
      <c r="BK8" s="63"/>
      <c r="BL8" s="63"/>
      <c r="BM8" s="63"/>
      <c r="BN8" s="63"/>
      <c r="BO8" s="63"/>
      <c r="BP8" s="63"/>
      <c r="BQ8" s="63"/>
      <c r="BR8" s="63"/>
      <c r="BS8" s="63"/>
      <c r="BT8" s="63"/>
      <c r="BU8" s="63"/>
      <c r="BV8" s="63"/>
      <c r="BW8" s="63"/>
      <c r="BX8" s="63"/>
      <c r="BY8" s="63"/>
      <c r="BZ8" s="63"/>
      <c r="CA8" s="63"/>
      <c r="CB8" s="63"/>
      <c r="CC8" s="63"/>
      <c r="CD8" s="63"/>
      <c r="CE8" s="63"/>
      <c r="CF8" s="63"/>
      <c r="CG8" s="63"/>
    </row>
    <row r="9" spans="1:85" ht="14.5" customHeight="1" x14ac:dyDescent="0.35">
      <c r="A9" s="84" t="s">
        <v>119</v>
      </c>
      <c r="B9" s="18" t="s">
        <v>17</v>
      </c>
      <c r="C9" s="10">
        <f>_xlfn.XLOOKUP(Tableau8[[#This Row],[Produits]],Tableau12[Produits],Tableau12[Prix unitaire € 2026])</f>
        <v>7.4910000000000005</v>
      </c>
      <c r="D9" s="15">
        <f>_xlfn.XLOOKUP(Tableau8[[#This Row],[Produits]],'Forecast-Volumes annuels import'!A10:A42,'Forecast-Volumes annuels import'!O10:O42)</f>
        <v>15800</v>
      </c>
      <c r="E9" s="15">
        <f>Tableau8[[#This Row],[Prix achat unitaire en €]]*Tableau8[[#This Row],[Quantités prévisionelles par produit par unité]]</f>
        <v>118357.8</v>
      </c>
      <c r="F9" s="9">
        <f t="shared" ref="F9:F34" si="0">(C9*D9)*145*1.19*1.15</f>
        <v>23486034.148499999</v>
      </c>
      <c r="G9" s="9">
        <f>IFERROR(Tableau8[[#This Row],[Marge brute totale anuelle par produit (DZD TTC)]]/Tableau8[[#This Row],[Quantités prévisionelles par produit par unité]],"00")</f>
        <v>1337.8120717499999</v>
      </c>
      <c r="H9" s="9">
        <f>Tableau8[[#This Row],[PR Total par produit (DZD TTC)]]*90/100</f>
        <v>21137430.733649999</v>
      </c>
      <c r="I9" s="9">
        <f t="shared" ref="I9:I20" si="1">F9*1.9</f>
        <v>44623464.882149994</v>
      </c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</row>
    <row r="10" spans="1:85" ht="15" customHeight="1" x14ac:dyDescent="0.35">
      <c r="A10" s="84" t="s">
        <v>120</v>
      </c>
      <c r="B10" s="18" t="s">
        <v>17</v>
      </c>
      <c r="C10" s="10">
        <f>_xlfn.XLOOKUP(Tableau8[[#This Row],[Produits]],Tableau12[Produits],Tableau12[Prix unitaire € 2026])</f>
        <v>5.61</v>
      </c>
      <c r="D10" s="15">
        <f>_xlfn.XLOOKUP(Tableau8[[#This Row],[Produits]],'Forecast-Volumes annuels import'!A11:A43,'Forecast-Volumes annuels import'!O11:O43)</f>
        <v>12100</v>
      </c>
      <c r="E10" s="15">
        <f>Tableau8[[#This Row],[Prix achat unitaire en €]]*Tableau8[[#This Row],[Quantités prévisionelles par produit par unité]]</f>
        <v>67881</v>
      </c>
      <c r="F10" s="9">
        <f t="shared" si="0"/>
        <v>13469796.532499997</v>
      </c>
      <c r="G10" s="9">
        <f>IFERROR(Tableau8[[#This Row],[Marge brute totale anuelle par produit (DZD TTC)]]/Tableau8[[#This Row],[Quantités prévisionelles par produit par unité]],"00")</f>
        <v>1001.8856924999998</v>
      </c>
      <c r="H10" s="9">
        <f>Tableau8[[#This Row],[PR Total par produit (DZD TTC)]]*90/100</f>
        <v>12122816.879249997</v>
      </c>
      <c r="I10" s="9">
        <f t="shared" si="1"/>
        <v>25592613.411749993</v>
      </c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</row>
    <row r="11" spans="1:85" ht="15" customHeight="1" x14ac:dyDescent="0.35">
      <c r="A11" s="84" t="s">
        <v>121</v>
      </c>
      <c r="B11" s="18" t="s">
        <v>17</v>
      </c>
      <c r="C11" s="10">
        <f>_xlfn.XLOOKUP(Tableau8[[#This Row],[Produits]],Tableau12[Produits],Tableau12[Prix unitaire € 2026])</f>
        <v>14.267000000000001</v>
      </c>
      <c r="D11" s="15">
        <f>_xlfn.XLOOKUP(Tableau8[[#This Row],[Produits]],'Forecast-Volumes annuels import'!A12:A44,'Forecast-Volumes annuels import'!O12:O44)</f>
        <v>10500</v>
      </c>
      <c r="E11" s="15">
        <f>Tableau8[[#This Row],[Prix achat unitaire en €]]*Tableau8[[#This Row],[Quantités prévisionelles par produit par unité]]</f>
        <v>149803.5</v>
      </c>
      <c r="F11" s="9">
        <f t="shared" si="0"/>
        <v>29725883.013749994</v>
      </c>
      <c r="G11" s="9">
        <f>IFERROR(Tableau8[[#This Row],[Marge brute totale anuelle par produit (DZD TTC)]]/Tableau8[[#This Row],[Quantités prévisionelles par produit par unité]],"00")</f>
        <v>2547.9328297499997</v>
      </c>
      <c r="H11" s="9">
        <f>Tableau8[[#This Row],[PR Total par produit (DZD TTC)]]*90/100</f>
        <v>26753294.712374996</v>
      </c>
      <c r="I11" s="9">
        <f t="shared" si="1"/>
        <v>56479177.726124987</v>
      </c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</row>
    <row r="12" spans="1:85" ht="15" customHeight="1" x14ac:dyDescent="0.35">
      <c r="A12" s="84" t="s">
        <v>122</v>
      </c>
      <c r="B12" s="18" t="s">
        <v>17</v>
      </c>
      <c r="C12" s="10">
        <f>_xlfn.XLOOKUP(Tableau8[[#This Row],[Produits]],Tableau12[Produits],Tableau12[Prix unitaire € 2026])</f>
        <v>11.704000000000002</v>
      </c>
      <c r="D12" s="15">
        <f>_xlfn.XLOOKUP(Tableau8[[#This Row],[Produits]],'Forecast-Volumes annuels import'!A13:A45,'Forecast-Volumes annuels import'!O13:O45)</f>
        <v>7200</v>
      </c>
      <c r="E12" s="15">
        <f>Tableau8[[#This Row],[Prix achat unitaire en €]]*Tableau8[[#This Row],[Quantités prévisionelles par produit par unité]]</f>
        <v>84268.800000000017</v>
      </c>
      <c r="F12" s="9">
        <f t="shared" si="0"/>
        <v>16721668.655999999</v>
      </c>
      <c r="G12" s="9">
        <f>IFERROR(Tableau8[[#This Row],[Marge brute totale anuelle par produit (DZD TTC)]]/Tableau8[[#This Row],[Quantités prévisionelles par produit par unité]],"00")</f>
        <v>2090.2085820000002</v>
      </c>
      <c r="H12" s="9">
        <f>Tableau8[[#This Row],[PR Total par produit (DZD TTC)]]*90/100</f>
        <v>15049501.7904</v>
      </c>
      <c r="I12" s="9">
        <f t="shared" si="1"/>
        <v>31771170.446399998</v>
      </c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</row>
    <row r="13" spans="1:85" ht="15" customHeight="1" x14ac:dyDescent="0.35">
      <c r="A13" s="84" t="s">
        <v>123</v>
      </c>
      <c r="B13" s="18" t="s">
        <v>17</v>
      </c>
      <c r="C13" s="10">
        <f>_xlfn.XLOOKUP(Tableau8[[#This Row],[Produits]],Tableau12[Produits],Tableau12[Prix unitaire € 2026])</f>
        <v>4.18</v>
      </c>
      <c r="D13" s="15">
        <f>_xlfn.XLOOKUP(Tableau8[[#This Row],[Produits]],'Forecast-Volumes annuels import'!A14:A46,'Forecast-Volumes annuels import'!O14:O46)</f>
        <v>14000</v>
      </c>
      <c r="E13" s="15">
        <f>Tableau8[[#This Row],[Prix achat unitaire en €]]*Tableau8[[#This Row],[Quantités prévisionelles par produit par unité]]</f>
        <v>58519.999999999993</v>
      </c>
      <c r="F13" s="9">
        <f t="shared" si="0"/>
        <v>11612269.899999997</v>
      </c>
      <c r="G13" s="9">
        <f>IFERROR(Tableau8[[#This Row],[Marge brute totale anuelle par produit (DZD TTC)]]/Tableau8[[#This Row],[Quantités prévisionelles par produit par unité]],"00")</f>
        <v>746.50306499999976</v>
      </c>
      <c r="H13" s="9">
        <f>Tableau8[[#This Row],[PR Total par produit (DZD TTC)]]*90/100</f>
        <v>10451042.909999996</v>
      </c>
      <c r="I13" s="9">
        <f t="shared" si="1"/>
        <v>22063312.809999991</v>
      </c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</row>
    <row r="14" spans="1:85" ht="15" customHeight="1" x14ac:dyDescent="0.35">
      <c r="A14" s="84" t="s">
        <v>124</v>
      </c>
      <c r="B14" s="18" t="s">
        <v>17</v>
      </c>
      <c r="C14" s="10">
        <f>_xlfn.XLOOKUP(Tableau8[[#This Row],[Produits]],Tableau12[Produits],Tableau12[Prix unitaire € 2026])</f>
        <v>6.0500000000000007</v>
      </c>
      <c r="D14" s="15">
        <f>_xlfn.XLOOKUP(Tableau8[[#This Row],[Produits]],'Forecast-Volumes annuels import'!A15:A47,'Forecast-Volumes annuels import'!O15:O47)</f>
        <v>9500</v>
      </c>
      <c r="E14" s="15">
        <f>Tableau8[[#This Row],[Prix achat unitaire en €]]*Tableau8[[#This Row],[Quantités prévisionelles par produit par unité]]</f>
        <v>57475.000000000007</v>
      </c>
      <c r="F14" s="9">
        <f t="shared" si="0"/>
        <v>11404907.9375</v>
      </c>
      <c r="G14" s="9">
        <f>IFERROR(Tableau8[[#This Row],[Marge brute totale anuelle par produit (DZD TTC)]]/Tableau8[[#This Row],[Quantités prévisionelles par produit par unité]],"00")</f>
        <v>1080.4649625000002</v>
      </c>
      <c r="H14" s="9">
        <f>Tableau8[[#This Row],[PR Total par produit (DZD TTC)]]*90/100</f>
        <v>10264417.143750001</v>
      </c>
      <c r="I14" s="9">
        <f t="shared" si="1"/>
        <v>21669325.081250001</v>
      </c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</row>
    <row r="15" spans="1:85" ht="15" customHeight="1" x14ac:dyDescent="0.35">
      <c r="A15" s="84" t="s">
        <v>125</v>
      </c>
      <c r="B15" s="18" t="s">
        <v>17</v>
      </c>
      <c r="C15" s="10">
        <f>_xlfn.XLOOKUP(Tableau8[[#This Row],[Produits]],Tableau12[Produits],Tableau12[Prix unitaire € 2026])</f>
        <v>6.2700000000000005</v>
      </c>
      <c r="D15" s="15">
        <f>_xlfn.XLOOKUP(Tableau8[[#This Row],[Produits]],'Forecast-Volumes annuels import'!A16:A48,'Forecast-Volumes annuels import'!O16:O48)</f>
        <v>7500</v>
      </c>
      <c r="E15" s="15">
        <f>Tableau8[[#This Row],[Prix achat unitaire en €]]*Tableau8[[#This Row],[Quantités prévisionelles par produit par unité]]</f>
        <v>47025</v>
      </c>
      <c r="F15" s="9">
        <f t="shared" si="0"/>
        <v>9331288.3125</v>
      </c>
      <c r="G15" s="9">
        <f>IFERROR(Tableau8[[#This Row],[Marge brute totale anuelle par produit (DZD TTC)]]/Tableau8[[#This Row],[Quantités prévisionelles par produit par unité]],"00")</f>
        <v>1119.7545974999998</v>
      </c>
      <c r="H15" s="9">
        <f>Tableau8[[#This Row],[PR Total par produit (DZD TTC)]]*90/100</f>
        <v>8398159.4812499993</v>
      </c>
      <c r="I15" s="9">
        <f t="shared" si="1"/>
        <v>17729447.793749999</v>
      </c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</row>
    <row r="16" spans="1:85" ht="15" customHeight="1" x14ac:dyDescent="0.35">
      <c r="A16" s="84" t="s">
        <v>126</v>
      </c>
      <c r="B16" s="18" t="s">
        <v>17</v>
      </c>
      <c r="C16" s="10">
        <f>_xlfn.XLOOKUP(Tableau8[[#This Row],[Produits]],Tableau12[Produits],Tableau12[Prix unitaire € 2026])</f>
        <v>3.9600000000000004</v>
      </c>
      <c r="D16" s="15">
        <f>_xlfn.XLOOKUP(Tableau8[[#This Row],[Produits]],'Forecast-Volumes annuels import'!A17:A49,'Forecast-Volumes annuels import'!O17:O49)</f>
        <v>6000</v>
      </c>
      <c r="E16" s="15">
        <f>Tableau8[[#This Row],[Prix achat unitaire en €]]*Tableau8[[#This Row],[Quantités prévisionelles par produit par unité]]</f>
        <v>23760.000000000004</v>
      </c>
      <c r="F16" s="9">
        <f t="shared" si="0"/>
        <v>4714756.2</v>
      </c>
      <c r="G16" s="9">
        <f>IFERROR(Tableau8[[#This Row],[Marge brute totale anuelle par produit (DZD TTC)]]/Tableau8[[#This Row],[Quantités prévisionelles par produit par unité]],"00")</f>
        <v>707.21343000000002</v>
      </c>
      <c r="H16" s="9">
        <f>Tableau8[[#This Row],[PR Total par produit (DZD TTC)]]*90/100</f>
        <v>4243280.58</v>
      </c>
      <c r="I16" s="9">
        <f t="shared" si="1"/>
        <v>8958036.7799999993</v>
      </c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</row>
    <row r="17" spans="1:31" ht="15" customHeight="1" x14ac:dyDescent="0.35">
      <c r="A17" s="84" t="s">
        <v>127</v>
      </c>
      <c r="B17" s="18" t="s">
        <v>17</v>
      </c>
      <c r="C17" s="10">
        <f>_xlfn.XLOOKUP(Tableau8[[#This Row],[Produits]],Tableau12[Produits],Tableau12[Prix unitaire € 2026])</f>
        <v>4.18</v>
      </c>
      <c r="D17" s="15">
        <f>_xlfn.XLOOKUP(Tableau8[[#This Row],[Produits]],'Forecast-Volumes annuels import'!A18:A50,'Forecast-Volumes annuels import'!O18:O50)</f>
        <v>7500</v>
      </c>
      <c r="E17" s="15">
        <f>Tableau8[[#This Row],[Prix achat unitaire en €]]*Tableau8[[#This Row],[Quantités prévisionelles par produit par unité]]</f>
        <v>31349.999999999996</v>
      </c>
      <c r="F17" s="9">
        <f t="shared" si="0"/>
        <v>6220858.8749999981</v>
      </c>
      <c r="G17" s="9">
        <f>IFERROR(Tableau8[[#This Row],[Marge brute totale anuelle par produit (DZD TTC)]]/Tableau8[[#This Row],[Quantités prévisionelles par produit par unité]],"00")</f>
        <v>746.50306499999988</v>
      </c>
      <c r="H17" s="9">
        <f>Tableau8[[#This Row],[PR Total par produit (DZD TTC)]]*90/100</f>
        <v>5598772.9874999989</v>
      </c>
      <c r="I17" s="9">
        <f t="shared" si="1"/>
        <v>11819631.862499995</v>
      </c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</row>
    <row r="18" spans="1:31" ht="15" customHeight="1" x14ac:dyDescent="0.35">
      <c r="A18" s="84" t="s">
        <v>128</v>
      </c>
      <c r="B18" s="18" t="s">
        <v>17</v>
      </c>
      <c r="C18" s="10">
        <f>_xlfn.XLOOKUP(Tableau8[[#This Row],[Produits]],Tableau12[Produits],Tableau12[Prix unitaire € 2026])</f>
        <v>4.18</v>
      </c>
      <c r="D18" s="15">
        <f>_xlfn.XLOOKUP(Tableau8[[#This Row],[Produits]],'Forecast-Volumes annuels import'!A19:A51,'Forecast-Volumes annuels import'!O19:O51)</f>
        <v>0</v>
      </c>
      <c r="E18" s="15">
        <f>Tableau8[[#This Row],[Prix achat unitaire en €]]*Tableau8[[#This Row],[Quantités prévisionelles par produit par unité]]</f>
        <v>0</v>
      </c>
      <c r="F18" s="9">
        <f t="shared" si="0"/>
        <v>0</v>
      </c>
      <c r="G18" s="9" t="str">
        <f>IFERROR(Tableau8[[#This Row],[Marge brute totale anuelle par produit (DZD TTC)]]/Tableau8[[#This Row],[Quantités prévisionelles par produit par unité]],"00")</f>
        <v>00</v>
      </c>
      <c r="H18" s="9">
        <f>Tableau8[[#This Row],[PR Total par produit (DZD TTC)]]*90/100</f>
        <v>0</v>
      </c>
      <c r="I18" s="9">
        <f t="shared" si="1"/>
        <v>0</v>
      </c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</row>
    <row r="19" spans="1:31" ht="15" customHeight="1" x14ac:dyDescent="0.35">
      <c r="A19" s="84" t="s">
        <v>129</v>
      </c>
      <c r="B19" s="18" t="s">
        <v>16</v>
      </c>
      <c r="C19" s="10">
        <f>_xlfn.XLOOKUP(Tableau8[[#This Row],[Produits]],Tableau12[Produits],Tableau12[Prix unitaire € 2026])</f>
        <v>16.72</v>
      </c>
      <c r="D19" s="15">
        <f>_xlfn.XLOOKUP(Tableau8[[#This Row],[Produits]],'Forecast-Volumes annuels import'!A20:A52,'Forecast-Volumes annuels import'!O20:O52)</f>
        <v>6000</v>
      </c>
      <c r="E19" s="15">
        <f>Tableau8[[#This Row],[Prix achat unitaire en €]]*Tableau8[[#This Row],[Quantités prévisionelles par produit par unité]]</f>
        <v>100320</v>
      </c>
      <c r="F19" s="9">
        <f t="shared" si="0"/>
        <v>19906748.399999999</v>
      </c>
      <c r="G19" s="9">
        <f>IFERROR(Tableau8[[#This Row],[Marge brute totale anuelle par produit (DZD TTC)]]/Tableau8[[#This Row],[Quantités prévisionelles par produit par unité]],"00")</f>
        <v>2986.01226</v>
      </c>
      <c r="H19" s="9">
        <f>Tableau8[[#This Row],[PR Total par produit (DZD TTC)]]*90/100</f>
        <v>17916073.559999999</v>
      </c>
      <c r="I19" s="9">
        <f t="shared" si="1"/>
        <v>37822821.959999993</v>
      </c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</row>
    <row r="20" spans="1:31" ht="15" customHeight="1" x14ac:dyDescent="0.35">
      <c r="A20" s="84" t="s">
        <v>130</v>
      </c>
      <c r="B20" s="18" t="s">
        <v>16</v>
      </c>
      <c r="C20" s="10">
        <f>_xlfn.XLOOKUP(Tableau8[[#This Row],[Produits]],Tableau12[Produits],Tableau12[Prix unitaire € 2026])</f>
        <v>6.6990000000000007</v>
      </c>
      <c r="D20" s="15">
        <f>_xlfn.XLOOKUP(Tableau8[[#This Row],[Produits]],'Forecast-Volumes annuels import'!A21:A53,'Forecast-Volumes annuels import'!O21:O53)</f>
        <v>49800</v>
      </c>
      <c r="E20" s="15">
        <f>Tableau8[[#This Row],[Prix achat unitaire en €]]*Tableau8[[#This Row],[Quantités prévisionelles par produit par unité]]</f>
        <v>333610.2</v>
      </c>
      <c r="F20" s="9">
        <f t="shared" si="0"/>
        <v>66199106.011499994</v>
      </c>
      <c r="G20" s="9">
        <f>IFERROR(Tableau8[[#This Row],[Marge brute totale anuelle par produit (DZD TTC)]]/Tableau8[[#This Row],[Quantités prévisionelles par produit par unité]],"00")</f>
        <v>1196.36938575</v>
      </c>
      <c r="H20" s="9">
        <f>Tableau8[[#This Row],[PR Total par produit (DZD TTC)]]*90/100</f>
        <v>59579195.410349995</v>
      </c>
      <c r="I20" s="9">
        <f t="shared" si="1"/>
        <v>125778301.42184998</v>
      </c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</row>
    <row r="21" spans="1:31" ht="15" customHeight="1" x14ac:dyDescent="0.35">
      <c r="A21" s="84" t="s">
        <v>131</v>
      </c>
      <c r="B21" s="18" t="s">
        <v>16</v>
      </c>
      <c r="C21" s="10">
        <f>_xlfn.XLOOKUP(Tableau8[[#This Row],[Produits]],Tableau12[Produits],Tableau12[Prix unitaire € 2026])</f>
        <v>5.335</v>
      </c>
      <c r="D21" s="15">
        <f>_xlfn.XLOOKUP(Tableau8[[#This Row],[Produits]],'Forecast-Volumes annuels import'!A22:A54,'Forecast-Volumes annuels import'!O22:O54)</f>
        <v>16800</v>
      </c>
      <c r="E21" s="15">
        <f>Tableau8[[#This Row],[Prix achat unitaire en €]]*Tableau8[[#This Row],[Quantités prévisionelles par produit par unité]]</f>
        <v>89628</v>
      </c>
      <c r="F21" s="9">
        <f t="shared" si="0"/>
        <v>17785108.109999996</v>
      </c>
      <c r="G21" s="9">
        <f>IFERROR(Tableau8[[#This Row],[Marge brute totale anuelle par produit (DZD TTC)]]/Tableau8[[#This Row],[Quantités prévisionelles par produit par unité]],"00")</f>
        <v>952.77364874999978</v>
      </c>
      <c r="H21" s="9">
        <f>Tableau8[[#This Row],[PR Total par produit (DZD TTC)]]*90/100</f>
        <v>16006597.298999997</v>
      </c>
      <c r="I21" s="9">
        <f>F21*1.9</f>
        <v>33791705.408999987</v>
      </c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</row>
    <row r="22" spans="1:31" ht="15" customHeight="1" x14ac:dyDescent="0.35">
      <c r="A22" s="84" t="s">
        <v>132</v>
      </c>
      <c r="B22" s="18" t="s">
        <v>16</v>
      </c>
      <c r="C22" s="10">
        <f>_xlfn.XLOOKUP(Tableau8[[#This Row],[Produits]],Tableau12[Produits],Tableau12[Prix unitaire € 2026])</f>
        <v>2.5630000000000002</v>
      </c>
      <c r="D22" s="15">
        <f>_xlfn.XLOOKUP(Tableau8[[#This Row],[Produits]],'Forecast-Volumes annuels import'!A23:A55,'Forecast-Volumes annuels import'!O23:O55)</f>
        <v>15000</v>
      </c>
      <c r="E22" s="15">
        <f>Tableau8[[#This Row],[Prix achat unitaire en €]]*Tableau8[[#This Row],[Quantités prévisionelles par produit par unité]]</f>
        <v>38445</v>
      </c>
      <c r="F22" s="9">
        <f t="shared" si="0"/>
        <v>7628737.4624999994</v>
      </c>
      <c r="G22" s="9">
        <f>IFERROR(Tableau8[[#This Row],[Marge brute totale anuelle par produit (DZD TTC)]]/Tableau8[[#This Row],[Quantités prévisionelles par produit par unité]],"00")</f>
        <v>457.72424774999996</v>
      </c>
      <c r="H22" s="9">
        <f>Tableau8[[#This Row],[PR Total par produit (DZD TTC)]]*90/100</f>
        <v>6865863.7162499996</v>
      </c>
      <c r="I22" s="9">
        <f>F22*1.9</f>
        <v>14494601.178749999</v>
      </c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</row>
    <row r="23" spans="1:31" ht="15" customHeight="1" x14ac:dyDescent="0.35">
      <c r="A23" s="84" t="s">
        <v>133</v>
      </c>
      <c r="B23" s="18" t="s">
        <v>16</v>
      </c>
      <c r="C23" s="10">
        <f>_xlfn.XLOOKUP(Tableau8[[#This Row],[Produits]],Tableau12[Produits],Tableau12[Prix unitaire € 2026])</f>
        <v>2.75</v>
      </c>
      <c r="D23" s="15">
        <f>_xlfn.XLOOKUP(Tableau8[[#This Row],[Produits]],'Forecast-Volumes annuels import'!A24:A56,'Forecast-Volumes annuels import'!O24:O56)</f>
        <v>15000</v>
      </c>
      <c r="E23" s="15">
        <f>Tableau8[[#This Row],[Prix achat unitaire en €]]*Tableau8[[#This Row],[Quantités prévisionelles par produit par unité]]</f>
        <v>41250</v>
      </c>
      <c r="F23" s="9">
        <f t="shared" si="0"/>
        <v>8185340.6249999991</v>
      </c>
      <c r="G23" s="9">
        <f>IFERROR(Tableau8[[#This Row],[Marge brute totale anuelle par produit (DZD TTC)]]/Tableau8[[#This Row],[Quantités prévisionelles par produit par unité]],"00")</f>
        <v>491.12043749999992</v>
      </c>
      <c r="H23" s="9">
        <f>Tableau8[[#This Row],[PR Total par produit (DZD TTC)]]*90/100</f>
        <v>7366806.5624999991</v>
      </c>
      <c r="I23" s="9">
        <f>F23*1.9</f>
        <v>15552147.187499998</v>
      </c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</row>
    <row r="24" spans="1:31" ht="15" customHeight="1" x14ac:dyDescent="0.35">
      <c r="A24" s="84" t="s">
        <v>134</v>
      </c>
      <c r="B24" s="18" t="s">
        <v>18</v>
      </c>
      <c r="C24" s="10">
        <f>_xlfn.XLOOKUP(Tableau8[[#This Row],[Produits]],Tableau12[Produits],Tableau12[Prix unitaire € 2026])</f>
        <v>2.9700000000000006</v>
      </c>
      <c r="D24" s="15">
        <f>_xlfn.XLOOKUP(Tableau8[[#This Row],[Produits]],'Forecast-Volumes annuels import'!A25:A57,'Forecast-Volumes annuels import'!O25:O57)</f>
        <v>15000</v>
      </c>
      <c r="E24" s="15">
        <f>Tableau8[[#This Row],[Prix achat unitaire en €]]*Tableau8[[#This Row],[Quantités prévisionelles par produit par unité]]</f>
        <v>44550.000000000007</v>
      </c>
      <c r="F24" s="9">
        <f t="shared" si="0"/>
        <v>8840167.875</v>
      </c>
      <c r="G24" s="9">
        <f>IFERROR(Tableau8[[#This Row],[Marge brute totale anuelle par produit (DZD TTC)]]/Tableau8[[#This Row],[Quantités prévisionelles par produit par unité]],"00")</f>
        <v>530.41007250000007</v>
      </c>
      <c r="H24" s="9">
        <f>Tableau8[[#This Row],[PR Total par produit (DZD TTC)]]*90/100</f>
        <v>7956151.0875000004</v>
      </c>
      <c r="I24" s="9">
        <f>F24*1.9</f>
        <v>16796318.962499999</v>
      </c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</row>
    <row r="25" spans="1:31" ht="15" customHeight="1" x14ac:dyDescent="0.35">
      <c r="A25" s="84" t="s">
        <v>135</v>
      </c>
      <c r="B25" s="18" t="s">
        <v>18</v>
      </c>
      <c r="C25" s="10">
        <f>_xlfn.XLOOKUP(Tableau8[[#This Row],[Produits]],Tableau12[Produits],Tableau12[Prix unitaire € 2026])</f>
        <v>81.400000000000006</v>
      </c>
      <c r="D25" s="15">
        <f>_xlfn.XLOOKUP(Tableau8[[#This Row],[Produits]],'Forecast-Volumes annuels import'!A26:A58,'Forecast-Volumes annuels import'!O26:O58)</f>
        <v>800</v>
      </c>
      <c r="E25" s="15">
        <f>Tableau8[[#This Row],[Prix achat unitaire en €]]*Tableau8[[#This Row],[Quantités prévisionelles par produit par unité]]</f>
        <v>65120.000000000007</v>
      </c>
      <c r="F25" s="9">
        <f t="shared" si="0"/>
        <v>12921924.4</v>
      </c>
      <c r="G25" s="9">
        <f>IFERROR(Tableau8[[#This Row],[Marge brute totale anuelle par produit (DZD TTC)]]/Tableau8[[#This Row],[Quantités prévisionelles par produit par unité]],"00")</f>
        <v>4038.1013750000002</v>
      </c>
      <c r="H25" s="9">
        <f>Tableau8[[#This Row],[PR Total par produit (DZD TTC)]]*25/100</f>
        <v>3230481.1</v>
      </c>
      <c r="I25" s="9">
        <f>F25*1.25</f>
        <v>16152405.5</v>
      </c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</row>
    <row r="26" spans="1:31" ht="15" customHeight="1" x14ac:dyDescent="0.35">
      <c r="A26" s="84" t="s">
        <v>136</v>
      </c>
      <c r="B26" s="18" t="s">
        <v>18</v>
      </c>
      <c r="C26" s="10">
        <f>_xlfn.XLOOKUP(Tableau8[[#This Row],[Produits]],Tableau12[Produits],Tableau12[Prix unitaire € 2026])</f>
        <v>103.4</v>
      </c>
      <c r="D26" s="15">
        <f>_xlfn.XLOOKUP(Tableau8[[#This Row],[Produits]],'Forecast-Volumes annuels import'!A27:A59,'Forecast-Volumes annuels import'!O27:O59)</f>
        <v>600</v>
      </c>
      <c r="E26" s="15">
        <f>Tableau8[[#This Row],[Prix achat unitaire en €]]*Tableau8[[#This Row],[Quantités prévisionelles par produit par unité]]</f>
        <v>62040</v>
      </c>
      <c r="F26" s="9">
        <f t="shared" si="0"/>
        <v>12310752.299999999</v>
      </c>
      <c r="G26" s="9">
        <f>IFERROR(Tableau8[[#This Row],[Marge brute totale anuelle par produit (DZD TTC)]]/Tableau8[[#This Row],[Quantités prévisionelles par produit par unité]],"00")</f>
        <v>5129.480125</v>
      </c>
      <c r="H26" s="9">
        <f>Tableau8[[#This Row],[PR Total par produit (DZD TTC)]]*25/100</f>
        <v>3077688.0750000002</v>
      </c>
      <c r="I26" s="9">
        <f>F26*1.25</f>
        <v>15388440.374999998</v>
      </c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</row>
    <row r="27" spans="1:31" ht="15" customHeight="1" x14ac:dyDescent="0.35">
      <c r="A27" s="84" t="s">
        <v>137</v>
      </c>
      <c r="B27" s="18" t="s">
        <v>18</v>
      </c>
      <c r="C27" s="10">
        <f>_xlfn.XLOOKUP(Tableau8[[#This Row],[Produits]],Tableau12[Produits],Tableau12[Prix unitaire € 2026])</f>
        <v>140.25</v>
      </c>
      <c r="D27" s="15">
        <f>_xlfn.XLOOKUP(Tableau8[[#This Row],[Produits]],'Forecast-Volumes annuels import'!A28:A60,'Forecast-Volumes annuels import'!O28:O60)</f>
        <v>1200</v>
      </c>
      <c r="E27" s="15">
        <f>Tableau8[[#This Row],[Prix achat unitaire en €]]*Tableau8[[#This Row],[Quantités prévisionelles par produit par unité]]</f>
        <v>168300</v>
      </c>
      <c r="F27" s="9">
        <f t="shared" si="0"/>
        <v>33396189.749999996</v>
      </c>
      <c r="G27" s="9">
        <f>IFERROR(Tableau8[[#This Row],[Marge brute totale anuelle par produit (DZD TTC)]]/Tableau8[[#This Row],[Quantités prévisionelles par produit par unité]],"00")</f>
        <v>4174.5237187499997</v>
      </c>
      <c r="H27" s="9">
        <f>Tableau8[[#This Row],[PR Total par produit (DZD TTC)]]*15/100</f>
        <v>5009428.4624999994</v>
      </c>
      <c r="I27" s="9">
        <f t="shared" ref="I27:I32" si="2">F27*1.15</f>
        <v>38405618.212499991</v>
      </c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</row>
    <row r="28" spans="1:31" ht="15" customHeight="1" x14ac:dyDescent="0.35">
      <c r="A28" s="84" t="s">
        <v>138</v>
      </c>
      <c r="B28" s="18" t="s">
        <v>18</v>
      </c>
      <c r="C28" s="10">
        <f>_xlfn.XLOOKUP(Tableau8[[#This Row],[Produits]],Tableau12[Produits],Tableau12[Prix unitaire € 2026])</f>
        <v>147.4</v>
      </c>
      <c r="D28" s="15">
        <f>_xlfn.XLOOKUP(Tableau8[[#This Row],[Produits]],'Forecast-Volumes annuels import'!A29:A61,'Forecast-Volumes annuels import'!O29:O61)</f>
        <v>300</v>
      </c>
      <c r="E28" s="15">
        <f>Tableau8[[#This Row],[Prix achat unitaire en €]]*Tableau8[[#This Row],[Quantités prévisionelles par produit par unité]]</f>
        <v>44220</v>
      </c>
      <c r="F28" s="9">
        <f t="shared" si="0"/>
        <v>8774685.1499999985</v>
      </c>
      <c r="G28" s="9">
        <f>IFERROR(Tableau8[[#This Row],[Marge brute totale anuelle par produit (DZD TTC)]]/Tableau8[[#This Row],[Quantités prévisionelles par produit par unité]],"00")</f>
        <v>4387.3425749999988</v>
      </c>
      <c r="H28" s="9">
        <f>Tableau8[[#This Row],[PR Total par produit (DZD TTC)]]*15/100</f>
        <v>1316202.7724999997</v>
      </c>
      <c r="I28" s="9">
        <f t="shared" si="2"/>
        <v>10090887.922499998</v>
      </c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</row>
    <row r="29" spans="1:31" ht="15" customHeight="1" x14ac:dyDescent="0.35">
      <c r="A29" s="84" t="s">
        <v>139</v>
      </c>
      <c r="B29" s="18" t="s">
        <v>18</v>
      </c>
      <c r="C29" s="10">
        <f>_xlfn.XLOOKUP(Tableau8[[#This Row],[Produits]],Tableau12[Produits],Tableau12[Prix unitaire € 2026])</f>
        <v>128.15</v>
      </c>
      <c r="D29" s="15">
        <f>_xlfn.XLOOKUP(Tableau8[[#This Row],[Produits]],'Forecast-Volumes annuels import'!A30:A62,'Forecast-Volumes annuels import'!O30:O62)</f>
        <v>600</v>
      </c>
      <c r="E29" s="15">
        <f>Tableau8[[#This Row],[Prix achat unitaire en €]]*Tableau8[[#This Row],[Quantités prévisionelles par produit par unité]]</f>
        <v>76890</v>
      </c>
      <c r="F29" s="9">
        <f t="shared" si="0"/>
        <v>15257474.924999999</v>
      </c>
      <c r="G29" s="9">
        <f>IFERROR(Tableau8[[#This Row],[Marge brute totale anuelle par produit (DZD TTC)]]/Tableau8[[#This Row],[Quantités prévisionelles par produit par unité]],"00")</f>
        <v>3814.3687312499992</v>
      </c>
      <c r="H29" s="9">
        <f>Tableau8[[#This Row],[PR Total par produit (DZD TTC)]]*15/100</f>
        <v>2288621.2387499996</v>
      </c>
      <c r="I29" s="9">
        <f t="shared" si="2"/>
        <v>17546096.163749997</v>
      </c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</row>
    <row r="30" spans="1:31" ht="15" customHeight="1" x14ac:dyDescent="0.35">
      <c r="A30" s="84" t="s">
        <v>140</v>
      </c>
      <c r="B30" s="18" t="s">
        <v>18</v>
      </c>
      <c r="C30" s="10">
        <f>_xlfn.XLOOKUP(Tableau8[[#This Row],[Produits]],Tableau12[Produits],Tableau12[Prix unitaire € 2026])</f>
        <v>137.5</v>
      </c>
      <c r="D30" s="15">
        <f>_xlfn.XLOOKUP(Tableau8[[#This Row],[Produits]],'Forecast-Volumes annuels import'!A31:A63,'Forecast-Volumes annuels import'!O31:O63)</f>
        <v>0</v>
      </c>
      <c r="E30" s="15">
        <f>Tableau8[[#This Row],[Prix achat unitaire en €]]*Tableau8[[#This Row],[Quantités prévisionelles par produit par unité]]</f>
        <v>0</v>
      </c>
      <c r="F30" s="9">
        <f t="shared" si="0"/>
        <v>0</v>
      </c>
      <c r="G30" s="9" t="str">
        <f>IFERROR(Tableau8[[#This Row],[Marge brute totale anuelle par produit (DZD TTC)]]/Tableau8[[#This Row],[Quantités prévisionelles par produit par unité]],"00")</f>
        <v>00</v>
      </c>
      <c r="H30" s="9">
        <f>Tableau8[[#This Row],[PR Total par produit (DZD TTC)]]*15/100</f>
        <v>0</v>
      </c>
      <c r="I30" s="9">
        <f t="shared" si="2"/>
        <v>0</v>
      </c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</row>
    <row r="31" spans="1:31" ht="15" customHeight="1" x14ac:dyDescent="0.35">
      <c r="A31" s="84" t="s">
        <v>141</v>
      </c>
      <c r="B31" s="18" t="s">
        <v>18</v>
      </c>
      <c r="C31" s="10">
        <f>_xlfn.XLOOKUP(Tableau8[[#This Row],[Produits]],Tableau12[Produits],Tableau12[Prix unitaire € 2026])</f>
        <v>104.50000000000001</v>
      </c>
      <c r="D31" s="15">
        <f>_xlfn.XLOOKUP(Tableau8[[#This Row],[Produits]],'Forecast-Volumes annuels import'!A32:A64,'Forecast-Volumes annuels import'!O32:O64)</f>
        <v>1200</v>
      </c>
      <c r="E31" s="15">
        <f>Tableau8[[#This Row],[Prix achat unitaire en €]]*Tableau8[[#This Row],[Quantités prévisionelles par produit par unité]]</f>
        <v>125400.00000000001</v>
      </c>
      <c r="F31" s="9">
        <f t="shared" si="0"/>
        <v>24883435.500000004</v>
      </c>
      <c r="G31" s="9">
        <f>IFERROR(Tableau8[[#This Row],[Marge brute totale anuelle par produit (DZD TTC)]]/Tableau8[[#This Row],[Quantités prévisionelles par produit par unité]],"00")</f>
        <v>3110.4294375000004</v>
      </c>
      <c r="H31" s="9">
        <f>Tableau8[[#This Row],[PR Total par produit (DZD TTC)]]*15/100</f>
        <v>3732515.3250000007</v>
      </c>
      <c r="I31" s="9">
        <f t="shared" si="2"/>
        <v>28615950.825000003</v>
      </c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</row>
    <row r="32" spans="1:31" ht="15" customHeight="1" x14ac:dyDescent="0.35">
      <c r="A32" s="84" t="s">
        <v>142</v>
      </c>
      <c r="B32" s="18" t="s">
        <v>19</v>
      </c>
      <c r="C32" s="10">
        <f>_xlfn.XLOOKUP(Tableau8[[#This Row],[Produits]],Tableau12[Produits],Tableau12[Prix unitaire € 2026])</f>
        <v>825.00000000000011</v>
      </c>
      <c r="D32" s="15">
        <f>_xlfn.XLOOKUP(Tableau8[[#This Row],[Produits]],'Forecast-Volumes annuels import'!A33:A65,'Forecast-Volumes annuels import'!O33:O65)</f>
        <v>1650</v>
      </c>
      <c r="E32" s="15">
        <f>Tableau8[[#This Row],[Prix achat unitaire en €]]*Tableau8[[#This Row],[Quantités prévisionelles par produit par unité]]</f>
        <v>1361250.0000000002</v>
      </c>
      <c r="F32" s="9">
        <f t="shared" si="0"/>
        <v>270116240.625</v>
      </c>
      <c r="G32" s="9">
        <f>IFERROR(Tableau8[[#This Row],[Marge brute totale anuelle par produit (DZD TTC)]]/Tableau8[[#This Row],[Quantités prévisionelles par produit par unité]],"00")</f>
        <v>24556.021874999999</v>
      </c>
      <c r="H32" s="9">
        <f>Tableau8[[#This Row],[PR Total par produit (DZD TTC)]]*15/100</f>
        <v>40517436.09375</v>
      </c>
      <c r="I32" s="9">
        <f t="shared" si="2"/>
        <v>310633676.71875</v>
      </c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</row>
    <row r="33" spans="1:31" ht="15" customHeight="1" x14ac:dyDescent="0.35">
      <c r="A33" s="84" t="s">
        <v>143</v>
      </c>
      <c r="B33" s="18" t="s">
        <v>19</v>
      </c>
      <c r="C33" s="10">
        <f>_xlfn.XLOOKUP(Tableau8[[#This Row],[Produits]],Tableau12[Produits],Tableau12[Prix unitaire € 2026])</f>
        <v>1045</v>
      </c>
      <c r="D33" s="15">
        <f>_xlfn.XLOOKUP(Tableau8[[#This Row],[Produits]],'Forecast-Volumes annuels import'!A34:A66,'Forecast-Volumes annuels import'!O34:O66)</f>
        <v>2400</v>
      </c>
      <c r="E33" s="15">
        <f>Tableau8[[#This Row],[Prix achat unitaire en €]]*Tableau8[[#This Row],[Quantités prévisionelles par produit par unité]]</f>
        <v>2508000</v>
      </c>
      <c r="F33" s="9">
        <f t="shared" si="0"/>
        <v>497668709.99999994</v>
      </c>
      <c r="G33" s="9">
        <f>IFERROR(Tableau8[[#This Row],[Marge brute totale anuelle par produit (DZD TTC)]]/Tableau8[[#This Row],[Quantités prévisionelles par produit par unité]],"00")</f>
        <v>31104.294374999994</v>
      </c>
      <c r="H33" s="9">
        <f>Tableau8[[#This Row],[PR Total par produit (DZD TTC)]]*15/100</f>
        <v>74650306.499999985</v>
      </c>
      <c r="I33" s="9">
        <f>F33*1.15</f>
        <v>572319016.49999988</v>
      </c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</row>
    <row r="34" spans="1:31" ht="15" customHeight="1" x14ac:dyDescent="0.35">
      <c r="A34" s="84" t="s">
        <v>144</v>
      </c>
      <c r="B34" s="18" t="s">
        <v>19</v>
      </c>
      <c r="C34" s="10">
        <f>_xlfn.XLOOKUP(Tableau8[[#This Row],[Produits]],Tableau12[Produits],Tableau12[Prix unitaire € 2026])</f>
        <v>880.00000000000011</v>
      </c>
      <c r="D34" s="15">
        <f>_xlfn.XLOOKUP(Tableau8[[#This Row],[Produits]],'Forecast-Volumes annuels import'!A35:A67,'Forecast-Volumes annuels import'!O35:O67)</f>
        <v>1200</v>
      </c>
      <c r="E34" s="15">
        <f>Tableau8[[#This Row],[Prix achat unitaire en €]]*Tableau8[[#This Row],[Quantités prévisionelles par produit par unité]]</f>
        <v>1056000.0000000002</v>
      </c>
      <c r="F34" s="9">
        <f t="shared" si="0"/>
        <v>209544720.00000003</v>
      </c>
      <c r="G34" s="9">
        <f>IFERROR(Tableau8[[#This Row],[Marge brute totale anuelle par produit (DZD TTC)]]/Tableau8[[#This Row],[Quantités prévisionelles par produit par unité]],"00")</f>
        <v>26193.090000000004</v>
      </c>
      <c r="H34" s="9">
        <f>Tableau8[[#This Row],[PR Total par produit (DZD TTC)]]*15/100</f>
        <v>31431708.000000004</v>
      </c>
      <c r="I34" s="9">
        <f>F34*1.15</f>
        <v>240976428.00000003</v>
      </c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</row>
    <row r="35" spans="1:31" ht="15" customHeight="1" x14ac:dyDescent="0.35">
      <c r="A35" s="84" t="s">
        <v>145</v>
      </c>
      <c r="B35" s="18" t="s">
        <v>17</v>
      </c>
      <c r="C35" s="10">
        <f>_xlfn.XLOOKUP(Tableau8[[#This Row],[Produits]],Tableau12[Produits],Tableau12[Prix unitaire € 2026])</f>
        <v>3</v>
      </c>
      <c r="D35" s="15">
        <f>_xlfn.XLOOKUP(Tableau8[[#This Row],[Produits]],'Forecast-Volumes annuels import'!A36:A68,'Forecast-Volumes annuels import'!O36:O68)</f>
        <v>24000</v>
      </c>
      <c r="E35" s="15">
        <f>Tableau8[[#This Row],[Prix achat unitaire en €]]*Tableau8[[#This Row],[Quantités prévisionelles par produit par unité]]</f>
        <v>72000</v>
      </c>
      <c r="F35" s="9">
        <f t="shared" ref="F35:F41" si="3">(C35*D35)*145*1.19*1.15</f>
        <v>14287139.999999998</v>
      </c>
      <c r="G35" s="9">
        <f>IFERROR(Tableau8[[#This Row],[Marge brute totale anuelle par produit (DZD TTC)]]/Tableau8[[#This Row],[Quantités prévisionelles par produit par unité]],"00")</f>
        <v>297.64874999999995</v>
      </c>
      <c r="H35" s="9">
        <f>Tableau8[[#This Row],[PR Total par produit (DZD TTC)]]*50/100</f>
        <v>7143569.9999999991</v>
      </c>
      <c r="I35" s="9">
        <f>F35*1.5</f>
        <v>21430709.999999996</v>
      </c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</row>
    <row r="36" spans="1:31" ht="15" customHeight="1" x14ac:dyDescent="0.35">
      <c r="A36" s="84" t="s">
        <v>146</v>
      </c>
      <c r="B36" s="18" t="s">
        <v>17</v>
      </c>
      <c r="C36" s="10">
        <f>_xlfn.XLOOKUP(Tableau8[[#This Row],[Produits]],Tableau12[Produits],Tableau12[Prix unitaire € 2026])</f>
        <v>3.5</v>
      </c>
      <c r="D36" s="15">
        <f>_xlfn.XLOOKUP(Tableau8[[#This Row],[Produits]],'Forecast-Volumes annuels import'!A37:A69,'Forecast-Volumes annuels import'!O37:O69)</f>
        <v>24000</v>
      </c>
      <c r="E36" s="15">
        <f>Tableau8[[#This Row],[Prix achat unitaire en €]]*Tableau8[[#This Row],[Quantités prévisionelles par produit par unité]]</f>
        <v>84000</v>
      </c>
      <c r="F36" s="9">
        <f t="shared" si="3"/>
        <v>16668329.999999998</v>
      </c>
      <c r="G36" s="9">
        <f>IFERROR(Tableau8[[#This Row],[Marge brute totale anuelle par produit (DZD TTC)]]/Tableau8[[#This Row],[Quantités prévisionelles par produit par unité]],"00")</f>
        <v>347.25687499999998</v>
      </c>
      <c r="H36" s="9">
        <f>Tableau8[[#This Row],[PR Total par produit (DZD TTC)]]*50/100</f>
        <v>8334164.9999999991</v>
      </c>
      <c r="I36" s="9">
        <f t="shared" ref="I36:I41" si="4">F36*1.5</f>
        <v>25002494.999999996</v>
      </c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</row>
    <row r="37" spans="1:31" ht="15" customHeight="1" x14ac:dyDescent="0.35">
      <c r="A37" s="84" t="s">
        <v>147</v>
      </c>
      <c r="B37" s="18" t="s">
        <v>17</v>
      </c>
      <c r="C37" s="10">
        <f>_xlfn.XLOOKUP(Tableau8[[#This Row],[Produits]],Tableau12[Produits],Tableau12[Prix unitaire € 2026])</f>
        <v>2.5</v>
      </c>
      <c r="D37" s="15">
        <f>_xlfn.XLOOKUP(Tableau8[[#This Row],[Produits]],'Forecast-Volumes annuels import'!A38:A70,'Forecast-Volumes annuels import'!O38:O70)</f>
        <v>24000</v>
      </c>
      <c r="E37" s="15">
        <f>Tableau8[[#This Row],[Prix achat unitaire en €]]*Tableau8[[#This Row],[Quantités prévisionelles par produit par unité]]</f>
        <v>60000</v>
      </c>
      <c r="F37" s="9">
        <f t="shared" si="3"/>
        <v>11905950</v>
      </c>
      <c r="G37" s="9">
        <f>IFERROR(Tableau8[[#This Row],[Marge brute totale anuelle par produit (DZD TTC)]]/Tableau8[[#This Row],[Quantités prévisionelles par produit par unité]],"00")</f>
        <v>248.04062500000001</v>
      </c>
      <c r="H37" s="9">
        <f>Tableau8[[#This Row],[PR Total par produit (DZD TTC)]]*50/100</f>
        <v>5952975</v>
      </c>
      <c r="I37" s="9">
        <f t="shared" si="4"/>
        <v>17858925</v>
      </c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</row>
    <row r="38" spans="1:31" ht="15" customHeight="1" x14ac:dyDescent="0.35">
      <c r="A38" s="84" t="s">
        <v>148</v>
      </c>
      <c r="B38" s="18" t="s">
        <v>17</v>
      </c>
      <c r="C38" s="10">
        <f>_xlfn.XLOOKUP(Tableau8[[#This Row],[Produits]],Tableau12[Produits],Tableau12[Prix unitaire € 2026])</f>
        <v>3.2</v>
      </c>
      <c r="D38" s="15">
        <f>_xlfn.XLOOKUP(Tableau8[[#This Row],[Produits]],'Forecast-Volumes annuels import'!A39:A71,'Forecast-Volumes annuels import'!O39:O71)</f>
        <v>24000</v>
      </c>
      <c r="E38" s="15">
        <f>Tableau8[[#This Row],[Prix achat unitaire en €]]*Tableau8[[#This Row],[Quantités prévisionelles par produit par unité]]</f>
        <v>76800</v>
      </c>
      <c r="F38" s="9">
        <f t="shared" si="3"/>
        <v>15239615.999999998</v>
      </c>
      <c r="G38" s="9">
        <f>IFERROR(Tableau8[[#This Row],[Marge brute totale anuelle par produit (DZD TTC)]]/Tableau8[[#This Row],[Quantités prévisionelles par produit par unité]],"00")</f>
        <v>317.49199999999996</v>
      </c>
      <c r="H38" s="9">
        <f>Tableau8[[#This Row],[PR Total par produit (DZD TTC)]]*50/100</f>
        <v>7619807.9999999991</v>
      </c>
      <c r="I38" s="9">
        <f t="shared" si="4"/>
        <v>22859423.999999996</v>
      </c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</row>
    <row r="39" spans="1:31" ht="15" customHeight="1" x14ac:dyDescent="0.35">
      <c r="A39" s="84" t="s">
        <v>149</v>
      </c>
      <c r="B39" s="18" t="s">
        <v>17</v>
      </c>
      <c r="C39" s="10">
        <f>_xlfn.XLOOKUP(Tableau8[[#This Row],[Produits]],Tableau12[Produits],Tableau12[Prix unitaire € 2026])</f>
        <v>3</v>
      </c>
      <c r="D39" s="15">
        <f>_xlfn.XLOOKUP(Tableau8[[#This Row],[Produits]],'Forecast-Volumes annuels import'!A40:A72,'Forecast-Volumes annuels import'!O40:O72)</f>
        <v>24000</v>
      </c>
      <c r="E39" s="15">
        <f>Tableau8[[#This Row],[Prix achat unitaire en €]]*Tableau8[[#This Row],[Quantités prévisionelles par produit par unité]]</f>
        <v>72000</v>
      </c>
      <c r="F39" s="9">
        <f t="shared" si="3"/>
        <v>14287139.999999998</v>
      </c>
      <c r="G39" s="9">
        <f>IFERROR(Tableau8[[#This Row],[Marge brute totale anuelle par produit (DZD TTC)]]/Tableau8[[#This Row],[Quantités prévisionelles par produit par unité]],"00")</f>
        <v>297.64874999999995</v>
      </c>
      <c r="H39" s="9">
        <f>Tableau8[[#This Row],[PR Total par produit (DZD TTC)]]*50/100</f>
        <v>7143569.9999999991</v>
      </c>
      <c r="I39" s="9">
        <f t="shared" si="4"/>
        <v>21430709.999999996</v>
      </c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</row>
    <row r="40" spans="1:31" ht="15" customHeight="1" x14ac:dyDescent="0.35">
      <c r="A40" s="84" t="s">
        <v>150</v>
      </c>
      <c r="B40" s="18" t="s">
        <v>16</v>
      </c>
      <c r="C40" s="10">
        <f>_xlfn.XLOOKUP(Tableau8[[#This Row],[Produits]],Tableau12[Produits],Tableau12[Prix unitaire € 2026])</f>
        <v>0</v>
      </c>
      <c r="D40" s="15">
        <f>_xlfn.XLOOKUP(Tableau8[[#This Row],[Produits]],'Forecast-Volumes annuels import'!A41:A87,'Forecast-Volumes annuels import'!O41:O87)</f>
        <v>1000</v>
      </c>
      <c r="E40" s="15">
        <f>Tableau8[[#This Row],[Prix achat unitaire en €]]*Tableau8[[#This Row],[Quantités prévisionelles par produit par unité]]</f>
        <v>0</v>
      </c>
      <c r="F40" s="9">
        <f t="shared" si="3"/>
        <v>0</v>
      </c>
      <c r="G40" s="9">
        <f>IFERROR(Tableau8[[#This Row],[Marge brute totale anuelle par produit (DZD TTC)]]/Tableau8[[#This Row],[Quantités prévisionelles par produit par unité]],"00")</f>
        <v>0</v>
      </c>
      <c r="H40" s="9">
        <f>Tableau8[[#This Row],[PR Total par produit (DZD TTC)]]*50/100</f>
        <v>0</v>
      </c>
      <c r="I40" s="9">
        <f t="shared" si="4"/>
        <v>0</v>
      </c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</row>
    <row r="41" spans="1:31" ht="15" customHeight="1" x14ac:dyDescent="0.35">
      <c r="A41" s="84" t="s">
        <v>151</v>
      </c>
      <c r="B41" s="18" t="s">
        <v>16</v>
      </c>
      <c r="C41" s="10">
        <f>_xlfn.XLOOKUP(Tableau8[[#This Row],[Produits]],Tableau12[Produits],Tableau12[Prix unitaire € 2026])</f>
        <v>0</v>
      </c>
      <c r="D41" s="15">
        <f>_xlfn.XLOOKUP(Tableau8[[#This Row],[Produits]],'Forecast-Volumes annuels import'!A42:A88,'Forecast-Volumes annuels import'!O42:O88)</f>
        <v>10000</v>
      </c>
      <c r="E41" s="15">
        <f>Tableau8[[#This Row],[Prix achat unitaire en €]]*Tableau8[[#This Row],[Quantités prévisionelles par produit par unité]]</f>
        <v>0</v>
      </c>
      <c r="F41" s="9">
        <f t="shared" si="3"/>
        <v>0</v>
      </c>
      <c r="G41" s="9">
        <f>IFERROR(Tableau8[[#This Row],[Marge brute totale anuelle par produit (DZD TTC)]]/Tableau8[[#This Row],[Quantités prévisionelles par produit par unité]],"00")</f>
        <v>0</v>
      </c>
      <c r="H41" s="9">
        <f>Tableau8[[#This Row],[PR Total par produit (DZD TTC)]]*50/100</f>
        <v>0</v>
      </c>
      <c r="I41" s="9">
        <f t="shared" si="4"/>
        <v>0</v>
      </c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</row>
    <row r="42" spans="1:31" ht="15" customHeight="1" thickBot="1" x14ac:dyDescent="0.4">
      <c r="A42" s="12"/>
      <c r="B42" s="13"/>
      <c r="C42" s="12"/>
      <c r="D42" s="12"/>
      <c r="E42" s="12"/>
      <c r="F42" s="33"/>
      <c r="G42" s="33"/>
      <c r="H42" s="13"/>
      <c r="I42" s="13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</row>
    <row r="43" spans="1:31" ht="15" customHeight="1" thickTop="1" x14ac:dyDescent="0.35">
      <c r="A43" s="12"/>
      <c r="B43" s="13"/>
      <c r="C43" s="12"/>
      <c r="D43" s="12"/>
      <c r="E43" s="12"/>
      <c r="F43" s="13"/>
      <c r="G43" s="13"/>
      <c r="H43" s="141" t="s">
        <v>89</v>
      </c>
      <c r="I43" s="143">
        <f>SUM(I9:I41)</f>
        <v>1843652861.1310248</v>
      </c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</row>
    <row r="44" spans="1:31" ht="15" customHeight="1" thickBot="1" x14ac:dyDescent="0.4">
      <c r="A44" s="14"/>
      <c r="B44" s="13"/>
      <c r="C44" s="14"/>
      <c r="D44" s="14"/>
      <c r="E44" s="14"/>
      <c r="F44" s="13"/>
      <c r="G44" s="13"/>
      <c r="H44" s="142"/>
      <c r="I44" s="144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</row>
    <row r="45" spans="1:31" ht="15" customHeight="1" thickTop="1" x14ac:dyDescent="0.35">
      <c r="A45" s="12"/>
      <c r="B45" s="13"/>
      <c r="C45" s="12"/>
      <c r="D45" s="12"/>
      <c r="E45" s="12"/>
      <c r="F45" s="13"/>
      <c r="G45" s="13"/>
      <c r="H45" s="13"/>
      <c r="I45" s="13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</row>
    <row r="46" spans="1:31" ht="15" customHeight="1" x14ac:dyDescent="0.35">
      <c r="A46" s="12"/>
      <c r="B46" s="13"/>
      <c r="C46" s="12"/>
      <c r="D46" s="12"/>
      <c r="E46" s="12"/>
      <c r="F46" s="13"/>
      <c r="G46" s="13"/>
      <c r="H46" s="13"/>
      <c r="I46" s="13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</row>
    <row r="47" spans="1:31" ht="15" customHeight="1" x14ac:dyDescent="0.35">
      <c r="A47" s="12"/>
      <c r="B47" s="13"/>
      <c r="C47" s="12"/>
      <c r="D47" s="12"/>
      <c r="E47" s="12"/>
      <c r="F47" s="13"/>
      <c r="G47" s="13"/>
      <c r="H47" s="13"/>
      <c r="I47" s="13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</row>
    <row r="48" spans="1:31" ht="15" customHeight="1" x14ac:dyDescent="0.35">
      <c r="A48" s="12"/>
      <c r="B48" s="13"/>
      <c r="C48" s="12"/>
      <c r="D48" s="12"/>
      <c r="E48" s="12"/>
      <c r="F48" s="13"/>
      <c r="G48" s="13"/>
      <c r="H48" s="13"/>
      <c r="I48" s="13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</row>
    <row r="49" spans="1:31" ht="15" customHeight="1" x14ac:dyDescent="0.35">
      <c r="A49" s="12"/>
      <c r="B49" s="13"/>
      <c r="C49" s="12"/>
      <c r="D49" s="12"/>
      <c r="E49" s="12"/>
      <c r="F49" s="13"/>
      <c r="G49" s="13"/>
      <c r="H49" s="13"/>
      <c r="I49" s="13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</row>
    <row r="50" spans="1:31" ht="15" customHeight="1" x14ac:dyDescent="0.35">
      <c r="A50" s="12"/>
      <c r="B50" s="13"/>
      <c r="C50" s="12"/>
      <c r="D50" s="12"/>
      <c r="E50" s="12"/>
      <c r="F50" s="13"/>
      <c r="G50" s="13"/>
      <c r="H50" s="13"/>
      <c r="I50" s="13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</row>
    <row r="51" spans="1:31" ht="15" customHeight="1" x14ac:dyDescent="0.35">
      <c r="A51" s="12"/>
      <c r="B51" s="13"/>
      <c r="C51" s="12"/>
      <c r="D51" s="12"/>
      <c r="E51" s="12"/>
      <c r="F51" s="13"/>
      <c r="G51" s="13"/>
      <c r="H51" s="13"/>
      <c r="I51" s="13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</row>
    <row r="52" spans="1:31" ht="15" customHeight="1" x14ac:dyDescent="0.35">
      <c r="A52" s="12"/>
      <c r="B52" s="13"/>
      <c r="C52" s="12"/>
      <c r="D52" s="12"/>
      <c r="E52" s="12"/>
      <c r="F52" s="13"/>
      <c r="G52" s="13"/>
      <c r="H52" s="13"/>
      <c r="I52" s="13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</row>
    <row r="53" spans="1:31" ht="15" customHeight="1" x14ac:dyDescent="0.35">
      <c r="A53" s="12"/>
      <c r="B53" s="13"/>
      <c r="C53" s="12"/>
      <c r="D53" s="12"/>
      <c r="E53" s="12"/>
      <c r="F53" s="13"/>
      <c r="G53" s="13"/>
      <c r="H53" s="13"/>
      <c r="I53" s="13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</row>
    <row r="54" spans="1:31" ht="15" customHeight="1" x14ac:dyDescent="0.35">
      <c r="A54" s="12"/>
      <c r="B54" s="13"/>
      <c r="C54" s="12"/>
      <c r="D54" s="12"/>
      <c r="E54" s="12"/>
      <c r="F54" s="13"/>
      <c r="G54" s="13"/>
      <c r="H54" s="13"/>
      <c r="I54" s="13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</row>
    <row r="55" spans="1:31" ht="15" customHeight="1" x14ac:dyDescent="0.35">
      <c r="A55" s="12"/>
      <c r="B55" s="13"/>
      <c r="C55" s="12"/>
      <c r="D55" s="12"/>
      <c r="E55" s="12"/>
      <c r="F55" s="13"/>
      <c r="G55" s="13"/>
      <c r="H55" s="13"/>
      <c r="I55" s="13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</row>
    <row r="56" spans="1:31" ht="15" customHeight="1" x14ac:dyDescent="0.35">
      <c r="A56" s="12"/>
      <c r="B56" s="13"/>
      <c r="C56" s="12"/>
      <c r="D56" s="12"/>
      <c r="E56" s="12"/>
      <c r="F56" s="13"/>
      <c r="G56" s="13"/>
      <c r="H56" s="13"/>
      <c r="I56" s="13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</row>
    <row r="57" spans="1:31" ht="15" customHeight="1" x14ac:dyDescent="0.35">
      <c r="A57" s="12"/>
      <c r="B57" s="13"/>
      <c r="C57" s="12"/>
      <c r="D57" s="12"/>
      <c r="E57" s="12"/>
      <c r="F57" s="13"/>
      <c r="G57" s="13"/>
      <c r="H57" s="13"/>
      <c r="I57" s="13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</row>
    <row r="58" spans="1:31" ht="15" customHeight="1" x14ac:dyDescent="0.35">
      <c r="A58" s="12"/>
      <c r="B58" s="13"/>
      <c r="C58" s="12"/>
      <c r="D58" s="12"/>
      <c r="E58" s="12"/>
      <c r="F58" s="13"/>
      <c r="G58" s="13"/>
      <c r="H58" s="13"/>
      <c r="I58" s="13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</row>
    <row r="59" spans="1:31" ht="15" customHeight="1" x14ac:dyDescent="0.35">
      <c r="A59" s="12"/>
      <c r="B59" s="13"/>
      <c r="C59" s="12"/>
      <c r="D59" s="12"/>
      <c r="E59" s="12"/>
      <c r="F59" s="13"/>
      <c r="G59" s="13"/>
      <c r="H59" s="13"/>
      <c r="I59" s="13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</row>
    <row r="60" spans="1:31" ht="15" customHeight="1" x14ac:dyDescent="0.35">
      <c r="A60" s="12"/>
      <c r="B60" s="13"/>
      <c r="C60" s="12"/>
      <c r="D60" s="12"/>
      <c r="E60" s="12"/>
      <c r="F60" s="13"/>
      <c r="G60" s="13"/>
      <c r="H60" s="13"/>
      <c r="I60" s="13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</row>
    <row r="61" spans="1:31" ht="15" customHeight="1" x14ac:dyDescent="0.35">
      <c r="A61" s="12"/>
      <c r="B61" s="13"/>
      <c r="C61" s="12"/>
      <c r="D61" s="12"/>
      <c r="E61" s="12"/>
      <c r="F61" s="13"/>
      <c r="G61" s="13"/>
      <c r="H61" s="13"/>
      <c r="I61" s="13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</row>
    <row r="62" spans="1:31" ht="15" customHeight="1" x14ac:dyDescent="0.35">
      <c r="A62" s="12"/>
      <c r="B62" s="13"/>
      <c r="C62" s="12"/>
      <c r="D62" s="12"/>
      <c r="E62" s="12"/>
      <c r="F62" s="13"/>
      <c r="G62" s="13"/>
      <c r="H62" s="13"/>
      <c r="I62" s="13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</row>
    <row r="63" spans="1:31" ht="15" customHeight="1" x14ac:dyDescent="0.35">
      <c r="A63" s="12"/>
      <c r="B63" s="13"/>
      <c r="C63" s="12"/>
      <c r="D63" s="12"/>
      <c r="E63" s="12"/>
      <c r="F63" s="13"/>
      <c r="G63" s="13"/>
      <c r="H63" s="13"/>
      <c r="I63" s="13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</row>
    <row r="64" spans="1:31" ht="15" customHeight="1" x14ac:dyDescent="0.35">
      <c r="A64" s="12"/>
      <c r="B64" s="13"/>
      <c r="C64" s="12"/>
      <c r="D64" s="12"/>
      <c r="E64" s="12"/>
      <c r="F64" s="13"/>
      <c r="G64" s="13"/>
      <c r="H64" s="13"/>
      <c r="I64" s="13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</row>
    <row r="65" spans="1:31" ht="15" customHeight="1" x14ac:dyDescent="0.35">
      <c r="A65" s="12"/>
      <c r="B65" s="13"/>
      <c r="C65" s="12"/>
      <c r="D65" s="12"/>
      <c r="E65" s="12"/>
      <c r="F65" s="13"/>
      <c r="G65" s="13"/>
      <c r="H65" s="13"/>
      <c r="I65" s="13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</row>
    <row r="66" spans="1:31" ht="15" customHeight="1" x14ac:dyDescent="0.35">
      <c r="A66" s="12"/>
      <c r="B66" s="13"/>
      <c r="C66" s="12"/>
      <c r="D66" s="12"/>
      <c r="E66" s="12"/>
      <c r="F66" s="13"/>
      <c r="G66" s="13"/>
      <c r="H66" s="13"/>
      <c r="I66" s="13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</row>
    <row r="67" spans="1:31" ht="15" customHeight="1" x14ac:dyDescent="0.35">
      <c r="A67" s="12"/>
      <c r="B67" s="13"/>
      <c r="C67" s="12"/>
      <c r="D67" s="12"/>
      <c r="E67" s="12"/>
      <c r="F67" s="13"/>
      <c r="G67" s="13"/>
      <c r="H67" s="13"/>
      <c r="I67" s="13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</row>
    <row r="68" spans="1:31" ht="15" customHeight="1" x14ac:dyDescent="0.35">
      <c r="A68" s="12"/>
      <c r="B68" s="13"/>
      <c r="C68" s="12"/>
      <c r="D68" s="12"/>
      <c r="E68" s="12"/>
      <c r="F68" s="13"/>
      <c r="G68" s="13"/>
      <c r="H68" s="13"/>
      <c r="I68" s="13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</row>
    <row r="69" spans="1:31" ht="15" customHeight="1" x14ac:dyDescent="0.35">
      <c r="A69" s="12"/>
      <c r="B69" s="13"/>
      <c r="C69" s="12"/>
      <c r="D69" s="12"/>
      <c r="E69" s="12"/>
      <c r="F69" s="13"/>
      <c r="G69" s="13"/>
      <c r="H69" s="13"/>
      <c r="I69" s="13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</row>
    <row r="70" spans="1:31" ht="15" customHeight="1" x14ac:dyDescent="0.35">
      <c r="A70" s="12"/>
      <c r="B70" s="13"/>
      <c r="C70" s="12"/>
      <c r="D70" s="12"/>
      <c r="E70" s="12"/>
      <c r="F70" s="13"/>
      <c r="G70" s="13"/>
      <c r="H70" s="13"/>
      <c r="I70" s="13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</row>
    <row r="71" spans="1:31" ht="15" customHeight="1" x14ac:dyDescent="0.35">
      <c r="A71" s="12"/>
      <c r="B71" s="13"/>
      <c r="C71" s="12"/>
      <c r="D71" s="12"/>
      <c r="E71" s="12"/>
      <c r="F71" s="13"/>
      <c r="G71" s="13"/>
      <c r="H71" s="13"/>
      <c r="I71" s="13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</row>
    <row r="72" spans="1:31" ht="15" customHeight="1" x14ac:dyDescent="0.35">
      <c r="A72" s="12"/>
      <c r="B72" s="13"/>
      <c r="C72" s="12"/>
      <c r="D72" s="12"/>
      <c r="E72" s="12"/>
      <c r="F72" s="13"/>
      <c r="G72" s="13"/>
      <c r="H72" s="13"/>
      <c r="I72" s="13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</row>
    <row r="73" spans="1:31" ht="15" customHeight="1" x14ac:dyDescent="0.35">
      <c r="A73" s="12"/>
      <c r="B73" s="13"/>
      <c r="C73" s="12"/>
      <c r="D73" s="12"/>
      <c r="E73" s="12"/>
      <c r="F73" s="13"/>
      <c r="G73" s="13"/>
      <c r="H73" s="13"/>
      <c r="I73" s="13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</row>
    <row r="74" spans="1:31" ht="15" customHeight="1" x14ac:dyDescent="0.35">
      <c r="A74" s="12"/>
      <c r="B74" s="13"/>
      <c r="C74" s="12"/>
      <c r="D74" s="12"/>
      <c r="E74" s="12"/>
      <c r="F74" s="13"/>
      <c r="G74" s="13"/>
      <c r="H74" s="13"/>
      <c r="I74" s="13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</row>
    <row r="75" spans="1:31" ht="15" customHeight="1" x14ac:dyDescent="0.35">
      <c r="A75" s="12"/>
      <c r="B75" s="13"/>
      <c r="C75" s="12"/>
      <c r="D75" s="12"/>
      <c r="E75" s="12"/>
      <c r="F75" s="13"/>
      <c r="G75" s="13"/>
      <c r="H75" s="13"/>
      <c r="I75" s="13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</row>
    <row r="76" spans="1:31" ht="15" customHeight="1" x14ac:dyDescent="0.35">
      <c r="A76" s="12"/>
      <c r="B76" s="13"/>
      <c r="C76" s="12"/>
      <c r="D76" s="12"/>
      <c r="E76" s="12"/>
      <c r="F76" s="13"/>
      <c r="G76" s="13"/>
      <c r="H76" s="13"/>
      <c r="I76" s="13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</row>
    <row r="77" spans="1:31" ht="15" customHeight="1" x14ac:dyDescent="0.35">
      <c r="A77" s="12"/>
      <c r="B77" s="13"/>
      <c r="C77" s="12"/>
      <c r="D77" s="12"/>
      <c r="E77" s="12"/>
      <c r="F77" s="13"/>
      <c r="G77" s="13"/>
      <c r="H77" s="13"/>
      <c r="I77" s="13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</row>
    <row r="78" spans="1:31" ht="15" customHeight="1" x14ac:dyDescent="0.35">
      <c r="A78" s="12"/>
      <c r="B78" s="13"/>
      <c r="C78" s="12"/>
      <c r="D78" s="12"/>
      <c r="E78" s="12"/>
      <c r="F78" s="13"/>
      <c r="G78" s="13"/>
      <c r="H78" s="13"/>
      <c r="I78" s="13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</row>
    <row r="79" spans="1:31" ht="15" customHeight="1" x14ac:dyDescent="0.35">
      <c r="A79" s="12"/>
      <c r="B79" s="13"/>
      <c r="C79" s="12"/>
      <c r="D79" s="12"/>
      <c r="E79" s="12"/>
      <c r="F79" s="13"/>
      <c r="G79" s="13"/>
      <c r="H79" s="13"/>
      <c r="I79" s="13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</row>
    <row r="80" spans="1:31" ht="15" customHeight="1" x14ac:dyDescent="0.35">
      <c r="A80" s="12"/>
      <c r="B80" s="13"/>
      <c r="C80" s="12"/>
      <c r="D80" s="12"/>
      <c r="E80" s="12"/>
      <c r="F80" s="13"/>
      <c r="G80" s="13"/>
      <c r="H80" s="13"/>
      <c r="I80" s="13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</row>
    <row r="81" spans="1:31" ht="15" customHeight="1" x14ac:dyDescent="0.35">
      <c r="A81" s="12"/>
      <c r="B81" s="13"/>
      <c r="C81" s="12"/>
      <c r="D81" s="12"/>
      <c r="E81" s="12"/>
      <c r="F81" s="13"/>
      <c r="G81" s="13"/>
      <c r="H81" s="13"/>
      <c r="I81" s="13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</row>
    <row r="82" spans="1:31" ht="15" customHeight="1" x14ac:dyDescent="0.35">
      <c r="A82" s="12"/>
      <c r="B82" s="13"/>
      <c r="C82" s="12"/>
      <c r="D82" s="12"/>
      <c r="E82" s="12"/>
      <c r="F82" s="13"/>
      <c r="G82" s="13"/>
      <c r="H82" s="13"/>
      <c r="I82" s="13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</row>
    <row r="83" spans="1:31" ht="15" customHeight="1" x14ac:dyDescent="0.35">
      <c r="A83" s="12"/>
      <c r="B83" s="13"/>
      <c r="C83" s="12"/>
      <c r="D83" s="12"/>
      <c r="E83" s="12"/>
      <c r="F83" s="13"/>
      <c r="G83" s="13"/>
      <c r="H83" s="13"/>
      <c r="I83" s="13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</row>
    <row r="84" spans="1:31" ht="15" customHeight="1" x14ac:dyDescent="0.35">
      <c r="A84" s="12"/>
      <c r="B84" s="13"/>
      <c r="C84" s="12"/>
      <c r="D84" s="12"/>
      <c r="E84" s="12"/>
      <c r="F84" s="13"/>
      <c r="G84" s="13"/>
      <c r="H84" s="13"/>
      <c r="I84" s="13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</row>
    <row r="85" spans="1:31" ht="15" customHeight="1" x14ac:dyDescent="0.35">
      <c r="A85" s="12"/>
      <c r="B85" s="13"/>
      <c r="C85" s="12"/>
      <c r="D85" s="12"/>
      <c r="E85" s="12"/>
      <c r="F85" s="13"/>
      <c r="G85" s="13"/>
      <c r="H85" s="13"/>
      <c r="I85" s="13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</row>
    <row r="86" spans="1:31" ht="15" customHeight="1" x14ac:dyDescent="0.35">
      <c r="A86" s="12"/>
      <c r="B86" s="13"/>
      <c r="C86" s="12"/>
      <c r="D86" s="12"/>
      <c r="E86" s="12"/>
      <c r="F86" s="13"/>
      <c r="G86" s="13"/>
      <c r="H86" s="13"/>
      <c r="I86" s="13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</row>
    <row r="87" spans="1:31" ht="15" customHeight="1" x14ac:dyDescent="0.35">
      <c r="A87" s="12"/>
      <c r="B87" s="13"/>
      <c r="C87" s="12"/>
      <c r="D87" s="12"/>
      <c r="E87" s="12"/>
      <c r="F87" s="13"/>
      <c r="G87" s="13"/>
      <c r="H87" s="13"/>
      <c r="I87" s="13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</row>
    <row r="88" spans="1:31" ht="15" customHeight="1" x14ac:dyDescent="0.35">
      <c r="A88" s="12"/>
      <c r="B88" s="13"/>
      <c r="C88" s="12"/>
      <c r="D88" s="12"/>
      <c r="E88" s="12"/>
      <c r="F88" s="13"/>
      <c r="G88" s="13"/>
      <c r="H88" s="13"/>
      <c r="I88" s="13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</row>
    <row r="89" spans="1:31" ht="15" customHeight="1" x14ac:dyDescent="0.35">
      <c r="A89" s="12"/>
      <c r="B89" s="13"/>
      <c r="C89" s="12"/>
      <c r="D89" s="12"/>
      <c r="E89" s="12"/>
      <c r="F89" s="13"/>
      <c r="G89" s="13"/>
      <c r="H89" s="13"/>
      <c r="I89" s="13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</row>
    <row r="90" spans="1:31" ht="15" customHeight="1" x14ac:dyDescent="0.35">
      <c r="A90" s="12"/>
      <c r="B90" s="13"/>
      <c r="C90" s="12"/>
      <c r="D90" s="12"/>
      <c r="E90" s="12"/>
      <c r="F90" s="13"/>
      <c r="G90" s="13"/>
      <c r="H90" s="13"/>
      <c r="I90" s="13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</row>
    <row r="91" spans="1:31" ht="15" customHeight="1" x14ac:dyDescent="0.35">
      <c r="A91" s="12"/>
      <c r="B91" s="13"/>
      <c r="C91" s="12"/>
      <c r="D91" s="12"/>
      <c r="E91" s="12"/>
      <c r="F91" s="13"/>
      <c r="G91" s="13"/>
      <c r="H91" s="13"/>
      <c r="I91" s="13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</row>
    <row r="92" spans="1:31" ht="15" customHeight="1" x14ac:dyDescent="0.35">
      <c r="A92" s="12"/>
      <c r="B92" s="13"/>
      <c r="C92" s="12"/>
      <c r="D92" s="12"/>
      <c r="E92" s="12"/>
      <c r="F92" s="13"/>
      <c r="G92" s="13"/>
      <c r="H92" s="13"/>
      <c r="I92" s="13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</row>
    <row r="93" spans="1:31" ht="15" customHeight="1" x14ac:dyDescent="0.35">
      <c r="A93" s="12"/>
      <c r="B93" s="13"/>
      <c r="C93" s="12"/>
      <c r="D93" s="12"/>
      <c r="E93" s="12"/>
      <c r="F93" s="13"/>
      <c r="G93" s="13"/>
      <c r="H93" s="13"/>
      <c r="I93" s="13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</row>
    <row r="94" spans="1:31" ht="15" customHeight="1" x14ac:dyDescent="0.35">
      <c r="A94" s="12"/>
      <c r="B94" s="13"/>
      <c r="C94" s="12"/>
      <c r="D94" s="12"/>
      <c r="E94" s="12"/>
      <c r="F94" s="13"/>
      <c r="G94" s="13"/>
      <c r="H94" s="13"/>
      <c r="I94" s="13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</row>
    <row r="95" spans="1:31" ht="15" customHeight="1" x14ac:dyDescent="0.35">
      <c r="A95" s="12"/>
      <c r="B95" s="13"/>
      <c r="C95" s="12"/>
      <c r="D95" s="12"/>
      <c r="E95" s="12"/>
      <c r="F95" s="13"/>
      <c r="G95" s="13"/>
      <c r="H95" s="13"/>
      <c r="I95" s="13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</row>
    <row r="96" spans="1:31" ht="15" customHeight="1" x14ac:dyDescent="0.35">
      <c r="A96" s="12"/>
      <c r="B96" s="13"/>
      <c r="C96" s="12"/>
      <c r="D96" s="12"/>
      <c r="E96" s="12"/>
      <c r="F96" s="13"/>
      <c r="G96" s="13"/>
      <c r="H96" s="13"/>
      <c r="I96" s="13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</row>
    <row r="97" spans="1:31" ht="15" customHeight="1" x14ac:dyDescent="0.35">
      <c r="A97" s="12"/>
      <c r="B97" s="13"/>
      <c r="C97" s="12"/>
      <c r="D97" s="12"/>
      <c r="E97" s="12"/>
      <c r="F97" s="13"/>
      <c r="G97" s="13"/>
      <c r="H97" s="13"/>
      <c r="I97" s="13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</row>
    <row r="98" spans="1:31" ht="15" customHeight="1" x14ac:dyDescent="0.35">
      <c r="A98" s="12"/>
      <c r="B98" s="13"/>
      <c r="C98" s="12"/>
      <c r="D98" s="12"/>
      <c r="E98" s="12"/>
      <c r="F98" s="13"/>
      <c r="G98" s="13"/>
      <c r="H98" s="13"/>
      <c r="I98" s="13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</row>
    <row r="99" spans="1:31" ht="15" customHeight="1" x14ac:dyDescent="0.35">
      <c r="A99" s="12"/>
      <c r="B99" s="13"/>
      <c r="C99" s="12"/>
      <c r="D99" s="12"/>
      <c r="E99" s="12"/>
      <c r="F99" s="13"/>
      <c r="G99" s="13"/>
      <c r="H99" s="13"/>
      <c r="I99" s="13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</row>
    <row r="100" spans="1:31" ht="15" customHeight="1" x14ac:dyDescent="0.35">
      <c r="A100" s="12"/>
      <c r="B100" s="13"/>
      <c r="C100" s="12"/>
      <c r="D100" s="12"/>
      <c r="E100" s="12"/>
      <c r="F100" s="13"/>
      <c r="G100" s="13"/>
      <c r="H100" s="13"/>
      <c r="I100" s="13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</row>
    <row r="101" spans="1:31" ht="15" customHeight="1" x14ac:dyDescent="0.35">
      <c r="A101" s="12"/>
      <c r="B101" s="13"/>
      <c r="C101" s="12"/>
      <c r="D101" s="12"/>
      <c r="E101" s="12"/>
      <c r="F101" s="13"/>
      <c r="G101" s="13"/>
      <c r="H101" s="13"/>
      <c r="I101" s="13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</row>
    <row r="102" spans="1:31" ht="15" customHeight="1" x14ac:dyDescent="0.35">
      <c r="A102" s="12"/>
      <c r="B102" s="13"/>
      <c r="C102" s="12"/>
      <c r="D102" s="12"/>
      <c r="E102" s="12"/>
      <c r="F102" s="13"/>
      <c r="G102" s="13"/>
      <c r="H102" s="13"/>
      <c r="I102" s="13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</row>
    <row r="103" spans="1:31" ht="15" customHeight="1" x14ac:dyDescent="0.35">
      <c r="A103" s="12"/>
      <c r="B103" s="13"/>
      <c r="C103" s="12"/>
      <c r="D103" s="12"/>
      <c r="E103" s="12"/>
      <c r="F103" s="13"/>
      <c r="G103" s="13"/>
      <c r="H103" s="13"/>
      <c r="I103" s="13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</row>
    <row r="104" spans="1:31" ht="15" customHeight="1" x14ac:dyDescent="0.35">
      <c r="A104" s="12"/>
      <c r="B104" s="13"/>
      <c r="C104" s="12"/>
      <c r="D104" s="12"/>
      <c r="E104" s="12"/>
      <c r="F104" s="13"/>
      <c r="G104" s="13"/>
      <c r="H104" s="13"/>
      <c r="I104" s="13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</row>
    <row r="105" spans="1:31" ht="15" customHeight="1" x14ac:dyDescent="0.35">
      <c r="A105" s="12"/>
      <c r="B105" s="13"/>
      <c r="C105" s="12"/>
      <c r="D105" s="12"/>
      <c r="E105" s="12"/>
      <c r="F105" s="13"/>
      <c r="G105" s="13"/>
      <c r="H105" s="13"/>
      <c r="I105" s="13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</row>
    <row r="106" spans="1:31" ht="15" customHeight="1" x14ac:dyDescent="0.35">
      <c r="A106" s="12"/>
      <c r="B106" s="13"/>
      <c r="C106" s="12"/>
      <c r="D106" s="12"/>
      <c r="E106" s="12"/>
      <c r="F106" s="13"/>
      <c r="G106" s="13"/>
      <c r="H106" s="13"/>
      <c r="I106" s="13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</row>
    <row r="107" spans="1:31" ht="15" customHeight="1" x14ac:dyDescent="0.35">
      <c r="A107" s="12"/>
      <c r="B107" s="13"/>
      <c r="C107" s="12"/>
      <c r="D107" s="12"/>
      <c r="E107" s="12"/>
      <c r="F107" s="13"/>
      <c r="G107" s="13"/>
      <c r="H107" s="13"/>
      <c r="I107" s="13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</row>
    <row r="108" spans="1:31" ht="15" customHeight="1" x14ac:dyDescent="0.35">
      <c r="A108" s="12"/>
      <c r="B108" s="13"/>
      <c r="C108" s="12"/>
      <c r="D108" s="12"/>
      <c r="E108" s="12"/>
      <c r="F108" s="13"/>
      <c r="G108" s="13"/>
      <c r="H108" s="13"/>
      <c r="I108" s="13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</row>
    <row r="109" spans="1:31" ht="15" customHeight="1" x14ac:dyDescent="0.35">
      <c r="A109" s="12"/>
      <c r="B109" s="13"/>
      <c r="C109" s="12"/>
      <c r="D109" s="12"/>
      <c r="E109" s="12"/>
      <c r="F109" s="13"/>
      <c r="G109" s="13"/>
      <c r="H109" s="13"/>
      <c r="I109" s="13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</row>
    <row r="110" spans="1:31" ht="15" customHeight="1" x14ac:dyDescent="0.35">
      <c r="A110" s="12"/>
      <c r="B110" s="13"/>
      <c r="C110" s="12"/>
      <c r="D110" s="12"/>
      <c r="E110" s="12"/>
      <c r="F110" s="13"/>
      <c r="G110" s="13"/>
      <c r="H110" s="13"/>
      <c r="I110" s="13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</row>
    <row r="111" spans="1:31" ht="15" customHeight="1" x14ac:dyDescent="0.35">
      <c r="A111" s="12"/>
      <c r="B111" s="13"/>
      <c r="C111" s="12"/>
      <c r="D111" s="12"/>
      <c r="E111" s="12"/>
      <c r="F111" s="13"/>
      <c r="G111" s="13"/>
      <c r="H111" s="13"/>
      <c r="I111" s="13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</row>
    <row r="112" spans="1:31" ht="15" customHeight="1" x14ac:dyDescent="0.35">
      <c r="A112" s="12"/>
      <c r="B112" s="13"/>
      <c r="C112" s="12"/>
      <c r="D112" s="12"/>
      <c r="E112" s="12"/>
      <c r="F112" s="13"/>
      <c r="G112" s="13"/>
      <c r="H112" s="13"/>
      <c r="I112" s="13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</row>
    <row r="113" spans="1:31" ht="15" customHeight="1" x14ac:dyDescent="0.35">
      <c r="A113" s="12"/>
      <c r="B113" s="13"/>
      <c r="C113" s="12"/>
      <c r="D113" s="12"/>
      <c r="E113" s="12"/>
      <c r="F113" s="13"/>
      <c r="G113" s="13"/>
      <c r="H113" s="13"/>
      <c r="I113" s="13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</row>
    <row r="114" spans="1:31" ht="15" customHeight="1" x14ac:dyDescent="0.35">
      <c r="A114" s="12"/>
      <c r="B114" s="13"/>
      <c r="C114" s="12"/>
      <c r="D114" s="12"/>
      <c r="E114" s="12"/>
      <c r="F114" s="13"/>
      <c r="G114" s="13"/>
      <c r="H114" s="13"/>
      <c r="I114" s="13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</row>
    <row r="115" spans="1:31" ht="15" customHeight="1" x14ac:dyDescent="0.35">
      <c r="A115" s="12"/>
      <c r="B115" s="13"/>
      <c r="C115" s="12"/>
      <c r="D115" s="12"/>
      <c r="E115" s="12"/>
      <c r="F115" s="13"/>
      <c r="G115" s="13"/>
      <c r="H115" s="13"/>
      <c r="I115" s="13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</row>
    <row r="116" spans="1:31" ht="15" customHeight="1" x14ac:dyDescent="0.35">
      <c r="A116" s="12"/>
      <c r="B116" s="13"/>
      <c r="C116" s="12"/>
      <c r="D116" s="12"/>
      <c r="E116" s="12"/>
      <c r="F116" s="13"/>
      <c r="G116" s="13"/>
      <c r="H116" s="13"/>
      <c r="I116" s="13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</row>
    <row r="117" spans="1:31" ht="15" customHeight="1" x14ac:dyDescent="0.35">
      <c r="A117" s="12"/>
      <c r="B117" s="13"/>
      <c r="C117" s="12"/>
      <c r="D117" s="12"/>
      <c r="E117" s="12"/>
      <c r="F117" s="13"/>
      <c r="G117" s="13"/>
      <c r="H117" s="13"/>
      <c r="I117" s="13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</row>
    <row r="118" spans="1:31" ht="15" customHeight="1" x14ac:dyDescent="0.35">
      <c r="A118" s="12"/>
      <c r="B118" s="13"/>
      <c r="C118" s="12"/>
      <c r="D118" s="12"/>
      <c r="E118" s="12"/>
      <c r="F118" s="13"/>
      <c r="G118" s="13"/>
      <c r="H118" s="13"/>
      <c r="I118" s="13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</row>
    <row r="119" spans="1:31" ht="15" customHeight="1" x14ac:dyDescent="0.35">
      <c r="A119" s="12"/>
      <c r="B119" s="13"/>
      <c r="C119" s="12"/>
      <c r="D119" s="12"/>
      <c r="E119" s="12"/>
      <c r="F119" s="13"/>
      <c r="G119" s="13"/>
      <c r="H119" s="13"/>
      <c r="I119" s="13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</row>
    <row r="120" spans="1:31" ht="15" customHeight="1" x14ac:dyDescent="0.35">
      <c r="A120" s="12"/>
      <c r="B120" s="13"/>
      <c r="C120" s="12"/>
      <c r="D120" s="12"/>
      <c r="E120" s="12"/>
      <c r="F120" s="13"/>
      <c r="G120" s="13"/>
      <c r="H120" s="13"/>
      <c r="I120" s="13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</row>
    <row r="121" spans="1:31" ht="15" customHeight="1" x14ac:dyDescent="0.35">
      <c r="A121" s="12"/>
      <c r="B121" s="13"/>
      <c r="C121" s="12"/>
      <c r="D121" s="12"/>
      <c r="E121" s="12"/>
      <c r="F121" s="13"/>
      <c r="G121" s="13"/>
      <c r="H121" s="13"/>
      <c r="I121" s="13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</row>
    <row r="122" spans="1:31" ht="15" customHeight="1" x14ac:dyDescent="0.35">
      <c r="A122" s="12"/>
      <c r="B122" s="13"/>
      <c r="C122" s="12"/>
      <c r="D122" s="12"/>
      <c r="E122" s="12"/>
      <c r="F122" s="13"/>
      <c r="G122" s="13"/>
      <c r="H122" s="13"/>
      <c r="I122" s="13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</row>
    <row r="123" spans="1:31" ht="15" customHeight="1" x14ac:dyDescent="0.35">
      <c r="A123" s="12"/>
      <c r="B123" s="13"/>
      <c r="C123" s="12"/>
      <c r="D123" s="12"/>
      <c r="E123" s="12"/>
      <c r="F123" s="13"/>
      <c r="G123" s="13"/>
      <c r="H123" s="13"/>
      <c r="I123" s="13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</row>
    <row r="124" spans="1:31" ht="15" customHeight="1" x14ac:dyDescent="0.35">
      <c r="A124" s="12"/>
      <c r="B124" s="13"/>
      <c r="C124" s="12"/>
      <c r="D124" s="12"/>
      <c r="E124" s="12"/>
      <c r="F124" s="13"/>
      <c r="G124" s="13"/>
      <c r="H124" s="13"/>
      <c r="I124" s="13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</row>
    <row r="125" spans="1:31" ht="15" customHeight="1" x14ac:dyDescent="0.35">
      <c r="A125" s="12"/>
      <c r="B125" s="13"/>
      <c r="C125" s="12"/>
      <c r="D125" s="12"/>
      <c r="E125" s="12"/>
      <c r="F125" s="13"/>
      <c r="G125" s="13"/>
      <c r="H125" s="13"/>
      <c r="I125" s="13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</row>
    <row r="126" spans="1:31" ht="15" customHeight="1" x14ac:dyDescent="0.35">
      <c r="A126" s="12"/>
      <c r="B126" s="13"/>
      <c r="C126" s="12"/>
      <c r="D126" s="12"/>
      <c r="E126" s="12"/>
      <c r="F126" s="13"/>
      <c r="G126" s="13"/>
      <c r="H126" s="13"/>
      <c r="I126" s="13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</row>
    <row r="127" spans="1:31" ht="15" customHeight="1" x14ac:dyDescent="0.35">
      <c r="A127" s="12"/>
      <c r="B127" s="13"/>
      <c r="C127" s="12"/>
      <c r="D127" s="12"/>
      <c r="E127" s="12"/>
      <c r="F127" s="13"/>
      <c r="G127" s="13"/>
      <c r="H127" s="13"/>
      <c r="I127" s="13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</row>
    <row r="128" spans="1:31" ht="15" customHeight="1" x14ac:dyDescent="0.35">
      <c r="A128" s="12"/>
      <c r="B128" s="13"/>
      <c r="C128" s="12"/>
      <c r="D128" s="12"/>
      <c r="E128" s="12"/>
      <c r="F128" s="13"/>
      <c r="G128" s="13"/>
      <c r="H128" s="13"/>
      <c r="I128" s="13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</row>
    <row r="129" spans="1:31" ht="15" customHeight="1" x14ac:dyDescent="0.35">
      <c r="A129" s="12"/>
      <c r="B129" s="13"/>
      <c r="C129" s="12"/>
      <c r="D129" s="12"/>
      <c r="E129" s="12"/>
      <c r="F129" s="13"/>
      <c r="G129" s="13"/>
      <c r="H129" s="13"/>
      <c r="I129" s="13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</row>
    <row r="130" spans="1:31" ht="15" customHeight="1" x14ac:dyDescent="0.35">
      <c r="A130" s="12"/>
      <c r="B130" s="13"/>
      <c r="C130" s="12"/>
      <c r="D130" s="12"/>
      <c r="E130" s="12"/>
      <c r="F130" s="13"/>
      <c r="G130" s="13"/>
      <c r="H130" s="13"/>
      <c r="I130" s="13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</row>
    <row r="131" spans="1:31" ht="15" customHeight="1" x14ac:dyDescent="0.35">
      <c r="A131" s="12"/>
      <c r="B131" s="13"/>
      <c r="C131" s="12"/>
      <c r="D131" s="12"/>
      <c r="E131" s="12"/>
      <c r="F131" s="13"/>
      <c r="G131" s="13"/>
      <c r="H131" s="13"/>
      <c r="I131" s="13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</row>
    <row r="132" spans="1:31" ht="15" customHeight="1" x14ac:dyDescent="0.35">
      <c r="A132" s="12"/>
      <c r="B132" s="13"/>
      <c r="C132" s="12"/>
      <c r="D132" s="12"/>
      <c r="E132" s="12"/>
      <c r="F132" s="13"/>
      <c r="G132" s="13"/>
      <c r="H132" s="13"/>
      <c r="I132" s="13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1"/>
      <c r="AD132" s="11"/>
      <c r="AE132" s="11"/>
    </row>
    <row r="133" spans="1:31" ht="15" customHeight="1" x14ac:dyDescent="0.35">
      <c r="A133" s="12"/>
      <c r="B133" s="13"/>
      <c r="C133" s="12"/>
      <c r="D133" s="12"/>
      <c r="E133" s="12"/>
      <c r="F133" s="13"/>
      <c r="G133" s="13"/>
      <c r="H133" s="13"/>
      <c r="I133" s="13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</row>
    <row r="134" spans="1:31" ht="15" customHeight="1" x14ac:dyDescent="0.35">
      <c r="A134" s="12"/>
      <c r="B134" s="13"/>
      <c r="C134" s="12"/>
      <c r="D134" s="12"/>
      <c r="E134" s="12"/>
      <c r="F134" s="13"/>
      <c r="G134" s="13"/>
      <c r="H134" s="13"/>
      <c r="I134" s="13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</row>
    <row r="135" spans="1:31" ht="15" customHeight="1" x14ac:dyDescent="0.35">
      <c r="A135" s="12"/>
      <c r="B135" s="13"/>
      <c r="C135" s="12"/>
      <c r="D135" s="12"/>
      <c r="E135" s="12"/>
      <c r="F135" s="13"/>
      <c r="G135" s="13"/>
      <c r="H135" s="13"/>
      <c r="I135" s="13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</row>
    <row r="136" spans="1:31" ht="15" customHeight="1" x14ac:dyDescent="0.35">
      <c r="A136" s="12"/>
      <c r="B136" s="13"/>
      <c r="C136" s="12"/>
      <c r="D136" s="12"/>
      <c r="E136" s="12"/>
      <c r="F136" s="13"/>
      <c r="G136" s="13"/>
      <c r="H136" s="13"/>
      <c r="I136" s="13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</row>
    <row r="137" spans="1:31" ht="15" customHeight="1" x14ac:dyDescent="0.35">
      <c r="A137" s="12"/>
      <c r="B137" s="13"/>
      <c r="C137" s="12"/>
      <c r="D137" s="12"/>
      <c r="E137" s="12"/>
      <c r="F137" s="13"/>
      <c r="G137" s="13"/>
      <c r="H137" s="13"/>
      <c r="I137" s="13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</row>
    <row r="138" spans="1:31" ht="15" customHeight="1" x14ac:dyDescent="0.35">
      <c r="A138" s="12"/>
      <c r="B138" s="13"/>
      <c r="C138" s="12"/>
      <c r="D138" s="12"/>
      <c r="E138" s="12"/>
      <c r="F138" s="13"/>
      <c r="G138" s="13"/>
      <c r="H138" s="13"/>
      <c r="I138" s="13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</row>
    <row r="139" spans="1:31" ht="15" customHeight="1" x14ac:dyDescent="0.35">
      <c r="A139" s="12"/>
      <c r="B139" s="13"/>
      <c r="C139" s="12"/>
      <c r="D139" s="12"/>
      <c r="E139" s="12"/>
      <c r="F139" s="13"/>
      <c r="G139" s="13"/>
      <c r="H139" s="13"/>
      <c r="I139" s="13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</row>
    <row r="140" spans="1:31" ht="15" customHeight="1" x14ac:dyDescent="0.35">
      <c r="A140" s="12"/>
      <c r="B140" s="13"/>
      <c r="C140" s="12"/>
      <c r="D140" s="12"/>
      <c r="E140" s="12"/>
      <c r="F140" s="13"/>
      <c r="G140" s="13"/>
      <c r="H140" s="13"/>
      <c r="I140" s="13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</row>
    <row r="141" spans="1:31" ht="15" customHeight="1" x14ac:dyDescent="0.35">
      <c r="A141" s="12"/>
      <c r="B141" s="13"/>
      <c r="C141" s="12"/>
      <c r="D141" s="12"/>
      <c r="E141" s="12"/>
      <c r="F141" s="13"/>
      <c r="G141" s="13"/>
      <c r="H141" s="13"/>
      <c r="I141" s="13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1"/>
      <c r="AD141" s="11"/>
      <c r="AE141" s="11"/>
    </row>
    <row r="142" spans="1:31" ht="15" customHeight="1" x14ac:dyDescent="0.35">
      <c r="A142" s="12"/>
      <c r="B142" s="13"/>
      <c r="C142" s="12"/>
      <c r="D142" s="12"/>
      <c r="E142" s="12"/>
      <c r="F142" s="13"/>
      <c r="G142" s="13"/>
      <c r="H142" s="13"/>
      <c r="I142" s="13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</row>
    <row r="143" spans="1:31" ht="15" customHeight="1" x14ac:dyDescent="0.35">
      <c r="A143" s="12"/>
      <c r="B143" s="13"/>
      <c r="C143" s="12"/>
      <c r="D143" s="12"/>
      <c r="E143" s="12"/>
      <c r="F143" s="13"/>
      <c r="G143" s="13"/>
      <c r="H143" s="13"/>
      <c r="I143" s="13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</row>
    <row r="144" spans="1:31" ht="15" customHeight="1" x14ac:dyDescent="0.35">
      <c r="A144" s="12"/>
      <c r="B144" s="13"/>
      <c r="C144" s="12"/>
      <c r="D144" s="12"/>
      <c r="E144" s="12"/>
      <c r="F144" s="13"/>
      <c r="G144" s="13"/>
      <c r="H144" s="13"/>
      <c r="I144" s="13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</row>
    <row r="145" spans="1:31" ht="15" customHeight="1" x14ac:dyDescent="0.35">
      <c r="A145" s="12"/>
      <c r="B145" s="13"/>
      <c r="C145" s="12"/>
      <c r="D145" s="12"/>
      <c r="E145" s="12"/>
      <c r="F145" s="13"/>
      <c r="G145" s="13"/>
      <c r="H145" s="13"/>
      <c r="I145" s="13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1"/>
      <c r="AD145" s="11"/>
      <c r="AE145" s="11"/>
    </row>
    <row r="146" spans="1:31" ht="15" customHeight="1" x14ac:dyDescent="0.35">
      <c r="A146" s="12"/>
      <c r="B146" s="13"/>
      <c r="C146" s="12"/>
      <c r="D146" s="12"/>
      <c r="E146" s="12"/>
      <c r="F146" s="13"/>
      <c r="G146" s="13"/>
      <c r="H146" s="13"/>
      <c r="I146" s="13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1"/>
      <c r="AD146" s="11"/>
      <c r="AE146" s="11"/>
    </row>
    <row r="147" spans="1:31" ht="15" customHeight="1" x14ac:dyDescent="0.35">
      <c r="A147" s="12"/>
      <c r="B147" s="13"/>
      <c r="C147" s="12"/>
      <c r="D147" s="12"/>
      <c r="E147" s="12"/>
      <c r="F147" s="13"/>
      <c r="G147" s="13"/>
      <c r="H147" s="13"/>
      <c r="I147" s="13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1"/>
      <c r="AD147" s="11"/>
      <c r="AE147" s="11"/>
    </row>
    <row r="148" spans="1:31" ht="15" customHeight="1" x14ac:dyDescent="0.35">
      <c r="A148" s="12"/>
      <c r="B148" s="13"/>
      <c r="C148" s="12"/>
      <c r="D148" s="12"/>
      <c r="E148" s="12"/>
      <c r="F148" s="13"/>
      <c r="G148" s="13"/>
      <c r="H148" s="13"/>
      <c r="I148" s="13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</row>
    <row r="149" spans="1:31" ht="15" customHeight="1" x14ac:dyDescent="0.35">
      <c r="A149" s="12"/>
      <c r="B149" s="13"/>
      <c r="C149" s="12"/>
      <c r="D149" s="12"/>
      <c r="E149" s="12"/>
      <c r="F149" s="13"/>
      <c r="G149" s="13"/>
      <c r="H149" s="13"/>
      <c r="I149" s="13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  <c r="AC149" s="11"/>
      <c r="AD149" s="11"/>
      <c r="AE149" s="11"/>
    </row>
    <row r="150" spans="1:31" ht="15" customHeight="1" x14ac:dyDescent="0.35">
      <c r="A150" s="12"/>
      <c r="B150" s="13"/>
      <c r="C150" s="12"/>
      <c r="D150" s="12"/>
      <c r="E150" s="12"/>
      <c r="F150" s="13"/>
      <c r="G150" s="13"/>
      <c r="H150" s="13"/>
      <c r="I150" s="13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</row>
    <row r="151" spans="1:31" ht="15" customHeight="1" x14ac:dyDescent="0.35">
      <c r="A151" s="12"/>
      <c r="B151" s="13"/>
      <c r="C151" s="12"/>
      <c r="D151" s="12"/>
      <c r="E151" s="12"/>
      <c r="F151" s="13"/>
      <c r="G151" s="13"/>
      <c r="H151" s="13"/>
      <c r="I151" s="13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  <c r="AC151" s="11"/>
      <c r="AD151" s="11"/>
      <c r="AE151" s="11"/>
    </row>
    <row r="152" spans="1:31" ht="15" customHeight="1" x14ac:dyDescent="0.35">
      <c r="A152" s="12"/>
      <c r="B152" s="13"/>
      <c r="C152" s="12"/>
      <c r="D152" s="12"/>
      <c r="E152" s="12"/>
      <c r="F152" s="13"/>
      <c r="G152" s="13"/>
      <c r="H152" s="13"/>
      <c r="I152" s="13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  <c r="AC152" s="11"/>
      <c r="AD152" s="11"/>
      <c r="AE152" s="11"/>
    </row>
    <row r="153" spans="1:31" ht="15" customHeight="1" x14ac:dyDescent="0.35">
      <c r="A153" s="12"/>
      <c r="B153" s="13"/>
      <c r="C153" s="12"/>
      <c r="D153" s="12"/>
      <c r="E153" s="12"/>
      <c r="F153" s="13"/>
      <c r="G153" s="13"/>
      <c r="H153" s="13"/>
      <c r="I153" s="13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  <c r="AC153" s="11"/>
      <c r="AD153" s="11"/>
      <c r="AE153" s="11"/>
    </row>
    <row r="154" spans="1:31" ht="15" customHeight="1" x14ac:dyDescent="0.35">
      <c r="A154" s="12"/>
      <c r="B154" s="13"/>
      <c r="C154" s="12"/>
      <c r="D154" s="12"/>
      <c r="E154" s="12"/>
      <c r="F154" s="13"/>
      <c r="G154" s="13"/>
      <c r="H154" s="13"/>
      <c r="I154" s="13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  <c r="AC154" s="11"/>
      <c r="AD154" s="11"/>
      <c r="AE154" s="11"/>
    </row>
    <row r="155" spans="1:31" ht="15" customHeight="1" x14ac:dyDescent="0.35">
      <c r="A155" s="12"/>
      <c r="B155" s="13"/>
      <c r="C155" s="12"/>
      <c r="D155" s="12"/>
      <c r="E155" s="12"/>
      <c r="F155" s="13"/>
      <c r="G155" s="13"/>
      <c r="H155" s="13"/>
      <c r="I155" s="13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  <c r="AC155" s="11"/>
      <c r="AD155" s="11"/>
      <c r="AE155" s="11"/>
    </row>
    <row r="156" spans="1:31" ht="15" customHeight="1" x14ac:dyDescent="0.35">
      <c r="A156" s="12"/>
      <c r="B156" s="13"/>
      <c r="C156" s="12"/>
      <c r="D156" s="12"/>
      <c r="E156" s="12"/>
      <c r="F156" s="13"/>
      <c r="G156" s="13"/>
      <c r="H156" s="13"/>
      <c r="I156" s="13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  <c r="AC156" s="11"/>
      <c r="AD156" s="11"/>
      <c r="AE156" s="11"/>
    </row>
    <row r="157" spans="1:31" ht="15" customHeight="1" x14ac:dyDescent="0.35">
      <c r="A157" s="12"/>
      <c r="B157" s="13"/>
      <c r="C157" s="12"/>
      <c r="D157" s="12"/>
      <c r="E157" s="12"/>
      <c r="F157" s="13"/>
      <c r="G157" s="13"/>
      <c r="H157" s="13"/>
      <c r="I157" s="13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  <c r="AC157" s="11"/>
      <c r="AD157" s="11"/>
      <c r="AE157" s="11"/>
    </row>
    <row r="158" spans="1:31" ht="15" customHeight="1" x14ac:dyDescent="0.35">
      <c r="A158" s="12"/>
      <c r="B158" s="13"/>
      <c r="C158" s="12"/>
      <c r="D158" s="12"/>
      <c r="E158" s="12"/>
      <c r="F158" s="13"/>
      <c r="G158" s="13"/>
      <c r="H158" s="13"/>
      <c r="I158" s="13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  <c r="AC158" s="11"/>
      <c r="AD158" s="11"/>
      <c r="AE158" s="11"/>
    </row>
    <row r="159" spans="1:31" ht="15" customHeight="1" x14ac:dyDescent="0.35">
      <c r="A159" s="12"/>
      <c r="B159" s="13"/>
      <c r="C159" s="12"/>
      <c r="D159" s="12"/>
      <c r="E159" s="12"/>
      <c r="F159" s="13"/>
      <c r="G159" s="13"/>
      <c r="H159" s="13"/>
      <c r="I159" s="13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  <c r="AC159" s="11"/>
      <c r="AD159" s="11"/>
      <c r="AE159" s="11"/>
    </row>
    <row r="160" spans="1:31" ht="15" customHeight="1" x14ac:dyDescent="0.35">
      <c r="A160" s="12"/>
      <c r="B160" s="13"/>
      <c r="C160" s="12"/>
      <c r="D160" s="12"/>
      <c r="E160" s="12"/>
      <c r="F160" s="13"/>
      <c r="G160" s="13"/>
      <c r="H160" s="13"/>
      <c r="I160" s="13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  <c r="AC160" s="11"/>
      <c r="AD160" s="11"/>
      <c r="AE160" s="11"/>
    </row>
    <row r="161" spans="1:31" ht="15" customHeight="1" x14ac:dyDescent="0.35">
      <c r="A161" s="12"/>
      <c r="B161" s="13"/>
      <c r="C161" s="12"/>
      <c r="D161" s="12"/>
      <c r="E161" s="12"/>
      <c r="F161" s="13"/>
      <c r="G161" s="13"/>
      <c r="H161" s="13"/>
      <c r="I161" s="13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  <c r="AC161" s="11"/>
      <c r="AD161" s="11"/>
      <c r="AE161" s="11"/>
    </row>
    <row r="162" spans="1:31" ht="15" customHeight="1" x14ac:dyDescent="0.35">
      <c r="A162" s="12"/>
      <c r="B162" s="13"/>
      <c r="C162" s="12"/>
      <c r="D162" s="12"/>
      <c r="E162" s="12"/>
      <c r="F162" s="13"/>
      <c r="G162" s="13"/>
      <c r="H162" s="13"/>
      <c r="I162" s="13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  <c r="AC162" s="11"/>
      <c r="AD162" s="11"/>
      <c r="AE162" s="11"/>
    </row>
    <row r="163" spans="1:31" ht="15" customHeight="1" x14ac:dyDescent="0.35">
      <c r="A163" s="12"/>
      <c r="B163" s="13"/>
      <c r="C163" s="12"/>
      <c r="D163" s="12"/>
      <c r="E163" s="12"/>
      <c r="F163" s="13"/>
      <c r="G163" s="13"/>
      <c r="H163" s="13"/>
      <c r="I163" s="13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  <c r="AA163" s="11"/>
      <c r="AB163" s="11"/>
      <c r="AC163" s="11"/>
      <c r="AD163" s="11"/>
      <c r="AE163" s="11"/>
    </row>
    <row r="164" spans="1:31" ht="15" customHeight="1" x14ac:dyDescent="0.35">
      <c r="A164" s="12"/>
      <c r="B164" s="13"/>
      <c r="C164" s="12"/>
      <c r="D164" s="12"/>
      <c r="E164" s="12"/>
      <c r="F164" s="13"/>
      <c r="G164" s="13"/>
      <c r="H164" s="13"/>
      <c r="I164" s="13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  <c r="AC164" s="11"/>
      <c r="AD164" s="11"/>
      <c r="AE164" s="11"/>
    </row>
    <row r="165" spans="1:31" ht="15" customHeight="1" x14ac:dyDescent="0.35">
      <c r="A165" s="12"/>
      <c r="B165" s="13"/>
      <c r="C165" s="12"/>
      <c r="D165" s="12"/>
      <c r="E165" s="12"/>
      <c r="F165" s="13"/>
      <c r="G165" s="13"/>
      <c r="H165" s="13"/>
      <c r="I165" s="13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  <c r="AC165" s="11"/>
      <c r="AD165" s="11"/>
      <c r="AE165" s="11"/>
    </row>
    <row r="166" spans="1:31" ht="15" customHeight="1" x14ac:dyDescent="0.35">
      <c r="A166" s="12"/>
      <c r="B166" s="13"/>
      <c r="C166" s="12"/>
      <c r="D166" s="12"/>
      <c r="E166" s="12"/>
      <c r="F166" s="13"/>
      <c r="G166" s="13"/>
      <c r="H166" s="13"/>
      <c r="I166" s="13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  <c r="AC166" s="11"/>
      <c r="AD166" s="11"/>
      <c r="AE166" s="11"/>
    </row>
    <row r="167" spans="1:31" ht="15" customHeight="1" x14ac:dyDescent="0.35">
      <c r="A167" s="12"/>
      <c r="B167" s="13"/>
      <c r="C167" s="12"/>
      <c r="D167" s="12"/>
      <c r="E167" s="12"/>
      <c r="F167" s="13"/>
      <c r="G167" s="13"/>
      <c r="H167" s="13"/>
      <c r="I167" s="13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  <c r="AC167" s="11"/>
      <c r="AD167" s="11"/>
      <c r="AE167" s="11"/>
    </row>
    <row r="168" spans="1:31" ht="15" customHeight="1" x14ac:dyDescent="0.35">
      <c r="A168" s="12"/>
      <c r="B168" s="13"/>
      <c r="C168" s="12"/>
      <c r="D168" s="12"/>
      <c r="E168" s="12"/>
      <c r="F168" s="13"/>
      <c r="G168" s="13"/>
      <c r="H168" s="13"/>
      <c r="I168" s="13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  <c r="AC168" s="11"/>
      <c r="AD168" s="11"/>
      <c r="AE168" s="11"/>
    </row>
    <row r="169" spans="1:31" ht="15" customHeight="1" x14ac:dyDescent="0.35">
      <c r="A169" s="12"/>
      <c r="B169" s="13"/>
      <c r="C169" s="12"/>
      <c r="D169" s="12"/>
      <c r="E169" s="12"/>
      <c r="F169" s="13"/>
      <c r="G169" s="13"/>
      <c r="H169" s="13"/>
      <c r="I169" s="13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  <c r="AC169" s="11"/>
      <c r="AD169" s="11"/>
      <c r="AE169" s="11"/>
    </row>
    <row r="170" spans="1:31" ht="15" customHeight="1" x14ac:dyDescent="0.35">
      <c r="A170" s="12"/>
      <c r="B170" s="13"/>
      <c r="C170" s="12"/>
      <c r="D170" s="12"/>
      <c r="E170" s="12"/>
      <c r="F170" s="13"/>
      <c r="G170" s="13"/>
      <c r="H170" s="13"/>
      <c r="I170" s="13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  <c r="AC170" s="11"/>
      <c r="AD170" s="11"/>
      <c r="AE170" s="11"/>
    </row>
    <row r="171" spans="1:31" ht="15" customHeight="1" x14ac:dyDescent="0.35">
      <c r="A171" s="12"/>
      <c r="B171" s="13"/>
      <c r="C171" s="12"/>
      <c r="D171" s="12"/>
      <c r="E171" s="12"/>
      <c r="F171" s="13"/>
      <c r="G171" s="13"/>
      <c r="H171" s="13"/>
      <c r="I171" s="13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  <c r="AC171" s="11"/>
      <c r="AD171" s="11"/>
      <c r="AE171" s="11"/>
    </row>
    <row r="172" spans="1:31" ht="15" customHeight="1" x14ac:dyDescent="0.35">
      <c r="A172" s="12"/>
      <c r="B172" s="13"/>
      <c r="C172" s="12"/>
      <c r="D172" s="12"/>
      <c r="E172" s="12"/>
      <c r="F172" s="13"/>
      <c r="G172" s="13"/>
      <c r="H172" s="13"/>
      <c r="I172" s="13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  <c r="AC172" s="11"/>
      <c r="AD172" s="11"/>
      <c r="AE172" s="11"/>
    </row>
    <row r="173" spans="1:31" ht="15" customHeight="1" x14ac:dyDescent="0.35">
      <c r="A173" s="12"/>
      <c r="B173" s="13"/>
      <c r="C173" s="12"/>
      <c r="D173" s="12"/>
      <c r="E173" s="12"/>
      <c r="F173" s="13"/>
      <c r="G173" s="13"/>
      <c r="H173" s="13"/>
      <c r="I173" s="13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  <c r="AA173" s="11"/>
      <c r="AB173" s="11"/>
      <c r="AC173" s="11"/>
      <c r="AD173" s="11"/>
      <c r="AE173" s="11"/>
    </row>
    <row r="174" spans="1:31" ht="15" customHeight="1" x14ac:dyDescent="0.35">
      <c r="A174" s="12"/>
      <c r="B174" s="13"/>
      <c r="C174" s="12"/>
      <c r="D174" s="12"/>
      <c r="E174" s="12"/>
      <c r="F174" s="13"/>
      <c r="G174" s="13"/>
      <c r="H174" s="13"/>
      <c r="I174" s="13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  <c r="AC174" s="11"/>
      <c r="AD174" s="11"/>
      <c r="AE174" s="11"/>
    </row>
    <row r="175" spans="1:31" ht="15" customHeight="1" x14ac:dyDescent="0.35">
      <c r="A175" s="12"/>
      <c r="B175" s="13"/>
      <c r="C175" s="12"/>
      <c r="D175" s="12"/>
      <c r="E175" s="12"/>
      <c r="F175" s="13"/>
      <c r="G175" s="13"/>
      <c r="H175" s="13"/>
      <c r="I175" s="13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  <c r="AA175" s="11"/>
      <c r="AB175" s="11"/>
      <c r="AC175" s="11"/>
      <c r="AD175" s="11"/>
      <c r="AE175" s="11"/>
    </row>
    <row r="176" spans="1:31" ht="15" customHeight="1" x14ac:dyDescent="0.35">
      <c r="A176" s="12"/>
      <c r="B176" s="13"/>
      <c r="C176" s="12"/>
      <c r="D176" s="12"/>
      <c r="E176" s="12"/>
      <c r="F176" s="13"/>
      <c r="G176" s="13"/>
      <c r="H176" s="13"/>
      <c r="I176" s="13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  <c r="AC176" s="11"/>
      <c r="AD176" s="11"/>
      <c r="AE176" s="11"/>
    </row>
    <row r="177" spans="1:31" ht="15" customHeight="1" x14ac:dyDescent="0.35">
      <c r="A177" s="12"/>
      <c r="B177" s="13"/>
      <c r="C177" s="12"/>
      <c r="D177" s="12"/>
      <c r="E177" s="12"/>
      <c r="F177" s="13"/>
      <c r="G177" s="13"/>
      <c r="H177" s="13"/>
      <c r="I177" s="13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  <c r="AA177" s="11"/>
      <c r="AB177" s="11"/>
      <c r="AC177" s="11"/>
      <c r="AD177" s="11"/>
      <c r="AE177" s="11"/>
    </row>
    <row r="178" spans="1:31" ht="15" customHeight="1" x14ac:dyDescent="0.35">
      <c r="A178" s="12"/>
      <c r="B178" s="13"/>
      <c r="C178" s="12"/>
      <c r="D178" s="12"/>
      <c r="E178" s="12"/>
      <c r="F178" s="13"/>
      <c r="G178" s="13"/>
      <c r="H178" s="13"/>
      <c r="I178" s="13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  <c r="AC178" s="11"/>
      <c r="AD178" s="11"/>
      <c r="AE178" s="11"/>
    </row>
    <row r="179" spans="1:31" ht="15" customHeight="1" x14ac:dyDescent="0.35">
      <c r="A179" s="12"/>
      <c r="B179" s="13"/>
      <c r="C179" s="12"/>
      <c r="D179" s="12"/>
      <c r="E179" s="12"/>
      <c r="F179" s="13"/>
      <c r="G179" s="13"/>
      <c r="H179" s="13"/>
      <c r="I179" s="13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  <c r="AA179" s="11"/>
      <c r="AB179" s="11"/>
      <c r="AC179" s="11"/>
      <c r="AD179" s="11"/>
      <c r="AE179" s="11"/>
    </row>
    <row r="180" spans="1:31" ht="15" customHeight="1" x14ac:dyDescent="0.35">
      <c r="A180" s="12"/>
      <c r="B180" s="13"/>
      <c r="C180" s="12"/>
      <c r="D180" s="12"/>
      <c r="E180" s="12"/>
      <c r="F180" s="13"/>
      <c r="G180" s="13"/>
      <c r="H180" s="13"/>
      <c r="I180" s="13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  <c r="AC180" s="11"/>
      <c r="AD180" s="11"/>
      <c r="AE180" s="11"/>
    </row>
    <row r="181" spans="1:31" ht="15" customHeight="1" x14ac:dyDescent="0.35">
      <c r="A181" s="12"/>
      <c r="B181" s="13"/>
      <c r="C181" s="12"/>
      <c r="D181" s="12"/>
      <c r="E181" s="12"/>
      <c r="F181" s="13"/>
      <c r="G181" s="13"/>
      <c r="H181" s="13"/>
      <c r="I181" s="13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  <c r="AC181" s="11"/>
      <c r="AD181" s="11"/>
      <c r="AE181" s="11"/>
    </row>
    <row r="182" spans="1:31" ht="15" customHeight="1" x14ac:dyDescent="0.35">
      <c r="A182" s="12"/>
      <c r="B182" s="13"/>
      <c r="C182" s="12"/>
      <c r="D182" s="12"/>
      <c r="E182" s="12"/>
      <c r="F182" s="13"/>
      <c r="G182" s="13"/>
      <c r="H182" s="13"/>
      <c r="I182" s="13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  <c r="AC182" s="11"/>
      <c r="AD182" s="11"/>
      <c r="AE182" s="11"/>
    </row>
    <row r="183" spans="1:31" ht="15" customHeight="1" x14ac:dyDescent="0.35">
      <c r="A183" s="12"/>
      <c r="B183" s="13"/>
      <c r="C183" s="12"/>
      <c r="D183" s="12"/>
      <c r="E183" s="12"/>
      <c r="F183" s="13"/>
      <c r="G183" s="13"/>
      <c r="H183" s="13"/>
      <c r="I183" s="13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  <c r="AC183" s="11"/>
      <c r="AD183" s="11"/>
      <c r="AE183" s="11"/>
    </row>
    <row r="184" spans="1:31" ht="15" customHeight="1" x14ac:dyDescent="0.35">
      <c r="A184" s="12"/>
      <c r="B184" s="13"/>
      <c r="C184" s="12"/>
      <c r="D184" s="12"/>
      <c r="E184" s="12"/>
      <c r="F184" s="13"/>
      <c r="G184" s="13"/>
      <c r="H184" s="13"/>
      <c r="I184" s="13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  <c r="AC184" s="11"/>
      <c r="AD184" s="11"/>
      <c r="AE184" s="11"/>
    </row>
    <row r="185" spans="1:31" ht="15" customHeight="1" x14ac:dyDescent="0.35">
      <c r="A185" s="12"/>
      <c r="B185" s="13"/>
      <c r="C185" s="12"/>
      <c r="D185" s="12"/>
      <c r="E185" s="12"/>
      <c r="F185" s="13"/>
      <c r="G185" s="13"/>
      <c r="H185" s="13"/>
      <c r="I185" s="13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  <c r="AC185" s="11"/>
      <c r="AD185" s="11"/>
      <c r="AE185" s="11"/>
    </row>
    <row r="186" spans="1:31" ht="15" customHeight="1" x14ac:dyDescent="0.35">
      <c r="A186" s="12"/>
      <c r="B186" s="13"/>
      <c r="C186" s="12"/>
      <c r="D186" s="12"/>
      <c r="E186" s="12"/>
      <c r="F186" s="13"/>
      <c r="G186" s="13"/>
      <c r="H186" s="13"/>
      <c r="I186" s="13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1"/>
      <c r="AD186" s="11"/>
      <c r="AE186" s="11"/>
    </row>
    <row r="187" spans="1:31" ht="15" customHeight="1" x14ac:dyDescent="0.35">
      <c r="A187" s="12"/>
      <c r="B187" s="13"/>
      <c r="C187" s="12"/>
      <c r="D187" s="12"/>
      <c r="E187" s="12"/>
      <c r="F187" s="13"/>
      <c r="G187" s="13"/>
      <c r="H187" s="13"/>
      <c r="I187" s="13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  <c r="AA187" s="11"/>
      <c r="AB187" s="11"/>
      <c r="AC187" s="11"/>
      <c r="AD187" s="11"/>
      <c r="AE187" s="11"/>
    </row>
    <row r="188" spans="1:31" ht="15" customHeight="1" x14ac:dyDescent="0.35">
      <c r="A188" s="12"/>
      <c r="B188" s="13"/>
      <c r="C188" s="12"/>
      <c r="D188" s="12"/>
      <c r="E188" s="12"/>
      <c r="F188" s="13"/>
      <c r="G188" s="13"/>
      <c r="H188" s="13"/>
      <c r="I188" s="13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  <c r="V188" s="11"/>
      <c r="W188" s="11"/>
      <c r="X188" s="11"/>
      <c r="Y188" s="11"/>
      <c r="Z188" s="11"/>
      <c r="AA188" s="11"/>
      <c r="AB188" s="11"/>
      <c r="AC188" s="11"/>
      <c r="AD188" s="11"/>
      <c r="AE188" s="11"/>
    </row>
    <row r="189" spans="1:31" ht="15" customHeight="1" x14ac:dyDescent="0.35">
      <c r="A189" s="12"/>
      <c r="B189" s="13"/>
      <c r="C189" s="12"/>
      <c r="D189" s="12"/>
      <c r="E189" s="12"/>
      <c r="F189" s="13"/>
      <c r="G189" s="13"/>
      <c r="H189" s="13"/>
      <c r="I189" s="13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  <c r="V189" s="11"/>
      <c r="W189" s="11"/>
      <c r="X189" s="11"/>
      <c r="Y189" s="11"/>
      <c r="Z189" s="11"/>
      <c r="AA189" s="11"/>
      <c r="AB189" s="11"/>
      <c r="AC189" s="11"/>
      <c r="AD189" s="11"/>
      <c r="AE189" s="11"/>
    </row>
    <row r="190" spans="1:31" ht="15" customHeight="1" x14ac:dyDescent="0.35">
      <c r="A190" s="12"/>
      <c r="B190" s="13"/>
      <c r="C190" s="12"/>
      <c r="D190" s="12"/>
      <c r="E190" s="12"/>
      <c r="F190" s="13"/>
      <c r="G190" s="13"/>
      <c r="H190" s="13"/>
      <c r="I190" s="13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  <c r="AC190" s="11"/>
      <c r="AD190" s="11"/>
      <c r="AE190" s="11"/>
    </row>
    <row r="191" spans="1:31" ht="15" customHeight="1" x14ac:dyDescent="0.35">
      <c r="A191" s="12"/>
      <c r="B191" s="13"/>
      <c r="C191" s="12"/>
      <c r="D191" s="12"/>
      <c r="E191" s="12"/>
      <c r="F191" s="13"/>
      <c r="G191" s="13"/>
      <c r="H191" s="13"/>
      <c r="I191" s="13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  <c r="AA191" s="11"/>
      <c r="AB191" s="11"/>
      <c r="AC191" s="11"/>
      <c r="AD191" s="11"/>
      <c r="AE191" s="11"/>
    </row>
    <row r="192" spans="1:31" ht="15" customHeight="1" x14ac:dyDescent="0.35">
      <c r="A192" s="12"/>
      <c r="B192" s="13"/>
      <c r="C192" s="12"/>
      <c r="D192" s="12"/>
      <c r="E192" s="12"/>
      <c r="F192" s="13"/>
      <c r="G192" s="13"/>
      <c r="H192" s="13"/>
      <c r="I192" s="13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  <c r="AC192" s="11"/>
      <c r="AD192" s="11"/>
      <c r="AE192" s="11"/>
    </row>
    <row r="193" spans="1:31" ht="15" customHeight="1" x14ac:dyDescent="0.35">
      <c r="A193" s="12"/>
      <c r="B193" s="13"/>
      <c r="C193" s="12"/>
      <c r="D193" s="12"/>
      <c r="E193" s="12"/>
      <c r="F193" s="13"/>
      <c r="G193" s="13"/>
      <c r="H193" s="13"/>
      <c r="I193" s="13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  <c r="AC193" s="11"/>
      <c r="AD193" s="11"/>
      <c r="AE193" s="11"/>
    </row>
    <row r="194" spans="1:31" ht="15" customHeight="1" x14ac:dyDescent="0.35">
      <c r="A194" s="12"/>
      <c r="B194" s="13"/>
      <c r="C194" s="12"/>
      <c r="D194" s="12"/>
      <c r="E194" s="12"/>
      <c r="F194" s="13"/>
      <c r="G194" s="13"/>
      <c r="H194" s="13"/>
      <c r="I194" s="13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  <c r="AC194" s="11"/>
      <c r="AD194" s="11"/>
      <c r="AE194" s="11"/>
    </row>
    <row r="195" spans="1:31" ht="15" customHeight="1" x14ac:dyDescent="0.35">
      <c r="A195" s="12"/>
      <c r="B195" s="13"/>
      <c r="C195" s="12"/>
      <c r="D195" s="12"/>
      <c r="E195" s="12"/>
      <c r="F195" s="13"/>
      <c r="G195" s="13"/>
      <c r="H195" s="13"/>
      <c r="I195" s="13"/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  <c r="AA195" s="11"/>
      <c r="AB195" s="11"/>
      <c r="AC195" s="11"/>
      <c r="AD195" s="11"/>
      <c r="AE195" s="11"/>
    </row>
    <row r="196" spans="1:31" ht="15" customHeight="1" x14ac:dyDescent="0.35">
      <c r="A196" s="12"/>
      <c r="B196" s="13"/>
      <c r="C196" s="12"/>
      <c r="D196" s="12"/>
      <c r="E196" s="12"/>
      <c r="F196" s="13"/>
      <c r="G196" s="13"/>
      <c r="H196" s="13"/>
      <c r="I196" s="13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  <c r="AC196" s="11"/>
      <c r="AD196" s="11"/>
      <c r="AE196" s="11"/>
    </row>
    <row r="197" spans="1:31" ht="15" customHeight="1" x14ac:dyDescent="0.35">
      <c r="A197" s="12"/>
      <c r="B197" s="13"/>
      <c r="C197" s="12"/>
      <c r="D197" s="12"/>
      <c r="E197" s="12"/>
      <c r="F197" s="13"/>
      <c r="G197" s="13"/>
      <c r="H197" s="13"/>
      <c r="I197" s="13"/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  <c r="AA197" s="11"/>
      <c r="AB197" s="11"/>
      <c r="AC197" s="11"/>
      <c r="AD197" s="11"/>
      <c r="AE197" s="11"/>
    </row>
    <row r="198" spans="1:31" ht="15" customHeight="1" x14ac:dyDescent="0.35">
      <c r="A198" s="12"/>
      <c r="B198" s="13"/>
      <c r="C198" s="12"/>
      <c r="D198" s="12"/>
      <c r="E198" s="12"/>
      <c r="F198" s="13"/>
      <c r="G198" s="13"/>
      <c r="H198" s="13"/>
      <c r="I198" s="13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  <c r="AC198" s="11"/>
      <c r="AD198" s="11"/>
      <c r="AE198" s="11"/>
    </row>
    <row r="199" spans="1:31" ht="15" customHeight="1" x14ac:dyDescent="0.35">
      <c r="A199" s="12"/>
      <c r="B199" s="13"/>
      <c r="C199" s="12"/>
      <c r="D199" s="12"/>
      <c r="E199" s="12"/>
      <c r="F199" s="13"/>
      <c r="G199" s="13"/>
      <c r="H199" s="13"/>
      <c r="I199" s="13"/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  <c r="AA199" s="11"/>
      <c r="AB199" s="11"/>
      <c r="AC199" s="11"/>
      <c r="AD199" s="11"/>
      <c r="AE199" s="11"/>
    </row>
    <row r="200" spans="1:31" ht="15" customHeight="1" x14ac:dyDescent="0.35">
      <c r="A200" s="12"/>
      <c r="B200" s="13"/>
      <c r="C200" s="12"/>
      <c r="D200" s="12"/>
      <c r="E200" s="12"/>
      <c r="F200" s="13"/>
      <c r="G200" s="13"/>
      <c r="H200" s="13"/>
      <c r="I200" s="13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  <c r="AC200" s="11"/>
      <c r="AD200" s="11"/>
      <c r="AE200" s="11"/>
    </row>
    <row r="201" spans="1:31" ht="15" customHeight="1" x14ac:dyDescent="0.35">
      <c r="A201" s="12"/>
      <c r="B201" s="13"/>
      <c r="C201" s="12"/>
      <c r="D201" s="12"/>
      <c r="E201" s="12"/>
      <c r="F201" s="13"/>
      <c r="G201" s="13"/>
      <c r="H201" s="13"/>
      <c r="I201" s="13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  <c r="V201" s="11"/>
      <c r="W201" s="11"/>
      <c r="X201" s="11"/>
      <c r="Y201" s="11"/>
      <c r="Z201" s="11"/>
      <c r="AA201" s="11"/>
      <c r="AB201" s="11"/>
      <c r="AC201" s="11"/>
      <c r="AD201" s="11"/>
      <c r="AE201" s="11"/>
    </row>
    <row r="202" spans="1:31" ht="15" customHeight="1" x14ac:dyDescent="0.35">
      <c r="A202" s="12"/>
      <c r="B202" s="13"/>
      <c r="C202" s="12"/>
      <c r="D202" s="12"/>
      <c r="E202" s="12"/>
      <c r="F202" s="13"/>
      <c r="G202" s="13"/>
      <c r="H202" s="13"/>
      <c r="I202" s="13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  <c r="Y202" s="11"/>
      <c r="Z202" s="11"/>
      <c r="AA202" s="11"/>
      <c r="AB202" s="11"/>
      <c r="AC202" s="11"/>
      <c r="AD202" s="11"/>
      <c r="AE202" s="11"/>
    </row>
    <row r="203" spans="1:31" ht="15" customHeight="1" x14ac:dyDescent="0.35">
      <c r="A203" s="12"/>
      <c r="B203" s="13"/>
      <c r="C203" s="12"/>
      <c r="D203" s="12"/>
      <c r="E203" s="12"/>
      <c r="F203" s="13"/>
      <c r="G203" s="13"/>
      <c r="H203" s="13"/>
      <c r="I203" s="13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  <c r="Y203" s="11"/>
      <c r="Z203" s="11"/>
      <c r="AA203" s="11"/>
      <c r="AB203" s="11"/>
      <c r="AC203" s="11"/>
      <c r="AD203" s="11"/>
      <c r="AE203" s="11"/>
    </row>
    <row r="204" spans="1:31" ht="15" customHeight="1" x14ac:dyDescent="0.35">
      <c r="A204" s="12"/>
      <c r="B204" s="13"/>
      <c r="C204" s="12"/>
      <c r="D204" s="12"/>
      <c r="E204" s="12"/>
      <c r="F204" s="13"/>
      <c r="G204" s="13"/>
      <c r="H204" s="13"/>
      <c r="I204" s="13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  <c r="Y204" s="11"/>
      <c r="Z204" s="11"/>
      <c r="AA204" s="11"/>
      <c r="AB204" s="11"/>
      <c r="AC204" s="11"/>
      <c r="AD204" s="11"/>
      <c r="AE204" s="11"/>
    </row>
    <row r="205" spans="1:31" ht="15" customHeight="1" x14ac:dyDescent="0.35">
      <c r="A205" s="12"/>
      <c r="B205" s="13"/>
      <c r="C205" s="12"/>
      <c r="D205" s="12"/>
      <c r="E205" s="12"/>
      <c r="F205" s="13"/>
      <c r="G205" s="13"/>
      <c r="H205" s="13"/>
      <c r="I205" s="13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  <c r="V205" s="11"/>
      <c r="W205" s="11"/>
      <c r="X205" s="11"/>
      <c r="Y205" s="11"/>
      <c r="Z205" s="11"/>
      <c r="AA205" s="11"/>
      <c r="AB205" s="11"/>
      <c r="AC205" s="11"/>
      <c r="AD205" s="11"/>
      <c r="AE205" s="11"/>
    </row>
    <row r="206" spans="1:31" ht="15" customHeight="1" x14ac:dyDescent="0.35">
      <c r="A206" s="12"/>
      <c r="B206" s="13"/>
      <c r="C206" s="12"/>
      <c r="D206" s="12"/>
      <c r="E206" s="12"/>
      <c r="F206" s="13"/>
      <c r="G206" s="13"/>
      <c r="H206" s="13"/>
      <c r="I206" s="13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  <c r="V206" s="11"/>
      <c r="W206" s="11"/>
      <c r="X206" s="11"/>
      <c r="Y206" s="11"/>
      <c r="Z206" s="11"/>
      <c r="AA206" s="11"/>
      <c r="AB206" s="11"/>
      <c r="AC206" s="11"/>
      <c r="AD206" s="11"/>
      <c r="AE206" s="11"/>
    </row>
    <row r="207" spans="1:31" ht="15" customHeight="1" x14ac:dyDescent="0.35">
      <c r="A207" s="12"/>
      <c r="B207" s="13"/>
      <c r="C207" s="12"/>
      <c r="D207" s="12"/>
      <c r="E207" s="12"/>
      <c r="F207" s="13"/>
      <c r="G207" s="13"/>
      <c r="H207" s="13"/>
      <c r="I207" s="13"/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  <c r="U207" s="11"/>
      <c r="V207" s="11"/>
      <c r="W207" s="11"/>
      <c r="X207" s="11"/>
      <c r="Y207" s="11"/>
      <c r="Z207" s="11"/>
      <c r="AA207" s="11"/>
      <c r="AB207" s="11"/>
      <c r="AC207" s="11"/>
      <c r="AD207" s="11"/>
      <c r="AE207" s="11"/>
    </row>
    <row r="208" spans="1:31" ht="15" customHeight="1" x14ac:dyDescent="0.35">
      <c r="A208" s="12"/>
      <c r="B208" s="13"/>
      <c r="C208" s="12"/>
      <c r="D208" s="12"/>
      <c r="E208" s="12"/>
      <c r="F208" s="13"/>
      <c r="G208" s="13"/>
      <c r="H208" s="13"/>
      <c r="I208" s="13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  <c r="U208" s="11"/>
      <c r="V208" s="11"/>
      <c r="W208" s="11"/>
      <c r="X208" s="11"/>
      <c r="Y208" s="11"/>
      <c r="Z208" s="11"/>
      <c r="AA208" s="11"/>
      <c r="AB208" s="11"/>
      <c r="AC208" s="11"/>
      <c r="AD208" s="11"/>
      <c r="AE208" s="11"/>
    </row>
    <row r="209" spans="1:31" ht="15" customHeight="1" x14ac:dyDescent="0.35">
      <c r="A209" s="12"/>
      <c r="B209" s="13"/>
      <c r="C209" s="12"/>
      <c r="D209" s="12"/>
      <c r="E209" s="12"/>
      <c r="F209" s="13"/>
      <c r="G209" s="13"/>
      <c r="H209" s="13"/>
      <c r="I209" s="13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  <c r="U209" s="11"/>
      <c r="V209" s="11"/>
      <c r="W209" s="11"/>
      <c r="X209" s="11"/>
      <c r="Y209" s="11"/>
      <c r="Z209" s="11"/>
      <c r="AA209" s="11"/>
      <c r="AB209" s="11"/>
      <c r="AC209" s="11"/>
      <c r="AD209" s="11"/>
      <c r="AE209" s="11"/>
    </row>
    <row r="210" spans="1:31" ht="15" customHeight="1" x14ac:dyDescent="0.35">
      <c r="A210" s="12"/>
      <c r="B210" s="13"/>
      <c r="C210" s="12"/>
      <c r="D210" s="12"/>
      <c r="E210" s="12"/>
      <c r="F210" s="13"/>
      <c r="G210" s="13"/>
      <c r="H210" s="13"/>
      <c r="I210" s="13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  <c r="U210" s="11"/>
      <c r="V210" s="11"/>
      <c r="W210" s="11"/>
      <c r="X210" s="11"/>
      <c r="Y210" s="11"/>
      <c r="Z210" s="11"/>
      <c r="AA210" s="11"/>
      <c r="AB210" s="11"/>
      <c r="AC210" s="11"/>
      <c r="AD210" s="11"/>
      <c r="AE210" s="11"/>
    </row>
    <row r="211" spans="1:31" ht="15" customHeight="1" x14ac:dyDescent="0.35">
      <c r="A211" s="12"/>
      <c r="B211" s="13"/>
      <c r="C211" s="12"/>
      <c r="D211" s="12"/>
      <c r="E211" s="12"/>
      <c r="F211" s="13"/>
      <c r="G211" s="13"/>
      <c r="H211" s="13"/>
      <c r="I211" s="13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  <c r="U211" s="11"/>
      <c r="V211" s="11"/>
      <c r="W211" s="11"/>
      <c r="X211" s="11"/>
      <c r="Y211" s="11"/>
      <c r="Z211" s="11"/>
      <c r="AA211" s="11"/>
      <c r="AB211" s="11"/>
      <c r="AC211" s="11"/>
      <c r="AD211" s="11"/>
      <c r="AE211" s="11"/>
    </row>
    <row r="212" spans="1:31" ht="15" customHeight="1" x14ac:dyDescent="0.35">
      <c r="A212" s="12"/>
      <c r="B212" s="13"/>
      <c r="C212" s="12"/>
      <c r="D212" s="12"/>
      <c r="E212" s="12"/>
      <c r="F212" s="13"/>
      <c r="G212" s="13"/>
      <c r="H212" s="13"/>
      <c r="I212" s="13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  <c r="U212" s="11"/>
      <c r="V212" s="11"/>
      <c r="W212" s="11"/>
      <c r="X212" s="11"/>
      <c r="Y212" s="11"/>
      <c r="Z212" s="11"/>
      <c r="AA212" s="11"/>
      <c r="AB212" s="11"/>
      <c r="AC212" s="11"/>
      <c r="AD212" s="11"/>
      <c r="AE212" s="11"/>
    </row>
    <row r="213" spans="1:31" x14ac:dyDescent="0.35">
      <c r="A213" s="12"/>
      <c r="B213" s="13"/>
      <c r="C213" s="12"/>
      <c r="D213" s="12"/>
      <c r="E213" s="12"/>
      <c r="F213" s="13"/>
      <c r="G213" s="13"/>
      <c r="H213" s="13"/>
      <c r="I213" s="13"/>
    </row>
    <row r="214" spans="1:31" x14ac:dyDescent="0.35">
      <c r="A214" s="12"/>
      <c r="B214" s="13"/>
      <c r="C214" s="12"/>
      <c r="D214" s="12"/>
      <c r="E214" s="12"/>
      <c r="F214" s="13"/>
      <c r="G214" s="13"/>
      <c r="H214" s="13"/>
      <c r="I214" s="13"/>
    </row>
    <row r="215" spans="1:31" x14ac:dyDescent="0.35">
      <c r="A215" s="12"/>
      <c r="B215" s="13"/>
      <c r="C215" s="12"/>
      <c r="D215" s="12"/>
      <c r="E215" s="12"/>
      <c r="F215" s="13"/>
      <c r="G215" s="13"/>
      <c r="H215" s="13"/>
      <c r="I215" s="13"/>
    </row>
    <row r="216" spans="1:31" x14ac:dyDescent="0.35">
      <c r="A216" s="12"/>
      <c r="B216" s="13"/>
      <c r="C216" s="12"/>
      <c r="D216" s="12"/>
      <c r="E216" s="12"/>
      <c r="F216" s="13"/>
      <c r="G216" s="13"/>
      <c r="H216" s="13"/>
      <c r="I216" s="13"/>
    </row>
    <row r="217" spans="1:31" x14ac:dyDescent="0.35">
      <c r="A217" s="12"/>
      <c r="B217" s="13"/>
      <c r="C217" s="12"/>
      <c r="D217" s="12"/>
      <c r="E217" s="12"/>
      <c r="F217" s="13"/>
      <c r="G217" s="13"/>
      <c r="H217" s="13"/>
      <c r="I217" s="13"/>
    </row>
    <row r="218" spans="1:31" x14ac:dyDescent="0.35">
      <c r="A218" s="12"/>
      <c r="B218" s="13"/>
      <c r="C218" s="12"/>
      <c r="D218" s="12"/>
      <c r="E218" s="12"/>
      <c r="F218" s="13"/>
      <c r="G218" s="13"/>
      <c r="H218" s="13"/>
      <c r="I218" s="13"/>
    </row>
    <row r="219" spans="1:31" x14ac:dyDescent="0.35">
      <c r="A219" s="12"/>
      <c r="B219" s="13"/>
      <c r="C219" s="12"/>
      <c r="D219" s="12"/>
      <c r="E219" s="12"/>
      <c r="F219" s="13"/>
      <c r="G219" s="13"/>
      <c r="H219" s="13"/>
      <c r="I219" s="13"/>
    </row>
    <row r="220" spans="1:31" x14ac:dyDescent="0.35">
      <c r="A220" s="12"/>
      <c r="B220" s="13"/>
      <c r="C220" s="12"/>
      <c r="D220" s="12"/>
      <c r="E220" s="12"/>
      <c r="F220" s="13"/>
      <c r="G220" s="13"/>
      <c r="H220" s="13"/>
      <c r="I220" s="13"/>
    </row>
    <row r="221" spans="1:31" x14ac:dyDescent="0.35">
      <c r="A221" s="12"/>
      <c r="B221" s="13"/>
      <c r="C221" s="12"/>
      <c r="D221" s="12"/>
      <c r="E221" s="12"/>
      <c r="F221" s="13"/>
      <c r="G221" s="13"/>
      <c r="H221" s="13"/>
      <c r="I221" s="13"/>
    </row>
    <row r="222" spans="1:31" x14ac:dyDescent="0.35">
      <c r="A222" s="12"/>
      <c r="B222" s="13"/>
      <c r="C222" s="12"/>
      <c r="D222" s="12"/>
      <c r="E222" s="12"/>
      <c r="F222" s="13"/>
      <c r="G222" s="13"/>
      <c r="H222" s="13"/>
      <c r="I222" s="13"/>
    </row>
    <row r="223" spans="1:31" x14ac:dyDescent="0.35">
      <c r="A223" s="12"/>
      <c r="B223" s="13"/>
      <c r="C223" s="12"/>
      <c r="D223" s="12"/>
      <c r="E223" s="12"/>
      <c r="F223" s="13"/>
      <c r="G223" s="13"/>
      <c r="H223" s="13"/>
      <c r="I223" s="13"/>
    </row>
    <row r="224" spans="1:31" x14ac:dyDescent="0.35">
      <c r="A224" s="12"/>
      <c r="B224" s="13"/>
      <c r="C224" s="12"/>
      <c r="D224" s="12"/>
      <c r="E224" s="12"/>
      <c r="F224" s="13"/>
      <c r="G224" s="13"/>
      <c r="H224" s="13"/>
      <c r="I224" s="13"/>
    </row>
    <row r="225" spans="1:9" x14ac:dyDescent="0.35">
      <c r="A225" s="12"/>
      <c r="B225" s="13"/>
      <c r="C225" s="12"/>
      <c r="D225" s="12"/>
      <c r="E225" s="12"/>
      <c r="F225" s="13"/>
      <c r="G225" s="13"/>
      <c r="H225" s="13"/>
      <c r="I225" s="13"/>
    </row>
    <row r="226" spans="1:9" x14ac:dyDescent="0.35">
      <c r="A226" s="12"/>
      <c r="B226" s="13"/>
      <c r="C226" s="12"/>
      <c r="D226" s="12"/>
      <c r="E226" s="12"/>
      <c r="F226" s="13"/>
      <c r="G226" s="13"/>
      <c r="H226" s="13"/>
      <c r="I226" s="13"/>
    </row>
    <row r="227" spans="1:9" x14ac:dyDescent="0.35">
      <c r="A227" s="12"/>
      <c r="B227" s="13"/>
      <c r="C227" s="12"/>
      <c r="D227" s="12"/>
      <c r="E227" s="12"/>
      <c r="F227" s="13"/>
      <c r="G227" s="13"/>
      <c r="H227" s="13"/>
      <c r="I227" s="13"/>
    </row>
    <row r="228" spans="1:9" x14ac:dyDescent="0.35">
      <c r="A228" s="12"/>
      <c r="B228" s="13"/>
      <c r="C228" s="12"/>
      <c r="D228" s="12"/>
      <c r="E228" s="12"/>
      <c r="F228" s="13"/>
      <c r="G228" s="13"/>
      <c r="H228" s="13"/>
      <c r="I228" s="13"/>
    </row>
    <row r="229" spans="1:9" x14ac:dyDescent="0.35">
      <c r="A229" s="12"/>
      <c r="B229" s="13"/>
      <c r="C229" s="12"/>
      <c r="D229" s="12"/>
      <c r="E229" s="12"/>
      <c r="F229" s="13"/>
      <c r="G229" s="13"/>
      <c r="H229" s="13"/>
      <c r="I229" s="13"/>
    </row>
    <row r="230" spans="1:9" x14ac:dyDescent="0.35">
      <c r="A230" s="12"/>
      <c r="B230" s="13"/>
      <c r="C230" s="12"/>
      <c r="D230" s="12"/>
      <c r="E230" s="12"/>
      <c r="F230" s="13"/>
      <c r="G230" s="13"/>
      <c r="H230" s="13"/>
      <c r="I230" s="13"/>
    </row>
    <row r="231" spans="1:9" x14ac:dyDescent="0.35">
      <c r="A231" s="12"/>
      <c r="B231" s="13"/>
      <c r="C231" s="12"/>
      <c r="D231" s="12"/>
      <c r="E231" s="12"/>
      <c r="F231" s="13"/>
      <c r="G231" s="13"/>
      <c r="H231" s="13"/>
      <c r="I231" s="13"/>
    </row>
    <row r="232" spans="1:9" x14ac:dyDescent="0.35">
      <c r="A232" s="12"/>
      <c r="B232" s="13"/>
      <c r="C232" s="12"/>
      <c r="D232" s="12"/>
      <c r="E232" s="12"/>
      <c r="F232" s="13"/>
      <c r="G232" s="13"/>
      <c r="H232" s="13"/>
      <c r="I232" s="13"/>
    </row>
    <row r="233" spans="1:9" x14ac:dyDescent="0.35">
      <c r="A233" s="12"/>
      <c r="B233" s="13"/>
      <c r="C233" s="12"/>
      <c r="D233" s="12"/>
      <c r="E233" s="12"/>
      <c r="F233" s="13"/>
      <c r="G233" s="13"/>
      <c r="H233" s="13"/>
      <c r="I233" s="13"/>
    </row>
    <row r="234" spans="1:9" x14ac:dyDescent="0.35">
      <c r="A234" s="12"/>
      <c r="B234" s="13"/>
      <c r="C234" s="12"/>
      <c r="D234" s="12"/>
      <c r="E234" s="12"/>
      <c r="F234" s="13"/>
      <c r="G234" s="13"/>
      <c r="H234" s="13"/>
      <c r="I234" s="13"/>
    </row>
    <row r="235" spans="1:9" x14ac:dyDescent="0.35">
      <c r="A235" s="12"/>
      <c r="B235" s="13"/>
      <c r="C235" s="12"/>
      <c r="D235" s="12"/>
      <c r="E235" s="12"/>
      <c r="F235" s="13"/>
      <c r="G235" s="13"/>
      <c r="H235" s="13"/>
      <c r="I235" s="13"/>
    </row>
  </sheetData>
  <mergeCells count="2">
    <mergeCell ref="H43:H44"/>
    <mergeCell ref="I43:I44"/>
  </mergeCells>
  <phoneticPr fontId="1" type="noConversion"/>
  <dataValidations count="1">
    <dataValidation type="list" allowBlank="1" showInputMessage="1" showErrorMessage="1" sqref="A42:A1048576" xr:uid="{EA687490-04FB-42B9-94A6-ACFD22F5C86D}">
      <formula1>INDIRECT($A$8)</formula1>
    </dataValidation>
  </dataValidations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0485031-63DB-4C4E-AFE2-946F2F75E8B3}">
          <x14:formula1>
            <xm:f>Données!$M$5:$M$8</xm:f>
          </x14:formula1>
          <xm:sqref>B9:B41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D43774-4986-41CA-9176-E00C4498B5B8}">
  <sheetPr codeName="Feuil3"/>
  <dimension ref="A1:CP71"/>
  <sheetViews>
    <sheetView showGridLines="0" zoomScale="45" zoomScaleNormal="45" workbookViewId="0">
      <selection activeCell="A10" sqref="A10:A42"/>
    </sheetView>
  </sheetViews>
  <sheetFormatPr baseColWidth="10" defaultColWidth="14.26953125" defaultRowHeight="14.5" x14ac:dyDescent="0.35"/>
  <cols>
    <col min="1" max="1" width="47.7265625" style="4" bestFit="1" customWidth="1"/>
    <col min="2" max="2" width="14.26953125" style="4"/>
    <col min="3" max="3" width="14.26953125" style="1"/>
    <col min="4" max="24" width="18.6328125" style="1" customWidth="1"/>
    <col min="25" max="25" width="14.26953125" style="1"/>
    <col min="26" max="26" width="18.6328125" style="1" customWidth="1"/>
    <col min="27" max="27" width="14.26953125" style="1"/>
    <col min="28" max="28" width="28.81640625" customWidth="1"/>
    <col min="29" max="29" width="19.54296875" customWidth="1"/>
    <col min="30" max="30" width="14.26953125" style="52"/>
    <col min="31" max="31" width="16.6328125" style="52" bestFit="1" customWidth="1"/>
    <col min="32" max="94" width="14.26953125" style="52"/>
  </cols>
  <sheetData>
    <row r="1" spans="1:94" s="52" customFormat="1" x14ac:dyDescent="0.35">
      <c r="A1" s="50"/>
      <c r="B1" s="50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</row>
    <row r="2" spans="1:94" s="52" customFormat="1" x14ac:dyDescent="0.35">
      <c r="A2" s="50"/>
      <c r="B2" s="50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</row>
    <row r="3" spans="1:94" s="52" customFormat="1" ht="14.5" customHeight="1" x14ac:dyDescent="0.35">
      <c r="A3" s="50"/>
      <c r="B3" s="50"/>
      <c r="C3" s="51"/>
      <c r="D3" s="51"/>
      <c r="E3" s="147" t="s">
        <v>23</v>
      </c>
      <c r="F3" s="147"/>
      <c r="G3" s="147"/>
      <c r="H3" s="147"/>
      <c r="I3" s="147"/>
      <c r="J3" s="147"/>
      <c r="K3" s="147"/>
      <c r="L3" s="147"/>
      <c r="M3" s="147"/>
      <c r="N3" s="147"/>
      <c r="O3" s="147"/>
      <c r="P3" s="147"/>
      <c r="Q3" s="147"/>
      <c r="R3" s="147"/>
      <c r="S3" s="147"/>
      <c r="T3" s="147"/>
      <c r="U3" s="147"/>
      <c r="V3" s="147"/>
      <c r="W3" s="147"/>
      <c r="X3" s="60"/>
    </row>
    <row r="4" spans="1:94" s="52" customFormat="1" ht="14.5" customHeight="1" x14ac:dyDescent="0.35">
      <c r="A4" s="50"/>
      <c r="B4" s="50"/>
      <c r="C4" s="51"/>
      <c r="D4" s="51"/>
      <c r="E4" s="147"/>
      <c r="F4" s="147"/>
      <c r="G4" s="147"/>
      <c r="H4" s="147"/>
      <c r="I4" s="147"/>
      <c r="J4" s="147"/>
      <c r="K4" s="147"/>
      <c r="L4" s="147"/>
      <c r="M4" s="147"/>
      <c r="N4" s="147"/>
      <c r="O4" s="147"/>
      <c r="P4" s="147"/>
      <c r="Q4" s="147"/>
      <c r="R4" s="147"/>
      <c r="S4" s="147"/>
      <c r="T4" s="147"/>
      <c r="U4" s="147"/>
      <c r="V4" s="147"/>
      <c r="W4" s="147"/>
      <c r="X4" s="60"/>
    </row>
    <row r="5" spans="1:94" s="52" customFormat="1" ht="14.5" customHeight="1" x14ac:dyDescent="0.35">
      <c r="A5" s="50"/>
      <c r="B5" s="50"/>
      <c r="C5" s="51"/>
      <c r="D5" s="51"/>
      <c r="E5" s="147"/>
      <c r="F5" s="147"/>
      <c r="G5" s="147"/>
      <c r="H5" s="147"/>
      <c r="I5" s="147"/>
      <c r="J5" s="147"/>
      <c r="K5" s="147"/>
      <c r="L5" s="147"/>
      <c r="M5" s="147"/>
      <c r="N5" s="147"/>
      <c r="O5" s="147"/>
      <c r="P5" s="147"/>
      <c r="Q5" s="147"/>
      <c r="R5" s="147"/>
      <c r="S5" s="147"/>
      <c r="T5" s="147"/>
      <c r="U5" s="147"/>
      <c r="V5" s="147"/>
      <c r="W5" s="147"/>
      <c r="X5" s="60"/>
    </row>
    <row r="6" spans="1:94" s="52" customFormat="1" x14ac:dyDescent="0.35">
      <c r="A6" s="50"/>
      <c r="B6" s="50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</row>
    <row r="7" spans="1:94" s="52" customFormat="1" ht="15" thickBot="1" x14ac:dyDescent="0.4">
      <c r="A7" s="50"/>
      <c r="B7" s="50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H7" s="55"/>
    </row>
    <row r="8" spans="1:94" s="38" customFormat="1" ht="16" customHeight="1" thickTop="1" thickBot="1" x14ac:dyDescent="0.4">
      <c r="A8" s="139" t="s">
        <v>96</v>
      </c>
      <c r="B8" s="141" t="s">
        <v>15</v>
      </c>
      <c r="C8" s="37" t="s">
        <v>0</v>
      </c>
      <c r="D8" s="148" t="s">
        <v>29</v>
      </c>
      <c r="E8" s="37" t="s">
        <v>1</v>
      </c>
      <c r="F8" s="148" t="s">
        <v>30</v>
      </c>
      <c r="G8" s="37" t="s">
        <v>2</v>
      </c>
      <c r="H8" s="148" t="s">
        <v>31</v>
      </c>
      <c r="I8" s="37" t="s">
        <v>3</v>
      </c>
      <c r="J8" s="148" t="s">
        <v>32</v>
      </c>
      <c r="K8" s="37" t="s">
        <v>4</v>
      </c>
      <c r="L8" s="148" t="s">
        <v>33</v>
      </c>
      <c r="M8" s="37" t="s">
        <v>5</v>
      </c>
      <c r="N8" s="148" t="s">
        <v>34</v>
      </c>
      <c r="O8" s="37" t="s">
        <v>6</v>
      </c>
      <c r="P8" s="148" t="s">
        <v>35</v>
      </c>
      <c r="Q8" s="37" t="s">
        <v>7</v>
      </c>
      <c r="R8" s="148" t="s">
        <v>36</v>
      </c>
      <c r="S8" s="37" t="s">
        <v>8</v>
      </c>
      <c r="T8" s="148" t="s">
        <v>37</v>
      </c>
      <c r="U8" s="37" t="s">
        <v>9</v>
      </c>
      <c r="V8" s="148" t="s">
        <v>38</v>
      </c>
      <c r="W8" s="37" t="s">
        <v>10</v>
      </c>
      <c r="X8" s="148" t="s">
        <v>39</v>
      </c>
      <c r="Y8" s="35" t="s">
        <v>11</v>
      </c>
      <c r="Z8" s="148" t="s">
        <v>40</v>
      </c>
      <c r="AA8" s="141" t="s">
        <v>24</v>
      </c>
      <c r="AB8" s="148" t="s">
        <v>41</v>
      </c>
      <c r="AC8" s="148" t="s">
        <v>90</v>
      </c>
      <c r="AD8" s="56"/>
      <c r="AE8" s="56"/>
      <c r="AF8" s="56"/>
      <c r="AG8" s="56"/>
      <c r="AH8" s="57"/>
      <c r="AI8" s="56"/>
      <c r="AJ8" s="56"/>
      <c r="AK8" s="56"/>
      <c r="AL8" s="56"/>
      <c r="AM8" s="56"/>
      <c r="AN8" s="56"/>
      <c r="AO8" s="56"/>
      <c r="AP8" s="56"/>
      <c r="AQ8" s="56"/>
      <c r="AR8" s="56"/>
      <c r="AS8" s="56"/>
      <c r="AT8" s="56"/>
      <c r="AU8" s="56"/>
      <c r="AV8" s="56"/>
      <c r="AW8" s="56"/>
      <c r="AX8" s="56"/>
      <c r="AY8" s="56"/>
      <c r="AZ8" s="56"/>
      <c r="BA8" s="56"/>
      <c r="BB8" s="56"/>
      <c r="BC8" s="56"/>
      <c r="BD8" s="56"/>
      <c r="BE8" s="56"/>
      <c r="BF8" s="56"/>
      <c r="BG8" s="56"/>
      <c r="BH8" s="56"/>
      <c r="BI8" s="56"/>
      <c r="BJ8" s="56"/>
      <c r="BK8" s="56"/>
      <c r="BL8" s="56"/>
      <c r="BM8" s="56"/>
      <c r="BN8" s="56"/>
      <c r="BO8" s="56"/>
      <c r="BP8" s="56"/>
      <c r="BQ8" s="56"/>
      <c r="BR8" s="56"/>
      <c r="BS8" s="56"/>
      <c r="BT8" s="56"/>
      <c r="BU8" s="56"/>
      <c r="BV8" s="56"/>
      <c r="BW8" s="56"/>
      <c r="BX8" s="56"/>
      <c r="BY8" s="56"/>
      <c r="BZ8" s="56"/>
      <c r="CA8" s="56"/>
      <c r="CB8" s="56"/>
      <c r="CC8" s="56"/>
      <c r="CD8" s="56"/>
      <c r="CE8" s="56"/>
      <c r="CF8" s="56"/>
      <c r="CG8" s="56"/>
      <c r="CH8" s="56"/>
      <c r="CI8" s="56"/>
      <c r="CJ8" s="56"/>
      <c r="CK8" s="56"/>
      <c r="CL8" s="56"/>
      <c r="CM8" s="56"/>
      <c r="CN8" s="56"/>
      <c r="CO8" s="56"/>
      <c r="CP8" s="56"/>
    </row>
    <row r="9" spans="1:94" s="38" customFormat="1" ht="14.5" customHeight="1" thickTop="1" thickBot="1" x14ac:dyDescent="0.4">
      <c r="A9" s="140"/>
      <c r="B9" s="142"/>
      <c r="C9" s="36" t="s">
        <v>14</v>
      </c>
      <c r="D9" s="148"/>
      <c r="E9" s="36" t="s">
        <v>14</v>
      </c>
      <c r="F9" s="148"/>
      <c r="G9" s="36" t="s">
        <v>14</v>
      </c>
      <c r="H9" s="148"/>
      <c r="I9" s="36" t="s">
        <v>14</v>
      </c>
      <c r="J9" s="148"/>
      <c r="K9" s="36" t="s">
        <v>14</v>
      </c>
      <c r="L9" s="148"/>
      <c r="M9" s="36" t="s">
        <v>14</v>
      </c>
      <c r="N9" s="148"/>
      <c r="O9" s="36" t="s">
        <v>14</v>
      </c>
      <c r="P9" s="148"/>
      <c r="Q9" s="36" t="s">
        <v>14</v>
      </c>
      <c r="R9" s="148"/>
      <c r="S9" s="36" t="s">
        <v>14</v>
      </c>
      <c r="T9" s="148"/>
      <c r="U9" s="36" t="s">
        <v>14</v>
      </c>
      <c r="V9" s="148"/>
      <c r="W9" s="36" t="s">
        <v>14</v>
      </c>
      <c r="X9" s="148"/>
      <c r="Y9" s="36" t="s">
        <v>14</v>
      </c>
      <c r="Z9" s="148"/>
      <c r="AA9" s="142"/>
      <c r="AB9" s="148"/>
      <c r="AC9" s="148"/>
      <c r="AD9" s="56"/>
      <c r="AE9" s="56"/>
      <c r="AF9" s="56"/>
      <c r="AG9" s="56"/>
      <c r="AH9" s="57"/>
      <c r="AI9" s="56"/>
      <c r="AJ9" s="56"/>
      <c r="AK9" s="56"/>
      <c r="AL9" s="56"/>
      <c r="AM9" s="56"/>
      <c r="AN9" s="56"/>
      <c r="AO9" s="56"/>
      <c r="AP9" s="56"/>
      <c r="AQ9" s="56"/>
      <c r="AR9" s="56"/>
      <c r="AS9" s="56"/>
      <c r="AT9" s="56"/>
      <c r="AU9" s="56"/>
      <c r="AV9" s="56"/>
      <c r="AW9" s="56"/>
      <c r="AX9" s="56"/>
      <c r="AY9" s="56"/>
      <c r="AZ9" s="56"/>
      <c r="BA9" s="56"/>
      <c r="BB9" s="56"/>
      <c r="BC9" s="56"/>
      <c r="BD9" s="56"/>
      <c r="BE9" s="56"/>
      <c r="BF9" s="56"/>
      <c r="BG9" s="56"/>
      <c r="BH9" s="56"/>
      <c r="BI9" s="56"/>
      <c r="BJ9" s="56"/>
      <c r="BK9" s="56"/>
      <c r="BL9" s="56"/>
      <c r="BM9" s="56"/>
      <c r="BN9" s="56"/>
      <c r="BO9" s="56"/>
      <c r="BP9" s="56"/>
      <c r="BQ9" s="56"/>
      <c r="BR9" s="56"/>
      <c r="BS9" s="56"/>
      <c r="BT9" s="56"/>
      <c r="BU9" s="56"/>
      <c r="BV9" s="56"/>
      <c r="BW9" s="56"/>
      <c r="BX9" s="56"/>
      <c r="BY9" s="56"/>
      <c r="BZ9" s="56"/>
      <c r="CA9" s="56"/>
      <c r="CB9" s="56"/>
      <c r="CC9" s="56"/>
      <c r="CD9" s="56"/>
      <c r="CE9" s="56"/>
      <c r="CF9" s="56"/>
      <c r="CG9" s="56"/>
      <c r="CH9" s="56"/>
      <c r="CI9" s="56"/>
      <c r="CJ9" s="56"/>
      <c r="CK9" s="56"/>
      <c r="CL9" s="56"/>
      <c r="CM9" s="56"/>
      <c r="CN9" s="56"/>
      <c r="CO9" s="56"/>
      <c r="CP9" s="56"/>
    </row>
    <row r="10" spans="1:94" ht="14.5" customHeight="1" thickTop="1" x14ac:dyDescent="0.35">
      <c r="A10" s="133" t="s">
        <v>119</v>
      </c>
      <c r="B10" s="7" t="s">
        <v>17</v>
      </c>
      <c r="C10" s="7">
        <f>_xlfn.XLOOKUP(A10,'Forecast-Volumes annuels import'!A10:A40,'Forecast-Volumes annuels import'!C10:C40)</f>
        <v>2600</v>
      </c>
      <c r="D10" s="34">
        <f>_xlfn.XLOOKUP(A10,Tableau12[Produits],Tableau12[Prix unitaire € 2026])*C10*145*(1+19%)*(1+15%)</f>
        <v>3864790.4295000006</v>
      </c>
      <c r="E10" s="7">
        <f>_xlfn.XLOOKUP(A10,'Forecast-Volumes annuels import'!A10:A40,'Forecast-Volumes annuels import'!D10:D40)</f>
        <v>0</v>
      </c>
      <c r="F10" s="34">
        <f>_xlfn.XLOOKUP(A10,Tableau12[Produits],Tableau12[Prix unitaire € 2026])*E10*145*(1+19%)*(1+15%)</f>
        <v>0</v>
      </c>
      <c r="G10" s="7">
        <f>_xlfn.XLOOKUP(A10,'Forecast-Volumes annuels import'!A10:A40,'Forecast-Volumes annuels import'!E10:E40)</f>
        <v>2000</v>
      </c>
      <c r="H10" s="34">
        <f>_xlfn.XLOOKUP(A10,Tableau12[Produits],Tableau12[Prix unitaire € 2026])*G10*145*(1+19%)*(1+15%)</f>
        <v>2972915.7150000003</v>
      </c>
      <c r="I10" s="7">
        <f>_xlfn.XLOOKUP('Previsionnels Importations'!A10,'Forecast-Volumes annuels import'!A10:A40,'Forecast-Volumes annuels import'!F10:F40)</f>
        <v>0</v>
      </c>
      <c r="J10" s="34">
        <f>_xlfn.XLOOKUP(A10,Tableau12[Produits],Tableau12[Prix unitaire € 2026])*I10*145*(1+19%)*(1+15%)</f>
        <v>0</v>
      </c>
      <c r="K10" s="7">
        <f>_xlfn.XLOOKUP(A10,'Forecast-Volumes annuels import'!A10:A40,'Forecast-Volumes annuels import'!G10:G40)</f>
        <v>0</v>
      </c>
      <c r="L10" s="34">
        <f>_xlfn.XLOOKUP(A10,Tableau12[Produits],Tableau12[Prix unitaire € 2026])*K10*145*(1+19%)*(1+15%)</f>
        <v>0</v>
      </c>
      <c r="M10" s="7">
        <f>_xlfn.XLOOKUP(A10,'Forecast-Volumes annuels import'!A10:A40,'Forecast-Volumes annuels import'!H10:H40)</f>
        <v>3200</v>
      </c>
      <c r="N10" s="34">
        <f>_xlfn.XLOOKUP(A10,Tableau12[Produits],Tableau12[Prix unitaire € 2026])*M10*145*(1+19%)*(1+15%)</f>
        <v>4756665.1439999994</v>
      </c>
      <c r="O10" s="7">
        <f>_xlfn.XLOOKUP(A10,'Forecast-Volumes annuels import'!A10:A40,'Forecast-Volumes annuels import'!I10:I40)</f>
        <v>0</v>
      </c>
      <c r="P10" s="34">
        <f>_xlfn.XLOOKUP(A10,Tableau12[Produits],Tableau12[Prix unitaire € 2026])*O10*145*(1+19%)*(1+15%)</f>
        <v>0</v>
      </c>
      <c r="Q10" s="7">
        <f>_xlfn.XLOOKUP(A10,'Forecast-Volumes annuels import'!A10:A40,'Forecast-Volumes annuels import'!J10:J40)</f>
        <v>0</v>
      </c>
      <c r="R10" s="34">
        <f>_xlfn.XLOOKUP(A10,Tableau12[Produits],Tableau12[Prix unitaire € 2026])*Q10*145*(1+19%)*(1+15%)</f>
        <v>0</v>
      </c>
      <c r="S10" s="7">
        <f>_xlfn.XLOOKUP(A10,'Forecast-Volumes annuels import'!A10:A40,'Forecast-Volumes annuels import'!K10:K40)</f>
        <v>5000</v>
      </c>
      <c r="T10" s="34">
        <f>_xlfn.XLOOKUP(A10,Tableau12[Produits],Tableau12[Prix unitaire € 2026])*S10*145*(1+19%)*(1+15%)</f>
        <v>7432289.2874999996</v>
      </c>
      <c r="U10" s="7">
        <f>_xlfn.XLOOKUP(A10,'Forecast-Volumes annuels import'!A10:A40,'Forecast-Volumes annuels import'!L10:L40)</f>
        <v>0</v>
      </c>
      <c r="V10" s="34">
        <f>_xlfn.XLOOKUP(A10,Tableau12[Produits],Tableau12[Prix unitaire € 2026])*U10*145*(1+19%)*(1+15%)</f>
        <v>0</v>
      </c>
      <c r="W10" s="7">
        <f>_xlfn.XLOOKUP(A10,'Forecast-Volumes annuels import'!A10:A40,'Forecast-Volumes annuels import'!M10:M40)</f>
        <v>3000</v>
      </c>
      <c r="X10" s="34">
        <f>_xlfn.XLOOKUP(A10,Tableau12[Produits],Tableau12[Prix unitaire € 2026])*W10*145*(1+19%)*(1+15%)</f>
        <v>4459373.5724999998</v>
      </c>
      <c r="Y10" s="7">
        <f>_xlfn.XLOOKUP(A10,'Forecast-Volumes annuels import'!A10:A40,'Forecast-Volumes annuels import'!N10:N40)</f>
        <v>0</v>
      </c>
      <c r="Z10" s="34">
        <f>_xlfn.XLOOKUP(A10,Tableau12[Produits],Tableau12[Prix unitaire € 2026])*Y10*145*(1+19%)*(1+15%)</f>
        <v>0</v>
      </c>
      <c r="AA10" s="19">
        <f>(C10+E10+G10+I10+K10+M10+O10+Q10+S10+U10+W10+Y10)</f>
        <v>15800</v>
      </c>
      <c r="AB10" s="19">
        <f>(D10+F10+H10+J10+L10+N10+P10+R10+T10+V10+X10+Z10)</f>
        <v>23486034.148499995</v>
      </c>
      <c r="AC10" s="19">
        <f>AA10/1000</f>
        <v>15.8</v>
      </c>
      <c r="AD10" s="58"/>
      <c r="AH10" s="55"/>
    </row>
    <row r="11" spans="1:94" x14ac:dyDescent="0.35">
      <c r="A11" s="133" t="s">
        <v>120</v>
      </c>
      <c r="B11" s="8" t="s">
        <v>17</v>
      </c>
      <c r="C11" s="7">
        <f>_xlfn.XLOOKUP(A11,'Forecast-Volumes annuels import'!A11:A40,'Forecast-Volumes annuels import'!C11:C40)</f>
        <v>3900</v>
      </c>
      <c r="D11" s="34">
        <f>_xlfn.XLOOKUP(A11,Tableau12[Produits],Tableau12[Prix unitaire € 2026])*C11*145*(1+19%)*(1+15%)</f>
        <v>4341504.6674999995</v>
      </c>
      <c r="E11" s="7">
        <f>_xlfn.XLOOKUP(A11,'Forecast-Volumes annuels import'!A11:A40,'Forecast-Volumes annuels import'!D11:D40)</f>
        <v>0</v>
      </c>
      <c r="F11" s="34">
        <f>_xlfn.XLOOKUP(A11,Tableau12[Produits],Tableau12[Prix unitaire € 2026])*E11*145*(1+19%)*(1+15%)</f>
        <v>0</v>
      </c>
      <c r="G11" s="7">
        <f>_xlfn.XLOOKUP(A11,'Forecast-Volumes annuels import'!A11:A40,'Forecast-Volumes annuels import'!E11:E40)</f>
        <v>2000</v>
      </c>
      <c r="H11" s="34">
        <f>_xlfn.XLOOKUP(A11,Tableau12[Produits],Tableau12[Prix unitaire € 2026])*G11*145*(1+19%)*(1+15%)</f>
        <v>2226412.65</v>
      </c>
      <c r="I11" s="7">
        <f>_xlfn.XLOOKUP('Previsionnels Importations'!A11,'Forecast-Volumes annuels import'!A11:A40,'Forecast-Volumes annuels import'!F11:F40)</f>
        <v>0</v>
      </c>
      <c r="J11" s="34">
        <f>_xlfn.XLOOKUP(A11,Tableau12[Produits],Tableau12[Prix unitaire € 2026])*I11*145*(1+19%)*(1+15%)</f>
        <v>0</v>
      </c>
      <c r="K11" s="7">
        <f>_xlfn.XLOOKUP(A11,'Forecast-Volumes annuels import'!A11:A40,'Forecast-Volumes annuels import'!G11:G40)</f>
        <v>0</v>
      </c>
      <c r="L11" s="34">
        <f>_xlfn.XLOOKUP(A11,Tableau12[Produits],Tableau12[Prix unitaire € 2026])*K11*145*(1+19%)*(1+15%)</f>
        <v>0</v>
      </c>
      <c r="M11" s="7">
        <f>_xlfn.XLOOKUP(A11,'Forecast-Volumes annuels import'!A11:A34,'Forecast-Volumes annuels import'!H11:H34)</f>
        <v>2000</v>
      </c>
      <c r="N11" s="34">
        <f>_xlfn.XLOOKUP(A11,Tableau12[Produits],Tableau12[Prix unitaire € 2026])*M11*145*(1+19%)*(1+15%)</f>
        <v>2226412.65</v>
      </c>
      <c r="O11" s="7">
        <f>_xlfn.XLOOKUP(A11,'Forecast-Volumes annuels import'!A11:A40,'Forecast-Volumes annuels import'!I11:I40)</f>
        <v>0</v>
      </c>
      <c r="P11" s="34">
        <f>_xlfn.XLOOKUP(A11,Tableau12[Produits],Tableau12[Prix unitaire € 2026])*O11*145*(1+19%)*(1+15%)</f>
        <v>0</v>
      </c>
      <c r="Q11" s="7">
        <f>_xlfn.XLOOKUP(A11,'Forecast-Volumes annuels import'!A11:A40,'Forecast-Volumes annuels import'!J11:J40)</f>
        <v>0</v>
      </c>
      <c r="R11" s="34">
        <f>_xlfn.XLOOKUP(A11,Tableau12[Produits],Tableau12[Prix unitaire € 2026])*Q11*145*(1+19%)*(1+15%)</f>
        <v>0</v>
      </c>
      <c r="S11" s="7">
        <f>_xlfn.XLOOKUP(A11,'Forecast-Volumes annuels import'!A11:A40,'Forecast-Volumes annuels import'!K11:K40)</f>
        <v>2000</v>
      </c>
      <c r="T11" s="34">
        <f>_xlfn.XLOOKUP(A11,Tableau12[Produits],Tableau12[Prix unitaire € 2026])*S11*145*(1+19%)*(1+15%)</f>
        <v>2226412.65</v>
      </c>
      <c r="U11" s="7">
        <f>_xlfn.XLOOKUP(A11,'Forecast-Volumes annuels import'!A11:A40,'Forecast-Volumes annuels import'!L11:L40)</f>
        <v>0</v>
      </c>
      <c r="V11" s="34">
        <f>_xlfn.XLOOKUP(A11,Tableau12[Produits],Tableau12[Prix unitaire € 2026])*U11*145*(1+19%)*(1+15%)</f>
        <v>0</v>
      </c>
      <c r="W11" s="7">
        <f>_xlfn.XLOOKUP(A11,'Forecast-Volumes annuels import'!A11:A40,'Forecast-Volumes annuels import'!M11:M40)</f>
        <v>2200</v>
      </c>
      <c r="X11" s="34">
        <f>_xlfn.XLOOKUP(A11,Tableau12[Produits],Tableau12[Prix unitaire € 2026])*W11*145*(1+19%)*(1+15%)</f>
        <v>2449053.915</v>
      </c>
      <c r="Y11" s="7">
        <f>_xlfn.XLOOKUP(A11,'Forecast-Volumes annuels import'!A11:A40,'Forecast-Volumes annuels import'!N11:N40)</f>
        <v>0</v>
      </c>
      <c r="Z11" s="34">
        <f>_xlfn.XLOOKUP(A11,Tableau12[Produits],Tableau12[Prix unitaire € 2026])*Y11*145*(1+19%)*(1+15%)</f>
        <v>0</v>
      </c>
      <c r="AA11" s="19">
        <f t="shared" ref="AA11:AA42" si="0">(C11+E11+G11+I11+K11+M11+O11+Q11+S11+U11+W11+Y11)</f>
        <v>12100</v>
      </c>
      <c r="AB11" s="19">
        <f t="shared" ref="AB11:AB42" si="1">(D11+F11+H11+J11+L11+N11+P11+R11+T11+V11+X11+Z11)</f>
        <v>13469796.532499999</v>
      </c>
      <c r="AC11" s="19">
        <f t="shared" ref="AC11:AC24" si="2">AA11/1000</f>
        <v>12.1</v>
      </c>
      <c r="AD11" s="58"/>
      <c r="AH11" s="55"/>
    </row>
    <row r="12" spans="1:94" x14ac:dyDescent="0.35">
      <c r="A12" s="133" t="s">
        <v>121</v>
      </c>
      <c r="B12" s="8" t="s">
        <v>17</v>
      </c>
      <c r="C12" s="7">
        <f>_xlfn.XLOOKUP(A12,'Forecast-Volumes annuels import'!A12:A40,'Forecast-Volumes annuels import'!C12:C40)</f>
        <v>3000</v>
      </c>
      <c r="D12" s="34">
        <f>_xlfn.XLOOKUP(A12,Tableau12[Produits],Tableau12[Prix unitaire € 2026])*C12*145*(1+19%)*(1+15%)</f>
        <v>8493109.432500001</v>
      </c>
      <c r="E12" s="7">
        <f>_xlfn.XLOOKUP(A12,'Forecast-Volumes annuels import'!A12:A40,'Forecast-Volumes annuels import'!D12:D40)</f>
        <v>0</v>
      </c>
      <c r="F12" s="34">
        <f>_xlfn.XLOOKUP(A12,Tableau12[Produits],Tableau12[Prix unitaire € 2026])*E12*145*(1+19%)*(1+15%)</f>
        <v>0</v>
      </c>
      <c r="G12" s="7">
        <f>_xlfn.XLOOKUP(A12,'Forecast-Volumes annuels import'!A12:A40,'Forecast-Volumes annuels import'!E12:E40)</f>
        <v>500</v>
      </c>
      <c r="H12" s="34">
        <f>_xlfn.XLOOKUP(A12,Tableau12[Produits],Tableau12[Prix unitaire € 2026])*G12*145*(1+19%)*(1+15%)</f>
        <v>1415518.23875</v>
      </c>
      <c r="I12" s="7">
        <f>_xlfn.XLOOKUP('Previsionnels Importations'!A12,'Forecast-Volumes annuels import'!A12:A40,'Forecast-Volumes annuels import'!F12:F40)</f>
        <v>0</v>
      </c>
      <c r="J12" s="34">
        <f>_xlfn.XLOOKUP(A12,Tableau12[Produits],Tableau12[Prix unitaire € 2026])*I12*145*(1+19%)*(1+15%)</f>
        <v>0</v>
      </c>
      <c r="K12" s="7">
        <f>_xlfn.XLOOKUP(A12,'Forecast-Volumes annuels import'!A12:A40,'Forecast-Volumes annuels import'!G12:G40)</f>
        <v>0</v>
      </c>
      <c r="L12" s="34">
        <f>_xlfn.XLOOKUP(A12,Tableau12[Produits],Tableau12[Prix unitaire € 2026])*K12*145*(1+19%)*(1+15%)</f>
        <v>0</v>
      </c>
      <c r="M12" s="7">
        <f>_xlfn.XLOOKUP(A12,'Forecast-Volumes annuels import'!A12:A40,'Forecast-Volumes annuels import'!H12:H40)</f>
        <v>3000</v>
      </c>
      <c r="N12" s="34">
        <f>_xlfn.XLOOKUP(A12,Tableau12[Produits],Tableau12[Prix unitaire € 2026])*M12*145*(1+19%)*(1+15%)</f>
        <v>8493109.432500001</v>
      </c>
      <c r="O12" s="7">
        <f>_xlfn.XLOOKUP(A12,'Forecast-Volumes annuels import'!A12:A40,'Forecast-Volumes annuels import'!I12:I40)</f>
        <v>0</v>
      </c>
      <c r="P12" s="34">
        <f>_xlfn.XLOOKUP(A12,Tableau12[Produits],Tableau12[Prix unitaire € 2026])*O12*145*(1+19%)*(1+15%)</f>
        <v>0</v>
      </c>
      <c r="Q12" s="7">
        <f>_xlfn.XLOOKUP(A12,'Forecast-Volumes annuels import'!A12:A40,'Forecast-Volumes annuels import'!J12:J40)</f>
        <v>0</v>
      </c>
      <c r="R12" s="34">
        <f>_xlfn.XLOOKUP(A12,Tableau12[Produits],Tableau12[Prix unitaire € 2026])*Q12*145*(1+19%)*(1+15%)</f>
        <v>0</v>
      </c>
      <c r="S12" s="7">
        <f>_xlfn.XLOOKUP(A12,'Forecast-Volumes annuels import'!A12:A40,'Forecast-Volumes annuels import'!K12:K40)</f>
        <v>1000</v>
      </c>
      <c r="T12" s="34">
        <f>_xlfn.XLOOKUP(A12,Tableau12[Produits],Tableau12[Prix unitaire € 2026])*S12*145*(1+19%)*(1+15%)</f>
        <v>2831036.4775</v>
      </c>
      <c r="U12" s="7">
        <f>_xlfn.XLOOKUP(A12,'Forecast-Volumes annuels import'!A12:A40,'Forecast-Volumes annuels import'!L12:L40)</f>
        <v>0</v>
      </c>
      <c r="V12" s="34">
        <f>_xlfn.XLOOKUP(A12,Tableau12[Produits],Tableau12[Prix unitaire € 2026])*U12*145*(1+19%)*(1+15%)</f>
        <v>0</v>
      </c>
      <c r="W12" s="7">
        <f>_xlfn.XLOOKUP(A12,'Forecast-Volumes annuels import'!A12:A40,'Forecast-Volumes annuels import'!M12:M40)</f>
        <v>3000</v>
      </c>
      <c r="X12" s="34">
        <f>_xlfn.XLOOKUP(A12,Tableau12[Produits],Tableau12[Prix unitaire € 2026])*W12*145*(1+19%)*(1+15%)</f>
        <v>8493109.432500001</v>
      </c>
      <c r="Y12" s="7">
        <f>_xlfn.XLOOKUP(A12,'Forecast-Volumes annuels import'!A12:A40,'Forecast-Volumes annuels import'!N12:N40)</f>
        <v>0</v>
      </c>
      <c r="Z12" s="34">
        <f>_xlfn.XLOOKUP(A12,Tableau12[Produits],Tableau12[Prix unitaire € 2026])*Y12*145*(1+19%)*(1+15%)</f>
        <v>0</v>
      </c>
      <c r="AA12" s="19">
        <f t="shared" si="0"/>
        <v>10500</v>
      </c>
      <c r="AB12" s="19">
        <f t="shared" si="1"/>
        <v>29725883.013750002</v>
      </c>
      <c r="AC12" s="19">
        <f t="shared" si="2"/>
        <v>10.5</v>
      </c>
      <c r="AD12" s="58"/>
      <c r="AH12" s="55"/>
      <c r="AK12" s="58"/>
    </row>
    <row r="13" spans="1:94" x14ac:dyDescent="0.35">
      <c r="A13" s="133" t="s">
        <v>122</v>
      </c>
      <c r="B13" s="8" t="s">
        <v>17</v>
      </c>
      <c r="C13" s="7">
        <f>_xlfn.XLOOKUP(A13,'Forecast-Volumes annuels import'!A13:A40,'Forecast-Volumes annuels import'!C13:C40)</f>
        <v>1000</v>
      </c>
      <c r="D13" s="34">
        <f>_xlfn.XLOOKUP(A13,Tableau12[Produits],Tableau12[Prix unitaire € 2026])*C13*145*(1+19%)*(1+15%)</f>
        <v>2322453.98</v>
      </c>
      <c r="E13" s="7">
        <f>_xlfn.XLOOKUP(A13,'Forecast-Volumes annuels import'!A13:A40,'Forecast-Volumes annuels import'!D13:D40)</f>
        <v>0</v>
      </c>
      <c r="F13" s="34">
        <f>_xlfn.XLOOKUP(A13,Tableau12[Produits],Tableau12[Prix unitaire € 2026])*E13*145*(1+19%)*(1+15%)</f>
        <v>0</v>
      </c>
      <c r="G13" s="7">
        <f>_xlfn.XLOOKUP(A13,'Forecast-Volumes annuels import'!A13:A40,'Forecast-Volumes annuels import'!E13:E40)</f>
        <v>1200</v>
      </c>
      <c r="H13" s="34">
        <f>_xlfn.XLOOKUP(A13,Tableau12[Produits],Tableau12[Prix unitaire € 2026])*G13*145*(1+19%)*(1+15%)</f>
        <v>2786944.7760000001</v>
      </c>
      <c r="I13" s="7">
        <f>_xlfn.XLOOKUP('Previsionnels Importations'!A13,'Forecast-Volumes annuels import'!A13:A40,'Forecast-Volumes annuels import'!F13:F40)</f>
        <v>0</v>
      </c>
      <c r="J13" s="34">
        <f>_xlfn.XLOOKUP(A13,Tableau12[Produits],Tableau12[Prix unitaire € 2026])*I13*145*(1+19%)*(1+15%)</f>
        <v>0</v>
      </c>
      <c r="K13" s="7">
        <f>_xlfn.XLOOKUP(A13,'Forecast-Volumes annuels import'!A13:A40,'Forecast-Volumes annuels import'!G13:G40)</f>
        <v>0</v>
      </c>
      <c r="L13" s="34">
        <f>_xlfn.XLOOKUP(A13,Tableau12[Produits],Tableau12[Prix unitaire € 2026])*K13*145*(1+19%)*(1+15%)</f>
        <v>0</v>
      </c>
      <c r="M13" s="7">
        <f>_xlfn.XLOOKUP(A13,'Forecast-Volumes annuels import'!A13:A36,'Forecast-Volumes annuels import'!H13:H36)</f>
        <v>2000</v>
      </c>
      <c r="N13" s="34">
        <f>_xlfn.XLOOKUP(A13,Tableau12[Produits],Tableau12[Prix unitaire € 2026])*M13*145*(1+19%)*(1+15%)</f>
        <v>4644907.96</v>
      </c>
      <c r="O13" s="7">
        <f>_xlfn.XLOOKUP(A13,'Forecast-Volumes annuels import'!A13:A40,'Forecast-Volumes annuels import'!I13:I40)</f>
        <v>0</v>
      </c>
      <c r="P13" s="34">
        <f>_xlfn.XLOOKUP(A13,Tableau12[Produits],Tableau12[Prix unitaire € 2026])*O13*145*(1+19%)*(1+15%)</f>
        <v>0</v>
      </c>
      <c r="Q13" s="7">
        <f>_xlfn.XLOOKUP(A13,'Forecast-Volumes annuels import'!A13:A40,'Forecast-Volumes annuels import'!J13:J40)</f>
        <v>0</v>
      </c>
      <c r="R13" s="34">
        <f>_xlfn.XLOOKUP(A13,Tableau12[Produits],Tableau12[Prix unitaire € 2026])*Q13*145*(1+19%)*(1+15%)</f>
        <v>0</v>
      </c>
      <c r="S13" s="7">
        <f>_xlfn.XLOOKUP(A13,'Forecast-Volumes annuels import'!A13:A40,'Forecast-Volumes annuels import'!K13:K40)</f>
        <v>1000</v>
      </c>
      <c r="T13" s="34">
        <f>_xlfn.XLOOKUP(A13,Tableau12[Produits],Tableau12[Prix unitaire € 2026])*S13*145*(1+19%)*(1+15%)</f>
        <v>2322453.98</v>
      </c>
      <c r="U13" s="7">
        <f>_xlfn.XLOOKUP(A13,'Forecast-Volumes annuels import'!A13:A40,'Forecast-Volumes annuels import'!L13:L40)</f>
        <v>0</v>
      </c>
      <c r="V13" s="34">
        <f>_xlfn.XLOOKUP(A13,Tableau12[Produits],Tableau12[Prix unitaire € 2026])*U13*145*(1+19%)*(1+15%)</f>
        <v>0</v>
      </c>
      <c r="W13" s="7">
        <f>_xlfn.XLOOKUP(A13,'Forecast-Volumes annuels import'!A13:A40,'Forecast-Volumes annuels import'!M13:M40)</f>
        <v>2000</v>
      </c>
      <c r="X13" s="34">
        <f>_xlfn.XLOOKUP(A13,Tableau12[Produits],Tableau12[Prix unitaire € 2026])*W13*145*(1+19%)*(1+15%)</f>
        <v>4644907.96</v>
      </c>
      <c r="Y13" s="7">
        <f>_xlfn.XLOOKUP(A13,'Forecast-Volumes annuels import'!A13:A40,'Forecast-Volumes annuels import'!N13:N40)</f>
        <v>0</v>
      </c>
      <c r="Z13" s="34">
        <f>_xlfn.XLOOKUP(A13,Tableau12[Produits],Tableau12[Prix unitaire € 2026])*Y13*145*(1+19%)*(1+15%)</f>
        <v>0</v>
      </c>
      <c r="AA13" s="19">
        <f t="shared" si="0"/>
        <v>7200</v>
      </c>
      <c r="AB13" s="19">
        <f t="shared" si="1"/>
        <v>16721668.655999999</v>
      </c>
      <c r="AC13" s="19">
        <f t="shared" si="2"/>
        <v>7.2</v>
      </c>
      <c r="AD13" s="58"/>
      <c r="AH13" s="55"/>
      <c r="AK13" s="58"/>
    </row>
    <row r="14" spans="1:94" x14ac:dyDescent="0.35">
      <c r="A14" s="133" t="s">
        <v>123</v>
      </c>
      <c r="B14" s="8" t="s">
        <v>17</v>
      </c>
      <c r="C14" s="7">
        <f>_xlfn.XLOOKUP(A14,'Forecast-Volumes annuels import'!A14:A40,'Forecast-Volumes annuels import'!C14:C40)</f>
        <v>2000</v>
      </c>
      <c r="D14" s="34">
        <f>_xlfn.XLOOKUP(A14,Tableau12[Produits],Tableau12[Prix unitaire € 2026])*C14*145*(1+19%)*(1+15%)</f>
        <v>1658895.7</v>
      </c>
      <c r="E14" s="7">
        <f>_xlfn.XLOOKUP(A14,'Forecast-Volumes annuels import'!A14:A40,'Forecast-Volumes annuels import'!D14:D40)</f>
        <v>0</v>
      </c>
      <c r="F14" s="34">
        <f>_xlfn.XLOOKUP(A14,Tableau12[Produits],Tableau12[Prix unitaire € 2026])*E14*145*(1+19%)*(1+15%)</f>
        <v>0</v>
      </c>
      <c r="G14" s="7">
        <f>_xlfn.XLOOKUP(A14,'Forecast-Volumes annuels import'!A14:A40,'Forecast-Volumes annuels import'!E14:E40)</f>
        <v>2200</v>
      </c>
      <c r="H14" s="34">
        <f>_xlfn.XLOOKUP(A14,Tableau12[Produits],Tableau12[Prix unitaire € 2026])*G14*145*(1+19%)*(1+15%)</f>
        <v>1824785.2699999996</v>
      </c>
      <c r="I14" s="7">
        <f>_xlfn.XLOOKUP('Previsionnels Importations'!A14,'Forecast-Volumes annuels import'!A14:A40,'Forecast-Volumes annuels import'!F14:F40)</f>
        <v>0</v>
      </c>
      <c r="J14" s="34">
        <f>_xlfn.XLOOKUP(A14,Tableau12[Produits],Tableau12[Prix unitaire € 2026])*I14*145*(1+19%)*(1+15%)</f>
        <v>0</v>
      </c>
      <c r="K14" s="7">
        <f>_xlfn.XLOOKUP(A14,'Forecast-Volumes annuels import'!A14:A40,'Forecast-Volumes annuels import'!G14:G40)</f>
        <v>0</v>
      </c>
      <c r="L14" s="34">
        <f>_xlfn.XLOOKUP(A14,Tableau12[Produits],Tableau12[Prix unitaire € 2026])*K14*145*(1+19%)*(1+15%)</f>
        <v>0</v>
      </c>
      <c r="M14" s="7">
        <f>_xlfn.XLOOKUP(A14,'Forecast-Volumes annuels import'!A14:A40,'Forecast-Volumes annuels import'!H14:H40)</f>
        <v>4000</v>
      </c>
      <c r="N14" s="34">
        <f>_xlfn.XLOOKUP(A14,Tableau12[Produits],Tableau12[Prix unitaire € 2026])*M14*145*(1+19%)*(1+15%)</f>
        <v>3317791.4</v>
      </c>
      <c r="O14" s="7">
        <f>_xlfn.XLOOKUP(A14,'Forecast-Volumes annuels import'!A14:A40,'Forecast-Volumes annuels import'!I14:I40)</f>
        <v>0</v>
      </c>
      <c r="P14" s="34">
        <f>_xlfn.XLOOKUP(A14,Tableau12[Produits],Tableau12[Prix unitaire € 2026])*O14*145*(1+19%)*(1+15%)</f>
        <v>0</v>
      </c>
      <c r="Q14" s="7">
        <f>_xlfn.XLOOKUP(A14,'Forecast-Volumes annuels import'!A14:A40,'Forecast-Volumes annuels import'!J14:J40)</f>
        <v>0</v>
      </c>
      <c r="R14" s="34">
        <f>_xlfn.XLOOKUP(A14,Tableau12[Produits],Tableau12[Prix unitaire € 2026])*Q14*145*(1+19%)*(1+15%)</f>
        <v>0</v>
      </c>
      <c r="S14" s="7">
        <f>_xlfn.XLOOKUP(A14,'Forecast-Volumes annuels import'!A14:A40,'Forecast-Volumes annuels import'!K14:K40)</f>
        <v>1800</v>
      </c>
      <c r="T14" s="34">
        <f>_xlfn.XLOOKUP(A14,Tableau12[Produits],Tableau12[Prix unitaire € 2026])*S14*145*(1+19%)*(1+15%)</f>
        <v>1493006.1299999997</v>
      </c>
      <c r="U14" s="7">
        <f>_xlfn.XLOOKUP(A14,'Forecast-Volumes annuels import'!A14:A40,'Forecast-Volumes annuels import'!L14:L40)</f>
        <v>0</v>
      </c>
      <c r="V14" s="34">
        <f>_xlfn.XLOOKUP(A14,Tableau12[Produits],Tableau12[Prix unitaire € 2026])*U14*145*(1+19%)*(1+15%)</f>
        <v>0</v>
      </c>
      <c r="W14" s="7">
        <f>_xlfn.XLOOKUP(A14,'Forecast-Volumes annuels import'!A14:A40,'Forecast-Volumes annuels import'!M14:M40)</f>
        <v>4000</v>
      </c>
      <c r="X14" s="34">
        <f>_xlfn.XLOOKUP(A14,Tableau12[Produits],Tableau12[Prix unitaire € 2026])*W14*145*(1+19%)*(1+15%)</f>
        <v>3317791.4</v>
      </c>
      <c r="Y14" s="7">
        <f>_xlfn.XLOOKUP(A14,'Forecast-Volumes annuels import'!A14:A40,'Forecast-Volumes annuels import'!N14:N40)</f>
        <v>0</v>
      </c>
      <c r="Z14" s="34">
        <f>_xlfn.XLOOKUP(A14,Tableau12[Produits],Tableau12[Prix unitaire € 2026])*Y14*145*(1+19%)*(1+15%)</f>
        <v>0</v>
      </c>
      <c r="AA14" s="19">
        <f t="shared" si="0"/>
        <v>14000</v>
      </c>
      <c r="AB14" s="19">
        <f t="shared" si="1"/>
        <v>11612269.899999999</v>
      </c>
      <c r="AC14" s="19">
        <f t="shared" si="2"/>
        <v>14</v>
      </c>
      <c r="AD14" s="58"/>
      <c r="AH14" s="55"/>
    </row>
    <row r="15" spans="1:94" x14ac:dyDescent="0.35">
      <c r="A15" s="133" t="s">
        <v>124</v>
      </c>
      <c r="B15" s="8" t="s">
        <v>17</v>
      </c>
      <c r="C15" s="7">
        <f>_xlfn.XLOOKUP(A15,'Forecast-Volumes annuels import'!A15:A40,'Forecast-Volumes annuels import'!C15:C40)</f>
        <v>2000</v>
      </c>
      <c r="D15" s="34">
        <f>_xlfn.XLOOKUP(A15,Tableau12[Produits],Tableau12[Prix unitaire € 2026])*C15*145*(1+19%)*(1+15%)</f>
        <v>2401033.25</v>
      </c>
      <c r="E15" s="7">
        <f>_xlfn.XLOOKUP(A15,'Forecast-Volumes annuels import'!A15:A40,'Forecast-Volumes annuels import'!D15:D40)</f>
        <v>0</v>
      </c>
      <c r="F15" s="34">
        <f>_xlfn.XLOOKUP(A15,Tableau12[Produits],Tableau12[Prix unitaire € 2026])*E15*145*(1+19%)*(1+15%)</f>
        <v>0</v>
      </c>
      <c r="G15" s="7">
        <f>_xlfn.XLOOKUP(A15,'Forecast-Volumes annuels import'!A15:A41,'Forecast-Volumes annuels import'!E15:E41)</f>
        <v>2500</v>
      </c>
      <c r="H15" s="34">
        <f>_xlfn.XLOOKUP(A15,Tableau12[Produits],Tableau12[Prix unitaire € 2026])*G15*145*(1+19%)*(1+15%)</f>
        <v>3001291.5625000005</v>
      </c>
      <c r="I15" s="7">
        <f>_xlfn.XLOOKUP('Previsionnels Importations'!A15,'Forecast-Volumes annuels import'!A15:A41,'Forecast-Volumes annuels import'!F15:F41)</f>
        <v>0</v>
      </c>
      <c r="J15" s="34">
        <f>_xlfn.XLOOKUP(A15,Tableau12[Produits],Tableau12[Prix unitaire € 2026])*I15*145*(1+19%)*(1+15%)</f>
        <v>0</v>
      </c>
      <c r="K15" s="7">
        <f>_xlfn.XLOOKUP(A15,'Forecast-Volumes annuels import'!A15:A41,'Forecast-Volumes annuels import'!G15:G41)</f>
        <v>0</v>
      </c>
      <c r="L15" s="34">
        <f>_xlfn.XLOOKUP(A15,Tableau12[Produits],Tableau12[Prix unitaire € 2026])*K15*145*(1+19%)*(1+15%)</f>
        <v>0</v>
      </c>
      <c r="M15" s="7">
        <f>_xlfn.XLOOKUP(A15,'Forecast-Volumes annuels import'!A15:A38,'Forecast-Volumes annuels import'!H15:H38)</f>
        <v>0</v>
      </c>
      <c r="N15" s="34">
        <f>_xlfn.XLOOKUP(A15,Tableau12[Produits],Tableau12[Prix unitaire € 2026])*M15*145*(1+19%)*(1+15%)</f>
        <v>0</v>
      </c>
      <c r="O15" s="7">
        <f>_xlfn.XLOOKUP(A15,'Forecast-Volumes annuels import'!A15:A41,'Forecast-Volumes annuels import'!I15:I41)</f>
        <v>0</v>
      </c>
      <c r="P15" s="34">
        <f>_xlfn.XLOOKUP(A15,Tableau12[Produits],Tableau12[Prix unitaire € 2026])*O15*145*(1+19%)*(1+15%)</f>
        <v>0</v>
      </c>
      <c r="Q15" s="7">
        <f>_xlfn.XLOOKUP(A15,'Forecast-Volumes annuels import'!A15:A41,'Forecast-Volumes annuels import'!J15:J41)</f>
        <v>0</v>
      </c>
      <c r="R15" s="34">
        <f>_xlfn.XLOOKUP(A15,Tableau12[Produits],Tableau12[Prix unitaire € 2026])*Q15*145*(1+19%)*(1+15%)</f>
        <v>0</v>
      </c>
      <c r="S15" s="7">
        <f>_xlfn.XLOOKUP(A15,'Forecast-Volumes annuels import'!A15:A41,'Forecast-Volumes annuels import'!K15:K41)</f>
        <v>5000</v>
      </c>
      <c r="T15" s="34">
        <f>_xlfn.XLOOKUP(A15,Tableau12[Produits],Tableau12[Prix unitaire € 2026])*S15*145*(1+19%)*(1+15%)</f>
        <v>6002583.1250000009</v>
      </c>
      <c r="U15" s="7">
        <f>_xlfn.XLOOKUP(A15,'Forecast-Volumes annuels import'!A15:A41,'Forecast-Volumes annuels import'!L15:L41)</f>
        <v>0</v>
      </c>
      <c r="V15" s="34">
        <f>_xlfn.XLOOKUP(A15,Tableau12[Produits],Tableau12[Prix unitaire € 2026])*U15*145*(1+19%)*(1+15%)</f>
        <v>0</v>
      </c>
      <c r="W15" s="7">
        <f>_xlfn.XLOOKUP(A15,'Forecast-Volumes annuels import'!A15:A41,'Forecast-Volumes annuels import'!M15:M41)</f>
        <v>0</v>
      </c>
      <c r="X15" s="34">
        <f>_xlfn.XLOOKUP(A15,Tableau12[Produits],Tableau12[Prix unitaire € 2026])*W15*145*(1+19%)*(1+15%)</f>
        <v>0</v>
      </c>
      <c r="Y15" s="7">
        <f>_xlfn.XLOOKUP(A15,'Forecast-Volumes annuels import'!A15:A41,'Forecast-Volumes annuels import'!N15:N41)</f>
        <v>0</v>
      </c>
      <c r="Z15" s="34">
        <f>_xlfn.XLOOKUP(A15,Tableau12[Produits],Tableau12[Prix unitaire € 2026])*Y15*145*(1+19%)*(1+15%)</f>
        <v>0</v>
      </c>
      <c r="AA15" s="19">
        <f t="shared" si="0"/>
        <v>9500</v>
      </c>
      <c r="AB15" s="19">
        <f t="shared" si="1"/>
        <v>11404907.9375</v>
      </c>
      <c r="AC15" s="19">
        <f t="shared" si="2"/>
        <v>9.5</v>
      </c>
      <c r="AD15" s="58"/>
      <c r="AH15" s="55"/>
    </row>
    <row r="16" spans="1:94" x14ac:dyDescent="0.35">
      <c r="A16" s="133" t="s">
        <v>125</v>
      </c>
      <c r="B16" s="8" t="s">
        <v>17</v>
      </c>
      <c r="C16" s="7">
        <f>_xlfn.XLOOKUP(A16,'Forecast-Volumes annuels import'!A16:A41,'Forecast-Volumes annuels import'!C16:C41)</f>
        <v>500</v>
      </c>
      <c r="D16" s="34">
        <f>_xlfn.XLOOKUP(A16,Tableau12[Produits],Tableau12[Prix unitaire € 2026])*C16*145*(1+19%)*(1+15%)</f>
        <v>622085.88749999995</v>
      </c>
      <c r="E16" s="7">
        <f>_xlfn.XLOOKUP(A16,'Forecast-Volumes annuels import'!A16:A41,'Forecast-Volumes annuels import'!D16:D41)</f>
        <v>0</v>
      </c>
      <c r="F16" s="34">
        <f>_xlfn.XLOOKUP(A16,Tableau12[Produits],Tableau12[Prix unitaire € 2026])*E16*145*(1+19%)*(1+15%)</f>
        <v>0</v>
      </c>
      <c r="G16" s="7">
        <f>_xlfn.XLOOKUP(A16,'Forecast-Volumes annuels import'!A16:A41,'Forecast-Volumes annuels import'!E16:E41)</f>
        <v>0</v>
      </c>
      <c r="H16" s="34">
        <f>_xlfn.XLOOKUP(A16,Tableau12[Produits],Tableau12[Prix unitaire € 2026])*G16*145*(1+19%)*(1+15%)</f>
        <v>0</v>
      </c>
      <c r="I16" s="7">
        <f>_xlfn.XLOOKUP('Previsionnels Importations'!A16,'Forecast-Volumes annuels import'!A16:A41,'Forecast-Volumes annuels import'!F16:F41)</f>
        <v>0</v>
      </c>
      <c r="J16" s="34">
        <f>_xlfn.XLOOKUP(A16,Tableau12[Produits],Tableau12[Prix unitaire € 2026])*I16*145*(1+19%)*(1+15%)</f>
        <v>0</v>
      </c>
      <c r="K16" s="7">
        <f>_xlfn.XLOOKUP(A16,'Forecast-Volumes annuels import'!A16:A41,'Forecast-Volumes annuels import'!G16:G41)</f>
        <v>0</v>
      </c>
      <c r="L16" s="34">
        <f>_xlfn.XLOOKUP(A16,Tableau12[Produits],Tableau12[Prix unitaire € 2026])*K16*145*(1+19%)*(1+15%)</f>
        <v>0</v>
      </c>
      <c r="M16" s="7">
        <f>_xlfn.XLOOKUP(A16,'Forecast-Volumes annuels import'!A16:A41,'Forecast-Volumes annuels import'!H16:H41)</f>
        <v>1500</v>
      </c>
      <c r="N16" s="34">
        <f>_xlfn.XLOOKUP(A16,Tableau12[Produits],Tableau12[Prix unitaire € 2026])*M16*145*(1+19%)*(1+15%)</f>
        <v>1866257.6624999999</v>
      </c>
      <c r="O16" s="7">
        <f>_xlfn.XLOOKUP(A16,'Forecast-Volumes annuels import'!A16:A41,'Forecast-Volumes annuels import'!I16:I41)</f>
        <v>0</v>
      </c>
      <c r="P16" s="34">
        <f>_xlfn.XLOOKUP(A16,Tableau12[Produits],Tableau12[Prix unitaire € 2026])*O16*145*(1+19%)*(1+15%)</f>
        <v>0</v>
      </c>
      <c r="Q16" s="7">
        <f>_xlfn.XLOOKUP(A16,'Forecast-Volumes annuels import'!A16:A41,'Forecast-Volumes annuels import'!J16:J41)</f>
        <v>0</v>
      </c>
      <c r="R16" s="34">
        <f>_xlfn.XLOOKUP(A16,Tableau12[Produits],Tableau12[Prix unitaire € 2026])*Q16*145*(1+19%)*(1+15%)</f>
        <v>0</v>
      </c>
      <c r="S16" s="7">
        <f>_xlfn.XLOOKUP(A16,'Forecast-Volumes annuels import'!A16:A41,'Forecast-Volumes annuels import'!K16:K41)</f>
        <v>0</v>
      </c>
      <c r="T16" s="34">
        <f>_xlfn.XLOOKUP(A16,Tableau12[Produits],Tableau12[Prix unitaire € 2026])*S16*145*(1+19%)*(1+15%)</f>
        <v>0</v>
      </c>
      <c r="U16" s="7">
        <f>_xlfn.XLOOKUP(A16,'Forecast-Volumes annuels import'!A16:A41,'Forecast-Volumes annuels import'!L16:L41)</f>
        <v>0</v>
      </c>
      <c r="V16" s="34">
        <f>_xlfn.XLOOKUP(A16,Tableau12[Produits],Tableau12[Prix unitaire € 2026])*U16*145*(1+19%)*(1+15%)</f>
        <v>0</v>
      </c>
      <c r="W16" s="7">
        <f>_xlfn.XLOOKUP(A16,'Forecast-Volumes annuels import'!A16:A41,'Forecast-Volumes annuels import'!M16:M41)</f>
        <v>5500</v>
      </c>
      <c r="X16" s="34">
        <f>_xlfn.XLOOKUP(A16,Tableau12[Produits],Tableau12[Prix unitaire € 2026])*W16*145*(1+19%)*(1+15%)</f>
        <v>6842944.7624999993</v>
      </c>
      <c r="Y16" s="7">
        <f>_xlfn.XLOOKUP(A16,'Forecast-Volumes annuels import'!A16:A41,'Forecast-Volumes annuels import'!N16:N41)</f>
        <v>0</v>
      </c>
      <c r="Z16" s="34">
        <f>_xlfn.XLOOKUP(A16,Tableau12[Produits],Tableau12[Prix unitaire € 2026])*Y16*145*(1+19%)*(1+15%)</f>
        <v>0</v>
      </c>
      <c r="AA16" s="19">
        <f t="shared" si="0"/>
        <v>7500</v>
      </c>
      <c r="AB16" s="19">
        <f t="shared" si="1"/>
        <v>9331288.3125</v>
      </c>
      <c r="AC16" s="19">
        <f t="shared" si="2"/>
        <v>7.5</v>
      </c>
      <c r="AD16" s="58"/>
      <c r="AH16" s="55"/>
    </row>
    <row r="17" spans="1:94" x14ac:dyDescent="0.35">
      <c r="A17" s="133" t="s">
        <v>126</v>
      </c>
      <c r="B17" s="8" t="s">
        <v>17</v>
      </c>
      <c r="C17" s="7">
        <f>_xlfn.XLOOKUP(A17,'Forecast-Volumes annuels import'!A17:A42,'Forecast-Volumes annuels import'!C17:C42)</f>
        <v>1000</v>
      </c>
      <c r="D17" s="34">
        <f>_xlfn.XLOOKUP(A17,Tableau12[Produits],Tableau12[Prix unitaire € 2026])*C17*145*(1+19%)*(1+15%)</f>
        <v>785792.70000000007</v>
      </c>
      <c r="E17" s="7">
        <f>_xlfn.XLOOKUP(A17,'Forecast-Volumes annuels import'!A17:A42,'Forecast-Volumes annuels import'!D17:D42)</f>
        <v>0</v>
      </c>
      <c r="F17" s="34">
        <f>_xlfn.XLOOKUP(A17,Tableau12[Produits],Tableau12[Prix unitaire € 2026])*E17*145*(1+19%)*(1+15%)</f>
        <v>0</v>
      </c>
      <c r="G17" s="7">
        <f>_xlfn.XLOOKUP(A17,'Forecast-Volumes annuels import'!A17:A43,'Forecast-Volumes annuels import'!E17:E43)</f>
        <v>0</v>
      </c>
      <c r="H17" s="34">
        <f>_xlfn.XLOOKUP(A17,Tableau12[Produits],Tableau12[Prix unitaire € 2026])*G17*145*(1+19%)*(1+15%)</f>
        <v>0</v>
      </c>
      <c r="I17" s="7">
        <f>_xlfn.XLOOKUP('Previsionnels Importations'!A17,'Forecast-Volumes annuels import'!A17:A43,'Forecast-Volumes annuels import'!F17:F43)</f>
        <v>0</v>
      </c>
      <c r="J17" s="34">
        <f>_xlfn.XLOOKUP(A17,Tableau12[Produits],Tableau12[Prix unitaire € 2026])*I17*145*(1+19%)*(1+15%)</f>
        <v>0</v>
      </c>
      <c r="K17" s="7">
        <f>_xlfn.XLOOKUP(A17,'Forecast-Volumes annuels import'!A17:A43,'Forecast-Volumes annuels import'!G17:G43)</f>
        <v>0</v>
      </c>
      <c r="L17" s="34">
        <f>_xlfn.XLOOKUP(A17,Tableau12[Produits],Tableau12[Prix unitaire € 2026])*K17*145*(1+19%)*(1+15%)</f>
        <v>0</v>
      </c>
      <c r="M17" s="7">
        <f>_xlfn.XLOOKUP(A17,'Forecast-Volumes annuels import'!A17:A40,'Forecast-Volumes annuels import'!H17:H40)</f>
        <v>0</v>
      </c>
      <c r="N17" s="34">
        <f>_xlfn.XLOOKUP(A17,Tableau12[Produits],Tableau12[Prix unitaire € 2026])*M17*145*(1+19%)*(1+15%)</f>
        <v>0</v>
      </c>
      <c r="O17" s="7">
        <f>_xlfn.XLOOKUP(A17,'Forecast-Volumes annuels import'!A17:A43,'Forecast-Volumes annuels import'!I17:I43)</f>
        <v>0</v>
      </c>
      <c r="P17" s="34">
        <f>_xlfn.XLOOKUP(A17,Tableau12[Produits],Tableau12[Prix unitaire € 2026])*O17*145*(1+19%)*(1+15%)</f>
        <v>0</v>
      </c>
      <c r="Q17" s="7">
        <f>_xlfn.XLOOKUP(A17,'Forecast-Volumes annuels import'!A17:A43,'Forecast-Volumes annuels import'!J17:J43)</f>
        <v>0</v>
      </c>
      <c r="R17" s="34">
        <f>_xlfn.XLOOKUP(A17,Tableau12[Produits],Tableau12[Prix unitaire € 2026])*Q17*145*(1+19%)*(1+15%)</f>
        <v>0</v>
      </c>
      <c r="S17" s="7">
        <f>_xlfn.XLOOKUP(A17,'Forecast-Volumes annuels import'!A17:A43,'Forecast-Volumes annuels import'!K17:K43)</f>
        <v>4000</v>
      </c>
      <c r="T17" s="34">
        <f>_xlfn.XLOOKUP(A17,Tableau12[Produits],Tableau12[Prix unitaire € 2026])*S17*145*(1+19%)*(1+15%)</f>
        <v>3143170.8000000003</v>
      </c>
      <c r="U17" s="7">
        <f>_xlfn.XLOOKUP(A17,'Forecast-Volumes annuels import'!A17:A43,'Forecast-Volumes annuels import'!L17:L43)</f>
        <v>0</v>
      </c>
      <c r="V17" s="34">
        <f>_xlfn.XLOOKUP(A17,Tableau12[Produits],Tableau12[Prix unitaire € 2026])*U17*145*(1+19%)*(1+15%)</f>
        <v>0</v>
      </c>
      <c r="W17" s="7">
        <f>_xlfn.XLOOKUP(A17,'Forecast-Volumes annuels import'!A17:A43,'Forecast-Volumes annuels import'!M17:M43)</f>
        <v>1000</v>
      </c>
      <c r="X17" s="34">
        <f>_xlfn.XLOOKUP(A17,Tableau12[Produits],Tableau12[Prix unitaire € 2026])*W17*145*(1+19%)*(1+15%)</f>
        <v>785792.70000000007</v>
      </c>
      <c r="Y17" s="7">
        <f>_xlfn.XLOOKUP(A17,'Forecast-Volumes annuels import'!A17:A43,'Forecast-Volumes annuels import'!N17:N43)</f>
        <v>0</v>
      </c>
      <c r="Z17" s="34">
        <f>_xlfn.XLOOKUP(A17,Tableau12[Produits],Tableau12[Prix unitaire € 2026])*Y17*145*(1+19%)*(1+15%)</f>
        <v>0</v>
      </c>
      <c r="AA17" s="19">
        <f t="shared" si="0"/>
        <v>6000</v>
      </c>
      <c r="AB17" s="19">
        <f t="shared" si="1"/>
        <v>4714756.2</v>
      </c>
      <c r="AC17" s="19">
        <f t="shared" si="2"/>
        <v>6</v>
      </c>
      <c r="AD17" s="58"/>
    </row>
    <row r="18" spans="1:94" x14ac:dyDescent="0.35">
      <c r="A18" s="133" t="s">
        <v>127</v>
      </c>
      <c r="B18" s="8" t="s">
        <v>17</v>
      </c>
      <c r="C18" s="7">
        <f>_xlfn.XLOOKUP(A18,'Forecast-Volumes annuels import'!A18:A43,'Forecast-Volumes annuels import'!C18:C43)</f>
        <v>0</v>
      </c>
      <c r="D18" s="34">
        <f>_xlfn.XLOOKUP(A18,Tableau12[Produits],Tableau12[Prix unitaire € 2026])*C18*145*(1+19%)*(1+15%)</f>
        <v>0</v>
      </c>
      <c r="E18" s="7">
        <f>_xlfn.XLOOKUP(A18,'Forecast-Volumes annuels import'!A18:A43,'Forecast-Volumes annuels import'!D18:D43)</f>
        <v>0</v>
      </c>
      <c r="F18" s="34">
        <f>_xlfn.XLOOKUP(A18,Tableau12[Produits],Tableau12[Prix unitaire € 2026])*E18*145*(1+19%)*(1+15%)</f>
        <v>0</v>
      </c>
      <c r="G18" s="7">
        <f>_xlfn.XLOOKUP(A18,'Forecast-Volumes annuels import'!A18:A43,'Forecast-Volumes annuels import'!E18:E43)</f>
        <v>2500</v>
      </c>
      <c r="H18" s="34">
        <f>_xlfn.XLOOKUP(A18,Tableau12[Produits],Tableau12[Prix unitaire € 2026])*G18*145*(1+19%)*(1+15%)</f>
        <v>2073619.6249999998</v>
      </c>
      <c r="I18" s="7">
        <f>_xlfn.XLOOKUP('Previsionnels Importations'!A18,'Forecast-Volumes annuels import'!A18:A43,'Forecast-Volumes annuels import'!F18:F43)</f>
        <v>0</v>
      </c>
      <c r="J18" s="34">
        <f>_xlfn.XLOOKUP(A18,Tableau12[Produits],Tableau12[Prix unitaire € 2026])*I18*145*(1+19%)*(1+15%)</f>
        <v>0</v>
      </c>
      <c r="K18" s="7">
        <f>_xlfn.XLOOKUP(A18,'Forecast-Volumes annuels import'!A18:A43,'Forecast-Volumes annuels import'!G18:G43)</f>
        <v>0</v>
      </c>
      <c r="L18" s="34">
        <f>_xlfn.XLOOKUP(A18,Tableau12[Produits],Tableau12[Prix unitaire € 2026])*K18*145*(1+19%)*(1+15%)</f>
        <v>0</v>
      </c>
      <c r="M18" s="7">
        <f>_xlfn.XLOOKUP(A18,'Forecast-Volumes annuels import'!A18:A43,'Forecast-Volumes annuels import'!H18:H43)</f>
        <v>0</v>
      </c>
      <c r="N18" s="34">
        <f>_xlfn.XLOOKUP(A18,Tableau12[Produits],Tableau12[Prix unitaire € 2026])*M18*145*(1+19%)*(1+15%)</f>
        <v>0</v>
      </c>
      <c r="O18" s="7">
        <f>_xlfn.XLOOKUP(A18,'Forecast-Volumes annuels import'!A18:A43,'Forecast-Volumes annuels import'!I18:I43)</f>
        <v>0</v>
      </c>
      <c r="P18" s="34">
        <f>_xlfn.XLOOKUP(A18,Tableau12[Produits],Tableau12[Prix unitaire € 2026])*O18*145*(1+19%)*(1+15%)</f>
        <v>0</v>
      </c>
      <c r="Q18" s="7">
        <f>_xlfn.XLOOKUP(A18,'Forecast-Volumes annuels import'!A18:A43,'Forecast-Volumes annuels import'!J18:J43)</f>
        <v>0</v>
      </c>
      <c r="R18" s="34">
        <f>_xlfn.XLOOKUP(A18,Tableau12[Produits],Tableau12[Prix unitaire € 2026])*Q18*145*(1+19%)*(1+15%)</f>
        <v>0</v>
      </c>
      <c r="S18" s="7">
        <f>_xlfn.XLOOKUP(A18,'Forecast-Volumes annuels import'!A18:A43,'Forecast-Volumes annuels import'!K18:K43)</f>
        <v>5000</v>
      </c>
      <c r="T18" s="34">
        <f>_xlfn.XLOOKUP(A18,Tableau12[Produits],Tableau12[Prix unitaire € 2026])*S18*145*(1+19%)*(1+15%)</f>
        <v>4147239.2499999995</v>
      </c>
      <c r="U18" s="7">
        <f>_xlfn.XLOOKUP(A18,'Forecast-Volumes annuels import'!A18:A43,'Forecast-Volumes annuels import'!L18:L43)</f>
        <v>0</v>
      </c>
      <c r="V18" s="34">
        <f>_xlfn.XLOOKUP(A18,Tableau12[Produits],Tableau12[Prix unitaire € 2026])*U18*145*(1+19%)*(1+15%)</f>
        <v>0</v>
      </c>
      <c r="W18" s="7">
        <f>_xlfn.XLOOKUP(A18,'Forecast-Volumes annuels import'!A18:A43,'Forecast-Volumes annuels import'!M18:M43)</f>
        <v>0</v>
      </c>
      <c r="X18" s="34">
        <f>_xlfn.XLOOKUP(A18,Tableau12[Produits],Tableau12[Prix unitaire € 2026])*W18*145*(1+19%)*(1+15%)</f>
        <v>0</v>
      </c>
      <c r="Y18" s="7">
        <f>_xlfn.XLOOKUP(A18,'Forecast-Volumes annuels import'!A18:A43,'Forecast-Volumes annuels import'!N18:N43)</f>
        <v>0</v>
      </c>
      <c r="Z18" s="34">
        <f>_xlfn.XLOOKUP(A18,Tableau12[Produits],Tableau12[Prix unitaire € 2026])*Y18*145*(1+19%)*(1+15%)</f>
        <v>0</v>
      </c>
      <c r="AA18" s="19">
        <f t="shared" si="0"/>
        <v>7500</v>
      </c>
      <c r="AB18" s="19">
        <f t="shared" si="1"/>
        <v>6220858.8749999991</v>
      </c>
      <c r="AC18" s="19">
        <f t="shared" si="2"/>
        <v>7.5</v>
      </c>
      <c r="AD18" s="58"/>
    </row>
    <row r="19" spans="1:94" x14ac:dyDescent="0.35">
      <c r="A19" s="133" t="s">
        <v>128</v>
      </c>
      <c r="B19" s="8" t="s">
        <v>17</v>
      </c>
      <c r="C19" s="7">
        <f>_xlfn.XLOOKUP(A19,'Forecast-Volumes annuels import'!A19:A44,'Forecast-Volumes annuels import'!C19:C44)</f>
        <v>0</v>
      </c>
      <c r="D19" s="34">
        <f>_xlfn.XLOOKUP(A19,Tableau12[Produits],Tableau12[Prix unitaire € 2026])*C19*145*(1+19%)*(1+15%)</f>
        <v>0</v>
      </c>
      <c r="E19" s="7">
        <f>_xlfn.XLOOKUP(A19,'Forecast-Volumes annuels import'!A19:A44,'Forecast-Volumes annuels import'!D19:D44)</f>
        <v>0</v>
      </c>
      <c r="F19" s="34">
        <f>_xlfn.XLOOKUP(A19,Tableau12[Produits],Tableau12[Prix unitaire € 2026])*E19*145*(1+19%)*(1+15%)</f>
        <v>0</v>
      </c>
      <c r="G19" s="7">
        <f>_xlfn.XLOOKUP(A19,'Forecast-Volumes annuels import'!A19:A45,'Forecast-Volumes annuels import'!E19:E45)</f>
        <v>0</v>
      </c>
      <c r="H19" s="34">
        <f>_xlfn.XLOOKUP(A19,Tableau12[Produits],Tableau12[Prix unitaire € 2026])*G19*145*(1+19%)*(1+15%)</f>
        <v>0</v>
      </c>
      <c r="I19" s="7">
        <f>_xlfn.XLOOKUP('Previsionnels Importations'!A19,'Forecast-Volumes annuels import'!A19:A45,'Forecast-Volumes annuels import'!F19:F45)</f>
        <v>0</v>
      </c>
      <c r="J19" s="34">
        <f>_xlfn.XLOOKUP(A19,Tableau12[Produits],Tableau12[Prix unitaire € 2026])*I19*145*(1+19%)*(1+15%)</f>
        <v>0</v>
      </c>
      <c r="K19" s="7">
        <f>_xlfn.XLOOKUP(A19,'Forecast-Volumes annuels import'!A19:A45,'Forecast-Volumes annuels import'!G19:G45)</f>
        <v>0</v>
      </c>
      <c r="L19" s="34">
        <f>_xlfn.XLOOKUP(A19,Tableau12[Produits],Tableau12[Prix unitaire € 2026])*K19*145*(1+19%)*(1+15%)</f>
        <v>0</v>
      </c>
      <c r="M19" s="7">
        <f>_xlfn.XLOOKUP(A19,'Forecast-Volumes annuels import'!A19:A40,'Forecast-Volumes annuels import'!H19:H40)</f>
        <v>0</v>
      </c>
      <c r="N19" s="34">
        <f>_xlfn.XLOOKUP(A19,Tableau12[Produits],Tableau12[Prix unitaire € 2026])*M19*145*(1+19%)*(1+15%)</f>
        <v>0</v>
      </c>
      <c r="O19" s="7">
        <f>_xlfn.XLOOKUP(A19,'Forecast-Volumes annuels import'!A19:A45,'Forecast-Volumes annuels import'!I19:I45)</f>
        <v>0</v>
      </c>
      <c r="P19" s="34">
        <f>_xlfn.XLOOKUP(A19,Tableau12[Produits],Tableau12[Prix unitaire € 2026])*O19*145*(1+19%)*(1+15%)</f>
        <v>0</v>
      </c>
      <c r="Q19" s="7">
        <f>_xlfn.XLOOKUP(A19,'Forecast-Volumes annuels import'!A19:A45,'Forecast-Volumes annuels import'!J19:J45)</f>
        <v>0</v>
      </c>
      <c r="R19" s="34">
        <f>_xlfn.XLOOKUP(A19,Tableau12[Produits],Tableau12[Prix unitaire € 2026])*Q19*145*(1+19%)*(1+15%)</f>
        <v>0</v>
      </c>
      <c r="S19" s="7">
        <f>_xlfn.XLOOKUP(A19,'Forecast-Volumes annuels import'!A19:A45,'Forecast-Volumes annuels import'!K19:K45)</f>
        <v>0</v>
      </c>
      <c r="T19" s="34">
        <f>_xlfn.XLOOKUP(A19,Tableau12[Produits],Tableau12[Prix unitaire € 2026])*S19*145*(1+19%)*(1+15%)</f>
        <v>0</v>
      </c>
      <c r="U19" s="7">
        <f>_xlfn.XLOOKUP(A19,'Forecast-Volumes annuels import'!A19:A45,'Forecast-Volumes annuels import'!L19:L45)</f>
        <v>0</v>
      </c>
      <c r="V19" s="34">
        <f>_xlfn.XLOOKUP(A19,Tableau12[Produits],Tableau12[Prix unitaire € 2026])*U19*145*(1+19%)*(1+15%)</f>
        <v>0</v>
      </c>
      <c r="W19" s="7">
        <f>_xlfn.XLOOKUP(A19,'Forecast-Volumes annuels import'!A19:A45,'Forecast-Volumes annuels import'!M19:M45)</f>
        <v>0</v>
      </c>
      <c r="X19" s="34">
        <f>_xlfn.XLOOKUP(A19,Tableau12[Produits],Tableau12[Prix unitaire € 2026])*W19*145*(1+19%)*(1+15%)</f>
        <v>0</v>
      </c>
      <c r="Y19" s="7">
        <f>_xlfn.XLOOKUP(A19,'Forecast-Volumes annuels import'!A19:A45,'Forecast-Volumes annuels import'!N19:N45)</f>
        <v>0</v>
      </c>
      <c r="Z19" s="34">
        <f>_xlfn.XLOOKUP(A19,Tableau12[Produits],Tableau12[Prix unitaire € 2026])*Y19*145*(1+19%)*(1+15%)</f>
        <v>0</v>
      </c>
      <c r="AA19" s="19">
        <f t="shared" si="0"/>
        <v>0</v>
      </c>
      <c r="AB19" s="19">
        <f t="shared" si="1"/>
        <v>0</v>
      </c>
      <c r="AC19" s="19">
        <f t="shared" si="2"/>
        <v>0</v>
      </c>
      <c r="AD19" s="58"/>
    </row>
    <row r="20" spans="1:94" x14ac:dyDescent="0.35">
      <c r="A20" s="133" t="s">
        <v>129</v>
      </c>
      <c r="B20" s="8" t="s">
        <v>16</v>
      </c>
      <c r="C20" s="7">
        <f>_xlfn.XLOOKUP(A20,'Forecast-Volumes annuels import'!A20:A45,'Forecast-Volumes annuels import'!C20:C45)</f>
        <v>0</v>
      </c>
      <c r="D20" s="34">
        <f>_xlfn.XLOOKUP(A20,Tableau12[Produits],Tableau12[Prix unitaire € 2026])*C20*145*(1+19%)*(1+15%)</f>
        <v>0</v>
      </c>
      <c r="E20" s="7">
        <f>_xlfn.XLOOKUP(A20,'Forecast-Volumes annuels import'!A20:A45,'Forecast-Volumes annuels import'!D20:D45)</f>
        <v>0</v>
      </c>
      <c r="F20" s="34">
        <f>_xlfn.XLOOKUP(A20,Tableau12[Produits],Tableau12[Prix unitaire € 2026])*E20*145*(1+19%)*(1+15%)</f>
        <v>0</v>
      </c>
      <c r="G20" s="7">
        <f>_xlfn.XLOOKUP(A20,'Forecast-Volumes annuels import'!A20:A45,'Forecast-Volumes annuels import'!E20:E45)</f>
        <v>1000</v>
      </c>
      <c r="H20" s="34">
        <f>_xlfn.XLOOKUP(A20,Tableau12[Produits],Tableau12[Prix unitaire € 2026])*G20*145*(1+19%)*(1+15%)</f>
        <v>3317791.4</v>
      </c>
      <c r="I20" s="7">
        <f>_xlfn.XLOOKUP('Previsionnels Importations'!A20,'Forecast-Volumes annuels import'!A20:A45,'Forecast-Volumes annuels import'!F20:F45)</f>
        <v>0</v>
      </c>
      <c r="J20" s="34">
        <f>_xlfn.XLOOKUP(A20,Tableau12[Produits],Tableau12[Prix unitaire € 2026])*I20*145*(1+19%)*(1+15%)</f>
        <v>0</v>
      </c>
      <c r="K20" s="7">
        <f>_xlfn.XLOOKUP(A20,'Forecast-Volumes annuels import'!A20:A45,'Forecast-Volumes annuels import'!G20:G45)</f>
        <v>0</v>
      </c>
      <c r="L20" s="34">
        <f>_xlfn.XLOOKUP(A20,Tableau12[Produits],Tableau12[Prix unitaire € 2026])*K20*145*(1+19%)*(1+15%)</f>
        <v>0</v>
      </c>
      <c r="M20" s="7">
        <f>_xlfn.XLOOKUP(A20,'Forecast-Volumes annuels import'!A20:A45,'Forecast-Volumes annuels import'!H20:H45)</f>
        <v>1000</v>
      </c>
      <c r="N20" s="34">
        <f>_xlfn.XLOOKUP(A20,Tableau12[Produits],Tableau12[Prix unitaire € 2026])*M20*145*(1+19%)*(1+15%)</f>
        <v>3317791.4</v>
      </c>
      <c r="O20" s="7">
        <f>_xlfn.XLOOKUP(A20,'Forecast-Volumes annuels import'!A20:A45,'Forecast-Volumes annuels import'!I20:I45)</f>
        <v>0</v>
      </c>
      <c r="P20" s="34">
        <f>_xlfn.XLOOKUP(A20,Tableau12[Produits],Tableau12[Prix unitaire € 2026])*O20*145*(1+19%)*(1+15%)</f>
        <v>0</v>
      </c>
      <c r="Q20" s="7">
        <f>_xlfn.XLOOKUP(A20,'Forecast-Volumes annuels import'!A20:A45,'Forecast-Volumes annuels import'!J20:J45)</f>
        <v>0</v>
      </c>
      <c r="R20" s="34">
        <f>_xlfn.XLOOKUP(A20,Tableau12[Produits],Tableau12[Prix unitaire € 2026])*Q20*145*(1+19%)*(1+15%)</f>
        <v>0</v>
      </c>
      <c r="S20" s="7">
        <f>_xlfn.XLOOKUP(A20,'Forecast-Volumes annuels import'!A20:A45,'Forecast-Volumes annuels import'!K20:K45)</f>
        <v>4000</v>
      </c>
      <c r="T20" s="34">
        <f>_xlfn.XLOOKUP(A20,Tableau12[Produits],Tableau12[Prix unitaire € 2026])*S20*145*(1+19%)*(1+15%)</f>
        <v>13271165.6</v>
      </c>
      <c r="U20" s="7">
        <f>_xlfn.XLOOKUP(A20,'Forecast-Volumes annuels import'!A20:A45,'Forecast-Volumes annuels import'!L20:L45)</f>
        <v>0</v>
      </c>
      <c r="V20" s="34">
        <f>_xlfn.XLOOKUP(A20,Tableau12[Produits],Tableau12[Prix unitaire € 2026])*U20*145*(1+19%)*(1+15%)</f>
        <v>0</v>
      </c>
      <c r="W20" s="7">
        <f>_xlfn.XLOOKUP(A20,'Forecast-Volumes annuels import'!A20:A45,'Forecast-Volumes annuels import'!M20:M45)</f>
        <v>0</v>
      </c>
      <c r="X20" s="34">
        <f>_xlfn.XLOOKUP(A20,Tableau12[Produits],Tableau12[Prix unitaire € 2026])*W20*145*(1+19%)*(1+15%)</f>
        <v>0</v>
      </c>
      <c r="Y20" s="7">
        <f>_xlfn.XLOOKUP(A20,'Forecast-Volumes annuels import'!A20:A45,'Forecast-Volumes annuels import'!N20:N45)</f>
        <v>0</v>
      </c>
      <c r="Z20" s="34">
        <f>_xlfn.XLOOKUP(A20,Tableau12[Produits],Tableau12[Prix unitaire € 2026])*Y20*145*(1+19%)*(1+15%)</f>
        <v>0</v>
      </c>
      <c r="AA20" s="19">
        <f t="shared" si="0"/>
        <v>6000</v>
      </c>
      <c r="AB20" s="19">
        <f t="shared" si="1"/>
        <v>19906748.399999999</v>
      </c>
      <c r="AC20" s="19">
        <f t="shared" si="2"/>
        <v>6</v>
      </c>
      <c r="AD20" s="58"/>
    </row>
    <row r="21" spans="1:94" x14ac:dyDescent="0.35">
      <c r="A21" s="133" t="s">
        <v>130</v>
      </c>
      <c r="B21" s="8" t="s">
        <v>16</v>
      </c>
      <c r="C21" s="7">
        <f>_xlfn.XLOOKUP(A21,'Forecast-Volumes annuels import'!A21:A46,'Forecast-Volumes annuels import'!C21:C46)</f>
        <v>13600</v>
      </c>
      <c r="D21" s="34">
        <f>_xlfn.XLOOKUP(A21,Tableau12[Produits],Tableau12[Prix unitaire € 2026])*C21*145*(1+19%)*(1+15%)</f>
        <v>18078470.718000002</v>
      </c>
      <c r="E21" s="7">
        <f>_xlfn.XLOOKUP(A21,'Forecast-Volumes annuels import'!A21:A46,'Forecast-Volumes annuels import'!D21:D46)</f>
        <v>0</v>
      </c>
      <c r="F21" s="34">
        <f>_xlfn.XLOOKUP(A21,Tableau12[Produits],Tableau12[Prix unitaire € 2026])*E21*145*(1+19%)*(1+15%)</f>
        <v>0</v>
      </c>
      <c r="G21" s="7">
        <f>_xlfn.XLOOKUP(A21,'Forecast-Volumes annuels import'!A21:A47,'Forecast-Volumes annuels import'!E21:E47)</f>
        <v>13600</v>
      </c>
      <c r="H21" s="34">
        <f>_xlfn.XLOOKUP(A21,Tableau12[Produits],Tableau12[Prix unitaire € 2026])*G21*145*(1+19%)*(1+15%)</f>
        <v>18078470.718000002</v>
      </c>
      <c r="I21" s="7">
        <f>_xlfn.XLOOKUP('Previsionnels Importations'!A21,'Forecast-Volumes annuels import'!A21:A47,'Forecast-Volumes annuels import'!F21:F47)</f>
        <v>0</v>
      </c>
      <c r="J21" s="34">
        <f>_xlfn.XLOOKUP(A21,Tableau12[Produits],Tableau12[Prix unitaire € 2026])*I21*145*(1+19%)*(1+15%)</f>
        <v>0</v>
      </c>
      <c r="K21" s="7">
        <f>_xlfn.XLOOKUP(A21,'Forecast-Volumes annuels import'!A21:A47,'Forecast-Volumes annuels import'!G21:G47)</f>
        <v>0</v>
      </c>
      <c r="L21" s="34">
        <f>_xlfn.XLOOKUP(A21,Tableau12[Produits],Tableau12[Prix unitaire € 2026])*K21*145*(1+19%)*(1+15%)</f>
        <v>0</v>
      </c>
      <c r="M21" s="7">
        <f>_xlfn.XLOOKUP(A21,'Forecast-Volumes annuels import'!A21:A40,'Forecast-Volumes annuels import'!H21:H40)</f>
        <v>13600</v>
      </c>
      <c r="N21" s="34">
        <f>_xlfn.XLOOKUP(A21,Tableau12[Produits],Tableau12[Prix unitaire € 2026])*M21*145*(1+19%)*(1+15%)</f>
        <v>18078470.718000002</v>
      </c>
      <c r="O21" s="7">
        <f>_xlfn.XLOOKUP(A21,'Forecast-Volumes annuels import'!A21:A47,'Forecast-Volumes annuels import'!I21:I47)</f>
        <v>0</v>
      </c>
      <c r="P21" s="34">
        <f>_xlfn.XLOOKUP(A21,Tableau12[Produits],Tableau12[Prix unitaire € 2026])*O21*145*(1+19%)*(1+15%)</f>
        <v>0</v>
      </c>
      <c r="Q21" s="7">
        <f>_xlfn.XLOOKUP(A21,'Forecast-Volumes annuels import'!A21:A47,'Forecast-Volumes annuels import'!J21:J47)</f>
        <v>0</v>
      </c>
      <c r="R21" s="34">
        <f>_xlfn.XLOOKUP(A21,Tableau12[Produits],Tableau12[Prix unitaire € 2026])*Q21*145*(1+19%)*(1+15%)</f>
        <v>0</v>
      </c>
      <c r="S21" s="7">
        <f>_xlfn.XLOOKUP(A21,'Forecast-Volumes annuels import'!A21:A47,'Forecast-Volumes annuels import'!K21:K47)</f>
        <v>3000</v>
      </c>
      <c r="T21" s="34">
        <f>_xlfn.XLOOKUP(A21,Tableau12[Produits],Tableau12[Prix unitaire € 2026])*S21*145*(1+19%)*(1+15%)</f>
        <v>3987897.9525000001</v>
      </c>
      <c r="U21" s="7">
        <f>_xlfn.XLOOKUP(A21,'Forecast-Volumes annuels import'!A21:A47,'Forecast-Volumes annuels import'!L21:L47)</f>
        <v>0</v>
      </c>
      <c r="V21" s="34">
        <f>_xlfn.XLOOKUP(A21,Tableau12[Produits],Tableau12[Prix unitaire € 2026])*U21*145*(1+19%)*(1+15%)</f>
        <v>0</v>
      </c>
      <c r="W21" s="7">
        <f>_xlfn.XLOOKUP(A21,'Forecast-Volumes annuels import'!A21:A47,'Forecast-Volumes annuels import'!M21:M47)</f>
        <v>6000</v>
      </c>
      <c r="X21" s="34">
        <f>_xlfn.XLOOKUP(A21,Tableau12[Produits],Tableau12[Prix unitaire € 2026])*W21*145*(1+19%)*(1+15%)</f>
        <v>7975795.9050000003</v>
      </c>
      <c r="Y21" s="7">
        <f>_xlfn.XLOOKUP(A21,'Forecast-Volumes annuels import'!A21:A47,'Forecast-Volumes annuels import'!N21:N47)</f>
        <v>0</v>
      </c>
      <c r="Z21" s="34">
        <f>_xlfn.XLOOKUP(A21,Tableau12[Produits],Tableau12[Prix unitaire € 2026])*Y21*145*(1+19%)*(1+15%)</f>
        <v>0</v>
      </c>
      <c r="AA21" s="19">
        <f t="shared" si="0"/>
        <v>49800</v>
      </c>
      <c r="AB21" s="19">
        <f t="shared" si="1"/>
        <v>66199106.011500008</v>
      </c>
      <c r="AC21" s="19">
        <f t="shared" si="2"/>
        <v>49.8</v>
      </c>
      <c r="AD21" s="58"/>
    </row>
    <row r="22" spans="1:94" x14ac:dyDescent="0.35">
      <c r="A22" s="133" t="s">
        <v>131</v>
      </c>
      <c r="B22" s="8" t="s">
        <v>16</v>
      </c>
      <c r="C22" s="7">
        <f>_xlfn.XLOOKUP(A22,'Forecast-Volumes annuels import'!A22:A47,'Forecast-Volumes annuels import'!C22:C47)</f>
        <v>1800</v>
      </c>
      <c r="D22" s="34">
        <f>_xlfn.XLOOKUP(A22,Tableau12[Produits],Tableau12[Prix unitaire € 2026])*C22*145*(1+19%)*(1+15%)</f>
        <v>1905547.2974999996</v>
      </c>
      <c r="E22" s="7">
        <f>_xlfn.XLOOKUP(A22,'Forecast-Volumes annuels import'!A22:A47,'Forecast-Volumes annuels import'!D22:D47)</f>
        <v>0</v>
      </c>
      <c r="F22" s="34">
        <f>_xlfn.XLOOKUP(A22,Tableau12[Produits],Tableau12[Prix unitaire € 2026])*E22*145*(1+19%)*(1+15%)</f>
        <v>0</v>
      </c>
      <c r="G22" s="7">
        <f>_xlfn.XLOOKUP(A22,'Forecast-Volumes annuels import'!A22:A47,'Forecast-Volumes annuels import'!E22:E47)</f>
        <v>1000</v>
      </c>
      <c r="H22" s="34">
        <f>_xlfn.XLOOKUP(A22,Tableau12[Produits],Tableau12[Prix unitaire € 2026])*G22*145*(1+19%)*(1+15%)</f>
        <v>1058637.3875</v>
      </c>
      <c r="I22" s="7">
        <f>_xlfn.XLOOKUP('Previsionnels Importations'!A22,'Forecast-Volumes annuels import'!A22:A47,'Forecast-Volumes annuels import'!F22:F47)</f>
        <v>0</v>
      </c>
      <c r="J22" s="34">
        <f>_xlfn.XLOOKUP(A22,Tableau12[Produits],Tableau12[Prix unitaire € 2026])*I22*145*(1+19%)*(1+15%)</f>
        <v>0</v>
      </c>
      <c r="K22" s="7">
        <f>_xlfn.XLOOKUP(A22,'Forecast-Volumes annuels import'!A22:A47,'Forecast-Volumes annuels import'!G22:G47)</f>
        <v>0</v>
      </c>
      <c r="L22" s="34">
        <f>_xlfn.XLOOKUP(A22,Tableau12[Produits],Tableau12[Prix unitaire € 2026])*K22*145*(1+19%)*(1+15%)</f>
        <v>0</v>
      </c>
      <c r="M22" s="7">
        <f>_xlfn.XLOOKUP(A22,'Forecast-Volumes annuels import'!A22:A47,'Forecast-Volumes annuels import'!H22:H47)</f>
        <v>5000</v>
      </c>
      <c r="N22" s="34">
        <f>_xlfn.XLOOKUP(A22,Tableau12[Produits],Tableau12[Prix unitaire € 2026])*M22*145*(1+19%)*(1+15%)</f>
        <v>5293186.9375</v>
      </c>
      <c r="O22" s="7">
        <f>_xlfn.XLOOKUP(A22,'Forecast-Volumes annuels import'!A22:A47,'Forecast-Volumes annuels import'!I22:I47)</f>
        <v>0</v>
      </c>
      <c r="P22" s="34">
        <f>_xlfn.XLOOKUP(A22,Tableau12[Produits],Tableau12[Prix unitaire € 2026])*O22*145*(1+19%)*(1+15%)</f>
        <v>0</v>
      </c>
      <c r="Q22" s="7">
        <f>_xlfn.XLOOKUP(A22,'Forecast-Volumes annuels import'!A22:A47,'Forecast-Volumes annuels import'!J22:J47)</f>
        <v>0</v>
      </c>
      <c r="R22" s="34">
        <f>_xlfn.XLOOKUP(A22,Tableau12[Produits],Tableau12[Prix unitaire € 2026])*Q22*145*(1+19%)*(1+15%)</f>
        <v>0</v>
      </c>
      <c r="S22" s="7">
        <f>_xlfn.XLOOKUP(A22,'Forecast-Volumes annuels import'!A22:A47,'Forecast-Volumes annuels import'!K22:K47)</f>
        <v>5000</v>
      </c>
      <c r="T22" s="34">
        <f>_xlfn.XLOOKUP(A22,Tableau12[Produits],Tableau12[Prix unitaire € 2026])*S22*145*(1+19%)*(1+15%)</f>
        <v>5293186.9375</v>
      </c>
      <c r="U22" s="7">
        <f>_xlfn.XLOOKUP(A22,'Forecast-Volumes annuels import'!A22:A47,'Forecast-Volumes annuels import'!L22:L47)</f>
        <v>0</v>
      </c>
      <c r="V22" s="34">
        <f>_xlfn.XLOOKUP(A22,Tableau12[Produits],Tableau12[Prix unitaire € 2026])*U22*145*(1+19%)*(1+15%)</f>
        <v>0</v>
      </c>
      <c r="W22" s="7">
        <f>_xlfn.XLOOKUP(A22,'Forecast-Volumes annuels import'!A22:A47,'Forecast-Volumes annuels import'!M22:M47)</f>
        <v>4000</v>
      </c>
      <c r="X22" s="34">
        <f>_xlfn.XLOOKUP(A22,Tableau12[Produits],Tableau12[Prix unitaire € 2026])*W22*145*(1+19%)*(1+15%)</f>
        <v>4234549.55</v>
      </c>
      <c r="Y22" s="7">
        <f>_xlfn.XLOOKUP(A22,'Forecast-Volumes annuels import'!A22:A47,'Forecast-Volumes annuels import'!N22:N47)</f>
        <v>0</v>
      </c>
      <c r="Z22" s="34">
        <f>_xlfn.XLOOKUP(A22,Tableau12[Produits],Tableau12[Prix unitaire € 2026])*Y22*145*(1+19%)*(1+15%)</f>
        <v>0</v>
      </c>
      <c r="AA22" s="19">
        <f t="shared" si="0"/>
        <v>16800</v>
      </c>
      <c r="AB22" s="19">
        <f t="shared" si="1"/>
        <v>17785108.109999999</v>
      </c>
      <c r="AC22" s="19">
        <f t="shared" si="2"/>
        <v>16.8</v>
      </c>
      <c r="AD22" s="58"/>
    </row>
    <row r="23" spans="1:94" x14ac:dyDescent="0.35">
      <c r="A23" s="133" t="s">
        <v>132</v>
      </c>
      <c r="B23" s="8" t="s">
        <v>16</v>
      </c>
      <c r="C23" s="7">
        <f>_xlfn.XLOOKUP(A23,'Forecast-Volumes annuels import'!A23:A48,'Forecast-Volumes annuels import'!C23:C48)</f>
        <v>0</v>
      </c>
      <c r="D23" s="34">
        <f>_xlfn.XLOOKUP(A23,Tableau12[Produits],Tableau12[Prix unitaire € 2026])*C23*145*(1+19%)*(1+15%)</f>
        <v>0</v>
      </c>
      <c r="E23" s="7">
        <f>_xlfn.XLOOKUP(A23,'Forecast-Volumes annuels import'!A23:A48,'Forecast-Volumes annuels import'!D23:D48)</f>
        <v>0</v>
      </c>
      <c r="F23" s="34">
        <f>_xlfn.XLOOKUP(A23,Tableau12[Produits],Tableau12[Prix unitaire € 2026])*E23*145*(1+19%)*(1+15%)</f>
        <v>0</v>
      </c>
      <c r="G23" s="7">
        <f>_xlfn.XLOOKUP(A23,'Forecast-Volumes annuels import'!A23:A49,'Forecast-Volumes annuels import'!E23:E49)</f>
        <v>0</v>
      </c>
      <c r="H23" s="34">
        <f>_xlfn.XLOOKUP(A23,Tableau12[Produits],Tableau12[Prix unitaire € 2026])*G23*145*(1+19%)*(1+15%)</f>
        <v>0</v>
      </c>
      <c r="I23" s="7">
        <f>_xlfn.XLOOKUP('Previsionnels Importations'!A23,'Forecast-Volumes annuels import'!A23:A49,'Forecast-Volumes annuels import'!F23:F49)</f>
        <v>0</v>
      </c>
      <c r="J23" s="34">
        <f>_xlfn.XLOOKUP(A23,Tableau12[Produits],Tableau12[Prix unitaire € 2026])*I23*145*(1+19%)*(1+15%)</f>
        <v>0</v>
      </c>
      <c r="K23" s="7">
        <f>_xlfn.XLOOKUP(A23,'Forecast-Volumes annuels import'!A23:A49,'Forecast-Volumes annuels import'!G23:G49)</f>
        <v>0</v>
      </c>
      <c r="L23" s="34">
        <f>_xlfn.XLOOKUP(A23,Tableau12[Produits],Tableau12[Prix unitaire € 2026])*K23*145*(1+19%)*(1+15%)</f>
        <v>0</v>
      </c>
      <c r="M23" s="7">
        <f>_xlfn.XLOOKUP(A23,'Forecast-Volumes annuels import'!A23:A40,'Forecast-Volumes annuels import'!H23:H40)</f>
        <v>5000</v>
      </c>
      <c r="N23" s="34">
        <f>_xlfn.XLOOKUP(A23,Tableau12[Produits],Tableau12[Prix unitaire € 2026])*M23*145*(1+19%)*(1+15%)</f>
        <v>2542912.4874999998</v>
      </c>
      <c r="O23" s="7">
        <f>_xlfn.XLOOKUP(A23,'Forecast-Volumes annuels import'!A23:A49,'Forecast-Volumes annuels import'!I23:I49)</f>
        <v>0</v>
      </c>
      <c r="P23" s="34">
        <f>_xlfn.XLOOKUP(A23,Tableau12[Produits],Tableau12[Prix unitaire € 2026])*O23*145*(1+19%)*(1+15%)</f>
        <v>0</v>
      </c>
      <c r="Q23" s="7">
        <f>_xlfn.XLOOKUP(A23,'Forecast-Volumes annuels import'!A23:A49,'Forecast-Volumes annuels import'!J23:J49)</f>
        <v>0</v>
      </c>
      <c r="R23" s="34">
        <f>_xlfn.XLOOKUP(A23,Tableau12[Produits],Tableau12[Prix unitaire € 2026])*Q23*145*(1+19%)*(1+15%)</f>
        <v>0</v>
      </c>
      <c r="S23" s="7">
        <f>_xlfn.XLOOKUP(A23,'Forecast-Volumes annuels import'!A23:A49,'Forecast-Volumes annuels import'!K23:K49)</f>
        <v>7000</v>
      </c>
      <c r="T23" s="34">
        <f>_xlfn.XLOOKUP(A23,Tableau12[Produits],Tableau12[Prix unitaire € 2026])*S23*145*(1+19%)*(1+15%)</f>
        <v>3560077.4824999995</v>
      </c>
      <c r="U23" s="7">
        <f>_xlfn.XLOOKUP(A23,'Forecast-Volumes annuels import'!A23:A49,'Forecast-Volumes annuels import'!L23:L49)</f>
        <v>0</v>
      </c>
      <c r="V23" s="34">
        <f>_xlfn.XLOOKUP(A23,Tableau12[Produits],Tableau12[Prix unitaire € 2026])*U23*145*(1+19%)*(1+15%)</f>
        <v>0</v>
      </c>
      <c r="W23" s="7">
        <f>_xlfn.XLOOKUP(A23,'Forecast-Volumes annuels import'!A23:A49,'Forecast-Volumes annuels import'!M23:M49)</f>
        <v>3000</v>
      </c>
      <c r="X23" s="34">
        <f>_xlfn.XLOOKUP(A23,Tableau12[Produits],Tableau12[Prix unitaire € 2026])*W23*145*(1+19%)*(1+15%)</f>
        <v>1525747.4925000002</v>
      </c>
      <c r="Y23" s="7">
        <f>_xlfn.XLOOKUP(A23,'Forecast-Volumes annuels import'!A23:A49,'Forecast-Volumes annuels import'!N23:N49)</f>
        <v>0</v>
      </c>
      <c r="Z23" s="34">
        <f>_xlfn.XLOOKUP(A23,Tableau12[Produits],Tableau12[Prix unitaire € 2026])*Y23*145*(1+19%)*(1+15%)</f>
        <v>0</v>
      </c>
      <c r="AA23" s="19">
        <f t="shared" si="0"/>
        <v>15000</v>
      </c>
      <c r="AB23" s="19">
        <f t="shared" si="1"/>
        <v>7628737.4624999985</v>
      </c>
      <c r="AC23" s="19">
        <f t="shared" si="2"/>
        <v>15</v>
      </c>
      <c r="AD23" s="58"/>
    </row>
    <row r="24" spans="1:94" x14ac:dyDescent="0.35">
      <c r="A24" s="133" t="s">
        <v>133</v>
      </c>
      <c r="B24" s="8" t="s">
        <v>16</v>
      </c>
      <c r="C24" s="7">
        <f>_xlfn.XLOOKUP(A24,'Forecast-Volumes annuels import'!A24:A49,'Forecast-Volumes annuels import'!C24:C49)</f>
        <v>0</v>
      </c>
      <c r="D24" s="34">
        <f>_xlfn.XLOOKUP(A24,Tableau12[Produits],Tableau12[Prix unitaire € 2026])*C24*145*(1+19%)*(1+15%)</f>
        <v>0</v>
      </c>
      <c r="E24" s="7">
        <f>_xlfn.XLOOKUP(A24,'Forecast-Volumes annuels import'!A24:A49,'Forecast-Volumes annuels import'!D24:D49)</f>
        <v>0</v>
      </c>
      <c r="F24" s="34">
        <f>_xlfn.XLOOKUP(A24,Tableau12[Produits],Tableau12[Prix unitaire € 2026])*E24*145*(1+19%)*(1+15%)</f>
        <v>0</v>
      </c>
      <c r="G24" s="7">
        <f>_xlfn.XLOOKUP(A24,'Forecast-Volumes annuels import'!A24:A49,'Forecast-Volumes annuels import'!E24:E49)</f>
        <v>0</v>
      </c>
      <c r="H24" s="34">
        <f>_xlfn.XLOOKUP(A24,Tableau12[Produits],Tableau12[Prix unitaire € 2026])*G24*145*(1+19%)*(1+15%)</f>
        <v>0</v>
      </c>
      <c r="I24" s="7">
        <f>_xlfn.XLOOKUP('Previsionnels Importations'!A24,'Forecast-Volumes annuels import'!A24:A49,'Forecast-Volumes annuels import'!F24:F49)</f>
        <v>0</v>
      </c>
      <c r="J24" s="34">
        <f>_xlfn.XLOOKUP(A24,Tableau12[Produits],Tableau12[Prix unitaire € 2026])*I24*145*(1+19%)*(1+15%)</f>
        <v>0</v>
      </c>
      <c r="K24" s="7">
        <f>_xlfn.XLOOKUP(A24,'Forecast-Volumes annuels import'!A24:A49,'Forecast-Volumes annuels import'!G24:G49)</f>
        <v>0</v>
      </c>
      <c r="L24" s="34">
        <f>_xlfn.XLOOKUP(A24,Tableau12[Produits],Tableau12[Prix unitaire € 2026])*K24*145*(1+19%)*(1+15%)</f>
        <v>0</v>
      </c>
      <c r="M24" s="7">
        <f>_xlfn.XLOOKUP(A24,'Forecast-Volumes annuels import'!A24:A49,'Forecast-Volumes annuels import'!H24:H49)</f>
        <v>5000</v>
      </c>
      <c r="N24" s="34">
        <f>_xlfn.XLOOKUP(A24,Tableau12[Produits],Tableau12[Prix unitaire € 2026])*M24*145*(1+19%)*(1+15%)</f>
        <v>2728446.875</v>
      </c>
      <c r="O24" s="7">
        <f>_xlfn.XLOOKUP(A24,'Forecast-Volumes annuels import'!A24:A49,'Forecast-Volumes annuels import'!I24:I49)</f>
        <v>0</v>
      </c>
      <c r="P24" s="34">
        <f>_xlfn.XLOOKUP(A24,Tableau12[Produits],Tableau12[Prix unitaire € 2026])*O24*145*(1+19%)*(1+15%)</f>
        <v>0</v>
      </c>
      <c r="Q24" s="7">
        <f>_xlfn.XLOOKUP(A24,'Forecast-Volumes annuels import'!A24:A49,'Forecast-Volumes annuels import'!J24:J49)</f>
        <v>0</v>
      </c>
      <c r="R24" s="34">
        <f>_xlfn.XLOOKUP(A24,Tableau12[Produits],Tableau12[Prix unitaire € 2026])*Q24*145*(1+19%)*(1+15%)</f>
        <v>0</v>
      </c>
      <c r="S24" s="7">
        <f>_xlfn.XLOOKUP(A24,'Forecast-Volumes annuels import'!A24:A49,'Forecast-Volumes annuels import'!K24:K49)</f>
        <v>3000</v>
      </c>
      <c r="T24" s="34">
        <f>_xlfn.XLOOKUP(A24,Tableau12[Produits],Tableau12[Prix unitaire € 2026])*S24*145*(1+19%)*(1+15%)</f>
        <v>1637068.1249999998</v>
      </c>
      <c r="U24" s="7">
        <f>_xlfn.XLOOKUP(A24,'Forecast-Volumes annuels import'!A24:A49,'Forecast-Volumes annuels import'!L24:L49)</f>
        <v>0</v>
      </c>
      <c r="V24" s="34">
        <f>_xlfn.XLOOKUP(A24,Tableau12[Produits],Tableau12[Prix unitaire € 2026])*U24*145*(1+19%)*(1+15%)</f>
        <v>0</v>
      </c>
      <c r="W24" s="7">
        <f>_xlfn.XLOOKUP(A24,'Forecast-Volumes annuels import'!A24:A49,'Forecast-Volumes annuels import'!M24:M49)</f>
        <v>7000</v>
      </c>
      <c r="X24" s="34">
        <f>_xlfn.XLOOKUP(A24,Tableau12[Produits],Tableau12[Prix unitaire € 2026])*W24*145*(1+19%)*(1+15%)</f>
        <v>3819825.6249999995</v>
      </c>
      <c r="Y24" s="7">
        <f>_xlfn.XLOOKUP(A24,'Forecast-Volumes annuels import'!A24:A49,'Forecast-Volumes annuels import'!N24:N49)</f>
        <v>0</v>
      </c>
      <c r="Z24" s="34">
        <f>_xlfn.XLOOKUP(A24,Tableau12[Produits],Tableau12[Prix unitaire € 2026])*Y24*145*(1+19%)*(1+15%)</f>
        <v>0</v>
      </c>
      <c r="AA24" s="19">
        <f t="shared" si="0"/>
        <v>15000</v>
      </c>
      <c r="AB24" s="19">
        <f t="shared" si="1"/>
        <v>8185340.625</v>
      </c>
      <c r="AC24" s="19">
        <f t="shared" si="2"/>
        <v>15</v>
      </c>
      <c r="AD24" s="58"/>
    </row>
    <row r="25" spans="1:94" x14ac:dyDescent="0.35">
      <c r="A25" s="133" t="s">
        <v>134</v>
      </c>
      <c r="B25" s="8" t="s">
        <v>18</v>
      </c>
      <c r="C25" s="7">
        <f>_xlfn.XLOOKUP(A25,'Forecast-Volumes annuels import'!A25:A50,'Forecast-Volumes annuels import'!C25:C50)</f>
        <v>0</v>
      </c>
      <c r="D25" s="34">
        <f>_xlfn.XLOOKUP(A25,Tableau12[Produits],Tableau12[Prix unitaire € 2026])*C25*145*(1+19%)*(1+15%)</f>
        <v>0</v>
      </c>
      <c r="E25" s="7">
        <f>_xlfn.XLOOKUP(A25,'Forecast-Volumes annuels import'!A25:A50,'Forecast-Volumes annuels import'!D25:D50)</f>
        <v>0</v>
      </c>
      <c r="F25" s="34">
        <f>_xlfn.XLOOKUP(A25,Tableau12[Produits],Tableau12[Prix unitaire € 2026])*E25*145*(1+19%)*(1+15%)</f>
        <v>0</v>
      </c>
      <c r="G25" s="7">
        <f>_xlfn.XLOOKUP(A25,'Forecast-Volumes annuels import'!A25:A51,'Forecast-Volumes annuels import'!E25:E51)</f>
        <v>0</v>
      </c>
      <c r="H25" s="34">
        <f>_xlfn.XLOOKUP(A25,Tableau12[Produits],Tableau12[Prix unitaire € 2026])*G25*145*(1+19%)*(1+15%)</f>
        <v>0</v>
      </c>
      <c r="I25" s="7">
        <f>_xlfn.XLOOKUP('Previsionnels Importations'!A25,'Forecast-Volumes annuels import'!A25:A51,'Forecast-Volumes annuels import'!F25:F51)</f>
        <v>0</v>
      </c>
      <c r="J25" s="34">
        <f>_xlfn.XLOOKUP(A25,Tableau12[Produits],Tableau12[Prix unitaire € 2026])*I25*145*(1+19%)*(1+15%)</f>
        <v>0</v>
      </c>
      <c r="K25" s="7">
        <f>_xlfn.XLOOKUP(A25,'Forecast-Volumes annuels import'!A25:A51,'Forecast-Volumes annuels import'!G25:G51)</f>
        <v>0</v>
      </c>
      <c r="L25" s="34">
        <f>_xlfn.XLOOKUP(A25,Tableau12[Produits],Tableau12[Prix unitaire € 2026])*K25*145*(1+19%)*(1+15%)</f>
        <v>0</v>
      </c>
      <c r="M25" s="7">
        <f>_xlfn.XLOOKUP(A25,'Forecast-Volumes annuels import'!A25:A40,'Forecast-Volumes annuels import'!H25:H40)</f>
        <v>5000</v>
      </c>
      <c r="N25" s="34">
        <f>_xlfn.XLOOKUP(A25,Tableau12[Produits],Tableau12[Prix unitaire € 2026])*M25*145*(1+19%)*(1+15%)</f>
        <v>2946722.6250000005</v>
      </c>
      <c r="O25" s="7">
        <f>_xlfn.XLOOKUP(A25,'Forecast-Volumes annuels import'!A25:A51,'Forecast-Volumes annuels import'!I25:I51)</f>
        <v>0</v>
      </c>
      <c r="P25" s="34">
        <f>_xlfn.XLOOKUP(A25,Tableau12[Produits],Tableau12[Prix unitaire € 2026])*O25*145*(1+19%)*(1+15%)</f>
        <v>0</v>
      </c>
      <c r="Q25" s="7">
        <f>_xlfn.XLOOKUP(A25,'Forecast-Volumes annuels import'!A25:A51,'Forecast-Volumes annuels import'!J25:J51)</f>
        <v>0</v>
      </c>
      <c r="R25" s="34">
        <f>_xlfn.XLOOKUP(A25,Tableau12[Produits],Tableau12[Prix unitaire € 2026])*Q25*145*(1+19%)*(1+15%)</f>
        <v>0</v>
      </c>
      <c r="S25" s="7">
        <f>_xlfn.XLOOKUP(A25,'Forecast-Volumes annuels import'!A25:A51,'Forecast-Volumes annuels import'!K25:K51)</f>
        <v>3000</v>
      </c>
      <c r="T25" s="34">
        <f>_xlfn.XLOOKUP(A25,Tableau12[Produits],Tableau12[Prix unitaire € 2026])*S25*145*(1+19%)*(1+15%)</f>
        <v>1768033.5750000002</v>
      </c>
      <c r="U25" s="7">
        <f>_xlfn.XLOOKUP(A25,'Forecast-Volumes annuels import'!A25:A51,'Forecast-Volumes annuels import'!L25:L51)</f>
        <v>0</v>
      </c>
      <c r="V25" s="34">
        <f>_xlfn.XLOOKUP(A25,Tableau12[Produits],Tableau12[Prix unitaire € 2026])*U25*145*(1+19%)*(1+15%)</f>
        <v>0</v>
      </c>
      <c r="W25" s="7">
        <f>_xlfn.XLOOKUP(A25,'Forecast-Volumes annuels import'!A25:A51,'Forecast-Volumes annuels import'!M25:M51)</f>
        <v>7000</v>
      </c>
      <c r="X25" s="34">
        <f>_xlfn.XLOOKUP(A25,Tableau12[Produits],Tableau12[Prix unitaire € 2026])*W25*145*(1+19%)*(1+15%)</f>
        <v>4125411.6750000003</v>
      </c>
      <c r="Y25" s="7">
        <f>_xlfn.XLOOKUP(A25,'Forecast-Volumes annuels import'!A25:A51,'Forecast-Volumes annuels import'!N25:N51)</f>
        <v>0</v>
      </c>
      <c r="Z25" s="34">
        <f>_xlfn.XLOOKUP(A25,Tableau12[Produits],Tableau12[Prix unitaire € 2026])*Y25*145*(1+19%)*(1+15%)</f>
        <v>0</v>
      </c>
      <c r="AA25" s="19">
        <f t="shared" si="0"/>
        <v>15000</v>
      </c>
      <c r="AB25" s="19">
        <f t="shared" si="1"/>
        <v>8840167.8750000019</v>
      </c>
      <c r="AC25" s="19">
        <f>AA25/1000</f>
        <v>15</v>
      </c>
      <c r="AD25" s="58"/>
    </row>
    <row r="26" spans="1:94" x14ac:dyDescent="0.35">
      <c r="A26" s="133" t="s">
        <v>135</v>
      </c>
      <c r="B26" s="8" t="s">
        <v>18</v>
      </c>
      <c r="C26" s="7">
        <f>_xlfn.XLOOKUP(A26,'Forecast-Volumes annuels import'!A26:A51,'Forecast-Volumes annuels import'!C26:C51)</f>
        <v>0</v>
      </c>
      <c r="D26" s="34">
        <f>_xlfn.XLOOKUP(A26,Tableau12[Produits],Tableau12[Prix unitaire € 2026])*C26*145*(1+19%)*(1+15%)</f>
        <v>0</v>
      </c>
      <c r="E26" s="7">
        <f>_xlfn.XLOOKUP(A26,'Forecast-Volumes annuels import'!A26:A51,'Forecast-Volumes annuels import'!D26:D51)</f>
        <v>0</v>
      </c>
      <c r="F26" s="34">
        <f>_xlfn.XLOOKUP(A26,Tableau12[Produits],Tableau12[Prix unitaire € 2026])*E26*145*(1+19%)*(1+15%)</f>
        <v>0</v>
      </c>
      <c r="G26" s="7">
        <f>_xlfn.XLOOKUP(A26,'Forecast-Volumes annuels import'!A26:A51,'Forecast-Volumes annuels import'!E26:E51)</f>
        <v>0</v>
      </c>
      <c r="H26" s="34">
        <f>_xlfn.XLOOKUP(A26,Tableau12[Produits],Tableau12[Prix unitaire € 2026])*G26*145*(1+19%)*(1+15%)</f>
        <v>0</v>
      </c>
      <c r="I26" s="7">
        <f>_xlfn.XLOOKUP('Previsionnels Importations'!A26,'Forecast-Volumes annuels import'!A26:A51,'Forecast-Volumes annuels import'!F26:F51)</f>
        <v>400</v>
      </c>
      <c r="J26" s="34">
        <f>_xlfn.XLOOKUP(A26,Tableau12[Produits],Tableau12[Prix unitaire € 2026])*I26*145*(1+19%)*(1+15%)</f>
        <v>6460962.2000000002</v>
      </c>
      <c r="K26" s="7">
        <f>_xlfn.XLOOKUP(A26,'Forecast-Volumes annuels import'!A26:A51,'Forecast-Volumes annuels import'!G26:G51)</f>
        <v>400</v>
      </c>
      <c r="L26" s="34">
        <f>_xlfn.XLOOKUP(A26,Tableau12[Produits],Tableau12[Prix unitaire € 2026])*K26*145*(1+19%)*(1+15%)</f>
        <v>6460962.2000000002</v>
      </c>
      <c r="M26" s="7">
        <f>_xlfn.XLOOKUP(A26,'Forecast-Volumes annuels import'!A26:A51,'Forecast-Volumes annuels import'!H26:H51)</f>
        <v>0</v>
      </c>
      <c r="N26" s="34">
        <f>_xlfn.XLOOKUP(A26,Tableau12[Produits],Tableau12[Prix unitaire € 2026])*M26*145*(1+19%)*(1+15%)</f>
        <v>0</v>
      </c>
      <c r="O26" s="7">
        <f>_xlfn.XLOOKUP(A26,'Forecast-Volumes annuels import'!A26:A51,'Forecast-Volumes annuels import'!I26:I51)</f>
        <v>0</v>
      </c>
      <c r="P26" s="34">
        <f>_xlfn.XLOOKUP(A26,Tableau12[Produits],Tableau12[Prix unitaire € 2026])*O26*145*(1+19%)*(1+15%)</f>
        <v>0</v>
      </c>
      <c r="Q26" s="7">
        <f>_xlfn.XLOOKUP(A26,'Forecast-Volumes annuels import'!A26:A51,'Forecast-Volumes annuels import'!J26:J51)</f>
        <v>0</v>
      </c>
      <c r="R26" s="34">
        <f>_xlfn.XLOOKUP(A26,Tableau12[Produits],Tableau12[Prix unitaire € 2026])*Q26*145*(1+19%)*(1+15%)</f>
        <v>0</v>
      </c>
      <c r="S26" s="7">
        <f>_xlfn.XLOOKUP(A26,'Forecast-Volumes annuels import'!A26:A51,'Forecast-Volumes annuels import'!K26:K51)</f>
        <v>0</v>
      </c>
      <c r="T26" s="34">
        <f>_xlfn.XLOOKUP(A26,Tableau12[Produits],Tableau12[Prix unitaire € 2026])*S26*145*(1+19%)*(1+15%)</f>
        <v>0</v>
      </c>
      <c r="U26" s="7">
        <f>_xlfn.XLOOKUP(A26,'Forecast-Volumes annuels import'!A26:A51,'Forecast-Volumes annuels import'!L26:L51)</f>
        <v>0</v>
      </c>
      <c r="V26" s="34">
        <f>_xlfn.XLOOKUP(A26,Tableau12[Produits],Tableau12[Prix unitaire € 2026])*U26*145*(1+19%)*(1+15%)</f>
        <v>0</v>
      </c>
      <c r="W26" s="7">
        <f>_xlfn.XLOOKUP(A26,'Forecast-Volumes annuels import'!A26:A51,'Forecast-Volumes annuels import'!M26:M51)</f>
        <v>0</v>
      </c>
      <c r="X26" s="34">
        <f>_xlfn.XLOOKUP(A26,Tableau12[Produits],Tableau12[Prix unitaire € 2026])*W26*145*(1+19%)*(1+15%)</f>
        <v>0</v>
      </c>
      <c r="Y26" s="7">
        <f>_xlfn.XLOOKUP(A26,'Forecast-Volumes annuels import'!A26:A51,'Forecast-Volumes annuels import'!N26:N51)</f>
        <v>0</v>
      </c>
      <c r="Z26" s="34">
        <f>_xlfn.XLOOKUP(A26,Tableau12[Produits],Tableau12[Prix unitaire € 2026])*Y26*145*(1+19%)*(1+15%)</f>
        <v>0</v>
      </c>
      <c r="AA26" s="19">
        <f t="shared" si="0"/>
        <v>800</v>
      </c>
      <c r="AB26" s="19">
        <f t="shared" si="1"/>
        <v>12921924.4</v>
      </c>
      <c r="AC26" s="19">
        <f t="shared" ref="AC26:AC32" si="3">AA26/10</f>
        <v>80</v>
      </c>
      <c r="AD26" s="58"/>
    </row>
    <row r="27" spans="1:94" x14ac:dyDescent="0.35">
      <c r="A27" s="133" t="s">
        <v>136</v>
      </c>
      <c r="B27" s="8" t="s">
        <v>18</v>
      </c>
      <c r="C27" s="7">
        <f>_xlfn.XLOOKUP(A27,'Forecast-Volumes annuels import'!A27:A52,'Forecast-Volumes annuels import'!C27:C52)</f>
        <v>0</v>
      </c>
      <c r="D27" s="34">
        <f>_xlfn.XLOOKUP(A27,Tableau12[Produits],Tableau12[Prix unitaire € 2026])*C27*145*(1+19%)*(1+15%)</f>
        <v>0</v>
      </c>
      <c r="E27" s="7">
        <f>_xlfn.XLOOKUP(A27,'Forecast-Volumes annuels import'!A27:A52,'Forecast-Volumes annuels import'!D27:D52)</f>
        <v>0</v>
      </c>
      <c r="F27" s="34">
        <f>_xlfn.XLOOKUP(A27,Tableau12[Produits],Tableau12[Prix unitaire € 2026])*E27*145*(1+19%)*(1+15%)</f>
        <v>0</v>
      </c>
      <c r="G27" s="7">
        <f>_xlfn.XLOOKUP(A27,'Forecast-Volumes annuels import'!A27:A53,'Forecast-Volumes annuels import'!E27:E53)</f>
        <v>0</v>
      </c>
      <c r="H27" s="34">
        <f>_xlfn.XLOOKUP(A27,Tableau12[Produits],Tableau12[Prix unitaire € 2026])*G27*145*(1+19%)*(1+15%)</f>
        <v>0</v>
      </c>
      <c r="I27" s="7">
        <f>_xlfn.XLOOKUP('Previsionnels Importations'!A27,'Forecast-Volumes annuels import'!A27:A53,'Forecast-Volumes annuels import'!F27:F53)</f>
        <v>200</v>
      </c>
      <c r="J27" s="34">
        <f>_xlfn.XLOOKUP(A27,Tableau12[Produits],Tableau12[Prix unitaire € 2026])*I27*145*(1+19%)*(1+15%)</f>
        <v>4103584.0999999996</v>
      </c>
      <c r="K27" s="7">
        <f>_xlfn.XLOOKUP(A27,'Forecast-Volumes annuels import'!A27:A53,'Forecast-Volumes annuels import'!G27:G53)</f>
        <v>400</v>
      </c>
      <c r="L27" s="34">
        <f>_xlfn.XLOOKUP(A27,Tableau12[Produits],Tableau12[Prix unitaire € 2026])*K27*145*(1+19%)*(1+15%)</f>
        <v>8207168.1999999993</v>
      </c>
      <c r="M27" s="7">
        <f>_xlfn.XLOOKUP(A27,'Forecast-Volumes annuels import'!A27:A40,'Forecast-Volumes annuels import'!H27:H40)</f>
        <v>0</v>
      </c>
      <c r="N27" s="34">
        <f>_xlfn.XLOOKUP(A27,Tableau12[Produits],Tableau12[Prix unitaire € 2026])*M27*145*(1+19%)*(1+15%)</f>
        <v>0</v>
      </c>
      <c r="O27" s="7">
        <f>_xlfn.XLOOKUP(A27,'Forecast-Volumes annuels import'!A27:A53,'Forecast-Volumes annuels import'!I27:I53)</f>
        <v>0</v>
      </c>
      <c r="P27" s="34">
        <f>_xlfn.XLOOKUP(A27,Tableau12[Produits],Tableau12[Prix unitaire € 2026])*O27*145*(1+19%)*(1+15%)</f>
        <v>0</v>
      </c>
      <c r="Q27" s="7">
        <f>_xlfn.XLOOKUP(A27,'Forecast-Volumes annuels import'!A27:A53,'Forecast-Volumes annuels import'!J27:J53)</f>
        <v>0</v>
      </c>
      <c r="R27" s="34">
        <f>_xlfn.XLOOKUP(A27,Tableau12[Produits],Tableau12[Prix unitaire € 2026])*Q27*145*(1+19%)*(1+15%)</f>
        <v>0</v>
      </c>
      <c r="S27" s="7">
        <f>_xlfn.XLOOKUP(A27,'Forecast-Volumes annuels import'!A27:A53,'Forecast-Volumes annuels import'!K27:K53)</f>
        <v>0</v>
      </c>
      <c r="T27" s="34">
        <f>_xlfn.XLOOKUP(A27,Tableau12[Produits],Tableau12[Prix unitaire € 2026])*S27*145*(1+19%)*(1+15%)</f>
        <v>0</v>
      </c>
      <c r="U27" s="7">
        <f>_xlfn.XLOOKUP(A27,'Forecast-Volumes annuels import'!A27:A53,'Forecast-Volumes annuels import'!L27:L53)</f>
        <v>0</v>
      </c>
      <c r="V27" s="34">
        <f>_xlfn.XLOOKUP(A27,Tableau12[Produits],Tableau12[Prix unitaire € 2026])*U27*145*(1+19%)*(1+15%)</f>
        <v>0</v>
      </c>
      <c r="W27" s="7">
        <f>_xlfn.XLOOKUP(A27,'Forecast-Volumes annuels import'!A27:A53,'Forecast-Volumes annuels import'!M27:M53)</f>
        <v>0</v>
      </c>
      <c r="X27" s="34">
        <f>_xlfn.XLOOKUP(A27,Tableau12[Produits],Tableau12[Prix unitaire € 2026])*W27*145*(1+19%)*(1+15%)</f>
        <v>0</v>
      </c>
      <c r="Y27" s="7">
        <f>_xlfn.XLOOKUP(A27,'Forecast-Volumes annuels import'!A27:A53,'Forecast-Volumes annuels import'!N27:N53)</f>
        <v>0</v>
      </c>
      <c r="Z27" s="34">
        <f>_xlfn.XLOOKUP(A27,Tableau12[Produits],Tableau12[Prix unitaire € 2026])*Y27*145*(1+19%)*(1+15%)</f>
        <v>0</v>
      </c>
      <c r="AA27" s="19">
        <f t="shared" si="0"/>
        <v>600</v>
      </c>
      <c r="AB27" s="19">
        <f t="shared" si="1"/>
        <v>12310752.299999999</v>
      </c>
      <c r="AC27" s="19">
        <f t="shared" si="3"/>
        <v>60</v>
      </c>
      <c r="AD27" s="58"/>
    </row>
    <row r="28" spans="1:94" x14ac:dyDescent="0.35">
      <c r="A28" s="133" t="s">
        <v>137</v>
      </c>
      <c r="B28" s="8" t="s">
        <v>18</v>
      </c>
      <c r="C28" s="7">
        <f>_xlfn.XLOOKUP(A28,'Forecast-Volumes annuels import'!A28:A53,'Forecast-Volumes annuels import'!C28:C53)</f>
        <v>400</v>
      </c>
      <c r="D28" s="34">
        <f>_xlfn.XLOOKUP(A28,Tableau12[Produits],Tableau12[Prix unitaire € 2026])*C28*145*(1+19%)*(1+15%)</f>
        <v>11132063.25</v>
      </c>
      <c r="E28" s="7">
        <f>_xlfn.XLOOKUP(A28,'Forecast-Volumes annuels import'!A28:A53,'Forecast-Volumes annuels import'!D28:D53)</f>
        <v>0</v>
      </c>
      <c r="F28" s="34">
        <f>_xlfn.XLOOKUP(A28,Tableau12[Produits],Tableau12[Prix unitaire € 2026])*E28*145*(1+19%)*(1+15%)</f>
        <v>0</v>
      </c>
      <c r="G28" s="7">
        <f>_xlfn.XLOOKUP(A28,'Forecast-Volumes annuels import'!A28:A53,'Forecast-Volumes annuels import'!E28:E53)</f>
        <v>0</v>
      </c>
      <c r="H28" s="34">
        <f>_xlfn.XLOOKUP(A28,Tableau12[Produits],Tableau12[Prix unitaire € 2026])*G28*145*(1+19%)*(1+15%)</f>
        <v>0</v>
      </c>
      <c r="I28" s="7">
        <f>_xlfn.XLOOKUP('Previsionnels Importations'!A28,'Forecast-Volumes annuels import'!A28:A53,'Forecast-Volumes annuels import'!F28:F53)</f>
        <v>0</v>
      </c>
      <c r="J28" s="34">
        <f>_xlfn.XLOOKUP(A28,Tableau12[Produits],Tableau12[Prix unitaire € 2026])*I28*145*(1+19%)*(1+15%)</f>
        <v>0</v>
      </c>
      <c r="K28" s="7">
        <f>_xlfn.XLOOKUP(A28,'Forecast-Volumes annuels import'!A28:A53,'Forecast-Volumes annuels import'!G28:G53)</f>
        <v>600</v>
      </c>
      <c r="L28" s="34">
        <f>_xlfn.XLOOKUP(A28,Tableau12[Produits],Tableau12[Prix unitaire € 2026])*K28*145*(1+19%)*(1+15%)</f>
        <v>16698094.874999998</v>
      </c>
      <c r="M28" s="7">
        <f>_xlfn.XLOOKUP(A28,'Forecast-Volumes annuels import'!A28:A53,'Forecast-Volumes annuels import'!H28:H53)</f>
        <v>0</v>
      </c>
      <c r="N28" s="34">
        <f>_xlfn.XLOOKUP(A28,Tableau12[Produits],Tableau12[Prix unitaire € 2026])*M28*145*(1+19%)*(1+15%)</f>
        <v>0</v>
      </c>
      <c r="O28" s="7">
        <f>_xlfn.XLOOKUP(A28,'Forecast-Volumes annuels import'!A28:A53,'Forecast-Volumes annuels import'!I28:I53)</f>
        <v>0</v>
      </c>
      <c r="P28" s="34">
        <f>_xlfn.XLOOKUP(A28,Tableau12[Produits],Tableau12[Prix unitaire € 2026])*O28*145*(1+19%)*(1+15%)</f>
        <v>0</v>
      </c>
      <c r="Q28" s="7">
        <f>_xlfn.XLOOKUP(A28,'Forecast-Volumes annuels import'!A28:A53,'Forecast-Volumes annuels import'!J28:J53)</f>
        <v>0</v>
      </c>
      <c r="R28" s="34">
        <f>_xlfn.XLOOKUP(A28,Tableau12[Produits],Tableau12[Prix unitaire € 2026])*Q28*145*(1+19%)*(1+15%)</f>
        <v>0</v>
      </c>
      <c r="S28" s="7">
        <f>_xlfn.XLOOKUP(A28,'Forecast-Volumes annuels import'!A28:A53,'Forecast-Volumes annuels import'!K28:K53)</f>
        <v>0</v>
      </c>
      <c r="T28" s="34">
        <f>_xlfn.XLOOKUP(A28,Tableau12[Produits],Tableau12[Prix unitaire € 2026])*S28*145*(1+19%)*(1+15%)</f>
        <v>0</v>
      </c>
      <c r="U28" s="7">
        <f>_xlfn.XLOOKUP(A28,'Forecast-Volumes annuels import'!A28:A53,'Forecast-Volumes annuels import'!L28:L53)</f>
        <v>0</v>
      </c>
      <c r="V28" s="34">
        <f>_xlfn.XLOOKUP(A28,Tableau12[Produits],Tableau12[Prix unitaire € 2026])*U28*145*(1+19%)*(1+15%)</f>
        <v>0</v>
      </c>
      <c r="W28" s="7">
        <f>_xlfn.XLOOKUP(A28,'Forecast-Volumes annuels import'!A28:A53,'Forecast-Volumes annuels import'!M28:M53)</f>
        <v>200</v>
      </c>
      <c r="X28" s="34">
        <f>_xlfn.XLOOKUP(A28,Tableau12[Produits],Tableau12[Prix unitaire € 2026])*W28*145*(1+19%)*(1+15%)</f>
        <v>5566031.625</v>
      </c>
      <c r="Y28" s="7">
        <f>_xlfn.XLOOKUP(A28,'Forecast-Volumes annuels import'!A28:A53,'Forecast-Volumes annuels import'!N28:N53)</f>
        <v>0</v>
      </c>
      <c r="Z28" s="34">
        <f>_xlfn.XLOOKUP(A28,Tableau12[Produits],Tableau12[Prix unitaire € 2026])*Y28*145*(1+19%)*(1+15%)</f>
        <v>0</v>
      </c>
      <c r="AA28" s="19">
        <f t="shared" si="0"/>
        <v>1200</v>
      </c>
      <c r="AB28" s="19">
        <f t="shared" si="1"/>
        <v>33396189.75</v>
      </c>
      <c r="AC28" s="19">
        <f t="shared" si="3"/>
        <v>120</v>
      </c>
      <c r="AD28" s="58"/>
    </row>
    <row r="29" spans="1:94" x14ac:dyDescent="0.35">
      <c r="A29" s="133" t="s">
        <v>138</v>
      </c>
      <c r="B29" s="8" t="s">
        <v>18</v>
      </c>
      <c r="C29" s="7">
        <f>_xlfn.XLOOKUP(A29,'Forecast-Volumes annuels import'!A29:A54,'Forecast-Volumes annuels import'!C29:C54)</f>
        <v>0</v>
      </c>
      <c r="D29" s="34">
        <f>_xlfn.XLOOKUP(A29,Tableau12[Produits],Tableau12[Prix unitaire € 2026])*C29*145*(1+19%)*(1+15%)</f>
        <v>0</v>
      </c>
      <c r="E29" s="7">
        <f>_xlfn.XLOOKUP(A29,'Forecast-Volumes annuels import'!A29:A54,'Forecast-Volumes annuels import'!D29:D54)</f>
        <v>0</v>
      </c>
      <c r="F29" s="34">
        <f>_xlfn.XLOOKUP(A29,Tableau12[Produits],Tableau12[Prix unitaire € 2026])*E29*145*(1+19%)*(1+15%)</f>
        <v>0</v>
      </c>
      <c r="G29" s="7">
        <f>_xlfn.XLOOKUP(A29,'Forecast-Volumes annuels import'!A29:A55,'Forecast-Volumes annuels import'!E29:E55)</f>
        <v>0</v>
      </c>
      <c r="H29" s="34">
        <f>_xlfn.XLOOKUP(A29,Tableau12[Produits],Tableau12[Prix unitaire € 2026])*G29*145*(1+19%)*(1+15%)</f>
        <v>0</v>
      </c>
      <c r="I29" s="7">
        <f>_xlfn.XLOOKUP('Previsionnels Importations'!A29,'Forecast-Volumes annuels import'!A29:A55,'Forecast-Volumes annuels import'!F29:F55)</f>
        <v>0</v>
      </c>
      <c r="J29" s="34">
        <f>_xlfn.XLOOKUP(A29,Tableau12[Produits],Tableau12[Prix unitaire € 2026])*I29*145*(1+19%)*(1+15%)</f>
        <v>0</v>
      </c>
      <c r="K29" s="7">
        <f>_xlfn.XLOOKUP(A29,'Forecast-Volumes annuels import'!A29:A55,'Forecast-Volumes annuels import'!G29:G55)</f>
        <v>0</v>
      </c>
      <c r="L29" s="34">
        <f>_xlfn.XLOOKUP(A29,Tableau12[Produits],Tableau12[Prix unitaire € 2026])*K29*145*(1+19%)*(1+15%)</f>
        <v>0</v>
      </c>
      <c r="M29" s="7">
        <f>_xlfn.XLOOKUP(A29,'Forecast-Volumes annuels import'!A29:A40,'Forecast-Volumes annuels import'!H29:H40)</f>
        <v>0</v>
      </c>
      <c r="N29" s="34">
        <f>_xlfn.XLOOKUP(A29,Tableau12[Produits],Tableau12[Prix unitaire € 2026])*M29*145*(1+19%)*(1+15%)</f>
        <v>0</v>
      </c>
      <c r="O29" s="7">
        <f>_xlfn.XLOOKUP(A29,'Forecast-Volumes annuels import'!A29:A55,'Forecast-Volumes annuels import'!I29:I55)</f>
        <v>0</v>
      </c>
      <c r="P29" s="34">
        <f>_xlfn.XLOOKUP(A29,Tableau12[Produits],Tableau12[Prix unitaire € 2026])*O29*145*(1+19%)*(1+15%)</f>
        <v>0</v>
      </c>
      <c r="Q29" s="7">
        <f>_xlfn.XLOOKUP(A29,'Forecast-Volumes annuels import'!A29:A55,'Forecast-Volumes annuels import'!J29:J55)</f>
        <v>300</v>
      </c>
      <c r="R29" s="34">
        <f>_xlfn.XLOOKUP(A29,Tableau12[Produits],Tableau12[Prix unitaire € 2026])*Q29*145*(1+19%)*(1+15%)</f>
        <v>8774685.1499999985</v>
      </c>
      <c r="S29" s="7">
        <f>_xlfn.XLOOKUP(A29,'Forecast-Volumes annuels import'!A29:A55,'Forecast-Volumes annuels import'!K29:K55)</f>
        <v>0</v>
      </c>
      <c r="T29" s="34">
        <f>_xlfn.XLOOKUP(A29,Tableau12[Produits],Tableau12[Prix unitaire € 2026])*S29*145*(1+19%)*(1+15%)</f>
        <v>0</v>
      </c>
      <c r="U29" s="7">
        <f>_xlfn.XLOOKUP(A29,'Forecast-Volumes annuels import'!A29:A55,'Forecast-Volumes annuels import'!L29:L55)</f>
        <v>0</v>
      </c>
      <c r="V29" s="34">
        <f>_xlfn.XLOOKUP(A29,Tableau12[Produits],Tableau12[Prix unitaire € 2026])*U29*145*(1+19%)*(1+15%)</f>
        <v>0</v>
      </c>
      <c r="W29" s="7">
        <f>_xlfn.XLOOKUP(A29,'Forecast-Volumes annuels import'!A29:A55,'Forecast-Volumes annuels import'!M29:M55)</f>
        <v>0</v>
      </c>
      <c r="X29" s="34">
        <f>_xlfn.XLOOKUP(A29,Tableau12[Produits],Tableau12[Prix unitaire € 2026])*W29*145*(1+19%)*(1+15%)</f>
        <v>0</v>
      </c>
      <c r="Y29" s="7">
        <f>_xlfn.XLOOKUP(A29,'Forecast-Volumes annuels import'!A29:A55,'Forecast-Volumes annuels import'!N29:N55)</f>
        <v>0</v>
      </c>
      <c r="Z29" s="34">
        <f>_xlfn.XLOOKUP(A29,Tableau12[Produits],Tableau12[Prix unitaire € 2026])*Y29*145*(1+19%)*(1+15%)</f>
        <v>0</v>
      </c>
      <c r="AA29" s="19">
        <f t="shared" si="0"/>
        <v>300</v>
      </c>
      <c r="AB29" s="19">
        <f t="shared" si="1"/>
        <v>8774685.1499999985</v>
      </c>
      <c r="AC29" s="19">
        <f t="shared" si="3"/>
        <v>30</v>
      </c>
      <c r="AD29" s="58"/>
    </row>
    <row r="30" spans="1:94" x14ac:dyDescent="0.35">
      <c r="A30" s="133" t="s">
        <v>139</v>
      </c>
      <c r="B30" s="8" t="s">
        <v>18</v>
      </c>
      <c r="C30" s="7">
        <f>_xlfn.XLOOKUP(A30,'Forecast-Volumes annuels import'!A30:A55,'Forecast-Volumes annuels import'!C30:C55)</f>
        <v>0</v>
      </c>
      <c r="D30" s="34">
        <f>_xlfn.XLOOKUP(A30,Tableau12[Produits],Tableau12[Prix unitaire € 2026])*C30*145*(1+19%)*(1+15%)</f>
        <v>0</v>
      </c>
      <c r="E30" s="7">
        <f>_xlfn.XLOOKUP(A30,'Forecast-Volumes annuels import'!A30:A55,'Forecast-Volumes annuels import'!D30:D55)</f>
        <v>0</v>
      </c>
      <c r="F30" s="34">
        <f>_xlfn.XLOOKUP(A30,Tableau12[Produits],Tableau12[Prix unitaire € 2026])*E30*145*(1+19%)*(1+15%)</f>
        <v>0</v>
      </c>
      <c r="G30" s="7">
        <f>_xlfn.XLOOKUP(A30,'Forecast-Volumes annuels import'!A30:A55,'Forecast-Volumes annuels import'!E30:E55)</f>
        <v>0</v>
      </c>
      <c r="H30" s="34">
        <f>_xlfn.XLOOKUP(A30,Tableau12[Produits],Tableau12[Prix unitaire € 2026])*G30*145*(1+19%)*(1+15%)</f>
        <v>0</v>
      </c>
      <c r="I30" s="7">
        <f>_xlfn.XLOOKUP('Previsionnels Importations'!A30,'Forecast-Volumes annuels import'!A30:A55,'Forecast-Volumes annuels import'!F30:F55)</f>
        <v>0</v>
      </c>
      <c r="J30" s="34">
        <f>_xlfn.XLOOKUP(A30,Tableau12[Produits],Tableau12[Prix unitaire € 2026])*I30*145*(1+19%)*(1+15%)</f>
        <v>0</v>
      </c>
      <c r="K30" s="7">
        <f>_xlfn.XLOOKUP(A30,'Forecast-Volumes annuels import'!A30:A55,'Forecast-Volumes annuels import'!G30:G55)</f>
        <v>0</v>
      </c>
      <c r="L30" s="34">
        <f>_xlfn.XLOOKUP(A30,Tableau12[Produits],Tableau12[Prix unitaire € 2026])*K30*145*(1+19%)*(1+15%)</f>
        <v>0</v>
      </c>
      <c r="M30" s="7">
        <f>_xlfn.XLOOKUP(A30,'Forecast-Volumes annuels import'!A30:A55,'Forecast-Volumes annuels import'!H30:H55)</f>
        <v>0</v>
      </c>
      <c r="N30" s="34">
        <f>_xlfn.XLOOKUP(A30,Tableau12[Produits],Tableau12[Prix unitaire € 2026])*M30*145*(1+19%)*(1+15%)</f>
        <v>0</v>
      </c>
      <c r="O30" s="7">
        <f>_xlfn.XLOOKUP(A30,'Forecast-Volumes annuels import'!A30:A55,'Forecast-Volumes annuels import'!I30:I55)</f>
        <v>0</v>
      </c>
      <c r="P30" s="34">
        <f>_xlfn.XLOOKUP(A30,Tableau12[Produits],Tableau12[Prix unitaire € 2026])*O30*145*(1+19%)*(1+15%)</f>
        <v>0</v>
      </c>
      <c r="Q30" s="7">
        <f>_xlfn.XLOOKUP(A30,'Forecast-Volumes annuels import'!A30:A55,'Forecast-Volumes annuels import'!J30:J55)</f>
        <v>0</v>
      </c>
      <c r="R30" s="34">
        <f>_xlfn.XLOOKUP(A30,Tableau12[Produits],Tableau12[Prix unitaire € 2026])*Q30*145*(1+19%)*(1+15%)</f>
        <v>0</v>
      </c>
      <c r="S30" s="7">
        <f>_xlfn.XLOOKUP(A30,'Forecast-Volumes annuels import'!A30:A55,'Forecast-Volumes annuels import'!K30:K55)</f>
        <v>0</v>
      </c>
      <c r="T30" s="34">
        <f>_xlfn.XLOOKUP(A30,Tableau12[Produits],Tableau12[Prix unitaire € 2026])*S30*145*(1+19%)*(1+15%)</f>
        <v>0</v>
      </c>
      <c r="U30" s="7">
        <f>_xlfn.XLOOKUP(A30,'Forecast-Volumes annuels import'!A30:A55,'Forecast-Volumes annuels import'!L30:L55)</f>
        <v>0</v>
      </c>
      <c r="V30" s="34">
        <f>_xlfn.XLOOKUP(A30,Tableau12[Produits],Tableau12[Prix unitaire € 2026])*U30*145*(1+19%)*(1+15%)</f>
        <v>0</v>
      </c>
      <c r="W30" s="7">
        <f>_xlfn.XLOOKUP(A30,'Forecast-Volumes annuels import'!A30:A55,'Forecast-Volumes annuels import'!M30:M55)</f>
        <v>600</v>
      </c>
      <c r="X30" s="34">
        <f>_xlfn.XLOOKUP(A30,Tableau12[Produits],Tableau12[Prix unitaire € 2026])*W30*145*(1+19%)*(1+15%)</f>
        <v>15257474.924999999</v>
      </c>
      <c r="Y30" s="7">
        <f>_xlfn.XLOOKUP(A30,'Forecast-Volumes annuels import'!A30:A55,'Forecast-Volumes annuels import'!N30:N55)</f>
        <v>0</v>
      </c>
      <c r="Z30" s="34">
        <f>_xlfn.XLOOKUP(A30,Tableau12[Produits],Tableau12[Prix unitaire € 2026])*Y30*145*(1+19%)*(1+15%)</f>
        <v>0</v>
      </c>
      <c r="AA30" s="19">
        <f t="shared" si="0"/>
        <v>600</v>
      </c>
      <c r="AB30" s="19">
        <f t="shared" si="1"/>
        <v>15257474.924999999</v>
      </c>
      <c r="AC30" s="19">
        <f t="shared" si="3"/>
        <v>60</v>
      </c>
      <c r="AD30" s="58"/>
    </row>
    <row r="31" spans="1:94" s="20" customFormat="1" x14ac:dyDescent="0.35">
      <c r="A31" s="133" t="s">
        <v>140</v>
      </c>
      <c r="B31" s="8" t="s">
        <v>18</v>
      </c>
      <c r="C31" s="7">
        <f>_xlfn.XLOOKUP(A31,'Forecast-Volumes annuels import'!A31:A56,'Forecast-Volumes annuels import'!C31:C56)</f>
        <v>0</v>
      </c>
      <c r="D31" s="34">
        <f>_xlfn.XLOOKUP(A31,Tableau12[Produits],Tableau12[Prix unitaire € 2026])*C31*145*(1+19%)*(1+15%)</f>
        <v>0</v>
      </c>
      <c r="E31" s="7">
        <f>_xlfn.XLOOKUP(A31,'Forecast-Volumes annuels import'!A31:A56,'Forecast-Volumes annuels import'!D31:D56)</f>
        <v>0</v>
      </c>
      <c r="F31" s="34">
        <f>_xlfn.XLOOKUP(A31,Tableau12[Produits],Tableau12[Prix unitaire € 2026])*E31*145*(1+19%)*(1+15%)</f>
        <v>0</v>
      </c>
      <c r="G31" s="7">
        <f>_xlfn.XLOOKUP(A31,'Forecast-Volumes annuels import'!A31:A57,'Forecast-Volumes annuels import'!E31:E57)</f>
        <v>0</v>
      </c>
      <c r="H31" s="34">
        <f>_xlfn.XLOOKUP(A31,Tableau12[Produits],Tableau12[Prix unitaire € 2026])*G31*145*(1+19%)*(1+15%)</f>
        <v>0</v>
      </c>
      <c r="I31" s="7">
        <f>_xlfn.XLOOKUP('Previsionnels Importations'!A31,'Forecast-Volumes annuels import'!A31:A57,'Forecast-Volumes annuels import'!F31:F57)</f>
        <v>0</v>
      </c>
      <c r="J31" s="34">
        <f>_xlfn.XLOOKUP(A31,Tableau12[Produits],Tableau12[Prix unitaire € 2026])*I31*145*(1+19%)*(1+15%)</f>
        <v>0</v>
      </c>
      <c r="K31" s="7">
        <f>_xlfn.XLOOKUP(A31,'Forecast-Volumes annuels import'!A31:A57,'Forecast-Volumes annuels import'!G31:G57)</f>
        <v>0</v>
      </c>
      <c r="L31" s="34">
        <f>_xlfn.XLOOKUP(A31,Tableau12[Produits],Tableau12[Prix unitaire € 2026])*K31*145*(1+19%)*(1+15%)</f>
        <v>0</v>
      </c>
      <c r="M31" s="7">
        <f>_xlfn.XLOOKUP(A31,'Forecast-Volumes annuels import'!A31:A40,'Forecast-Volumes annuels import'!H31:H40)</f>
        <v>0</v>
      </c>
      <c r="N31" s="34">
        <f>_xlfn.XLOOKUP(A31,Tableau12[Produits],Tableau12[Prix unitaire € 2026])*M31*145*(1+19%)*(1+15%)</f>
        <v>0</v>
      </c>
      <c r="O31" s="7">
        <f>_xlfn.XLOOKUP(A31,'Forecast-Volumes annuels import'!A31:A57,'Forecast-Volumes annuels import'!I31:I57)</f>
        <v>0</v>
      </c>
      <c r="P31" s="34">
        <f>_xlfn.XLOOKUP(A31,Tableau12[Produits],Tableau12[Prix unitaire € 2026])*O31*145*(1+19%)*(1+15%)</f>
        <v>0</v>
      </c>
      <c r="Q31" s="7">
        <f>_xlfn.XLOOKUP(A31,'Forecast-Volumes annuels import'!A31:A57,'Forecast-Volumes annuels import'!J31:J57)</f>
        <v>0</v>
      </c>
      <c r="R31" s="34">
        <f>_xlfn.XLOOKUP(A31,Tableau12[Produits],Tableau12[Prix unitaire € 2026])*Q31*145*(1+19%)*(1+15%)</f>
        <v>0</v>
      </c>
      <c r="S31" s="7">
        <f>_xlfn.XLOOKUP(A31,'Forecast-Volumes annuels import'!A31:A57,'Forecast-Volumes annuels import'!K31:K57)</f>
        <v>0</v>
      </c>
      <c r="T31" s="34">
        <f>_xlfn.XLOOKUP(A31,Tableau12[Produits],Tableau12[Prix unitaire € 2026])*S31*145*(1+19%)*(1+15%)</f>
        <v>0</v>
      </c>
      <c r="U31" s="7">
        <f>_xlfn.XLOOKUP(A31,'Forecast-Volumes annuels import'!A31:A57,'Forecast-Volumes annuels import'!L31:L57)</f>
        <v>0</v>
      </c>
      <c r="V31" s="34">
        <f>_xlfn.XLOOKUP(A31,Tableau12[Produits],Tableau12[Prix unitaire € 2026])*U31*145*(1+19%)*(1+15%)</f>
        <v>0</v>
      </c>
      <c r="W31" s="7">
        <f>_xlfn.XLOOKUP(A31,'Forecast-Volumes annuels import'!A31:A57,'Forecast-Volumes annuels import'!M31:M57)</f>
        <v>0</v>
      </c>
      <c r="X31" s="34">
        <f>_xlfn.XLOOKUP(A31,Tableau12[Produits],Tableau12[Prix unitaire € 2026])*W31*145*(1+19%)*(1+15%)</f>
        <v>0</v>
      </c>
      <c r="Y31" s="7">
        <f>_xlfn.XLOOKUP(A31,'Forecast-Volumes annuels import'!A31:A57,'Forecast-Volumes annuels import'!N31:N57)</f>
        <v>0</v>
      </c>
      <c r="Z31" s="34">
        <f>_xlfn.XLOOKUP(A31,Tableau12[Produits],Tableau12[Prix unitaire € 2026])*Y31*145*(1+19%)*(1+15%)</f>
        <v>0</v>
      </c>
      <c r="AA31" s="19">
        <f t="shared" si="0"/>
        <v>0</v>
      </c>
      <c r="AB31" s="19">
        <f t="shared" si="1"/>
        <v>0</v>
      </c>
      <c r="AC31" s="19">
        <f t="shared" si="3"/>
        <v>0</v>
      </c>
      <c r="AD31" s="59"/>
      <c r="AE31" s="59"/>
      <c r="AF31" s="59"/>
      <c r="AG31" s="59"/>
      <c r="AH31" s="59"/>
      <c r="AI31" s="59"/>
      <c r="AJ31" s="59"/>
      <c r="AK31" s="59"/>
      <c r="AL31" s="59"/>
      <c r="AM31" s="59"/>
      <c r="AN31" s="59"/>
      <c r="AO31" s="59"/>
      <c r="AP31" s="59"/>
      <c r="AQ31" s="59"/>
      <c r="AR31" s="59"/>
      <c r="AS31" s="59"/>
      <c r="AT31" s="59"/>
      <c r="AU31" s="59"/>
      <c r="AV31" s="59"/>
      <c r="AW31" s="59"/>
      <c r="AX31" s="59"/>
      <c r="AY31" s="59"/>
      <c r="AZ31" s="59"/>
      <c r="BA31" s="59"/>
      <c r="BB31" s="59"/>
      <c r="BC31" s="59"/>
      <c r="BD31" s="59"/>
      <c r="BE31" s="59"/>
      <c r="BF31" s="59"/>
      <c r="BG31" s="59"/>
      <c r="BH31" s="59"/>
      <c r="BI31" s="59"/>
      <c r="BJ31" s="59"/>
      <c r="BK31" s="59"/>
      <c r="BL31" s="59"/>
      <c r="BM31" s="59"/>
      <c r="BN31" s="59"/>
      <c r="BO31" s="59"/>
      <c r="BP31" s="59"/>
      <c r="BQ31" s="59"/>
      <c r="BR31" s="59"/>
      <c r="BS31" s="59"/>
      <c r="BT31" s="59"/>
      <c r="BU31" s="59"/>
      <c r="BV31" s="59"/>
      <c r="BW31" s="59"/>
      <c r="BX31" s="59"/>
      <c r="BY31" s="59"/>
      <c r="BZ31" s="59"/>
      <c r="CA31" s="59"/>
      <c r="CB31" s="59"/>
      <c r="CC31" s="59"/>
      <c r="CD31" s="59"/>
      <c r="CE31" s="59"/>
      <c r="CF31" s="59"/>
      <c r="CG31" s="59"/>
      <c r="CH31" s="59"/>
      <c r="CI31" s="59"/>
      <c r="CJ31" s="59"/>
      <c r="CK31" s="59"/>
      <c r="CL31" s="59"/>
      <c r="CM31" s="59"/>
      <c r="CN31" s="59"/>
      <c r="CO31" s="59"/>
      <c r="CP31" s="59"/>
    </row>
    <row r="32" spans="1:94" x14ac:dyDescent="0.35">
      <c r="A32" s="133" t="s">
        <v>141</v>
      </c>
      <c r="B32" s="8" t="s">
        <v>18</v>
      </c>
      <c r="C32" s="7">
        <f>_xlfn.XLOOKUP(A32,'Forecast-Volumes annuels import'!A32:A57,'Forecast-Volumes annuels import'!C32:C57)</f>
        <v>0</v>
      </c>
      <c r="D32" s="34">
        <f>_xlfn.XLOOKUP(A32,Tableau12[Produits],Tableau12[Prix unitaire € 2026])*C32*145*(1+19%)*(1+15%)</f>
        <v>0</v>
      </c>
      <c r="E32" s="7">
        <f>_xlfn.XLOOKUP(A32,'Forecast-Volumes annuels import'!A32:A57,'Forecast-Volumes annuels import'!D32:D57)</f>
        <v>0</v>
      </c>
      <c r="F32" s="34">
        <f>_xlfn.XLOOKUP(A32,Tableau12[Produits],Tableau12[Prix unitaire € 2026])*E32*145*(1+19%)*(1+15%)</f>
        <v>0</v>
      </c>
      <c r="G32" s="7">
        <f>_xlfn.XLOOKUP(A32,'Forecast-Volumes annuels import'!A32:A57,'Forecast-Volumes annuels import'!E32:E57)</f>
        <v>0</v>
      </c>
      <c r="H32" s="34">
        <f>_xlfn.XLOOKUP(A32,Tableau12[Produits],Tableau12[Prix unitaire € 2026])*G32*145*(1+19%)*(1+15%)</f>
        <v>0</v>
      </c>
      <c r="I32" s="7">
        <f>_xlfn.XLOOKUP('Previsionnels Importations'!A32,'Forecast-Volumes annuels import'!A32:A57,'Forecast-Volumes annuels import'!F32:F57)</f>
        <v>0</v>
      </c>
      <c r="J32" s="34">
        <f>_xlfn.XLOOKUP(A32,Tableau12[Produits],Tableau12[Prix unitaire € 2026])*I32*145*(1+19%)*(1+15%)</f>
        <v>0</v>
      </c>
      <c r="K32" s="7">
        <f>_xlfn.XLOOKUP(A32,'Forecast-Volumes annuels import'!A32:A57,'Forecast-Volumes annuels import'!G32:G57)</f>
        <v>0</v>
      </c>
      <c r="L32" s="34">
        <f>_xlfn.XLOOKUP(A32,Tableau12[Produits],Tableau12[Prix unitaire € 2026])*K32*145*(1+19%)*(1+15%)</f>
        <v>0</v>
      </c>
      <c r="M32" s="7">
        <f>_xlfn.XLOOKUP(A32,'Forecast-Volumes annuels import'!A32:A57,'Forecast-Volumes annuels import'!H32:H57)</f>
        <v>0</v>
      </c>
      <c r="N32" s="34">
        <f>_xlfn.XLOOKUP(A32,Tableau12[Produits],Tableau12[Prix unitaire € 2026])*M32*145*(1+19%)*(1+15%)</f>
        <v>0</v>
      </c>
      <c r="O32" s="7">
        <f>_xlfn.XLOOKUP(A32,'Forecast-Volumes annuels import'!A32:A57,'Forecast-Volumes annuels import'!I32:I57)</f>
        <v>0</v>
      </c>
      <c r="P32" s="34">
        <f>_xlfn.XLOOKUP(A32,Tableau12[Produits],Tableau12[Prix unitaire € 2026])*O32*145*(1+19%)*(1+15%)</f>
        <v>0</v>
      </c>
      <c r="Q32" s="7">
        <f>_xlfn.XLOOKUP(A32,'Forecast-Volumes annuels import'!A32:A57,'Forecast-Volumes annuels import'!J32:J57)</f>
        <v>600</v>
      </c>
      <c r="R32" s="34">
        <f>_xlfn.XLOOKUP(A32,Tableau12[Produits],Tableau12[Prix unitaire € 2026])*Q32*145*(1+19%)*(1+15%)</f>
        <v>12441717.750000002</v>
      </c>
      <c r="S32" s="7">
        <f>_xlfn.XLOOKUP(A32,'Forecast-Volumes annuels import'!A32:A57,'Forecast-Volumes annuels import'!K32:K57)</f>
        <v>0</v>
      </c>
      <c r="T32" s="34">
        <f>_xlfn.XLOOKUP(A32,Tableau12[Produits],Tableau12[Prix unitaire € 2026])*S32*145*(1+19%)*(1+15%)</f>
        <v>0</v>
      </c>
      <c r="U32" s="7">
        <f>_xlfn.XLOOKUP(A32,'Forecast-Volumes annuels import'!A32:A57,'Forecast-Volumes annuels import'!L32:L57)</f>
        <v>0</v>
      </c>
      <c r="V32" s="34">
        <f>_xlfn.XLOOKUP(A32,Tableau12[Produits],Tableau12[Prix unitaire € 2026])*U32*145*(1+19%)*(1+15%)</f>
        <v>0</v>
      </c>
      <c r="W32" s="7">
        <f>_xlfn.XLOOKUP(A32,'Forecast-Volumes annuels import'!A32:A57,'Forecast-Volumes annuels import'!M32:M57)</f>
        <v>600</v>
      </c>
      <c r="X32" s="34">
        <f>_xlfn.XLOOKUP(A32,Tableau12[Produits],Tableau12[Prix unitaire € 2026])*W32*145*(1+19%)*(1+15%)</f>
        <v>12441717.750000002</v>
      </c>
      <c r="Y32" s="7">
        <f>_xlfn.XLOOKUP(A32,'Forecast-Volumes annuels import'!A32:A57,'Forecast-Volumes annuels import'!N32:N57)</f>
        <v>0</v>
      </c>
      <c r="Z32" s="34">
        <f>_xlfn.XLOOKUP(A32,Tableau12[Produits],Tableau12[Prix unitaire € 2026])*Y32*145*(1+19%)*(1+15%)</f>
        <v>0</v>
      </c>
      <c r="AA32" s="19">
        <f t="shared" si="0"/>
        <v>1200</v>
      </c>
      <c r="AB32" s="19">
        <f t="shared" si="1"/>
        <v>24883435.500000004</v>
      </c>
      <c r="AC32" s="19">
        <f t="shared" si="3"/>
        <v>120</v>
      </c>
    </row>
    <row r="33" spans="1:29" x14ac:dyDescent="0.35">
      <c r="A33" s="133" t="s">
        <v>142</v>
      </c>
      <c r="B33" s="8" t="s">
        <v>19</v>
      </c>
      <c r="C33" s="7">
        <f>_xlfn.XLOOKUP(A33,'Forecast-Volumes annuels import'!A33:A58,'Forecast-Volumes annuels import'!C33:C58)</f>
        <v>0</v>
      </c>
      <c r="D33" s="34">
        <f>_xlfn.XLOOKUP(A33,Tableau12[Produits],Tableau12[Prix unitaire € 2026])*C33*145*(1+19%)*(1+15%)</f>
        <v>0</v>
      </c>
      <c r="E33" s="7">
        <f>_xlfn.XLOOKUP(A33,'Forecast-Volumes annuels import'!A33:A58,'Forecast-Volumes annuels import'!D33:D58)</f>
        <v>0</v>
      </c>
      <c r="F33" s="34">
        <f>_xlfn.XLOOKUP(A33,Tableau12[Produits],Tableau12[Prix unitaire € 2026])*E33*145*(1+19%)*(1+15%)</f>
        <v>0</v>
      </c>
      <c r="G33" s="7">
        <f>_xlfn.XLOOKUP(A33,'Forecast-Volumes annuels import'!A33:A59,'Forecast-Volumes annuels import'!E33:E59)</f>
        <v>0</v>
      </c>
      <c r="H33" s="34">
        <f>_xlfn.XLOOKUP(A33,Tableau12[Produits],Tableau12[Prix unitaire € 2026])*G33*145*(1+19%)*(1+15%)</f>
        <v>0</v>
      </c>
      <c r="I33" s="7">
        <f>_xlfn.XLOOKUP('Previsionnels Importations'!A33,'Forecast-Volumes annuels import'!A33:A59,'Forecast-Volumes annuels import'!F33:F59)</f>
        <v>0</v>
      </c>
      <c r="J33" s="34">
        <f>_xlfn.XLOOKUP(A33,Tableau12[Produits],Tableau12[Prix unitaire € 2026])*I33*145*(1+19%)*(1+15%)</f>
        <v>0</v>
      </c>
      <c r="K33" s="7">
        <f>_xlfn.XLOOKUP(A33,'Forecast-Volumes annuels import'!A33:A59,'Forecast-Volumes annuels import'!G33:G59)</f>
        <v>0</v>
      </c>
      <c r="L33" s="34">
        <f>_xlfn.XLOOKUP(A33,Tableau12[Produits],Tableau12[Prix unitaire € 2026])*K33*145*(1+19%)*(1+15%)</f>
        <v>0</v>
      </c>
      <c r="M33" s="7">
        <f>_xlfn.XLOOKUP(A33,'Forecast-Volumes annuels import'!A33:A42,'Forecast-Volumes annuels import'!H33:H42)</f>
        <v>0</v>
      </c>
      <c r="N33" s="34">
        <f>_xlfn.XLOOKUP(A33,Tableau12[Produits],Tableau12[Prix unitaire € 2026])*M33*145*(1+19%)*(1+15%)</f>
        <v>0</v>
      </c>
      <c r="O33" s="7">
        <f>_xlfn.XLOOKUP(A33,'Forecast-Volumes annuels import'!A33:A59,'Forecast-Volumes annuels import'!I33:I59)</f>
        <v>1000</v>
      </c>
      <c r="P33" s="34">
        <f>_xlfn.XLOOKUP(A33,Tableau12[Produits],Tableau12[Prix unitaire € 2026])*O33*145*(1+19%)*(1+15%)</f>
        <v>163706812.5</v>
      </c>
      <c r="Q33" s="7">
        <f>_xlfn.XLOOKUP(A33,'Forecast-Volumes annuels import'!A33:A59,'Forecast-Volumes annuels import'!J33:J59)</f>
        <v>0</v>
      </c>
      <c r="R33" s="34">
        <f>_xlfn.XLOOKUP(A33,Tableau12[Produits],Tableau12[Prix unitaire € 2026])*Q33*145*(1+19%)*(1+15%)</f>
        <v>0</v>
      </c>
      <c r="S33" s="7">
        <f>_xlfn.XLOOKUP(A33,'Forecast-Volumes annuels import'!A33:A59,'Forecast-Volumes annuels import'!K33:K59)</f>
        <v>0</v>
      </c>
      <c r="T33" s="34">
        <f>_xlfn.XLOOKUP(A33,Tableau12[Produits],Tableau12[Prix unitaire € 2026])*S33*145*(1+19%)*(1+15%)</f>
        <v>0</v>
      </c>
      <c r="U33" s="7">
        <f>_xlfn.XLOOKUP(A33,'Forecast-Volumes annuels import'!A33:A59,'Forecast-Volumes annuels import'!L33:L59)</f>
        <v>0</v>
      </c>
      <c r="V33" s="34">
        <f>_xlfn.XLOOKUP(A33,Tableau12[Produits],Tableau12[Prix unitaire € 2026])*U33*145*(1+19%)*(1+15%)</f>
        <v>0</v>
      </c>
      <c r="W33" s="7">
        <f>_xlfn.XLOOKUP(A33,'Forecast-Volumes annuels import'!A33:A59,'Forecast-Volumes annuels import'!M33:M59)</f>
        <v>0</v>
      </c>
      <c r="X33" s="34">
        <f>_xlfn.XLOOKUP(A33,Tableau12[Produits],Tableau12[Prix unitaire € 2026])*W33*145*(1+19%)*(1+15%)</f>
        <v>0</v>
      </c>
      <c r="Y33" s="7">
        <f>_xlfn.XLOOKUP(A33,'Forecast-Volumes annuels import'!A33:A59,'Forecast-Volumes annuels import'!N33:N59)</f>
        <v>650</v>
      </c>
      <c r="Z33" s="34">
        <f>_xlfn.XLOOKUP(A33,Tableau12[Produits],Tableau12[Prix unitaire € 2026])*Y33*145*(1+19%)*(1+15%)</f>
        <v>106409428.12500001</v>
      </c>
      <c r="AA33" s="19">
        <f t="shared" si="0"/>
        <v>1650</v>
      </c>
      <c r="AB33" s="19">
        <f t="shared" si="1"/>
        <v>270116240.625</v>
      </c>
      <c r="AC33" s="19">
        <f>AA33</f>
        <v>1650</v>
      </c>
    </row>
    <row r="34" spans="1:29" x14ac:dyDescent="0.35">
      <c r="A34" s="133" t="s">
        <v>143</v>
      </c>
      <c r="B34" s="8" t="s">
        <v>19</v>
      </c>
      <c r="C34" s="7">
        <f>_xlfn.XLOOKUP(A34,'Forecast-Volumes annuels import'!A34:A59,'Forecast-Volumes annuels import'!C34:C59)</f>
        <v>0</v>
      </c>
      <c r="D34" s="34">
        <f>_xlfn.XLOOKUP(A34,Tableau12[Produits],Tableau12[Prix unitaire € 2026])*C34*145*(1+19%)*(1+15%)</f>
        <v>0</v>
      </c>
      <c r="E34" s="7">
        <f>_xlfn.XLOOKUP(A34,'Forecast-Volumes annuels import'!A34:A59,'Forecast-Volumes annuels import'!D34:D59)</f>
        <v>0</v>
      </c>
      <c r="F34" s="34">
        <f>_xlfn.XLOOKUP(A34,Tableau12[Produits],Tableau12[Prix unitaire € 2026])*E34*145*(1+19%)*(1+15%)</f>
        <v>0</v>
      </c>
      <c r="G34" s="7">
        <f>_xlfn.XLOOKUP(A34,'Forecast-Volumes annuels import'!A34:A59,'Forecast-Volumes annuels import'!E34:E59)</f>
        <v>0</v>
      </c>
      <c r="H34" s="34">
        <f>_xlfn.XLOOKUP(A34,Tableau12[Produits],Tableau12[Prix unitaire € 2026])*G34*145*(1+19%)*(1+15%)</f>
        <v>0</v>
      </c>
      <c r="I34" s="7">
        <f>_xlfn.XLOOKUP('Previsionnels Importations'!A34,'Forecast-Volumes annuels import'!A34:A59,'Forecast-Volumes annuels import'!F34:F59)</f>
        <v>0</v>
      </c>
      <c r="J34" s="34">
        <f>_xlfn.XLOOKUP(A34,Tableau12[Produits],Tableau12[Prix unitaire € 2026])*I34*145*(1+19%)*(1+15%)</f>
        <v>0</v>
      </c>
      <c r="K34" s="7">
        <f>_xlfn.XLOOKUP(A34,'Forecast-Volumes annuels import'!A34:A59,'Forecast-Volumes annuels import'!G34:G59)</f>
        <v>0</v>
      </c>
      <c r="L34" s="34">
        <f>_xlfn.XLOOKUP(A34,Tableau12[Produits],Tableau12[Prix unitaire € 2026])*K34*145*(1+19%)*(1+15%)</f>
        <v>0</v>
      </c>
      <c r="M34" s="7">
        <f>_xlfn.XLOOKUP(A34,'Forecast-Volumes annuels import'!A34:A59,'Forecast-Volumes annuels import'!H34:H59)</f>
        <v>0</v>
      </c>
      <c r="N34" s="34">
        <f>_xlfn.XLOOKUP(A34,Tableau12[Produits],Tableau12[Prix unitaire € 2026])*M34*145*(1+19%)*(1+15%)</f>
        <v>0</v>
      </c>
      <c r="O34" s="7">
        <f>_xlfn.XLOOKUP(A34,'Forecast-Volumes annuels import'!A34:A59,'Forecast-Volumes annuels import'!I34:I59)</f>
        <v>0</v>
      </c>
      <c r="P34" s="34">
        <f>_xlfn.XLOOKUP(A34,Tableau12[Produits],Tableau12[Prix unitaire € 2026])*O34*145*(1+19%)*(1+15%)</f>
        <v>0</v>
      </c>
      <c r="Q34" s="7">
        <f>_xlfn.XLOOKUP(A34,'Forecast-Volumes annuels import'!A34:A59,'Forecast-Volumes annuels import'!J34:J59)</f>
        <v>1600</v>
      </c>
      <c r="R34" s="34">
        <f>_xlfn.XLOOKUP(A34,Tableau12[Produits],Tableau12[Prix unitaire € 2026])*Q34*145*(1+19%)*(1+15%)</f>
        <v>331779140</v>
      </c>
      <c r="S34" s="7">
        <f>_xlfn.XLOOKUP(A34,'Forecast-Volumes annuels import'!A34:A59,'Forecast-Volumes annuels import'!K34:K59)</f>
        <v>0</v>
      </c>
      <c r="T34" s="34">
        <f>_xlfn.XLOOKUP(A34,Tableau12[Produits],Tableau12[Prix unitaire € 2026])*S34*145*(1+19%)*(1+15%)</f>
        <v>0</v>
      </c>
      <c r="U34" s="7">
        <f>_xlfn.XLOOKUP(A34,'Forecast-Volumes annuels import'!A34:A59,'Forecast-Volumes annuels import'!L34:L59)</f>
        <v>0</v>
      </c>
      <c r="V34" s="34">
        <f>_xlfn.XLOOKUP(A34,Tableau12[Produits],Tableau12[Prix unitaire € 2026])*U34*145*(1+19%)*(1+15%)</f>
        <v>0</v>
      </c>
      <c r="W34" s="7">
        <f>_xlfn.XLOOKUP(A34,'Forecast-Volumes annuels import'!A34:A59,'Forecast-Volumes annuels import'!M34:M59)</f>
        <v>0</v>
      </c>
      <c r="X34" s="34">
        <f>_xlfn.XLOOKUP(A34,Tableau12[Produits],Tableau12[Prix unitaire € 2026])*W34*145*(1+19%)*(1+15%)</f>
        <v>0</v>
      </c>
      <c r="Y34" s="7">
        <f>_xlfn.XLOOKUP(A34,'Forecast-Volumes annuels import'!A34:A59,'Forecast-Volumes annuels import'!N34:N59)</f>
        <v>800</v>
      </c>
      <c r="Z34" s="34">
        <f>_xlfn.XLOOKUP(A34,Tableau12[Produits],Tableau12[Prix unitaire € 2026])*Y34*145*(1+19%)*(1+15%)</f>
        <v>165889570</v>
      </c>
      <c r="AA34" s="19">
        <f t="shared" si="0"/>
        <v>2400</v>
      </c>
      <c r="AB34" s="19">
        <f t="shared" si="1"/>
        <v>497668710</v>
      </c>
      <c r="AC34" s="19">
        <f>AA34</f>
        <v>2400</v>
      </c>
    </row>
    <row r="35" spans="1:29" x14ac:dyDescent="0.35">
      <c r="A35" s="133" t="s">
        <v>144</v>
      </c>
      <c r="B35" s="8" t="s">
        <v>19</v>
      </c>
      <c r="C35" s="7">
        <f>_xlfn.XLOOKUP(A35,'Forecast-Volumes annuels import'!A35:A60,'Forecast-Volumes annuels import'!C35:C60)</f>
        <v>400</v>
      </c>
      <c r="D35" s="34">
        <f>_xlfn.XLOOKUP(A35,Tableau12[Produits],Tableau12[Prix unitaire € 2026])*C35*145*(1+19%)*(1+15%)</f>
        <v>69848240</v>
      </c>
      <c r="E35" s="7">
        <f>_xlfn.XLOOKUP(A35,'Forecast-Volumes annuels import'!A35:A60,'Forecast-Volumes annuels import'!D35:D60)</f>
        <v>0</v>
      </c>
      <c r="F35" s="34">
        <f>_xlfn.XLOOKUP(A35,Tableau12[Produits],Tableau12[Prix unitaire € 2026])*E35*145*(1+19%)*(1+15%)</f>
        <v>0</v>
      </c>
      <c r="G35" s="7">
        <f>_xlfn.XLOOKUP(A35,'Forecast-Volumes annuels import'!A35:A61,'Forecast-Volumes annuels import'!E35:E61)</f>
        <v>0</v>
      </c>
      <c r="H35" s="34">
        <f>_xlfn.XLOOKUP(A35,Tableau12[Produits],Tableau12[Prix unitaire € 2026])*G35*145*(1+19%)*(1+15%)</f>
        <v>0</v>
      </c>
      <c r="I35" s="7">
        <f>_xlfn.XLOOKUP('Previsionnels Importations'!A35,'Forecast-Volumes annuels import'!A35:A61,'Forecast-Volumes annuels import'!F35:F61)</f>
        <v>0</v>
      </c>
      <c r="J35" s="34">
        <f>_xlfn.XLOOKUP(A35,Tableau12[Produits],Tableau12[Prix unitaire € 2026])*I35*145*(1+19%)*(1+15%)</f>
        <v>0</v>
      </c>
      <c r="K35" s="7">
        <f>_xlfn.XLOOKUP(A35,'Forecast-Volumes annuels import'!A35:A61,'Forecast-Volumes annuels import'!G35:G61)</f>
        <v>0</v>
      </c>
      <c r="L35" s="34">
        <f>_xlfn.XLOOKUP(A35,Tableau12[Produits],Tableau12[Prix unitaire € 2026])*K35*145*(1+19%)*(1+15%)</f>
        <v>0</v>
      </c>
      <c r="M35" s="7">
        <f>_xlfn.XLOOKUP(A35,'Forecast-Volumes annuels import'!A35:A44,'Forecast-Volumes annuels import'!H35:H44)</f>
        <v>0</v>
      </c>
      <c r="N35" s="34">
        <f>_xlfn.XLOOKUP(A35,Tableau12[Produits],Tableau12[Prix unitaire € 2026])*M35*145*(1+19%)*(1+15%)</f>
        <v>0</v>
      </c>
      <c r="O35" s="7">
        <f>_xlfn.XLOOKUP(A35,'Forecast-Volumes annuels import'!A35:A61,'Forecast-Volumes annuels import'!I35:I61)</f>
        <v>0</v>
      </c>
      <c r="P35" s="34">
        <f>_xlfn.XLOOKUP(A35,Tableau12[Produits],Tableau12[Prix unitaire € 2026])*O35*145*(1+19%)*(1+15%)</f>
        <v>0</v>
      </c>
      <c r="Q35" s="7">
        <f>_xlfn.XLOOKUP(A35,'Forecast-Volumes annuels import'!A35:A61,'Forecast-Volumes annuels import'!J35:J61)</f>
        <v>0</v>
      </c>
      <c r="R35" s="34">
        <f>_xlfn.XLOOKUP(A35,Tableau12[Produits],Tableau12[Prix unitaire € 2026])*Q35*145*(1+19%)*(1+15%)</f>
        <v>0</v>
      </c>
      <c r="S35" s="7">
        <f>_xlfn.XLOOKUP(A35,'Forecast-Volumes annuels import'!A35:A61,'Forecast-Volumes annuels import'!K35:K61)</f>
        <v>0</v>
      </c>
      <c r="T35" s="34">
        <f>_xlfn.XLOOKUP(A35,Tableau12[Produits],Tableau12[Prix unitaire € 2026])*S35*145*(1+19%)*(1+15%)</f>
        <v>0</v>
      </c>
      <c r="U35" s="7">
        <f>_xlfn.XLOOKUP(A35,'Forecast-Volumes annuels import'!A35:A61,'Forecast-Volumes annuels import'!L35:L61)</f>
        <v>0</v>
      </c>
      <c r="V35" s="34">
        <f>_xlfn.XLOOKUP(A35,Tableau12[Produits],Tableau12[Prix unitaire € 2026])*U35*145*(1+19%)*(1+15%)</f>
        <v>0</v>
      </c>
      <c r="W35" s="7">
        <f>_xlfn.XLOOKUP(A35,'Forecast-Volumes annuels import'!A35:A61,'Forecast-Volumes annuels import'!M35:M61)</f>
        <v>0</v>
      </c>
      <c r="X35" s="34">
        <f>_xlfn.XLOOKUP(A35,Tableau12[Produits],Tableau12[Prix unitaire € 2026])*W35*145*(1+19%)*(1+15%)</f>
        <v>0</v>
      </c>
      <c r="Y35" s="7">
        <f>_xlfn.XLOOKUP(A35,'Forecast-Volumes annuels import'!A35:A61,'Forecast-Volumes annuels import'!N35:N61)</f>
        <v>800</v>
      </c>
      <c r="Z35" s="34">
        <f>_xlfn.XLOOKUP(A35,Tableau12[Produits],Tableau12[Prix unitaire € 2026])*Y35*145*(1+19%)*(1+15%)</f>
        <v>139696480</v>
      </c>
      <c r="AA35" s="19">
        <f t="shared" si="0"/>
        <v>1200</v>
      </c>
      <c r="AB35" s="19">
        <f t="shared" si="1"/>
        <v>209544720</v>
      </c>
      <c r="AC35" s="19">
        <f>AA35</f>
        <v>1200</v>
      </c>
    </row>
    <row r="36" spans="1:29" s="52" customFormat="1" x14ac:dyDescent="0.35">
      <c r="A36" s="133" t="s">
        <v>145</v>
      </c>
      <c r="B36" s="8" t="s">
        <v>17</v>
      </c>
      <c r="C36" s="7">
        <f>_xlfn.XLOOKUP(A36,'Forecast-Volumes annuels import'!A36:A61,'Forecast-Volumes annuels import'!C36:C61)</f>
        <v>0</v>
      </c>
      <c r="D36" s="34">
        <f>_xlfn.XLOOKUP(A36,Tableau12[Produits],Tableau12[Prix unitaire € 2026])*C36*145*(1+19%)*(1+15%)</f>
        <v>0</v>
      </c>
      <c r="E36" s="7">
        <f>_xlfn.XLOOKUP(A36,'Forecast-Volumes annuels import'!A36:A61,'Forecast-Volumes annuels import'!D36:D61)</f>
        <v>24000</v>
      </c>
      <c r="F36" s="34">
        <f>_xlfn.XLOOKUP(A36,Tableau12[Produits],Tableau12[Prix unitaire € 2026])*E36*145*(1+19%)*(1+15%)</f>
        <v>14287139.999999998</v>
      </c>
      <c r="G36" s="7">
        <f>_xlfn.XLOOKUP(A36,'Forecast-Volumes annuels import'!A36:A61,'Forecast-Volumes annuels import'!E36:E61)</f>
        <v>0</v>
      </c>
      <c r="H36" s="34">
        <f>_xlfn.XLOOKUP(A36,Tableau12[Produits],Tableau12[Prix unitaire € 2026])*G36*145*(1+19%)*(1+15%)</f>
        <v>0</v>
      </c>
      <c r="I36" s="7">
        <f>_xlfn.XLOOKUP('Previsionnels Importations'!A36,'Forecast-Volumes annuels import'!A36:A61,'Forecast-Volumes annuels import'!F36:F61)</f>
        <v>0</v>
      </c>
      <c r="J36" s="34">
        <f>_xlfn.XLOOKUP(A36,Tableau12[Produits],Tableau12[Prix unitaire € 2026])*I36*145*(1+19%)*(1+15%)</f>
        <v>0</v>
      </c>
      <c r="K36" s="7">
        <f>_xlfn.XLOOKUP(A36,'Forecast-Volumes annuels import'!A36:A61,'Forecast-Volumes annuels import'!G36:G61)</f>
        <v>0</v>
      </c>
      <c r="L36" s="34">
        <f>_xlfn.XLOOKUP(A36,Tableau12[Produits],Tableau12[Prix unitaire € 2026])*K36*145*(1+19%)*(1+15%)</f>
        <v>0</v>
      </c>
      <c r="M36" s="7">
        <f>_xlfn.XLOOKUP(A36,'Forecast-Volumes annuels import'!A36:A61,'Forecast-Volumes annuels import'!H36:H61)</f>
        <v>0</v>
      </c>
      <c r="N36" s="34">
        <f>_xlfn.XLOOKUP(A36,Tableau12[Produits],Tableau12[Prix unitaire € 2026])*M36*145*(1+19%)*(1+15%)</f>
        <v>0</v>
      </c>
      <c r="O36" s="7">
        <f>_xlfn.XLOOKUP(A36,'Forecast-Volumes annuels import'!A36:A61,'Forecast-Volumes annuels import'!I36:I61)</f>
        <v>0</v>
      </c>
      <c r="P36" s="34">
        <f>_xlfn.XLOOKUP(A36,Tableau12[Produits],Tableau12[Prix unitaire € 2026])*O36*145*(1+19%)*(1+15%)</f>
        <v>0</v>
      </c>
      <c r="Q36" s="7">
        <f>_xlfn.XLOOKUP(A36,'Forecast-Volumes annuels import'!A36:A61,'Forecast-Volumes annuels import'!J36:J61)</f>
        <v>0</v>
      </c>
      <c r="R36" s="34">
        <f>_xlfn.XLOOKUP(A36,Tableau12[Produits],Tableau12[Prix unitaire € 2026])*Q36*145*(1+19%)*(1+15%)</f>
        <v>0</v>
      </c>
      <c r="S36" s="7">
        <f>_xlfn.XLOOKUP(A36,'Forecast-Volumes annuels import'!A36:A61,'Forecast-Volumes annuels import'!K36:K61)</f>
        <v>0</v>
      </c>
      <c r="T36" s="34">
        <f>_xlfn.XLOOKUP(A36,Tableau12[Produits],Tableau12[Prix unitaire € 2026])*S36*145*(1+19%)*(1+15%)</f>
        <v>0</v>
      </c>
      <c r="U36" s="7">
        <f>_xlfn.XLOOKUP(A36,'Forecast-Volumes annuels import'!A36:A61,'Forecast-Volumes annuels import'!L36:L61)</f>
        <v>0</v>
      </c>
      <c r="V36" s="34">
        <f>_xlfn.XLOOKUP(A36,Tableau12[Produits],Tableau12[Prix unitaire € 2026])*U36*145*(1+19%)*(1+15%)</f>
        <v>0</v>
      </c>
      <c r="W36" s="7">
        <f>_xlfn.XLOOKUP(A36,'Forecast-Volumes annuels import'!A36:A61,'Forecast-Volumes annuels import'!M36:M61)</f>
        <v>0</v>
      </c>
      <c r="X36" s="34">
        <f>_xlfn.XLOOKUP(A36,Tableau12[Produits],Tableau12[Prix unitaire € 2026])*W36*145*(1+19%)*(1+15%)</f>
        <v>0</v>
      </c>
      <c r="Y36" s="7">
        <f>_xlfn.XLOOKUP(A36,'Forecast-Volumes annuels import'!A36:A61,'Forecast-Volumes annuels import'!N36:N61)</f>
        <v>0</v>
      </c>
      <c r="Z36" s="34">
        <f>_xlfn.XLOOKUP(A36,Tableau12[Produits],Tableau12[Prix unitaire € 2026])*Y36*145*(1+19%)*(1+15%)</f>
        <v>0</v>
      </c>
      <c r="AA36" s="19">
        <f>(C36+E36+G36+I36+K36+M36+O36+Q36+S36+U36+W36+Y36)</f>
        <v>24000</v>
      </c>
      <c r="AB36" s="19">
        <f>(D36+F36+H36+J36+L36+N36+P36+R36+T36+V36+X36+Z36)</f>
        <v>14287139.999999998</v>
      </c>
      <c r="AC36" s="19">
        <f>AA36/1000</f>
        <v>24</v>
      </c>
    </row>
    <row r="37" spans="1:29" s="52" customFormat="1" x14ac:dyDescent="0.35">
      <c r="A37" s="133" t="s">
        <v>146</v>
      </c>
      <c r="B37" s="8" t="s">
        <v>17</v>
      </c>
      <c r="C37" s="7">
        <f>_xlfn.XLOOKUP(A37,'Forecast-Volumes annuels import'!A37:A62,'Forecast-Volumes annuels import'!C37:C62)</f>
        <v>0</v>
      </c>
      <c r="D37" s="34">
        <f>_xlfn.XLOOKUP(A37,Tableau12[Produits],Tableau12[Prix unitaire € 2026])*C37*145*(1+19%)*(1+15%)</f>
        <v>0</v>
      </c>
      <c r="E37" s="7">
        <f>_xlfn.XLOOKUP(A37,'Forecast-Volumes annuels import'!A37:A62,'Forecast-Volumes annuels import'!D37:D62)</f>
        <v>0</v>
      </c>
      <c r="F37" s="34">
        <f>_xlfn.XLOOKUP(A37,Tableau12[Produits],Tableau12[Prix unitaire € 2026])*E37*145*(1+19%)*(1+15%)</f>
        <v>0</v>
      </c>
      <c r="G37" s="7">
        <f>_xlfn.XLOOKUP(A37,'Forecast-Volumes annuels import'!A37:A63,'Forecast-Volumes annuels import'!E37:E63)</f>
        <v>0</v>
      </c>
      <c r="H37" s="34">
        <f>_xlfn.XLOOKUP(A37,Tableau12[Produits],Tableau12[Prix unitaire € 2026])*G37*145*(1+19%)*(1+15%)</f>
        <v>0</v>
      </c>
      <c r="I37" s="7">
        <f>_xlfn.XLOOKUP('Previsionnels Importations'!A37,'Forecast-Volumes annuels import'!A37:A63,'Forecast-Volumes annuels import'!F37:F63)</f>
        <v>0</v>
      </c>
      <c r="J37" s="34">
        <f>_xlfn.XLOOKUP(A37,Tableau12[Produits],Tableau12[Prix unitaire € 2026])*I37*145*(1+19%)*(1+15%)</f>
        <v>0</v>
      </c>
      <c r="K37" s="7">
        <f>_xlfn.XLOOKUP(A37,'Forecast-Volumes annuels import'!A37:A63,'Forecast-Volumes annuels import'!G37:G63)</f>
        <v>0</v>
      </c>
      <c r="L37" s="34">
        <f>_xlfn.XLOOKUP(A37,Tableau12[Produits],Tableau12[Prix unitaire € 2026])*K37*145*(1+19%)*(1+15%)</f>
        <v>0</v>
      </c>
      <c r="M37" s="7">
        <f>_xlfn.XLOOKUP(A37,'Forecast-Volumes annuels import'!A37:A46,'Forecast-Volumes annuels import'!H37:H46)</f>
        <v>0</v>
      </c>
      <c r="N37" s="34">
        <f>_xlfn.XLOOKUP(A37,Tableau12[Produits],Tableau12[Prix unitaire € 2026])*M37*145*(1+19%)*(1+15%)</f>
        <v>0</v>
      </c>
      <c r="O37" s="7">
        <f>_xlfn.XLOOKUP(A37,'Forecast-Volumes annuels import'!A37:A63,'Forecast-Volumes annuels import'!I37:I63)</f>
        <v>24000</v>
      </c>
      <c r="P37" s="34">
        <f>_xlfn.XLOOKUP(A37,Tableau12[Produits],Tableau12[Prix unitaire € 2026])*O37*145*(1+19%)*(1+15%)</f>
        <v>16668329.999999998</v>
      </c>
      <c r="Q37" s="7">
        <f>_xlfn.XLOOKUP(A37,'Forecast-Volumes annuels import'!A37:A63,'Forecast-Volumes annuels import'!J37:J63)</f>
        <v>0</v>
      </c>
      <c r="R37" s="34">
        <f>_xlfn.XLOOKUP(A37,Tableau12[Produits],Tableau12[Prix unitaire € 2026])*Q37*145*(1+19%)*(1+15%)</f>
        <v>0</v>
      </c>
      <c r="S37" s="7">
        <f>_xlfn.XLOOKUP(A37,'Forecast-Volumes annuels import'!A37:A63,'Forecast-Volumes annuels import'!K37:K63)</f>
        <v>0</v>
      </c>
      <c r="T37" s="34">
        <f>_xlfn.XLOOKUP(A37,Tableau12[Produits],Tableau12[Prix unitaire € 2026])*S37*145*(1+19%)*(1+15%)</f>
        <v>0</v>
      </c>
      <c r="U37" s="7">
        <f>_xlfn.XLOOKUP(A37,'Forecast-Volumes annuels import'!A37:A63,'Forecast-Volumes annuels import'!L37:L63)</f>
        <v>0</v>
      </c>
      <c r="V37" s="34">
        <f>_xlfn.XLOOKUP(A37,Tableau12[Produits],Tableau12[Prix unitaire € 2026])*U37*145*(1+19%)*(1+15%)</f>
        <v>0</v>
      </c>
      <c r="W37" s="7">
        <f>_xlfn.XLOOKUP(A37,'Forecast-Volumes annuels import'!A37:A63,'Forecast-Volumes annuels import'!M37:M63)</f>
        <v>0</v>
      </c>
      <c r="X37" s="34">
        <f>_xlfn.XLOOKUP(A37,Tableau12[Produits],Tableau12[Prix unitaire € 2026])*W37*145*(1+19%)*(1+15%)</f>
        <v>0</v>
      </c>
      <c r="Y37" s="7">
        <f>_xlfn.XLOOKUP(A37,'Forecast-Volumes annuels import'!A37:A63,'Forecast-Volumes annuels import'!N37:N63)</f>
        <v>0</v>
      </c>
      <c r="Z37" s="34">
        <f>_xlfn.XLOOKUP(A37,Tableau12[Produits],Tableau12[Prix unitaire € 2026])*Y37*145*(1+19%)*(1+15%)</f>
        <v>0</v>
      </c>
      <c r="AA37" s="19">
        <f t="shared" si="0"/>
        <v>24000</v>
      </c>
      <c r="AB37" s="19">
        <f t="shared" si="1"/>
        <v>16668329.999999998</v>
      </c>
      <c r="AC37" s="19">
        <f t="shared" ref="AC37:AC42" si="4">AA37/1000</f>
        <v>24</v>
      </c>
    </row>
    <row r="38" spans="1:29" s="52" customFormat="1" ht="15" customHeight="1" x14ac:dyDescent="0.35">
      <c r="A38" s="133" t="s">
        <v>147</v>
      </c>
      <c r="B38" s="8" t="s">
        <v>17</v>
      </c>
      <c r="C38" s="7">
        <f>_xlfn.XLOOKUP(A38,'Forecast-Volumes annuels import'!A38:A63,'Forecast-Volumes annuels import'!C38:C63)</f>
        <v>0</v>
      </c>
      <c r="D38" s="34">
        <f>_xlfn.XLOOKUP(A38,Tableau12[Produits],Tableau12[Prix unitaire € 2026])*C38*145*(1+19%)*(1+15%)</f>
        <v>0</v>
      </c>
      <c r="E38" s="7">
        <f>_xlfn.XLOOKUP(A38,'Forecast-Volumes annuels import'!A38:A63,'Forecast-Volumes annuels import'!D38:D63)</f>
        <v>0</v>
      </c>
      <c r="F38" s="34">
        <f>_xlfn.XLOOKUP(A38,Tableau12[Produits],Tableau12[Prix unitaire € 2026])*E38*145*(1+19%)*(1+15%)</f>
        <v>0</v>
      </c>
      <c r="G38" s="7">
        <f>_xlfn.XLOOKUP(A38,'Forecast-Volumes annuels import'!A38:A63,'Forecast-Volumes annuels import'!E38:E63)</f>
        <v>0</v>
      </c>
      <c r="H38" s="34">
        <f>_xlfn.XLOOKUP(A38,Tableau12[Produits],Tableau12[Prix unitaire € 2026])*G38*145*(1+19%)*(1+15%)</f>
        <v>0</v>
      </c>
      <c r="I38" s="7">
        <f>_xlfn.XLOOKUP('Previsionnels Importations'!A38,'Forecast-Volumes annuels import'!A38:A63,'Forecast-Volumes annuels import'!F38:F63)</f>
        <v>0</v>
      </c>
      <c r="J38" s="34">
        <f>_xlfn.XLOOKUP(A38,Tableau12[Produits],Tableau12[Prix unitaire € 2026])*I38*145*(1+19%)*(1+15%)</f>
        <v>0</v>
      </c>
      <c r="K38" s="7">
        <f>_xlfn.XLOOKUP(A38,'Forecast-Volumes annuels import'!A38:A63,'Forecast-Volumes annuels import'!G38:G63)</f>
        <v>0</v>
      </c>
      <c r="L38" s="34">
        <f>_xlfn.XLOOKUP(A38,Tableau12[Produits],Tableau12[Prix unitaire € 2026])*K38*145*(1+19%)*(1+15%)</f>
        <v>0</v>
      </c>
      <c r="M38" s="7">
        <f>_xlfn.XLOOKUP(A38,'Forecast-Volumes annuels import'!A38:A63,'Forecast-Volumes annuels import'!H38:H63)</f>
        <v>0</v>
      </c>
      <c r="N38" s="34">
        <f>_xlfn.XLOOKUP(A38,Tableau12[Produits],Tableau12[Prix unitaire € 2026])*M38*145*(1+19%)*(1+15%)</f>
        <v>0</v>
      </c>
      <c r="O38" s="7">
        <f>_xlfn.XLOOKUP(A38,'Forecast-Volumes annuels import'!A38:A63,'Forecast-Volumes annuels import'!I38:I63)</f>
        <v>0</v>
      </c>
      <c r="P38" s="34">
        <f>_xlfn.XLOOKUP(A38,Tableau12[Produits],Tableau12[Prix unitaire € 2026])*O38*145*(1+19%)*(1+15%)</f>
        <v>0</v>
      </c>
      <c r="Q38" s="7">
        <f>_xlfn.XLOOKUP(A38,'Forecast-Volumes annuels import'!A38:A63,'Forecast-Volumes annuels import'!J38:J63)</f>
        <v>0</v>
      </c>
      <c r="R38" s="34">
        <f>_xlfn.XLOOKUP(A38,Tableau12[Produits],Tableau12[Prix unitaire € 2026])*Q38*145*(1+19%)*(1+15%)</f>
        <v>0</v>
      </c>
      <c r="S38" s="7">
        <f>_xlfn.XLOOKUP(A38,'Forecast-Volumes annuels import'!A38:A63,'Forecast-Volumes annuels import'!K38:K63)</f>
        <v>0</v>
      </c>
      <c r="T38" s="34">
        <f>_xlfn.XLOOKUP(A38,Tableau12[Produits],Tableau12[Prix unitaire € 2026])*S38*145*(1+19%)*(1+15%)</f>
        <v>0</v>
      </c>
      <c r="U38" s="7">
        <f>_xlfn.XLOOKUP(A38,'Forecast-Volumes annuels import'!A38:A63,'Forecast-Volumes annuels import'!L38:L63)</f>
        <v>24000</v>
      </c>
      <c r="V38" s="34">
        <f>_xlfn.XLOOKUP(A38,Tableau12[Produits],Tableau12[Prix unitaire € 2026])*U38*145*(1+19%)*(1+15%)</f>
        <v>11905950</v>
      </c>
      <c r="W38" s="7">
        <f>_xlfn.XLOOKUP(A38,'Forecast-Volumes annuels import'!A38:A63,'Forecast-Volumes annuels import'!M38:M63)</f>
        <v>0</v>
      </c>
      <c r="X38" s="34">
        <f>_xlfn.XLOOKUP(A38,Tableau12[Produits],Tableau12[Prix unitaire € 2026])*W38*145*(1+19%)*(1+15%)</f>
        <v>0</v>
      </c>
      <c r="Y38" s="7">
        <f>_xlfn.XLOOKUP(A38,'Forecast-Volumes annuels import'!A38:A63,'Forecast-Volumes annuels import'!N38:N63)</f>
        <v>0</v>
      </c>
      <c r="Z38" s="34">
        <f>_xlfn.XLOOKUP(A38,Tableau12[Produits],Tableau12[Prix unitaire € 2026])*Y38*145*(1+19%)*(1+15%)</f>
        <v>0</v>
      </c>
      <c r="AA38" s="19">
        <f t="shared" si="0"/>
        <v>24000</v>
      </c>
      <c r="AB38" s="19">
        <f t="shared" si="1"/>
        <v>11905950</v>
      </c>
      <c r="AC38" s="19">
        <f t="shared" si="4"/>
        <v>24</v>
      </c>
    </row>
    <row r="39" spans="1:29" s="52" customFormat="1" ht="14.5" customHeight="1" x14ac:dyDescent="0.35">
      <c r="A39" s="133" t="s">
        <v>148</v>
      </c>
      <c r="B39" s="8" t="s">
        <v>17</v>
      </c>
      <c r="C39" s="7">
        <f>_xlfn.XLOOKUP(A39,'Forecast-Volumes annuels import'!A39:A64,'Forecast-Volumes annuels import'!C39:C64)</f>
        <v>0</v>
      </c>
      <c r="D39" s="34">
        <f>_xlfn.XLOOKUP(A39,Tableau12[Produits],Tableau12[Prix unitaire € 2026])*C39*145*(1+19%)*(1+15%)</f>
        <v>0</v>
      </c>
      <c r="E39" s="7">
        <f>_xlfn.XLOOKUP(A39,'Forecast-Volumes annuels import'!A39:A64,'Forecast-Volumes annuels import'!D39:D64)</f>
        <v>24000</v>
      </c>
      <c r="F39" s="34">
        <f>_xlfn.XLOOKUP(A39,Tableau12[Produits],Tableau12[Prix unitaire € 2026])*E39*145*(1+19%)*(1+15%)</f>
        <v>15239615.999999998</v>
      </c>
      <c r="G39" s="7">
        <f>_xlfn.XLOOKUP(A39,'Forecast-Volumes annuels import'!A39:A65,'Forecast-Volumes annuels import'!E39:E65)</f>
        <v>0</v>
      </c>
      <c r="H39" s="34">
        <f>_xlfn.XLOOKUP(A39,Tableau12[Produits],Tableau12[Prix unitaire € 2026])*G39*145*(1+19%)*(1+15%)</f>
        <v>0</v>
      </c>
      <c r="I39" s="7">
        <f>_xlfn.XLOOKUP('Previsionnels Importations'!A39,'Forecast-Volumes annuels import'!A39:A65,'Forecast-Volumes annuels import'!F39:F65)</f>
        <v>0</v>
      </c>
      <c r="J39" s="34">
        <f>_xlfn.XLOOKUP(A39,Tableau12[Produits],Tableau12[Prix unitaire € 2026])*I39*145*(1+19%)*(1+15%)</f>
        <v>0</v>
      </c>
      <c r="K39" s="7">
        <f>_xlfn.XLOOKUP(A39,'Forecast-Volumes annuels import'!A39:A65,'Forecast-Volumes annuels import'!G39:G65)</f>
        <v>0</v>
      </c>
      <c r="L39" s="34">
        <f>_xlfn.XLOOKUP(A39,Tableau12[Produits],Tableau12[Prix unitaire € 2026])*K39*145*(1+19%)*(1+15%)</f>
        <v>0</v>
      </c>
      <c r="M39" s="7">
        <f>_xlfn.XLOOKUP(A39,'Forecast-Volumes annuels import'!A39:A48,'Forecast-Volumes annuels import'!H39:H48)</f>
        <v>0</v>
      </c>
      <c r="N39" s="34">
        <f>_xlfn.XLOOKUP(A39,Tableau12[Produits],Tableau12[Prix unitaire € 2026])*M39*145*(1+19%)*(1+15%)</f>
        <v>0</v>
      </c>
      <c r="O39" s="7">
        <f>_xlfn.XLOOKUP(A39,'Forecast-Volumes annuels import'!A39:A65,'Forecast-Volumes annuels import'!I39:I65)</f>
        <v>0</v>
      </c>
      <c r="P39" s="34">
        <f>_xlfn.XLOOKUP(A39,Tableau12[Produits],Tableau12[Prix unitaire € 2026])*O39*145*(1+19%)*(1+15%)</f>
        <v>0</v>
      </c>
      <c r="Q39" s="7">
        <f>_xlfn.XLOOKUP(A39,'Forecast-Volumes annuels import'!A39:A65,'Forecast-Volumes annuels import'!J39:J65)</f>
        <v>0</v>
      </c>
      <c r="R39" s="34">
        <f>_xlfn.XLOOKUP(A39,Tableau12[Produits],Tableau12[Prix unitaire € 2026])*Q39*145*(1+19%)*(1+15%)</f>
        <v>0</v>
      </c>
      <c r="S39" s="7">
        <f>_xlfn.XLOOKUP(A39,'Forecast-Volumes annuels import'!A39:A65,'Forecast-Volumes annuels import'!K39:K65)</f>
        <v>0</v>
      </c>
      <c r="T39" s="34">
        <f>_xlfn.XLOOKUP(A39,Tableau12[Produits],Tableau12[Prix unitaire € 2026])*S39*145*(1+19%)*(1+15%)</f>
        <v>0</v>
      </c>
      <c r="U39" s="7">
        <f>_xlfn.XLOOKUP(A39,'Forecast-Volumes annuels import'!A39:A65,'Forecast-Volumes annuels import'!L39:L65)</f>
        <v>0</v>
      </c>
      <c r="V39" s="34">
        <f>_xlfn.XLOOKUP(A39,Tableau12[Produits],Tableau12[Prix unitaire € 2026])*U39*145*(1+19%)*(1+15%)</f>
        <v>0</v>
      </c>
      <c r="W39" s="7">
        <f>_xlfn.XLOOKUP(A39,'Forecast-Volumes annuels import'!A39:A65,'Forecast-Volumes annuels import'!M39:M65)</f>
        <v>0</v>
      </c>
      <c r="X39" s="34">
        <f>_xlfn.XLOOKUP(A39,Tableau12[Produits],Tableau12[Prix unitaire € 2026])*W39*145*(1+19%)*(1+15%)</f>
        <v>0</v>
      </c>
      <c r="Y39" s="7">
        <f>_xlfn.XLOOKUP(A39,'Forecast-Volumes annuels import'!A39:A65,'Forecast-Volumes annuels import'!N39:N65)</f>
        <v>0</v>
      </c>
      <c r="Z39" s="34">
        <f>_xlfn.XLOOKUP(A39,Tableau12[Produits],Tableau12[Prix unitaire € 2026])*Y39*145*(1+19%)*(1+15%)</f>
        <v>0</v>
      </c>
      <c r="AA39" s="19">
        <f t="shared" si="0"/>
        <v>24000</v>
      </c>
      <c r="AB39" s="19">
        <f t="shared" si="1"/>
        <v>15239615.999999998</v>
      </c>
      <c r="AC39" s="19">
        <f t="shared" si="4"/>
        <v>24</v>
      </c>
    </row>
    <row r="40" spans="1:29" s="52" customFormat="1" x14ac:dyDescent="0.35">
      <c r="A40" s="133" t="s">
        <v>149</v>
      </c>
      <c r="B40" s="8" t="s">
        <v>17</v>
      </c>
      <c r="C40" s="7">
        <f>_xlfn.XLOOKUP(A40,'Forecast-Volumes annuels import'!A40:A65,'Forecast-Volumes annuels import'!C40:C65)</f>
        <v>0</v>
      </c>
      <c r="D40" s="34">
        <f>_xlfn.XLOOKUP(A40,Tableau12[Produits],Tableau12[Prix unitaire € 2026])*C40*145*(1+19%)*(1+15%)</f>
        <v>0</v>
      </c>
      <c r="E40" s="7">
        <f>_xlfn.XLOOKUP(A40,'Forecast-Volumes annuels import'!A40:A65,'Forecast-Volumes annuels import'!D40:D65)</f>
        <v>0</v>
      </c>
      <c r="F40" s="34">
        <f>_xlfn.XLOOKUP(A40,Tableau12[Produits],Tableau12[Prix unitaire € 2026])*E40*145*(1+19%)*(1+15%)</f>
        <v>0</v>
      </c>
      <c r="G40" s="7">
        <f>_xlfn.XLOOKUP(A40,'Forecast-Volumes annuels import'!A40:A65,'Forecast-Volumes annuels import'!E40:E65)</f>
        <v>0</v>
      </c>
      <c r="H40" s="34">
        <f>_xlfn.XLOOKUP(A40,Tableau12[Produits],Tableau12[Prix unitaire € 2026])*G40*145*(1+19%)*(1+15%)</f>
        <v>0</v>
      </c>
      <c r="I40" s="7">
        <f>_xlfn.XLOOKUP('Previsionnels Importations'!A40,'Forecast-Volumes annuels import'!A40:A65,'Forecast-Volumes annuels import'!F40:F65)</f>
        <v>0</v>
      </c>
      <c r="J40" s="34">
        <f>_xlfn.XLOOKUP(A40,Tableau12[Produits],Tableau12[Prix unitaire € 2026])*I40*145*(1+19%)*(1+15%)</f>
        <v>0</v>
      </c>
      <c r="K40" s="7">
        <f>_xlfn.XLOOKUP(A40,'Forecast-Volumes annuels import'!A40:A65,'Forecast-Volumes annuels import'!G40:G65)</f>
        <v>0</v>
      </c>
      <c r="L40" s="34">
        <f>_xlfn.XLOOKUP(A40,Tableau12[Produits],Tableau12[Prix unitaire € 2026])*K40*145*(1+19%)*(1+15%)</f>
        <v>0</v>
      </c>
      <c r="M40" s="7">
        <f>_xlfn.XLOOKUP(A40,'Forecast-Volumes annuels import'!A40:A65,'Forecast-Volumes annuels import'!H40:H65)</f>
        <v>0</v>
      </c>
      <c r="N40" s="34">
        <f>_xlfn.XLOOKUP(A40,Tableau12[Produits],Tableau12[Prix unitaire € 2026])*M40*145*(1+19%)*(1+15%)</f>
        <v>0</v>
      </c>
      <c r="O40" s="7">
        <f>_xlfn.XLOOKUP(A40,'Forecast-Volumes annuels import'!A40:A65,'Forecast-Volumes annuels import'!I40:I65)</f>
        <v>0</v>
      </c>
      <c r="P40" s="34">
        <f>_xlfn.XLOOKUP(A40,Tableau12[Produits],Tableau12[Prix unitaire € 2026])*O40*145*(1+19%)*(1+15%)</f>
        <v>0</v>
      </c>
      <c r="Q40" s="7">
        <f>_xlfn.XLOOKUP(A40,'Forecast-Volumes annuels import'!A40:A65,'Forecast-Volumes annuels import'!J40:J65)</f>
        <v>0</v>
      </c>
      <c r="R40" s="34">
        <f>_xlfn.XLOOKUP(A40,Tableau12[Produits],Tableau12[Prix unitaire € 2026])*Q40*145*(1+19%)*(1+15%)</f>
        <v>0</v>
      </c>
      <c r="S40" s="7">
        <f>_xlfn.XLOOKUP(A40,'Forecast-Volumes annuels import'!A40:A65,'Forecast-Volumes annuels import'!K40:K65)</f>
        <v>0</v>
      </c>
      <c r="T40" s="34">
        <f>_xlfn.XLOOKUP(A40,Tableau12[Produits],Tableau12[Prix unitaire € 2026])*S40*145*(1+19%)*(1+15%)</f>
        <v>0</v>
      </c>
      <c r="U40" s="7">
        <f>_xlfn.XLOOKUP(A40,'Forecast-Volumes annuels import'!A40:A65,'Forecast-Volumes annuels import'!L40:L65)</f>
        <v>0</v>
      </c>
      <c r="V40" s="34">
        <f>_xlfn.XLOOKUP(A40,Tableau12[Produits],Tableau12[Prix unitaire € 2026])*U40*145*(1+19%)*(1+15%)</f>
        <v>0</v>
      </c>
      <c r="W40" s="7">
        <f>_xlfn.XLOOKUP(A40,'Forecast-Volumes annuels import'!A40:A65,'Forecast-Volumes annuels import'!M40:M65)</f>
        <v>0</v>
      </c>
      <c r="X40" s="34">
        <f>_xlfn.XLOOKUP(A40,Tableau12[Produits],Tableau12[Prix unitaire € 2026])*W40*145*(1+19%)*(1+15%)</f>
        <v>0</v>
      </c>
      <c r="Y40" s="7">
        <f>_xlfn.XLOOKUP(A40,'Forecast-Volumes annuels import'!A40:A65,'Forecast-Volumes annuels import'!N40:N65)</f>
        <v>24000</v>
      </c>
      <c r="Z40" s="34">
        <f>_xlfn.XLOOKUP(A40,Tableau12[Produits],Tableau12[Prix unitaire € 2026])*Y40*145*(1+19%)*(1+15%)</f>
        <v>14287139.999999998</v>
      </c>
      <c r="AA40" s="19">
        <f t="shared" si="0"/>
        <v>24000</v>
      </c>
      <c r="AB40" s="19">
        <f t="shared" si="1"/>
        <v>14287139.999999998</v>
      </c>
      <c r="AC40" s="19">
        <f t="shared" si="4"/>
        <v>24</v>
      </c>
    </row>
    <row r="41" spans="1:29" s="52" customFormat="1" x14ac:dyDescent="0.35">
      <c r="A41" s="133" t="s">
        <v>150</v>
      </c>
      <c r="B41" s="8" t="s">
        <v>16</v>
      </c>
      <c r="C41" s="7">
        <f>_xlfn.XLOOKUP(A41,'Forecast-Volumes annuels import'!A41:A80,'Forecast-Volumes annuels import'!C41:C80)</f>
        <v>0</v>
      </c>
      <c r="D41" s="34">
        <f>_xlfn.XLOOKUP(A41,Tableau12[Produits],Tableau12[Prix unitaire € 2026])*C41*145*(1+19%)*(1+15%)</f>
        <v>0</v>
      </c>
      <c r="E41" s="7">
        <f>_xlfn.XLOOKUP(A41,'Forecast-Volumes annuels import'!A41:A80,'Forecast-Volumes annuels import'!D41:D80)</f>
        <v>1000</v>
      </c>
      <c r="F41" s="34">
        <f>_xlfn.XLOOKUP(A41,Tableau12[Produits],Tableau12[Prix unitaire € 2026])*E41*145*(1+19%)*(1+15%)</f>
        <v>0</v>
      </c>
      <c r="G41" s="7">
        <f>_xlfn.XLOOKUP(A41,'Forecast-Volumes annuels import'!A41:A81,'Forecast-Volumes annuels import'!E41:E81)</f>
        <v>0</v>
      </c>
      <c r="H41" s="34">
        <f>_xlfn.XLOOKUP(A41,Tableau12[Produits],Tableau12[Prix unitaire € 2026])*G41*145*(1+19%)*(1+15%)</f>
        <v>0</v>
      </c>
      <c r="I41" s="7">
        <f>_xlfn.XLOOKUP('Previsionnels Importations'!A41,'Forecast-Volumes annuels import'!A41:A81,'Forecast-Volumes annuels import'!F41:F81)</f>
        <v>0</v>
      </c>
      <c r="J41" s="34">
        <f>_xlfn.XLOOKUP(A41,Tableau12[Produits],Tableau12[Prix unitaire € 2026])*I41*145*(1+19%)*(1+15%)</f>
        <v>0</v>
      </c>
      <c r="K41" s="7">
        <f>_xlfn.XLOOKUP(A41,'Forecast-Volumes annuels import'!A41:A81,'Forecast-Volumes annuels import'!G41:G81)</f>
        <v>0</v>
      </c>
      <c r="L41" s="34">
        <f>_xlfn.XLOOKUP(A41,Tableau12[Produits],Tableau12[Prix unitaire € 2026])*K41*145*(1+19%)*(1+15%)</f>
        <v>0</v>
      </c>
      <c r="M41" s="7">
        <f>_xlfn.XLOOKUP(A41,'Forecast-Volumes annuels import'!A41:A64,'Forecast-Volumes annuels import'!H41:H64)</f>
        <v>0</v>
      </c>
      <c r="N41" s="34">
        <f>_xlfn.XLOOKUP(A41,Tableau12[Produits],Tableau12[Prix unitaire € 2026])*M41*145*(1+19%)*(1+15%)</f>
        <v>0</v>
      </c>
      <c r="O41" s="7">
        <f>_xlfn.XLOOKUP(A41,'Forecast-Volumes annuels import'!A41:A81,'Forecast-Volumes annuels import'!I41:I81)</f>
        <v>0</v>
      </c>
      <c r="P41" s="34">
        <f>_xlfn.XLOOKUP(A41,Tableau12[Produits],Tableau12[Prix unitaire € 2026])*O41*145*(1+19%)*(1+15%)</f>
        <v>0</v>
      </c>
      <c r="Q41" s="7">
        <f>_xlfn.XLOOKUP(A41,'Forecast-Volumes annuels import'!A41:A81,'Forecast-Volumes annuels import'!J41:J81)</f>
        <v>0</v>
      </c>
      <c r="R41" s="34">
        <f>_xlfn.XLOOKUP(A41,Tableau12[Produits],Tableau12[Prix unitaire € 2026])*Q41*145*(1+19%)*(1+15%)</f>
        <v>0</v>
      </c>
      <c r="S41" s="7">
        <f>_xlfn.XLOOKUP(A41,'Forecast-Volumes annuels import'!A41:A81,'Forecast-Volumes annuels import'!K41:K81)</f>
        <v>0</v>
      </c>
      <c r="T41" s="34">
        <f>_xlfn.XLOOKUP(A41,Tableau12[Produits],Tableau12[Prix unitaire € 2026])*S41*145*(1+19%)*(1+15%)</f>
        <v>0</v>
      </c>
      <c r="U41" s="7">
        <f>_xlfn.XLOOKUP(A41,'Forecast-Volumes annuels import'!A41:A81,'Forecast-Volumes annuels import'!L41:L81)</f>
        <v>0</v>
      </c>
      <c r="V41" s="34">
        <f>_xlfn.XLOOKUP(A41,Tableau12[Produits],Tableau12[Prix unitaire € 2026])*U41*145*(1+19%)*(1+15%)</f>
        <v>0</v>
      </c>
      <c r="W41" s="7">
        <f>_xlfn.XLOOKUP(A41,'Forecast-Volumes annuels import'!A41:A81,'Forecast-Volumes annuels import'!M41:M81)</f>
        <v>0</v>
      </c>
      <c r="X41" s="34">
        <f>_xlfn.XLOOKUP(A41,Tableau12[Produits],Tableau12[Prix unitaire € 2026])*W41*145*(1+19%)*(1+15%)</f>
        <v>0</v>
      </c>
      <c r="Y41" s="7">
        <f>_xlfn.XLOOKUP(A41,'Forecast-Volumes annuels import'!A41:A81,'Forecast-Volumes annuels import'!N41:N81)</f>
        <v>0</v>
      </c>
      <c r="Z41" s="34">
        <f>_xlfn.XLOOKUP(A41,Tableau12[Produits],Tableau12[Prix unitaire € 2026])*Y41*145*(1+19%)*(1+15%)</f>
        <v>0</v>
      </c>
      <c r="AA41" s="19">
        <f t="shared" si="0"/>
        <v>1000</v>
      </c>
      <c r="AB41" s="19">
        <f t="shared" si="1"/>
        <v>0</v>
      </c>
      <c r="AC41" s="19">
        <f t="shared" si="4"/>
        <v>1</v>
      </c>
    </row>
    <row r="42" spans="1:29" s="52" customFormat="1" x14ac:dyDescent="0.35">
      <c r="A42" s="134" t="s">
        <v>151</v>
      </c>
      <c r="B42" s="8" t="s">
        <v>16</v>
      </c>
      <c r="C42" s="7">
        <f>_xlfn.XLOOKUP(A42,'Forecast-Volumes annuels import'!A42:A81,'Forecast-Volumes annuels import'!C42:C81)</f>
        <v>0</v>
      </c>
      <c r="D42" s="34">
        <f>_xlfn.XLOOKUP(A42,Tableau12[Produits],Tableau12[Prix unitaire € 2026])*C42*145*(1+19%)*(1+15%)</f>
        <v>0</v>
      </c>
      <c r="E42" s="7">
        <f>_xlfn.XLOOKUP(A42,'Forecast-Volumes annuels import'!A42:A81,'Forecast-Volumes annuels import'!D42:D81)</f>
        <v>0</v>
      </c>
      <c r="F42" s="34">
        <f>_xlfn.XLOOKUP(A42,Tableau12[Produits],Tableau12[Prix unitaire € 2026])*E42*145*(1+19%)*(1+15%)</f>
        <v>0</v>
      </c>
      <c r="G42" s="7">
        <f>_xlfn.XLOOKUP(A42,'Forecast-Volumes annuels import'!A42:A81,'Forecast-Volumes annuels import'!E42:E81)</f>
        <v>0</v>
      </c>
      <c r="H42" s="34">
        <f>_xlfn.XLOOKUP(A42,Tableau12[Produits],Tableau12[Prix unitaire € 2026])*G42*145*(1+19%)*(1+15%)</f>
        <v>0</v>
      </c>
      <c r="I42" s="7">
        <f>_xlfn.XLOOKUP('Previsionnels Importations'!A42,'Forecast-Volumes annuels import'!A42:A81,'Forecast-Volumes annuels import'!F42:F81)</f>
        <v>0</v>
      </c>
      <c r="J42" s="34">
        <f>_xlfn.XLOOKUP(A42,Tableau12[Produits],Tableau12[Prix unitaire € 2026])*I42*145*(1+19%)*(1+15%)</f>
        <v>0</v>
      </c>
      <c r="K42" s="7">
        <f>_xlfn.XLOOKUP(A42,'Forecast-Volumes annuels import'!A42:A81,'Forecast-Volumes annuels import'!G42:G81)</f>
        <v>10000</v>
      </c>
      <c r="L42" s="34">
        <f>_xlfn.XLOOKUP(A42,Tableau12[Produits],Tableau12[Prix unitaire € 2026])*K42*145*(1+19%)*(1+15%)</f>
        <v>0</v>
      </c>
      <c r="M42" s="7">
        <f>_xlfn.XLOOKUP(A42,'Forecast-Volumes annuels import'!A42:A81,'Forecast-Volumes annuels import'!H42:H81)</f>
        <v>0</v>
      </c>
      <c r="N42" s="34">
        <f>_xlfn.XLOOKUP(A42,Tableau12[Produits],Tableau12[Prix unitaire € 2026])*M42*145*(1+19%)*(1+15%)</f>
        <v>0</v>
      </c>
      <c r="O42" s="7">
        <f>_xlfn.XLOOKUP(A42,'Forecast-Volumes annuels import'!A42:A81,'Forecast-Volumes annuels import'!I42:I81)</f>
        <v>0</v>
      </c>
      <c r="P42" s="34">
        <f>_xlfn.XLOOKUP(A42,Tableau12[Produits],Tableau12[Prix unitaire € 2026])*O42*145*(1+19%)*(1+15%)</f>
        <v>0</v>
      </c>
      <c r="Q42" s="7">
        <f>_xlfn.XLOOKUP(A42,'Forecast-Volumes annuels import'!A42:A81,'Forecast-Volumes annuels import'!J42:J81)</f>
        <v>0</v>
      </c>
      <c r="R42" s="34">
        <f>_xlfn.XLOOKUP(A42,Tableau12[Produits],Tableau12[Prix unitaire € 2026])*Q42*145*(1+19%)*(1+15%)</f>
        <v>0</v>
      </c>
      <c r="S42" s="7">
        <f>_xlfn.XLOOKUP(A42,'Forecast-Volumes annuels import'!A42:A81,'Forecast-Volumes annuels import'!K42:K81)</f>
        <v>0</v>
      </c>
      <c r="T42" s="34">
        <f>_xlfn.XLOOKUP(A42,Tableau12[Produits],Tableau12[Prix unitaire € 2026])*S42*145*(1+19%)*(1+15%)</f>
        <v>0</v>
      </c>
      <c r="U42" s="7">
        <f>_xlfn.XLOOKUP(A42,'Forecast-Volumes annuels import'!A42:A81,'Forecast-Volumes annuels import'!L42:L81)</f>
        <v>0</v>
      </c>
      <c r="V42" s="34">
        <f>_xlfn.XLOOKUP(A42,Tableau12[Produits],Tableau12[Prix unitaire € 2026])*U42*145*(1+19%)*(1+15%)</f>
        <v>0</v>
      </c>
      <c r="W42" s="7">
        <f>_xlfn.XLOOKUP(A42,'Forecast-Volumes annuels import'!A42:A81,'Forecast-Volumes annuels import'!M42:M81)</f>
        <v>0</v>
      </c>
      <c r="X42" s="34">
        <f>_xlfn.XLOOKUP(A42,Tableau12[Produits],Tableau12[Prix unitaire € 2026])*W42*145*(1+19%)*(1+15%)</f>
        <v>0</v>
      </c>
      <c r="Y42" s="7">
        <f>_xlfn.XLOOKUP(A42,'Forecast-Volumes annuels import'!A42:A81,'Forecast-Volumes annuels import'!N42:N81)</f>
        <v>0</v>
      </c>
      <c r="Z42" s="34">
        <f>_xlfn.XLOOKUP(A42,Tableau12[Produits],Tableau12[Prix unitaire € 2026])*Y42*145*(1+19%)*(1+15%)</f>
        <v>0</v>
      </c>
      <c r="AA42" s="19">
        <f t="shared" si="0"/>
        <v>10000</v>
      </c>
      <c r="AB42" s="19">
        <f t="shared" si="1"/>
        <v>0</v>
      </c>
      <c r="AC42" s="19">
        <f t="shared" si="4"/>
        <v>10</v>
      </c>
    </row>
    <row r="43" spans="1:29" s="52" customFormat="1" x14ac:dyDescent="0.35">
      <c r="A43" s="50"/>
      <c r="B43" s="50"/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</row>
    <row r="44" spans="1:29" s="52" customFormat="1" x14ac:dyDescent="0.35">
      <c r="A44" s="50"/>
      <c r="B44" s="50"/>
      <c r="C44" s="51"/>
      <c r="D44" s="51"/>
      <c r="E44" s="51"/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  <c r="U44" s="51"/>
      <c r="V44" s="51"/>
      <c r="W44" s="51"/>
      <c r="X44" s="51"/>
      <c r="Y44" s="51"/>
      <c r="Z44" s="51"/>
      <c r="AA44" s="51"/>
    </row>
    <row r="45" spans="1:29" s="52" customFormat="1" x14ac:dyDescent="0.35">
      <c r="A45" s="50"/>
      <c r="B45" s="50"/>
      <c r="C45" s="51"/>
      <c r="D45" s="51"/>
      <c r="E45" s="51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1"/>
      <c r="V45" s="51"/>
      <c r="W45" s="51"/>
      <c r="X45" s="51"/>
      <c r="Y45" s="51"/>
      <c r="Z45" s="51"/>
      <c r="AA45" s="51"/>
    </row>
    <row r="46" spans="1:29" s="52" customFormat="1" x14ac:dyDescent="0.35">
      <c r="A46" s="50"/>
      <c r="B46" s="50"/>
      <c r="C46" s="51"/>
      <c r="D46" s="51"/>
      <c r="E46" s="51"/>
      <c r="F46" s="51"/>
      <c r="G46" s="51"/>
      <c r="H46" s="51"/>
      <c r="I46" s="51"/>
      <c r="J46" s="51"/>
      <c r="K46" s="51"/>
      <c r="L46" s="51"/>
      <c r="M46" s="51"/>
      <c r="N46" s="51"/>
      <c r="O46" s="51"/>
      <c r="P46" s="51"/>
      <c r="Q46" s="51"/>
      <c r="R46" s="51"/>
      <c r="S46" s="51"/>
      <c r="T46" s="51"/>
      <c r="U46" s="51"/>
      <c r="V46" s="51"/>
      <c r="W46" s="51"/>
      <c r="X46" s="51"/>
      <c r="Y46" s="51"/>
      <c r="Z46" s="51"/>
      <c r="AA46" s="51"/>
    </row>
    <row r="47" spans="1:29" s="52" customFormat="1" x14ac:dyDescent="0.35">
      <c r="A47" s="50"/>
      <c r="B47" s="50"/>
      <c r="C47" s="51"/>
      <c r="D47" s="51"/>
      <c r="E47" s="51"/>
      <c r="F47" s="51"/>
      <c r="G47" s="51"/>
      <c r="H47" s="51"/>
      <c r="I47" s="51"/>
      <c r="J47" s="51"/>
      <c r="K47" s="51"/>
      <c r="L47" s="51"/>
      <c r="M47" s="51"/>
      <c r="N47" s="51"/>
      <c r="O47" s="51"/>
      <c r="P47" s="51"/>
      <c r="Q47" s="51"/>
      <c r="R47" s="51"/>
      <c r="S47" s="51"/>
      <c r="T47" s="51"/>
      <c r="U47" s="51"/>
      <c r="V47" s="51"/>
      <c r="W47" s="51"/>
      <c r="X47" s="51"/>
      <c r="Y47" s="51"/>
      <c r="Z47" s="51"/>
      <c r="AA47" s="51"/>
    </row>
    <row r="48" spans="1:29" s="52" customFormat="1" x14ac:dyDescent="0.35">
      <c r="A48" s="50"/>
      <c r="B48" s="50"/>
      <c r="C48" s="51"/>
      <c r="D48" s="51"/>
      <c r="E48" s="51"/>
      <c r="F48" s="51"/>
      <c r="G48" s="51"/>
      <c r="H48" s="51"/>
      <c r="I48" s="51"/>
      <c r="J48" s="51"/>
      <c r="K48" s="51"/>
      <c r="L48" s="51"/>
      <c r="M48" s="51"/>
      <c r="N48" s="51"/>
      <c r="O48" s="51"/>
      <c r="P48" s="51"/>
      <c r="Q48" s="51"/>
      <c r="R48" s="51"/>
      <c r="S48" s="51"/>
      <c r="T48" s="51"/>
      <c r="U48" s="51"/>
      <c r="V48" s="51"/>
      <c r="W48" s="51"/>
      <c r="X48" s="51"/>
      <c r="Y48" s="51"/>
      <c r="Z48" s="51"/>
      <c r="AA48" s="51"/>
    </row>
    <row r="49" spans="1:27" s="52" customFormat="1" x14ac:dyDescent="0.35">
      <c r="A49" s="50"/>
      <c r="B49" s="50"/>
      <c r="C49" s="51"/>
      <c r="D49" s="51"/>
      <c r="E49" s="51"/>
      <c r="F49" s="51"/>
      <c r="G49" s="51"/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  <c r="W49" s="51"/>
      <c r="X49" s="51"/>
      <c r="Y49" s="51"/>
      <c r="Z49" s="51"/>
      <c r="AA49" s="51"/>
    </row>
    <row r="50" spans="1:27" s="52" customFormat="1" x14ac:dyDescent="0.35">
      <c r="A50" s="50"/>
      <c r="B50" s="50"/>
      <c r="C50" s="51"/>
      <c r="D50" s="51"/>
      <c r="E50" s="51"/>
      <c r="F50" s="51"/>
      <c r="G50" s="51"/>
      <c r="H50" s="51"/>
      <c r="I50" s="51"/>
      <c r="J50" s="51"/>
      <c r="K50" s="51"/>
      <c r="L50" s="51"/>
      <c r="M50" s="51"/>
      <c r="N50" s="51"/>
      <c r="O50" s="51"/>
      <c r="P50" s="51"/>
      <c r="Q50" s="51"/>
      <c r="R50" s="51"/>
      <c r="S50" s="51"/>
      <c r="T50" s="51"/>
      <c r="U50" s="51"/>
      <c r="V50" s="51"/>
      <c r="W50" s="51"/>
      <c r="X50" s="51"/>
      <c r="Y50" s="51"/>
      <c r="Z50" s="51"/>
      <c r="AA50" s="51"/>
    </row>
    <row r="51" spans="1:27" s="52" customFormat="1" x14ac:dyDescent="0.35">
      <c r="A51" s="50"/>
      <c r="B51" s="50"/>
      <c r="C51" s="51"/>
      <c r="D51" s="51"/>
      <c r="E51" s="51"/>
      <c r="F51" s="51"/>
      <c r="G51" s="51"/>
      <c r="H51" s="51"/>
      <c r="I51" s="51"/>
      <c r="J51" s="51"/>
      <c r="K51" s="51"/>
      <c r="L51" s="51"/>
      <c r="M51" s="51"/>
      <c r="N51" s="51"/>
      <c r="O51" s="51"/>
      <c r="P51" s="51"/>
      <c r="Q51" s="51"/>
      <c r="R51" s="51"/>
      <c r="S51" s="51"/>
      <c r="T51" s="51"/>
      <c r="U51" s="51"/>
      <c r="V51" s="51"/>
      <c r="W51" s="51"/>
      <c r="X51" s="51"/>
      <c r="Y51" s="51"/>
      <c r="Z51" s="51"/>
      <c r="AA51" s="51"/>
    </row>
    <row r="52" spans="1:27" s="52" customFormat="1" x14ac:dyDescent="0.35">
      <c r="A52" s="50"/>
      <c r="B52" s="50"/>
      <c r="C52" s="51"/>
      <c r="D52" s="51"/>
      <c r="E52" s="51"/>
      <c r="F52" s="51"/>
      <c r="G52" s="51"/>
      <c r="H52" s="51"/>
      <c r="I52" s="51"/>
      <c r="J52" s="51"/>
      <c r="K52" s="51"/>
      <c r="L52" s="51"/>
      <c r="M52" s="51"/>
      <c r="N52" s="51"/>
      <c r="O52" s="51"/>
      <c r="P52" s="51"/>
      <c r="Q52" s="51"/>
      <c r="R52" s="51"/>
      <c r="S52" s="51"/>
      <c r="T52" s="51"/>
      <c r="U52" s="51"/>
      <c r="V52" s="51"/>
      <c r="W52" s="51"/>
      <c r="X52" s="51"/>
      <c r="Y52" s="51"/>
      <c r="Z52" s="51"/>
      <c r="AA52" s="51"/>
    </row>
    <row r="53" spans="1:27" s="52" customFormat="1" x14ac:dyDescent="0.35">
      <c r="A53" s="50"/>
      <c r="B53" s="50"/>
      <c r="C53" s="51"/>
      <c r="D53" s="51"/>
      <c r="E53" s="51"/>
      <c r="F53" s="51"/>
      <c r="G53" s="51"/>
      <c r="H53" s="51"/>
      <c r="I53" s="51"/>
      <c r="J53" s="51"/>
      <c r="K53" s="51"/>
      <c r="L53" s="51"/>
      <c r="M53" s="51"/>
      <c r="N53" s="51"/>
      <c r="O53" s="51"/>
      <c r="P53" s="51"/>
      <c r="Q53" s="51"/>
      <c r="R53" s="51"/>
      <c r="S53" s="51"/>
      <c r="T53" s="51"/>
      <c r="U53" s="51"/>
      <c r="V53" s="51"/>
      <c r="W53" s="51"/>
      <c r="X53" s="51"/>
      <c r="Y53" s="51"/>
      <c r="Z53" s="51"/>
      <c r="AA53" s="51"/>
    </row>
    <row r="54" spans="1:27" s="52" customFormat="1" x14ac:dyDescent="0.35">
      <c r="A54" s="50"/>
      <c r="B54" s="50"/>
      <c r="C54" s="51"/>
      <c r="D54" s="51"/>
      <c r="E54" s="51"/>
      <c r="F54" s="51"/>
      <c r="G54" s="51"/>
      <c r="H54" s="51"/>
      <c r="I54" s="51"/>
      <c r="J54" s="51"/>
      <c r="K54" s="51"/>
      <c r="L54" s="51"/>
      <c r="M54" s="51"/>
      <c r="N54" s="51"/>
      <c r="O54" s="51"/>
      <c r="P54" s="51"/>
      <c r="Q54" s="51"/>
      <c r="R54" s="51"/>
      <c r="S54" s="51"/>
      <c r="T54" s="51"/>
      <c r="U54" s="51"/>
      <c r="V54" s="51"/>
      <c r="W54" s="51"/>
      <c r="X54" s="51"/>
      <c r="Y54" s="51"/>
      <c r="Z54" s="51"/>
      <c r="AA54" s="51"/>
    </row>
    <row r="55" spans="1:27" s="52" customFormat="1" x14ac:dyDescent="0.35">
      <c r="A55" s="50"/>
      <c r="B55" s="50"/>
      <c r="C55" s="51"/>
      <c r="D55" s="51"/>
      <c r="E55" s="51"/>
      <c r="F55" s="51"/>
      <c r="G55" s="51"/>
      <c r="H55" s="51"/>
      <c r="I55" s="51"/>
      <c r="J55" s="51"/>
      <c r="K55" s="51"/>
      <c r="L55" s="51"/>
      <c r="M55" s="51"/>
      <c r="N55" s="51"/>
      <c r="O55" s="51"/>
      <c r="P55" s="51"/>
      <c r="Q55" s="51"/>
      <c r="R55" s="51"/>
      <c r="S55" s="51"/>
      <c r="T55" s="51"/>
      <c r="U55" s="51"/>
      <c r="V55" s="51"/>
      <c r="W55" s="51"/>
      <c r="X55" s="51"/>
      <c r="Y55" s="51"/>
      <c r="Z55" s="51"/>
      <c r="AA55" s="51"/>
    </row>
    <row r="56" spans="1:27" s="52" customFormat="1" x14ac:dyDescent="0.35">
      <c r="A56" s="50"/>
      <c r="B56" s="50"/>
      <c r="C56" s="51"/>
      <c r="D56" s="51"/>
      <c r="E56" s="51"/>
      <c r="F56" s="51"/>
      <c r="G56" s="51"/>
      <c r="H56" s="51"/>
      <c r="I56" s="51"/>
      <c r="J56" s="51"/>
      <c r="K56" s="51"/>
      <c r="L56" s="51"/>
      <c r="M56" s="51"/>
      <c r="N56" s="51"/>
      <c r="O56" s="51"/>
      <c r="P56" s="51"/>
      <c r="Q56" s="51"/>
      <c r="R56" s="51"/>
      <c r="S56" s="51"/>
      <c r="T56" s="51"/>
      <c r="U56" s="51"/>
      <c r="V56" s="51"/>
      <c r="W56" s="51"/>
      <c r="X56" s="51"/>
      <c r="Y56" s="51"/>
      <c r="Z56" s="51"/>
      <c r="AA56" s="51"/>
    </row>
    <row r="57" spans="1:27" s="52" customFormat="1" x14ac:dyDescent="0.35">
      <c r="A57" s="50"/>
      <c r="B57" s="50"/>
      <c r="C57" s="51"/>
      <c r="D57" s="51"/>
      <c r="E57" s="51"/>
      <c r="F57" s="51"/>
      <c r="G57" s="51"/>
      <c r="H57" s="51"/>
      <c r="I57" s="51"/>
      <c r="J57" s="51"/>
      <c r="K57" s="51"/>
      <c r="L57" s="51"/>
      <c r="M57" s="51"/>
      <c r="N57" s="51"/>
      <c r="O57" s="51"/>
      <c r="P57" s="51"/>
      <c r="Q57" s="51"/>
      <c r="R57" s="51"/>
      <c r="S57" s="51"/>
      <c r="T57" s="51"/>
      <c r="U57" s="51"/>
      <c r="V57" s="51"/>
      <c r="W57" s="51"/>
      <c r="X57" s="51"/>
      <c r="Y57" s="51"/>
      <c r="Z57" s="51"/>
      <c r="AA57" s="51"/>
    </row>
    <row r="58" spans="1:27" s="52" customFormat="1" x14ac:dyDescent="0.35">
      <c r="A58" s="50"/>
      <c r="B58" s="50"/>
      <c r="C58" s="51"/>
      <c r="D58" s="51"/>
      <c r="E58" s="51"/>
      <c r="F58" s="51"/>
      <c r="G58" s="51"/>
      <c r="H58" s="51"/>
      <c r="I58" s="51"/>
      <c r="J58" s="51"/>
      <c r="K58" s="51"/>
      <c r="L58" s="51"/>
      <c r="M58" s="51"/>
      <c r="N58" s="51"/>
      <c r="O58" s="51"/>
      <c r="P58" s="51"/>
      <c r="Q58" s="51"/>
      <c r="R58" s="51"/>
      <c r="S58" s="51"/>
      <c r="T58" s="51"/>
      <c r="U58" s="51"/>
      <c r="V58" s="51"/>
      <c r="W58" s="51"/>
      <c r="X58" s="51"/>
      <c r="Y58" s="51"/>
      <c r="Z58" s="51"/>
      <c r="AA58" s="51"/>
    </row>
    <row r="59" spans="1:27" s="52" customFormat="1" x14ac:dyDescent="0.35">
      <c r="A59" s="50"/>
      <c r="B59" s="50"/>
      <c r="C59" s="51"/>
      <c r="D59" s="51"/>
      <c r="E59" s="51"/>
      <c r="F59" s="51"/>
      <c r="G59" s="51"/>
      <c r="H59" s="51"/>
      <c r="I59" s="51"/>
      <c r="J59" s="51"/>
      <c r="K59" s="51"/>
      <c r="L59" s="51"/>
      <c r="M59" s="51"/>
      <c r="N59" s="51"/>
      <c r="O59" s="51"/>
      <c r="P59" s="51"/>
      <c r="Q59" s="51"/>
      <c r="R59" s="51"/>
      <c r="S59" s="51"/>
      <c r="T59" s="51"/>
      <c r="U59" s="51"/>
      <c r="V59" s="51"/>
      <c r="W59" s="51"/>
      <c r="X59" s="51"/>
      <c r="Y59" s="51"/>
      <c r="Z59" s="51"/>
      <c r="AA59" s="51"/>
    </row>
    <row r="60" spans="1:27" s="52" customFormat="1" x14ac:dyDescent="0.35">
      <c r="A60" s="50"/>
      <c r="B60" s="50"/>
      <c r="C60" s="51"/>
      <c r="D60" s="51"/>
      <c r="E60" s="51"/>
      <c r="F60" s="51"/>
      <c r="G60" s="51"/>
      <c r="H60" s="51"/>
      <c r="I60" s="51"/>
      <c r="J60" s="51"/>
      <c r="K60" s="51"/>
      <c r="L60" s="51"/>
      <c r="M60" s="51"/>
      <c r="N60" s="51"/>
      <c r="O60" s="51"/>
      <c r="P60" s="51"/>
      <c r="Q60" s="51"/>
      <c r="R60" s="51"/>
      <c r="S60" s="51"/>
      <c r="T60" s="51"/>
      <c r="U60" s="51"/>
      <c r="V60" s="51"/>
      <c r="W60" s="51"/>
      <c r="X60" s="51"/>
      <c r="Y60" s="51"/>
      <c r="Z60" s="51"/>
      <c r="AA60" s="51"/>
    </row>
    <row r="61" spans="1:27" s="52" customFormat="1" x14ac:dyDescent="0.35">
      <c r="A61" s="50"/>
      <c r="B61" s="50"/>
      <c r="C61" s="51"/>
      <c r="D61" s="51"/>
      <c r="E61" s="51"/>
      <c r="F61" s="51"/>
      <c r="G61" s="51"/>
      <c r="H61" s="51"/>
      <c r="I61" s="51"/>
      <c r="J61" s="51"/>
      <c r="K61" s="51"/>
      <c r="L61" s="51"/>
      <c r="M61" s="51"/>
      <c r="N61" s="51"/>
      <c r="O61" s="51"/>
      <c r="P61" s="51"/>
      <c r="Q61" s="51"/>
      <c r="R61" s="51"/>
      <c r="S61" s="51"/>
      <c r="T61" s="51"/>
      <c r="U61" s="51"/>
      <c r="V61" s="51"/>
      <c r="W61" s="51"/>
      <c r="X61" s="51"/>
      <c r="Y61" s="51"/>
      <c r="Z61" s="51"/>
      <c r="AA61" s="51"/>
    </row>
    <row r="62" spans="1:27" s="52" customFormat="1" x14ac:dyDescent="0.35">
      <c r="A62" s="50"/>
      <c r="B62" s="50"/>
      <c r="C62" s="51"/>
      <c r="D62" s="51"/>
      <c r="E62" s="51"/>
      <c r="F62" s="51"/>
      <c r="G62" s="51"/>
      <c r="H62" s="51"/>
      <c r="I62" s="51"/>
      <c r="J62" s="51"/>
      <c r="K62" s="51"/>
      <c r="L62" s="51"/>
      <c r="M62" s="51"/>
      <c r="N62" s="51"/>
      <c r="O62" s="51"/>
      <c r="P62" s="51"/>
      <c r="Q62" s="51"/>
      <c r="R62" s="51"/>
      <c r="S62" s="51"/>
      <c r="T62" s="51"/>
      <c r="U62" s="51"/>
      <c r="V62" s="51"/>
      <c r="W62" s="51"/>
      <c r="X62" s="51"/>
      <c r="Y62" s="51"/>
      <c r="Z62" s="51"/>
      <c r="AA62" s="51"/>
    </row>
    <row r="63" spans="1:27" s="52" customFormat="1" x14ac:dyDescent="0.35">
      <c r="A63" s="50"/>
      <c r="B63" s="50"/>
      <c r="C63" s="51"/>
      <c r="D63" s="51"/>
      <c r="E63" s="51"/>
      <c r="F63" s="51"/>
      <c r="G63" s="51"/>
      <c r="H63" s="51"/>
      <c r="I63" s="51"/>
      <c r="J63" s="51"/>
      <c r="K63" s="51"/>
      <c r="L63" s="51"/>
      <c r="M63" s="51"/>
      <c r="N63" s="51"/>
      <c r="O63" s="51"/>
      <c r="P63" s="51"/>
      <c r="Q63" s="51"/>
      <c r="R63" s="51"/>
      <c r="S63" s="51"/>
      <c r="T63" s="51"/>
      <c r="U63" s="51"/>
      <c r="V63" s="51"/>
      <c r="W63" s="51"/>
      <c r="X63" s="51"/>
      <c r="Y63" s="51"/>
      <c r="Z63" s="51"/>
      <c r="AA63" s="51"/>
    </row>
    <row r="64" spans="1:27" s="52" customFormat="1" x14ac:dyDescent="0.35">
      <c r="A64" s="50"/>
      <c r="B64" s="50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  <c r="Y64" s="51"/>
      <c r="Z64" s="51"/>
      <c r="AA64" s="51"/>
    </row>
    <row r="65" spans="1:31" s="52" customFormat="1" x14ac:dyDescent="0.35">
      <c r="A65" s="50"/>
      <c r="B65" s="50"/>
      <c r="C65" s="51"/>
      <c r="D65" s="51"/>
      <c r="E65" s="51"/>
      <c r="F65" s="51"/>
      <c r="G65" s="51"/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  <c r="Y65" s="51"/>
      <c r="Z65" s="51"/>
      <c r="AA65" s="51"/>
    </row>
    <row r="66" spans="1:31" s="52" customFormat="1" x14ac:dyDescent="0.35">
      <c r="A66" s="50"/>
      <c r="B66" s="50"/>
      <c r="C66" s="51"/>
      <c r="D66" s="51"/>
      <c r="E66" s="51"/>
      <c r="F66" s="51"/>
      <c r="G66" s="51"/>
      <c r="H66" s="51"/>
      <c r="I66" s="51"/>
      <c r="J66" s="51"/>
      <c r="K66" s="51"/>
      <c r="L66" s="51"/>
      <c r="M66" s="51"/>
      <c r="N66" s="51"/>
      <c r="O66" s="51"/>
      <c r="P66" s="51"/>
      <c r="Q66" s="51"/>
      <c r="R66" s="51"/>
      <c r="S66" s="51"/>
      <c r="T66" s="51"/>
      <c r="U66" s="51"/>
      <c r="V66" s="51"/>
      <c r="W66" s="51"/>
      <c r="X66" s="51"/>
      <c r="Y66" s="51"/>
      <c r="Z66" s="51"/>
      <c r="AA66" s="51"/>
    </row>
    <row r="67" spans="1:31" s="52" customFormat="1" x14ac:dyDescent="0.35">
      <c r="A67" s="50"/>
      <c r="B67" s="50"/>
      <c r="C67" s="51"/>
      <c r="D67" s="51"/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1"/>
      <c r="U67" s="51"/>
      <c r="V67" s="51"/>
      <c r="W67" s="51"/>
      <c r="X67" s="51"/>
      <c r="Y67" s="51"/>
      <c r="Z67" s="51"/>
      <c r="AA67" s="51"/>
    </row>
    <row r="68" spans="1:31" s="52" customFormat="1" x14ac:dyDescent="0.35">
      <c r="A68" s="50"/>
      <c r="B68" s="50"/>
      <c r="C68" s="51"/>
      <c r="D68" s="51"/>
      <c r="E68" s="51"/>
      <c r="F68" s="51"/>
      <c r="G68" s="51"/>
      <c r="H68" s="51"/>
      <c r="I68" s="51"/>
      <c r="J68" s="51"/>
      <c r="K68" s="51"/>
      <c r="L68" s="51"/>
      <c r="M68" s="51"/>
      <c r="N68" s="51"/>
      <c r="O68" s="51"/>
      <c r="P68" s="51"/>
      <c r="Q68" s="51"/>
      <c r="R68" s="51"/>
      <c r="S68" s="51"/>
      <c r="T68" s="51"/>
      <c r="U68" s="51"/>
      <c r="V68" s="51"/>
      <c r="W68" s="51"/>
      <c r="X68" s="51"/>
      <c r="Y68" s="51"/>
      <c r="Z68" s="51"/>
      <c r="AA68" s="51"/>
    </row>
    <row r="69" spans="1:31" s="52" customFormat="1" ht="15" thickBot="1" x14ac:dyDescent="0.4">
      <c r="A69" s="50"/>
      <c r="B69" s="50"/>
      <c r="C69" s="51"/>
      <c r="D69" s="51"/>
      <c r="E69" s="51"/>
      <c r="F69" s="51"/>
      <c r="G69" s="51"/>
      <c r="H69" s="51"/>
      <c r="I69" s="51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1"/>
      <c r="U69" s="51"/>
      <c r="V69" s="51"/>
      <c r="W69" s="51"/>
      <c r="X69" s="51"/>
      <c r="Y69" s="51"/>
      <c r="Z69" s="51"/>
      <c r="AA69" s="51"/>
    </row>
    <row r="70" spans="1:31" s="53" customFormat="1" ht="15.5" thickTop="1" x14ac:dyDescent="0.35">
      <c r="A70" s="145"/>
      <c r="B70" s="146"/>
      <c r="AE70" s="54"/>
    </row>
    <row r="71" spans="1:31" s="52" customFormat="1" x14ac:dyDescent="0.35">
      <c r="A71" s="50"/>
      <c r="B71" s="50"/>
      <c r="C71" s="51"/>
      <c r="D71" s="51"/>
      <c r="E71" s="51"/>
      <c r="F71" s="51"/>
      <c r="G71" s="51"/>
      <c r="H71" s="51"/>
      <c r="I71" s="51"/>
      <c r="J71" s="51"/>
      <c r="K71" s="51"/>
      <c r="L71" s="51"/>
      <c r="M71" s="51"/>
      <c r="N71" s="51"/>
      <c r="O71" s="51"/>
      <c r="P71" s="51"/>
      <c r="Q71" s="51"/>
      <c r="R71" s="51"/>
      <c r="S71" s="51"/>
      <c r="T71" s="51"/>
      <c r="U71" s="51"/>
      <c r="V71" s="51"/>
      <c r="W71" s="51"/>
      <c r="X71" s="51"/>
      <c r="Y71" s="51"/>
      <c r="Z71" s="51"/>
      <c r="AA71" s="51"/>
    </row>
  </sheetData>
  <mergeCells count="19">
    <mergeCell ref="Z8:Z9"/>
    <mergeCell ref="R8:R9"/>
    <mergeCell ref="AB8:AB9"/>
    <mergeCell ref="AC8:AC9"/>
    <mergeCell ref="A8:A9"/>
    <mergeCell ref="B8:B9"/>
    <mergeCell ref="F8:F9"/>
    <mergeCell ref="X8:X9"/>
    <mergeCell ref="AA8:AA9"/>
    <mergeCell ref="A70:B70"/>
    <mergeCell ref="E3:W5"/>
    <mergeCell ref="D8:D9"/>
    <mergeCell ref="H8:H9"/>
    <mergeCell ref="L8:L9"/>
    <mergeCell ref="P8:P9"/>
    <mergeCell ref="T8:T9"/>
    <mergeCell ref="V8:V9"/>
    <mergeCell ref="J8:J9"/>
    <mergeCell ref="N8:N9"/>
  </mergeCells>
  <phoneticPr fontId="1" type="noConversion"/>
  <pageMargins left="0.7" right="0.7" top="0.75" bottom="0.75" header="0.3" footer="0.3"/>
  <pageSetup paperSize="9" orientation="portrait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364D789-A620-48D8-88C6-04C9F43C09E1}">
          <x14:formula1>
            <xm:f>Données!$M$5:$M$9</xm:f>
          </x14:formula1>
          <xm:sqref>B10:B42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5BBF44-5047-4DA4-AB44-D054727BC193}">
  <sheetPr codeName="Feuil6"/>
  <dimension ref="A1:BT111"/>
  <sheetViews>
    <sheetView zoomScale="70" zoomScaleNormal="70" workbookViewId="0">
      <selection activeCell="E12" sqref="E12"/>
    </sheetView>
  </sheetViews>
  <sheetFormatPr baseColWidth="10" defaultRowHeight="14.5" x14ac:dyDescent="0.35"/>
  <cols>
    <col min="1" max="1" width="36.36328125" bestFit="1" customWidth="1"/>
    <col min="2" max="2" width="15.7265625" customWidth="1"/>
    <col min="3" max="3" width="17.1796875" customWidth="1"/>
    <col min="4" max="4" width="57.36328125" customWidth="1"/>
    <col min="5" max="5" width="32.453125" bestFit="1" customWidth="1"/>
    <col min="6" max="6" width="31.7265625" customWidth="1"/>
    <col min="7" max="7" width="40.90625" customWidth="1"/>
    <col min="8" max="72" width="10.90625" style="48"/>
  </cols>
  <sheetData>
    <row r="1" spans="1:72" s="48" customFormat="1" x14ac:dyDescent="0.35"/>
    <row r="2" spans="1:72" s="48" customFormat="1" x14ac:dyDescent="0.35"/>
    <row r="3" spans="1:72" s="48" customFormat="1" x14ac:dyDescent="0.35"/>
    <row r="4" spans="1:72" s="48" customFormat="1" x14ac:dyDescent="0.35"/>
    <row r="5" spans="1:72" s="48" customFormat="1" x14ac:dyDescent="0.35"/>
    <row r="6" spans="1:72" s="48" customFormat="1" x14ac:dyDescent="0.35"/>
    <row r="7" spans="1:72" s="48" customFormat="1" x14ac:dyDescent="0.35"/>
    <row r="8" spans="1:72" s="48" customFormat="1" x14ac:dyDescent="0.35"/>
    <row r="9" spans="1:72" s="48" customFormat="1" ht="15" thickBot="1" x14ac:dyDescent="0.4"/>
    <row r="10" spans="1:72" s="48" customFormat="1" ht="16.5" thickTop="1" thickBot="1" x14ac:dyDescent="0.4">
      <c r="F10" s="71" t="s">
        <v>91</v>
      </c>
    </row>
    <row r="11" spans="1:72" s="48" customFormat="1" ht="15" thickTop="1" x14ac:dyDescent="0.35"/>
    <row r="12" spans="1:72" s="32" customFormat="1" ht="15" x14ac:dyDescent="0.35">
      <c r="A12" s="39" t="s">
        <v>13</v>
      </c>
      <c r="B12" s="79" t="s">
        <v>21</v>
      </c>
      <c r="C12" s="80" t="s">
        <v>22</v>
      </c>
      <c r="D12" s="80" t="s">
        <v>66</v>
      </c>
      <c r="E12" s="80" t="s">
        <v>43</v>
      </c>
      <c r="F12" s="80" t="s">
        <v>28</v>
      </c>
      <c r="G12" s="81" t="s">
        <v>69</v>
      </c>
      <c r="H12" s="63"/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3"/>
      <c r="X12" s="63"/>
      <c r="Y12" s="63"/>
      <c r="Z12" s="63"/>
      <c r="AA12" s="63"/>
      <c r="AB12" s="63"/>
      <c r="AC12" s="63"/>
      <c r="AD12" s="63"/>
      <c r="AE12" s="63"/>
      <c r="AF12" s="63"/>
      <c r="AG12" s="63"/>
      <c r="AH12" s="63"/>
      <c r="AI12" s="63"/>
      <c r="AJ12" s="63"/>
      <c r="AK12" s="63"/>
      <c r="AL12" s="63"/>
      <c r="AM12" s="63"/>
      <c r="AN12" s="63"/>
      <c r="AO12" s="63"/>
      <c r="AP12" s="63"/>
      <c r="AQ12" s="63"/>
      <c r="AR12" s="63"/>
      <c r="AS12" s="63"/>
      <c r="AT12" s="63"/>
      <c r="AU12" s="63"/>
      <c r="AV12" s="63"/>
      <c r="AW12" s="63"/>
      <c r="AX12" s="63"/>
      <c r="AY12" s="63"/>
      <c r="AZ12" s="63"/>
      <c r="BA12" s="63"/>
      <c r="BB12" s="63"/>
      <c r="BC12" s="63"/>
      <c r="BD12" s="63"/>
      <c r="BE12" s="63"/>
      <c r="BF12" s="63"/>
      <c r="BG12" s="63"/>
      <c r="BH12" s="63"/>
      <c r="BI12" s="63"/>
      <c r="BJ12" s="63"/>
      <c r="BK12" s="63"/>
      <c r="BL12" s="63"/>
      <c r="BM12" s="63"/>
      <c r="BN12" s="63"/>
      <c r="BO12" s="63"/>
      <c r="BP12" s="63"/>
      <c r="BQ12" s="63"/>
      <c r="BR12" s="63"/>
      <c r="BS12" s="63"/>
      <c r="BT12" s="63"/>
    </row>
    <row r="13" spans="1:72" x14ac:dyDescent="0.35">
      <c r="A13" s="84" t="s">
        <v>119</v>
      </c>
      <c r="B13" s="75">
        <f>_xlfn.XLOOKUP(Tableau4[[#This Row],[Produits]],'Forecast-Volumes annuels import'!A10:A42,'Forecast-Volumes annuels import'!O10:O42)</f>
        <v>15800</v>
      </c>
      <c r="C13" s="75">
        <f t="shared" ref="C13:C27" si="0">B13/1000</f>
        <v>15.8</v>
      </c>
      <c r="D13" s="77">
        <f>_xlfn.XLOOKUP(Tableau4[[#This Row],[Produits]],Données!B5:B37,Données!D5:D37)*Récape!$B13</f>
        <v>118357.8</v>
      </c>
      <c r="E13" s="75">
        <f>Récape!$D13*145</f>
        <v>17161881</v>
      </c>
      <c r="F13" s="77">
        <f>Récape!$B13*_xlfn.XLOOKUP(Tableau4[[#This Row],[Produits]],Données!B5:B37,Données!D5:D37)*145*1.19*1.15</f>
        <v>23486034.148499999</v>
      </c>
      <c r="G13" s="76">
        <f t="shared" ref="G13:G25" si="1">F13*1.9</f>
        <v>44623464.882149994</v>
      </c>
    </row>
    <row r="14" spans="1:72" x14ac:dyDescent="0.35">
      <c r="A14" s="84" t="s">
        <v>120</v>
      </c>
      <c r="B14" s="77">
        <f>_xlfn.XLOOKUP(Tableau4[[#This Row],[Produits]],'Forecast-Volumes annuels import'!A11:A43,'Forecast-Volumes annuels import'!O11:O43)</f>
        <v>12100</v>
      </c>
      <c r="C14" s="77">
        <f t="shared" si="0"/>
        <v>12.1</v>
      </c>
      <c r="D14" s="77">
        <f>_xlfn.XLOOKUP(Tableau4[[#This Row],[Produits]],Données!B6:B38,Données!D6:D38)*Récape!$B14</f>
        <v>67881</v>
      </c>
      <c r="E14" s="77">
        <f>Récape!$D14*145</f>
        <v>9842745</v>
      </c>
      <c r="F14" s="77">
        <f>Récape!$B14*_xlfn.XLOOKUP(Tableau4[[#This Row],[Produits]],Données!B6:B38,Données!D6:D38)*145*1.19*1.15</f>
        <v>13469796.532499997</v>
      </c>
      <c r="G14" s="78">
        <f t="shared" si="1"/>
        <v>25592613.411749993</v>
      </c>
    </row>
    <row r="15" spans="1:72" x14ac:dyDescent="0.35">
      <c r="A15" s="84" t="s">
        <v>121</v>
      </c>
      <c r="B15" s="77">
        <f>_xlfn.XLOOKUP(Tableau4[[#This Row],[Produits]],'Forecast-Volumes annuels import'!A12:A44,'Forecast-Volumes annuels import'!O12:O44)</f>
        <v>10500</v>
      </c>
      <c r="C15" s="77">
        <f t="shared" si="0"/>
        <v>10.5</v>
      </c>
      <c r="D15" s="77">
        <f>_xlfn.XLOOKUP(Tableau4[[#This Row],[Produits]],Données!B7:B39,Données!D7:D39)*Récape!$B15</f>
        <v>149803.5</v>
      </c>
      <c r="E15" s="77">
        <f>Récape!$D15*145</f>
        <v>21721507.5</v>
      </c>
      <c r="F15" s="77">
        <f>Récape!$B15*_xlfn.XLOOKUP(Tableau4[[#This Row],[Produits]],Données!B7:B39,Données!D7:D39)*145*1.19*1.15</f>
        <v>29725883.013749994</v>
      </c>
      <c r="G15" s="78">
        <f t="shared" si="1"/>
        <v>56479177.726124987</v>
      </c>
    </row>
    <row r="16" spans="1:72" x14ac:dyDescent="0.35">
      <c r="A16" s="84" t="s">
        <v>122</v>
      </c>
      <c r="B16" s="77">
        <f>_xlfn.XLOOKUP(Tableau4[[#This Row],[Produits]],'Forecast-Volumes annuels import'!A13:A45,'Forecast-Volumes annuels import'!O13:O45)</f>
        <v>7200</v>
      </c>
      <c r="C16" s="77">
        <f t="shared" si="0"/>
        <v>7.2</v>
      </c>
      <c r="D16" s="77">
        <f>_xlfn.XLOOKUP(Tableau4[[#This Row],[Produits]],Données!B8:B40,Données!D8:D40)*Récape!$B16</f>
        <v>84268.800000000017</v>
      </c>
      <c r="E16" s="77">
        <f>Récape!$D16*145</f>
        <v>12218976.000000002</v>
      </c>
      <c r="F16" s="77">
        <f>Récape!$B16*_xlfn.XLOOKUP(Tableau4[[#This Row],[Produits]],Données!B8:B40,Données!D8:D40)*145*1.19*1.15</f>
        <v>16721668.655999999</v>
      </c>
      <c r="G16" s="78">
        <f t="shared" si="1"/>
        <v>31771170.446399998</v>
      </c>
    </row>
    <row r="17" spans="1:9" x14ac:dyDescent="0.35">
      <c r="A17" s="84" t="s">
        <v>123</v>
      </c>
      <c r="B17" s="77">
        <f>_xlfn.XLOOKUP(Tableau4[[#This Row],[Produits]],'Forecast-Volumes annuels import'!A14:A46,'Forecast-Volumes annuels import'!O14:O46)</f>
        <v>14000</v>
      </c>
      <c r="C17" s="77">
        <f t="shared" si="0"/>
        <v>14</v>
      </c>
      <c r="D17" s="77">
        <f>_xlfn.XLOOKUP(Tableau4[[#This Row],[Produits]],Données!B9:B41,Données!D9:D41)*Récape!$B17</f>
        <v>58519.999999999993</v>
      </c>
      <c r="E17" s="77">
        <f>Récape!$D17*145</f>
        <v>8485399.9999999981</v>
      </c>
      <c r="F17" s="77">
        <f>Récape!$B17*_xlfn.XLOOKUP(Tableau4[[#This Row],[Produits]],Données!B9:B41,Données!D9:D41)*145*1.19*1.15</f>
        <v>11612269.899999997</v>
      </c>
      <c r="G17" s="78">
        <f t="shared" si="1"/>
        <v>22063312.809999991</v>
      </c>
    </row>
    <row r="18" spans="1:9" x14ac:dyDescent="0.35">
      <c r="A18" s="84" t="s">
        <v>124</v>
      </c>
      <c r="B18" s="77">
        <f>_xlfn.XLOOKUP(Tableau4[[#This Row],[Produits]],'Forecast-Volumes annuels import'!A15:A47,'Forecast-Volumes annuels import'!O15:O47)</f>
        <v>9500</v>
      </c>
      <c r="C18" s="77">
        <f t="shared" si="0"/>
        <v>9.5</v>
      </c>
      <c r="D18" s="77">
        <f>_xlfn.XLOOKUP(Tableau4[[#This Row],[Produits]],Données!B10:B42,Données!D10:D42)*Récape!$B18</f>
        <v>57475.000000000007</v>
      </c>
      <c r="E18" s="77">
        <f>Récape!$D18*145</f>
        <v>8333875.0000000009</v>
      </c>
      <c r="F18" s="77">
        <f>Récape!$B18*_xlfn.XLOOKUP(Tableau4[[#This Row],[Produits]],Données!B10:B42,Données!D10:D42)*145*1.19*1.15</f>
        <v>11404907.9375</v>
      </c>
      <c r="G18" s="78">
        <f t="shared" si="1"/>
        <v>21669325.081250001</v>
      </c>
    </row>
    <row r="19" spans="1:9" x14ac:dyDescent="0.35">
      <c r="A19" s="84" t="s">
        <v>125</v>
      </c>
      <c r="B19" s="77">
        <f>_xlfn.XLOOKUP(Tableau4[[#This Row],[Produits]],'Forecast-Volumes annuels import'!A16:A48,'Forecast-Volumes annuels import'!O16:O48)</f>
        <v>7500</v>
      </c>
      <c r="C19" s="77">
        <f t="shared" si="0"/>
        <v>7.5</v>
      </c>
      <c r="D19" s="77">
        <f>_xlfn.XLOOKUP(Tableau4[[#This Row],[Produits]],Données!B11:B43,Données!D11:D43)*Récape!$B19</f>
        <v>47025</v>
      </c>
      <c r="E19" s="77">
        <f>Récape!$D19*145</f>
        <v>6818625</v>
      </c>
      <c r="F19" s="77">
        <f>Récape!$B19*_xlfn.XLOOKUP(Tableau4[[#This Row],[Produits]],Données!B11:B43,Données!D11:D43)*145*1.19*1.15</f>
        <v>9331288.3125</v>
      </c>
      <c r="G19" s="78">
        <f t="shared" si="1"/>
        <v>17729447.793749999</v>
      </c>
    </row>
    <row r="20" spans="1:9" x14ac:dyDescent="0.35">
      <c r="A20" s="84" t="s">
        <v>126</v>
      </c>
      <c r="B20" s="77">
        <f>_xlfn.XLOOKUP(Tableau4[[#This Row],[Produits]],'Forecast-Volumes annuels import'!A17:A49,'Forecast-Volumes annuels import'!O17:O49)</f>
        <v>6000</v>
      </c>
      <c r="C20" s="77">
        <f t="shared" si="0"/>
        <v>6</v>
      </c>
      <c r="D20" s="77">
        <f>_xlfn.XLOOKUP(Tableau4[[#This Row],[Produits]],Données!B12:B44,Données!D12:D44)*Récape!$B20</f>
        <v>23760.000000000004</v>
      </c>
      <c r="E20" s="77">
        <f>Récape!$D20*145</f>
        <v>3445200.0000000005</v>
      </c>
      <c r="F20" s="77">
        <f>Récape!$B20*_xlfn.XLOOKUP(Tableau4[[#This Row],[Produits]],Données!B12:B44,Données!D12:D44)*145*1.19*1.15</f>
        <v>4714756.2</v>
      </c>
      <c r="G20" s="78">
        <f t="shared" si="1"/>
        <v>8958036.7799999993</v>
      </c>
    </row>
    <row r="21" spans="1:9" x14ac:dyDescent="0.35">
      <c r="A21" s="84" t="s">
        <v>127</v>
      </c>
      <c r="B21" s="77">
        <f>_xlfn.XLOOKUP(Tableau4[[#This Row],[Produits]],'Forecast-Volumes annuels import'!A18:A50,'Forecast-Volumes annuels import'!O18:O50)</f>
        <v>7500</v>
      </c>
      <c r="C21" s="77">
        <f t="shared" si="0"/>
        <v>7.5</v>
      </c>
      <c r="D21" s="77">
        <f>_xlfn.XLOOKUP(Tableau4[[#This Row],[Produits]],Données!B13:B45,Données!D13:D45)*Récape!$B21</f>
        <v>31349.999999999996</v>
      </c>
      <c r="E21" s="77">
        <f>Récape!$D21*145</f>
        <v>4545749.9999999991</v>
      </c>
      <c r="F21" s="77">
        <f>Récape!$B21*_xlfn.XLOOKUP(Tableau4[[#This Row],[Produits]],Données!B13:B45,Données!D13:D45)*145*1.19*1.15</f>
        <v>6220858.8749999981</v>
      </c>
      <c r="G21" s="78">
        <f t="shared" si="1"/>
        <v>11819631.862499995</v>
      </c>
    </row>
    <row r="22" spans="1:9" x14ac:dyDescent="0.35">
      <c r="A22" s="84" t="s">
        <v>128</v>
      </c>
      <c r="B22" s="77">
        <f>_xlfn.XLOOKUP(Tableau4[[#This Row],[Produits]],'Forecast-Volumes annuels import'!A19:A51,'Forecast-Volumes annuels import'!O19:O51)</f>
        <v>0</v>
      </c>
      <c r="C22" s="77">
        <f t="shared" si="0"/>
        <v>0</v>
      </c>
      <c r="D22" s="77">
        <f>_xlfn.XLOOKUP(Tableau4[[#This Row],[Produits]],Données!B14:B46,Données!D14:D46)*Récape!$B22</f>
        <v>0</v>
      </c>
      <c r="E22" s="77">
        <f>Récape!$D22*145</f>
        <v>0</v>
      </c>
      <c r="F22" s="77">
        <f>Récape!$B22*_xlfn.XLOOKUP(Tableau4[[#This Row],[Produits]],Données!B14:B46,Données!D14:D46)*145*1.19*1.15</f>
        <v>0</v>
      </c>
      <c r="G22" s="78">
        <f t="shared" si="1"/>
        <v>0</v>
      </c>
    </row>
    <row r="23" spans="1:9" x14ac:dyDescent="0.35">
      <c r="A23" s="84" t="s">
        <v>129</v>
      </c>
      <c r="B23" s="77">
        <f>_xlfn.XLOOKUP(Tableau4[[#This Row],[Produits]],'Forecast-Volumes annuels import'!A20:A52,'Forecast-Volumes annuels import'!O20:O52)</f>
        <v>6000</v>
      </c>
      <c r="C23" s="77">
        <f t="shared" si="0"/>
        <v>6</v>
      </c>
      <c r="D23" s="77">
        <f>_xlfn.XLOOKUP(Tableau4[[#This Row],[Produits]],Données!B15:B47,Données!D15:D47)*Récape!$B23</f>
        <v>100320</v>
      </c>
      <c r="E23" s="77">
        <f>Récape!$D23*145</f>
        <v>14546400</v>
      </c>
      <c r="F23" s="77">
        <f>Récape!$B23*_xlfn.XLOOKUP(Tableau4[[#This Row],[Produits]],Données!B15:B47,Données!D15:D47)*145*1.19*1.15</f>
        <v>19906748.399999999</v>
      </c>
      <c r="G23" s="78">
        <f t="shared" si="1"/>
        <v>37822821.959999993</v>
      </c>
    </row>
    <row r="24" spans="1:9" x14ac:dyDescent="0.35">
      <c r="A24" s="84" t="s">
        <v>130</v>
      </c>
      <c r="B24" s="77">
        <f>_xlfn.XLOOKUP(Tableau4[[#This Row],[Produits]],'Forecast-Volumes annuels import'!A21:A53,'Forecast-Volumes annuels import'!O21:O53)</f>
        <v>49800</v>
      </c>
      <c r="C24" s="77">
        <f t="shared" si="0"/>
        <v>49.8</v>
      </c>
      <c r="D24" s="77">
        <f>_xlfn.XLOOKUP(Tableau4[[#This Row],[Produits]],Données!B16:B48,Données!D16:D48)*Récape!$B24</f>
        <v>333610.2</v>
      </c>
      <c r="E24" s="77">
        <f>Récape!$D24*145</f>
        <v>48373479</v>
      </c>
      <c r="F24" s="77">
        <f>Récape!$B24*_xlfn.XLOOKUP(Tableau4[[#This Row],[Produits]],Données!B16:B48,Données!D16:D48)*145*1.19*1.15</f>
        <v>66199106.011499994</v>
      </c>
      <c r="G24" s="78">
        <f t="shared" si="1"/>
        <v>125778301.42184998</v>
      </c>
    </row>
    <row r="25" spans="1:9" x14ac:dyDescent="0.35">
      <c r="A25" s="84" t="s">
        <v>131</v>
      </c>
      <c r="B25" s="77">
        <f>_xlfn.XLOOKUP(Tableau4[[#This Row],[Produits]],'Forecast-Volumes annuels import'!A22:A54,'Forecast-Volumes annuels import'!O22:O54)</f>
        <v>16800</v>
      </c>
      <c r="C25" s="77">
        <f t="shared" si="0"/>
        <v>16.8</v>
      </c>
      <c r="D25" s="77">
        <f>_xlfn.XLOOKUP(Tableau4[[#This Row],[Produits]],Données!B17:B49,Données!D17:D49)*Récape!$B25</f>
        <v>89628</v>
      </c>
      <c r="E25" s="77">
        <f>Récape!$D25*145</f>
        <v>12996060</v>
      </c>
      <c r="F25" s="77">
        <f>Récape!$B25*_xlfn.XLOOKUP(Tableau4[[#This Row],[Produits]],Données!B17:B49,Données!D17:D49)*145*1.19*1.15</f>
        <v>17785108.109999996</v>
      </c>
      <c r="G25" s="78">
        <f t="shared" si="1"/>
        <v>33791705.408999987</v>
      </c>
    </row>
    <row r="26" spans="1:9" x14ac:dyDescent="0.35">
      <c r="A26" s="84" t="s">
        <v>132</v>
      </c>
      <c r="B26" s="77">
        <f>_xlfn.XLOOKUP(Tableau4[[#This Row],[Produits]],'Forecast-Volumes annuels import'!A23:A55,'Forecast-Volumes annuels import'!O23:O55)</f>
        <v>15000</v>
      </c>
      <c r="C26" s="77">
        <f t="shared" si="0"/>
        <v>15</v>
      </c>
      <c r="D26" s="77">
        <f>_xlfn.XLOOKUP(Tableau4[[#This Row],[Produits]],Données!B18:B50,Données!D18:D50)*Récape!$B26</f>
        <v>38445</v>
      </c>
      <c r="E26" s="77">
        <f>Récape!$D26*145</f>
        <v>5574525</v>
      </c>
      <c r="F26" s="77">
        <f>Récape!$B26*_xlfn.XLOOKUP(Tableau4[[#This Row],[Produits]],Données!B18:B50,Données!D18:D50)*145*1.19*1.15</f>
        <v>7628737.4624999994</v>
      </c>
      <c r="G26" s="78">
        <f>F26*1.9</f>
        <v>14494601.178749999</v>
      </c>
      <c r="I26" s="64"/>
    </row>
    <row r="27" spans="1:9" x14ac:dyDescent="0.35">
      <c r="A27" s="84" t="s">
        <v>133</v>
      </c>
      <c r="B27" s="77">
        <f>_xlfn.XLOOKUP(Tableau4[[#This Row],[Produits]],'Forecast-Volumes annuels import'!A24:A56,'Forecast-Volumes annuels import'!O24:O56)</f>
        <v>15000</v>
      </c>
      <c r="C27" s="77">
        <f t="shared" si="0"/>
        <v>15</v>
      </c>
      <c r="D27" s="77">
        <f>_xlfn.XLOOKUP(Tableau4[[#This Row],[Produits]],Données!B19:B51,Données!D19:D51)*Récape!$B27</f>
        <v>41250</v>
      </c>
      <c r="E27" s="77">
        <f>Récape!$D27*145</f>
        <v>5981250</v>
      </c>
      <c r="F27" s="77">
        <f>Récape!$B27*_xlfn.XLOOKUP(Tableau4[[#This Row],[Produits]],Données!B19:B51,Données!D19:D51)*145*1.19*1.15</f>
        <v>8185340.6249999991</v>
      </c>
      <c r="G27" s="78">
        <f>F27*1.9</f>
        <v>15552147.187499998</v>
      </c>
    </row>
    <row r="28" spans="1:9" x14ac:dyDescent="0.35">
      <c r="A28" s="84" t="s">
        <v>134</v>
      </c>
      <c r="B28" s="77">
        <f>_xlfn.XLOOKUP(Tableau4[[#This Row],[Produits]],'Forecast-Volumes annuels import'!A25:A57,'Forecast-Volumes annuels import'!O25:O57)</f>
        <v>15000</v>
      </c>
      <c r="C28" s="77">
        <f>B28/1000</f>
        <v>15</v>
      </c>
      <c r="D28" s="77">
        <f>_xlfn.XLOOKUP(Tableau4[[#This Row],[Produits]],Données!B20:B52,Données!D20:D52)*Récape!$B28</f>
        <v>44550.000000000007</v>
      </c>
      <c r="E28" s="77">
        <f>Récape!$D28*145</f>
        <v>6459750.0000000009</v>
      </c>
      <c r="F28" s="77">
        <f>Récape!$B28*_xlfn.XLOOKUP(Tableau4[[#This Row],[Produits]],Données!B20:B52,Données!D20:D52)*145*1.19*1.15</f>
        <v>8840167.875</v>
      </c>
      <c r="G28" s="78">
        <f>F28*1.9</f>
        <v>16796318.962499999</v>
      </c>
    </row>
    <row r="29" spans="1:9" x14ac:dyDescent="0.35">
      <c r="A29" s="84" t="s">
        <v>135</v>
      </c>
      <c r="B29" s="77">
        <f>_xlfn.XLOOKUP(Tableau4[[#This Row],[Produits]],'Forecast-Volumes annuels import'!A26:A58,'Forecast-Volumes annuels import'!O26:O58)</f>
        <v>800</v>
      </c>
      <c r="C29" s="77">
        <f>B29/10</f>
        <v>80</v>
      </c>
      <c r="D29" s="77">
        <f>_xlfn.XLOOKUP(Tableau4[[#This Row],[Produits]],Données!B21:B53,Données!D21:D53)*Récape!$B29</f>
        <v>65120.000000000007</v>
      </c>
      <c r="E29" s="77">
        <f>Récape!$D29*145</f>
        <v>9442400.0000000019</v>
      </c>
      <c r="F29" s="77">
        <f>Récape!$B29*_xlfn.XLOOKUP(Tableau4[[#This Row],[Produits]],Données!B21:B53,Données!D21:D53)*145*1.19*1.15</f>
        <v>12921924.4</v>
      </c>
      <c r="G29" s="78">
        <f>F29*1.25</f>
        <v>16152405.5</v>
      </c>
    </row>
    <row r="30" spans="1:9" x14ac:dyDescent="0.35">
      <c r="A30" s="84" t="s">
        <v>136</v>
      </c>
      <c r="B30" s="77">
        <f>_xlfn.XLOOKUP(Tableau4[[#This Row],[Produits]],'Forecast-Volumes annuels import'!A27:A59,'Forecast-Volumes annuels import'!O27:O59)</f>
        <v>600</v>
      </c>
      <c r="C30" s="77">
        <f t="shared" ref="C30:C35" si="2">B30/10</f>
        <v>60</v>
      </c>
      <c r="D30" s="77">
        <f>_xlfn.XLOOKUP(Tableau4[[#This Row],[Produits]],Données!B22:B54,Données!D22:D54)*Récape!$B30</f>
        <v>62040</v>
      </c>
      <c r="E30" s="77">
        <f>Récape!$D30*145</f>
        <v>8995800</v>
      </c>
      <c r="F30" s="77">
        <f>Récape!$B30*_xlfn.XLOOKUP(Tableau4[[#This Row],[Produits]],Données!B22:B54,Données!D22:D54)*145*1.19*1.15</f>
        <v>12310752.299999999</v>
      </c>
      <c r="G30" s="78">
        <f>F30*1.25</f>
        <v>15388440.374999998</v>
      </c>
    </row>
    <row r="31" spans="1:9" x14ac:dyDescent="0.35">
      <c r="A31" s="84" t="s">
        <v>137</v>
      </c>
      <c r="B31" s="77">
        <f>_xlfn.XLOOKUP(Tableau4[[#This Row],[Produits]],'Forecast-Volumes annuels import'!A28:A60,'Forecast-Volumes annuels import'!O28:O60)</f>
        <v>1200</v>
      </c>
      <c r="C31" s="77">
        <f t="shared" si="2"/>
        <v>120</v>
      </c>
      <c r="D31" s="77">
        <f>_xlfn.XLOOKUP(Tableau4[[#This Row],[Produits]],Données!B23:B55,Données!D23:D55)*Récape!$B31</f>
        <v>168300</v>
      </c>
      <c r="E31" s="77">
        <f>Récape!$D31*145</f>
        <v>24403500</v>
      </c>
      <c r="F31" s="77">
        <f>Récape!$B31*_xlfn.XLOOKUP(Tableau4[[#This Row],[Produits]],Données!B23:B55,Données!D23:D55)*145*1.19*1.15</f>
        <v>33396189.749999996</v>
      </c>
      <c r="G31" s="78">
        <f t="shared" ref="G31:G38" si="3">F31*1.15</f>
        <v>38405618.212499991</v>
      </c>
    </row>
    <row r="32" spans="1:9" x14ac:dyDescent="0.35">
      <c r="A32" s="84" t="s">
        <v>138</v>
      </c>
      <c r="B32" s="77">
        <f>_xlfn.XLOOKUP(Tableau4[[#This Row],[Produits]],'Forecast-Volumes annuels import'!A29:A61,'Forecast-Volumes annuels import'!O29:O61)</f>
        <v>300</v>
      </c>
      <c r="C32" s="77">
        <f t="shared" si="2"/>
        <v>30</v>
      </c>
      <c r="D32" s="77">
        <f>_xlfn.XLOOKUP(Tableau4[[#This Row],[Produits]],Données!B24:B56,Données!D24:D56)*Récape!$B32</f>
        <v>44220</v>
      </c>
      <c r="E32" s="77">
        <f>Récape!$D32*145</f>
        <v>6411900</v>
      </c>
      <c r="F32" s="77">
        <f>Récape!$B32*_xlfn.XLOOKUP(Tableau4[[#This Row],[Produits]],Données!B24:B56,Données!D24:D56)*145*1.19*1.15</f>
        <v>8774685.1499999985</v>
      </c>
      <c r="G32" s="78">
        <f t="shared" si="3"/>
        <v>10090887.922499998</v>
      </c>
    </row>
    <row r="33" spans="1:7" x14ac:dyDescent="0.35">
      <c r="A33" s="84" t="s">
        <v>139</v>
      </c>
      <c r="B33" s="77">
        <f>_xlfn.XLOOKUP(Tableau4[[#This Row],[Produits]],'Forecast-Volumes annuels import'!A30:A62,'Forecast-Volumes annuels import'!O30:O62)</f>
        <v>600</v>
      </c>
      <c r="C33" s="77">
        <f t="shared" si="2"/>
        <v>60</v>
      </c>
      <c r="D33" s="77">
        <f>_xlfn.XLOOKUP(Tableau4[[#This Row],[Produits]],Données!B25:B57,Données!D25:D57)*Récape!$B33</f>
        <v>76890</v>
      </c>
      <c r="E33" s="77">
        <f>Récape!$D33*145</f>
        <v>11149050</v>
      </c>
      <c r="F33" s="77">
        <f>Récape!$B33*_xlfn.XLOOKUP(Tableau4[[#This Row],[Produits]],Données!B25:B57,Données!D25:D57)*145*1.19*1.15</f>
        <v>15257474.924999999</v>
      </c>
      <c r="G33" s="78">
        <f t="shared" si="3"/>
        <v>17546096.163749997</v>
      </c>
    </row>
    <row r="34" spans="1:7" x14ac:dyDescent="0.35">
      <c r="A34" s="84" t="s">
        <v>140</v>
      </c>
      <c r="B34" s="77">
        <f>_xlfn.XLOOKUP(Tableau4[[#This Row],[Produits]],'Forecast-Volumes annuels import'!A31:A63,'Forecast-Volumes annuels import'!O31:O63)</f>
        <v>0</v>
      </c>
      <c r="C34" s="77">
        <f t="shared" si="2"/>
        <v>0</v>
      </c>
      <c r="D34" s="77">
        <f>_xlfn.XLOOKUP(Tableau4[[#This Row],[Produits]],Données!B26:B58,Données!D26:D58)*Récape!$B34</f>
        <v>0</v>
      </c>
      <c r="E34" s="77">
        <f>Récape!$D34*145</f>
        <v>0</v>
      </c>
      <c r="F34" s="77">
        <f>Récape!$B34*_xlfn.XLOOKUP(Tableau4[[#This Row],[Produits]],Données!B26:B58,Données!D26:D58)*145*1.19*1.15</f>
        <v>0</v>
      </c>
      <c r="G34" s="78">
        <f t="shared" si="3"/>
        <v>0</v>
      </c>
    </row>
    <row r="35" spans="1:7" x14ac:dyDescent="0.35">
      <c r="A35" s="84" t="s">
        <v>141</v>
      </c>
      <c r="B35" s="77">
        <f>_xlfn.XLOOKUP(Tableau4[[#This Row],[Produits]],'Forecast-Volumes annuels import'!A32:A64,'Forecast-Volumes annuels import'!O32:O64)</f>
        <v>1200</v>
      </c>
      <c r="C35" s="77">
        <f t="shared" si="2"/>
        <v>120</v>
      </c>
      <c r="D35" s="77">
        <f>_xlfn.XLOOKUP(Tableau4[[#This Row],[Produits]],Données!B27:B59,Données!D27:D59)*Récape!$B35</f>
        <v>125400.00000000001</v>
      </c>
      <c r="E35" s="77">
        <f>Récape!$D35*145</f>
        <v>18183000.000000004</v>
      </c>
      <c r="F35" s="77">
        <f>Récape!$B35*_xlfn.XLOOKUP(Tableau4[[#This Row],[Produits]],Données!B27:B59,Données!D27:D59)*145*1.19*1.15</f>
        <v>24883435.500000004</v>
      </c>
      <c r="G35" s="78">
        <f t="shared" si="3"/>
        <v>28615950.825000003</v>
      </c>
    </row>
    <row r="36" spans="1:7" x14ac:dyDescent="0.35">
      <c r="A36" s="84" t="s">
        <v>142</v>
      </c>
      <c r="B36" s="77">
        <f>_xlfn.XLOOKUP(Tableau4[[#This Row],[Produits]],'Forecast-Volumes annuels import'!A33:A65,'Forecast-Volumes annuels import'!O33:O65)</f>
        <v>1650</v>
      </c>
      <c r="C36" s="77">
        <f>Récape!$B36</f>
        <v>1650</v>
      </c>
      <c r="D36" s="77">
        <f>_xlfn.XLOOKUP(Tableau4[[#This Row],[Produits]],Données!B28:B60,Données!D28:D60)*Récape!$B36</f>
        <v>1361250.0000000002</v>
      </c>
      <c r="E36" s="77">
        <f>Récape!$D36*145</f>
        <v>197381250.00000003</v>
      </c>
      <c r="F36" s="77">
        <f>Récape!$B36*_xlfn.XLOOKUP(Tableau4[[#This Row],[Produits]],Données!B28:B60,Données!D28:D60)*145*1.19*1.15</f>
        <v>270116240.625</v>
      </c>
      <c r="G36" s="78">
        <f t="shared" si="3"/>
        <v>310633676.71875</v>
      </c>
    </row>
    <row r="37" spans="1:7" x14ac:dyDescent="0.35">
      <c r="A37" s="84" t="s">
        <v>143</v>
      </c>
      <c r="B37" s="77">
        <f>_xlfn.XLOOKUP(Tableau4[[#This Row],[Produits]],'Forecast-Volumes annuels import'!A34:A66,'Forecast-Volumes annuels import'!O34:O66)</f>
        <v>2400</v>
      </c>
      <c r="C37" s="77">
        <f>Récape!$B37</f>
        <v>2400</v>
      </c>
      <c r="D37" s="77">
        <f>_xlfn.XLOOKUP(Tableau4[[#This Row],[Produits]],Données!B29:B61,Données!D29:D61)*Récape!$B37</f>
        <v>2508000</v>
      </c>
      <c r="E37" s="77">
        <f>Récape!$D37*145</f>
        <v>363660000</v>
      </c>
      <c r="F37" s="77">
        <f>Récape!$B37*_xlfn.XLOOKUP(Tableau4[[#This Row],[Produits]],Données!B29:B61,Données!D29:D61)*145*1.19*1.15</f>
        <v>497668709.99999994</v>
      </c>
      <c r="G37" s="78">
        <f t="shared" si="3"/>
        <v>572319016.49999988</v>
      </c>
    </row>
    <row r="38" spans="1:7" x14ac:dyDescent="0.35">
      <c r="A38" s="84" t="s">
        <v>144</v>
      </c>
      <c r="B38" s="77">
        <f>_xlfn.XLOOKUP(Tableau4[[#This Row],[Produits]],'Forecast-Volumes annuels import'!A35:A67,'Forecast-Volumes annuels import'!O35:O67)</f>
        <v>1200</v>
      </c>
      <c r="C38" s="77">
        <f>Récape!$B38</f>
        <v>1200</v>
      </c>
      <c r="D38" s="77">
        <f>_xlfn.XLOOKUP(Tableau4[[#This Row],[Produits]],Données!B30:B62,Données!D30:D62)*Récape!$B38</f>
        <v>1056000.0000000002</v>
      </c>
      <c r="E38" s="77">
        <f>Récape!$D38*145</f>
        <v>153120000.00000003</v>
      </c>
      <c r="F38" s="77">
        <f>Récape!$B38*_xlfn.XLOOKUP(Tableau4[[#This Row],[Produits]],Données!B30:B62,Données!D30:D62)*145*1.19*1.15</f>
        <v>209544720.00000003</v>
      </c>
      <c r="G38" s="78">
        <f t="shared" si="3"/>
        <v>240976428.00000003</v>
      </c>
    </row>
    <row r="39" spans="1:7" x14ac:dyDescent="0.35">
      <c r="A39" s="84" t="s">
        <v>145</v>
      </c>
      <c r="B39" s="77">
        <f>_xlfn.XLOOKUP(Tableau4[[#This Row],[Produits]],'Forecast-Volumes annuels import'!A36:A68,'Forecast-Volumes annuels import'!O36:O68)</f>
        <v>24000</v>
      </c>
      <c r="C39" s="77">
        <f>B39/1000</f>
        <v>24</v>
      </c>
      <c r="D39" s="77">
        <f>_xlfn.XLOOKUP(Tableau4[[#This Row],[Produits]],Données!B31:B63,Données!D31:D63)*Récape!$B39</f>
        <v>72000</v>
      </c>
      <c r="E39" s="77">
        <f>Récape!$D39*145</f>
        <v>10440000</v>
      </c>
      <c r="F39" s="77">
        <f>Récape!$B39*_xlfn.XLOOKUP(Tableau4[[#This Row],[Produits]],Données!B31:B63,Données!D31:D63)*145*1.19*1.15</f>
        <v>14287139.999999998</v>
      </c>
      <c r="G39" s="78">
        <f>F39*1.5</f>
        <v>21430709.999999996</v>
      </c>
    </row>
    <row r="40" spans="1:7" x14ac:dyDescent="0.35">
      <c r="A40" s="84" t="s">
        <v>146</v>
      </c>
      <c r="B40" s="77">
        <f>_xlfn.XLOOKUP(Tableau4[[#This Row],[Produits]],'Forecast-Volumes annuels import'!A37:A69,'Forecast-Volumes annuels import'!O37:O69)</f>
        <v>24000</v>
      </c>
      <c r="C40" s="77">
        <f t="shared" ref="C40:C45" si="4">B40/1000</f>
        <v>24</v>
      </c>
      <c r="D40" s="77">
        <f>_xlfn.XLOOKUP(Tableau4[[#This Row],[Produits]],Données!B32:B64,Données!D32:D64)*Récape!$B40</f>
        <v>84000</v>
      </c>
      <c r="E40" s="77">
        <f>Récape!$D40*145</f>
        <v>12180000</v>
      </c>
      <c r="F40" s="77">
        <f>Récape!$B40*_xlfn.XLOOKUP(Tableau4[[#This Row],[Produits]],Données!B32:B64,Données!D32:D64)*145*1.19*1.15</f>
        <v>16668329.999999998</v>
      </c>
      <c r="G40" s="78">
        <f t="shared" ref="G40:G45" si="5">F40*1.5</f>
        <v>25002494.999999996</v>
      </c>
    </row>
    <row r="41" spans="1:7" x14ac:dyDescent="0.35">
      <c r="A41" s="84" t="s">
        <v>147</v>
      </c>
      <c r="B41" s="77">
        <f>_xlfn.XLOOKUP(Tableau4[[#This Row],[Produits]],'Forecast-Volumes annuels import'!A38:A70,'Forecast-Volumes annuels import'!O38:O70)</f>
        <v>24000</v>
      </c>
      <c r="C41" s="77">
        <f t="shared" si="4"/>
        <v>24</v>
      </c>
      <c r="D41" s="77">
        <f>_xlfn.XLOOKUP(Tableau4[[#This Row],[Produits]],Données!B33:B65,Données!D33:D65)*Récape!$B41</f>
        <v>60000</v>
      </c>
      <c r="E41" s="77">
        <f>Récape!$D41*145</f>
        <v>8700000</v>
      </c>
      <c r="F41" s="77">
        <f>Récape!$B41*_xlfn.XLOOKUP(Tableau4[[#This Row],[Produits]],Données!B33:B65,Données!D33:D65)*145*1.19*1.15</f>
        <v>11905950</v>
      </c>
      <c r="G41" s="78">
        <f t="shared" si="5"/>
        <v>17858925</v>
      </c>
    </row>
    <row r="42" spans="1:7" x14ac:dyDescent="0.35">
      <c r="A42" s="84" t="s">
        <v>148</v>
      </c>
      <c r="B42" s="77">
        <f>_xlfn.XLOOKUP(Tableau4[[#This Row],[Produits]],'Forecast-Volumes annuels import'!A39:A71,'Forecast-Volumes annuels import'!O39:O71)</f>
        <v>24000</v>
      </c>
      <c r="C42" s="77">
        <f t="shared" si="4"/>
        <v>24</v>
      </c>
      <c r="D42" s="77">
        <f>_xlfn.XLOOKUP(Tableau4[[#This Row],[Produits]],Données!B34:B66,Données!D34:D66)*Récape!$B42</f>
        <v>76800</v>
      </c>
      <c r="E42" s="77">
        <f>Récape!$D42*145</f>
        <v>11136000</v>
      </c>
      <c r="F42" s="77">
        <f>Récape!$B42*_xlfn.XLOOKUP(Tableau4[[#This Row],[Produits]],Données!B34:B66,Données!D34:D66)*145*1.19*1.15</f>
        <v>15239615.999999998</v>
      </c>
      <c r="G42" s="78">
        <f t="shared" si="5"/>
        <v>22859423.999999996</v>
      </c>
    </row>
    <row r="43" spans="1:7" x14ac:dyDescent="0.35">
      <c r="A43" s="84" t="s">
        <v>149</v>
      </c>
      <c r="B43" s="77">
        <f>_xlfn.XLOOKUP(Tableau4[[#This Row],[Produits]],'Forecast-Volumes annuels import'!A40:A72,'Forecast-Volumes annuels import'!O40:O72)</f>
        <v>24000</v>
      </c>
      <c r="C43" s="77">
        <f t="shared" si="4"/>
        <v>24</v>
      </c>
      <c r="D43" s="77">
        <f>_xlfn.XLOOKUP(Tableau4[[#This Row],[Produits]],Données!B35:B67,Données!D35:D67)*Récape!$B43</f>
        <v>72000</v>
      </c>
      <c r="E43" s="77">
        <f>Récape!$D43*145</f>
        <v>10440000</v>
      </c>
      <c r="F43" s="77">
        <f>Récape!$B43*_xlfn.XLOOKUP(Tableau4[[#This Row],[Produits]],Données!B35:B67,Données!D35:D67)*145*1.19*1.15</f>
        <v>14287139.999999998</v>
      </c>
      <c r="G43" s="78">
        <f t="shared" si="5"/>
        <v>21430709.999999996</v>
      </c>
    </row>
    <row r="44" spans="1:7" x14ac:dyDescent="0.35">
      <c r="A44" s="84" t="s">
        <v>150</v>
      </c>
      <c r="B44" s="77">
        <f>_xlfn.XLOOKUP(Tableau4[[#This Row],[Produits]],'Forecast-Volumes annuels import'!A10:A42,'Forecast-Volumes annuels import'!O10:O42)</f>
        <v>1000</v>
      </c>
      <c r="C44" s="77">
        <f>B44/1000</f>
        <v>1</v>
      </c>
      <c r="D44" s="77">
        <f>_xlfn.XLOOKUP(Tableau4[[#This Row],[Produits]],Données!B36:B68,Données!D36:D68)*Récape!$B44</f>
        <v>0</v>
      </c>
      <c r="E44" s="77">
        <f>Récape!$D44*145</f>
        <v>0</v>
      </c>
      <c r="F44" s="77">
        <f>Récape!$B44*_xlfn.XLOOKUP(Tableau4[[#This Row],[Produits]],Données!B36:B68,Données!D36:D68)*145*1.19*1.15</f>
        <v>0</v>
      </c>
      <c r="G44" s="78">
        <f>F44*1.5</f>
        <v>0</v>
      </c>
    </row>
    <row r="45" spans="1:7" x14ac:dyDescent="0.35">
      <c r="A45" s="84" t="s">
        <v>151</v>
      </c>
      <c r="B45" s="77">
        <f>_xlfn.XLOOKUP(Tableau4[[#This Row],[Produits]],'Forecast-Volumes annuels import'!A10:A42,'Forecast-Volumes annuels import'!O10:O42)</f>
        <v>10000</v>
      </c>
      <c r="C45" s="77">
        <f t="shared" si="4"/>
        <v>10</v>
      </c>
      <c r="D45" s="77">
        <f>_xlfn.XLOOKUP(Tableau4[[#This Row],[Produits]],Données!B37:B69,Données!D37:D69)*Récape!$B45</f>
        <v>0</v>
      </c>
      <c r="E45" s="77">
        <f>Récape!$D45*145</f>
        <v>0</v>
      </c>
      <c r="F45" s="77">
        <f>Récape!$B45*_xlfn.XLOOKUP(Tableau4[[#This Row],[Produits]],Données!B37:B69,Données!D37:D69)*145*1.19*1.15</f>
        <v>0</v>
      </c>
      <c r="G45" s="78">
        <f t="shared" si="5"/>
        <v>0</v>
      </c>
    </row>
    <row r="46" spans="1:7" ht="15" x14ac:dyDescent="0.35">
      <c r="A46" s="48"/>
      <c r="B46" s="82">
        <f>SUBTOTAL(109,Récape!$B$13:$B$45)</f>
        <v>348650</v>
      </c>
      <c r="C46" s="82">
        <f>SUBTOTAL(109,Récape!$C$13:$C$45)</f>
        <v>6058.7</v>
      </c>
      <c r="D46" s="82">
        <f>SUBTOTAL(109,Récape!$D$13:$D$45)</f>
        <v>7118264.3000000007</v>
      </c>
      <c r="E46" s="82">
        <f>SUBTOTAL(109,Récape!$E$13:$E$45)</f>
        <v>1032148323.5</v>
      </c>
      <c r="F46" s="82">
        <f>SUBTOTAL(109,Récape!$F$13:$F$45)</f>
        <v>1412494980.7097499</v>
      </c>
      <c r="G46" s="114">
        <f>SUBTOTAL(109,Récape!$G$13:$G$45)</f>
        <v>1843652861.1310248</v>
      </c>
    </row>
    <row r="47" spans="1:7" s="48" customFormat="1" x14ac:dyDescent="0.35">
      <c r="G47" s="61"/>
    </row>
    <row r="48" spans="1:7" s="48" customFormat="1" ht="15" customHeight="1" x14ac:dyDescent="0.35"/>
    <row r="49" s="48" customFormat="1" x14ac:dyDescent="0.35"/>
    <row r="50" s="48" customFormat="1" x14ac:dyDescent="0.35"/>
    <row r="51" s="48" customFormat="1" x14ac:dyDescent="0.35"/>
    <row r="52" s="48" customFormat="1" x14ac:dyDescent="0.35"/>
    <row r="53" s="48" customFormat="1" x14ac:dyDescent="0.35"/>
    <row r="54" s="48" customFormat="1" x14ac:dyDescent="0.35"/>
    <row r="55" s="48" customFormat="1" x14ac:dyDescent="0.35"/>
    <row r="56" s="48" customFormat="1" x14ac:dyDescent="0.35"/>
    <row r="57" s="48" customFormat="1" x14ac:dyDescent="0.35"/>
    <row r="58" s="48" customFormat="1" x14ac:dyDescent="0.35"/>
    <row r="59" s="48" customFormat="1" x14ac:dyDescent="0.35"/>
    <row r="60" s="48" customFormat="1" x14ac:dyDescent="0.35"/>
    <row r="61" s="48" customFormat="1" x14ac:dyDescent="0.35"/>
    <row r="62" s="48" customFormat="1" x14ac:dyDescent="0.35"/>
    <row r="63" s="48" customFormat="1" x14ac:dyDescent="0.35"/>
    <row r="64" s="48" customFormat="1" x14ac:dyDescent="0.35"/>
    <row r="65" s="48" customFormat="1" x14ac:dyDescent="0.35"/>
    <row r="66" s="48" customFormat="1" x14ac:dyDescent="0.35"/>
    <row r="67" s="48" customFormat="1" x14ac:dyDescent="0.35"/>
    <row r="68" s="48" customFormat="1" x14ac:dyDescent="0.35"/>
    <row r="69" s="48" customFormat="1" x14ac:dyDescent="0.35"/>
    <row r="70" s="48" customFormat="1" x14ac:dyDescent="0.35"/>
    <row r="71" s="48" customFormat="1" x14ac:dyDescent="0.35"/>
    <row r="72" s="48" customFormat="1" x14ac:dyDescent="0.35"/>
    <row r="73" s="48" customFormat="1" x14ac:dyDescent="0.35"/>
    <row r="74" s="48" customFormat="1" x14ac:dyDescent="0.35"/>
    <row r="75" s="48" customFormat="1" x14ac:dyDescent="0.35"/>
    <row r="76" s="48" customFormat="1" x14ac:dyDescent="0.35"/>
    <row r="77" s="48" customFormat="1" x14ac:dyDescent="0.35"/>
    <row r="78" s="48" customFormat="1" x14ac:dyDescent="0.35"/>
    <row r="79" s="48" customFormat="1" x14ac:dyDescent="0.35"/>
    <row r="80" s="48" customFormat="1" x14ac:dyDescent="0.35"/>
    <row r="81" spans="1:5" s="48" customFormat="1" x14ac:dyDescent="0.35"/>
    <row r="82" spans="1:5" s="48" customFormat="1" x14ac:dyDescent="0.35"/>
    <row r="83" spans="1:5" s="48" customFormat="1" x14ac:dyDescent="0.35"/>
    <row r="84" spans="1:5" s="48" customFormat="1" x14ac:dyDescent="0.35"/>
    <row r="85" spans="1:5" s="48" customFormat="1" x14ac:dyDescent="0.35"/>
    <row r="86" spans="1:5" s="48" customFormat="1" x14ac:dyDescent="0.35"/>
    <row r="87" spans="1:5" s="48" customFormat="1" x14ac:dyDescent="0.35"/>
    <row r="88" spans="1:5" s="48" customFormat="1" x14ac:dyDescent="0.35"/>
    <row r="89" spans="1:5" s="48" customFormat="1" x14ac:dyDescent="0.35"/>
    <row r="90" spans="1:5" s="49" customFormat="1" x14ac:dyDescent="0.35">
      <c r="A90" s="48"/>
      <c r="C90" s="62">
        <f>Récape!$C$46</f>
        <v>6058.7</v>
      </c>
      <c r="D90" s="62">
        <f>Récape!$D$46</f>
        <v>7118264.3000000007</v>
      </c>
      <c r="E90" s="62">
        <f>Récape!$E$46</f>
        <v>1032148323.5</v>
      </c>
    </row>
    <row r="91" spans="1:5" x14ac:dyDescent="0.35">
      <c r="A91" s="48"/>
    </row>
    <row r="92" spans="1:5" x14ac:dyDescent="0.35">
      <c r="A92" s="48"/>
    </row>
    <row r="93" spans="1:5" x14ac:dyDescent="0.35">
      <c r="A93" s="48"/>
    </row>
    <row r="94" spans="1:5" x14ac:dyDescent="0.35">
      <c r="A94" s="48"/>
    </row>
    <row r="95" spans="1:5" x14ac:dyDescent="0.35">
      <c r="A95" s="48"/>
    </row>
    <row r="96" spans="1:5" x14ac:dyDescent="0.35">
      <c r="A96" s="48"/>
    </row>
    <row r="97" spans="1:1" x14ac:dyDescent="0.35">
      <c r="A97" s="48"/>
    </row>
    <row r="98" spans="1:1" x14ac:dyDescent="0.35">
      <c r="A98" s="48"/>
    </row>
    <row r="99" spans="1:1" x14ac:dyDescent="0.35">
      <c r="A99" s="48"/>
    </row>
    <row r="100" spans="1:1" x14ac:dyDescent="0.35">
      <c r="A100" s="48"/>
    </row>
    <row r="101" spans="1:1" x14ac:dyDescent="0.35">
      <c r="A101" s="48"/>
    </row>
    <row r="102" spans="1:1" x14ac:dyDescent="0.35">
      <c r="A102" s="48"/>
    </row>
    <row r="103" spans="1:1" x14ac:dyDescent="0.35">
      <c r="A103" s="48"/>
    </row>
    <row r="104" spans="1:1" x14ac:dyDescent="0.35">
      <c r="A104" s="48"/>
    </row>
    <row r="105" spans="1:1" x14ac:dyDescent="0.35">
      <c r="A105" s="48"/>
    </row>
    <row r="106" spans="1:1" x14ac:dyDescent="0.35">
      <c r="A106" s="48"/>
    </row>
    <row r="107" spans="1:1" x14ac:dyDescent="0.35">
      <c r="A107" s="48"/>
    </row>
    <row r="108" spans="1:1" x14ac:dyDescent="0.35">
      <c r="A108" s="48"/>
    </row>
    <row r="109" spans="1:1" x14ac:dyDescent="0.35">
      <c r="A109" s="48"/>
    </row>
    <row r="110" spans="1:1" x14ac:dyDescent="0.35">
      <c r="A110" s="48"/>
    </row>
    <row r="111" spans="1:1" x14ac:dyDescent="0.35">
      <c r="A111" s="49"/>
    </row>
  </sheetData>
  <dataValidations count="1">
    <dataValidation type="list" allowBlank="1" showInputMessage="1" showErrorMessage="1" sqref="A46:A1048576" xr:uid="{869A0357-4A6D-44BB-90FD-C8AB48D56280}">
      <formula1>INDIRECT($A$12)</formula1>
    </dataValidation>
  </dataValidations>
  <pageMargins left="0.7" right="0.7" top="0.75" bottom="0.75" header="0.3" footer="0.3"/>
  <pageSetup paperSize="9" orientation="portrait" horizontalDpi="1200" verticalDpi="1200" r:id="rId1"/>
  <drawing r:id="rId2"/>
  <tableParts count="2">
    <tablePart r:id="rId3"/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42BD91-0C1A-48BE-B706-452A78ADDE37}">
  <sheetPr codeName="Feuil5"/>
  <dimension ref="A1:DE1035"/>
  <sheetViews>
    <sheetView showGridLines="0" zoomScale="50" zoomScaleNormal="50" workbookViewId="0">
      <pane xSplit="1" topLeftCell="B1" activePane="topRight" state="frozen"/>
      <selection pane="topRight" activeCell="O45" sqref="O45"/>
    </sheetView>
  </sheetViews>
  <sheetFormatPr baseColWidth="10" defaultRowHeight="14.5" x14ac:dyDescent="0.35"/>
  <cols>
    <col min="1" max="1" width="42.81640625" style="4" bestFit="1" customWidth="1"/>
    <col min="2" max="2" width="13.6328125" style="4" customWidth="1"/>
    <col min="3" max="3" width="14.90625" style="1" customWidth="1"/>
    <col min="4" max="5" width="14.90625" style="1" bestFit="1" customWidth="1"/>
    <col min="6" max="14" width="13.6328125" style="1" customWidth="1"/>
    <col min="15" max="16" width="23" bestFit="1" customWidth="1"/>
    <col min="17" max="17" width="28.08984375" style="1" bestFit="1" customWidth="1"/>
    <col min="18" max="18" width="16.1796875" bestFit="1" customWidth="1"/>
    <col min="19" max="109" width="10.90625" style="68"/>
  </cols>
  <sheetData>
    <row r="1" spans="1:109" s="68" customFormat="1" x14ac:dyDescent="0.35">
      <c r="A1" s="66"/>
      <c r="B1" s="66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Q1" s="67"/>
    </row>
    <row r="2" spans="1:109" s="68" customFormat="1" x14ac:dyDescent="0.35">
      <c r="A2" s="66"/>
      <c r="B2" s="66"/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Q2" s="67"/>
    </row>
    <row r="3" spans="1:109" s="68" customFormat="1" x14ac:dyDescent="0.35">
      <c r="A3" s="66"/>
      <c r="B3" s="66"/>
      <c r="C3" s="67"/>
      <c r="D3" s="67"/>
      <c r="E3" s="67"/>
      <c r="F3" s="67"/>
      <c r="G3" s="67"/>
      <c r="H3" s="67"/>
      <c r="I3" s="67"/>
      <c r="J3" s="67"/>
      <c r="K3" s="67"/>
      <c r="L3" s="67"/>
      <c r="M3" s="67"/>
      <c r="N3" s="67"/>
      <c r="Q3" s="67"/>
    </row>
    <row r="4" spans="1:109" s="68" customFormat="1" x14ac:dyDescent="0.35">
      <c r="A4" s="66"/>
      <c r="B4" s="66"/>
      <c r="C4" s="67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Q4" s="67"/>
    </row>
    <row r="5" spans="1:109" s="68" customFormat="1" x14ac:dyDescent="0.35">
      <c r="A5" s="66"/>
      <c r="B5" s="66"/>
      <c r="C5" s="67"/>
      <c r="D5" s="67"/>
      <c r="E5" s="67"/>
      <c r="F5" s="67"/>
      <c r="G5" s="67"/>
      <c r="H5" s="67"/>
      <c r="I5" s="67"/>
      <c r="J5" s="67"/>
      <c r="K5" s="67"/>
      <c r="L5" s="67"/>
      <c r="M5" s="67"/>
      <c r="N5" s="67"/>
      <c r="Q5" s="67"/>
    </row>
    <row r="6" spans="1:109" s="68" customFormat="1" ht="15" thickBot="1" x14ac:dyDescent="0.4">
      <c r="A6" s="66"/>
      <c r="B6" s="66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Q6" s="67"/>
    </row>
    <row r="7" spans="1:109" ht="16" customHeight="1" thickTop="1" thickBot="1" x14ac:dyDescent="0.4">
      <c r="A7" s="139" t="s">
        <v>48</v>
      </c>
      <c r="B7" s="141" t="s">
        <v>15</v>
      </c>
      <c r="C7" s="45" t="s">
        <v>115</v>
      </c>
      <c r="D7" s="45" t="s">
        <v>116</v>
      </c>
      <c r="E7" s="45" t="s">
        <v>117</v>
      </c>
      <c r="F7" s="45" t="s">
        <v>3</v>
      </c>
      <c r="G7" s="45" t="s">
        <v>4</v>
      </c>
      <c r="H7" s="45" t="s">
        <v>5</v>
      </c>
      <c r="I7" s="45" t="s">
        <v>6</v>
      </c>
      <c r="J7" s="45" t="s">
        <v>7</v>
      </c>
      <c r="K7" s="45" t="s">
        <v>8</v>
      </c>
      <c r="L7" s="45" t="s">
        <v>9</v>
      </c>
      <c r="M7" s="45" t="s">
        <v>10</v>
      </c>
      <c r="N7" s="45" t="s">
        <v>11</v>
      </c>
      <c r="O7" s="68"/>
      <c r="P7" s="68"/>
      <c r="Q7" s="67"/>
      <c r="R7" s="68"/>
    </row>
    <row r="8" spans="1:109" s="32" customFormat="1" ht="14.5" customHeight="1" thickTop="1" thickBot="1" x14ac:dyDescent="0.4">
      <c r="A8" s="140"/>
      <c r="B8" s="142"/>
      <c r="C8" s="29" t="s">
        <v>25</v>
      </c>
      <c r="D8" s="29" t="s">
        <v>25</v>
      </c>
      <c r="E8" s="29" t="s">
        <v>25</v>
      </c>
      <c r="F8" s="29" t="s">
        <v>25</v>
      </c>
      <c r="G8" s="29" t="s">
        <v>25</v>
      </c>
      <c r="H8" s="29" t="s">
        <v>25</v>
      </c>
      <c r="I8" s="29" t="s">
        <v>25</v>
      </c>
      <c r="J8" s="29" t="s">
        <v>25</v>
      </c>
      <c r="K8" s="29" t="s">
        <v>25</v>
      </c>
      <c r="L8" s="29" t="s">
        <v>25</v>
      </c>
      <c r="M8" s="30" t="s">
        <v>25</v>
      </c>
      <c r="N8" s="29" t="s">
        <v>25</v>
      </c>
      <c r="O8" s="31" t="s">
        <v>26</v>
      </c>
      <c r="P8" s="31" t="s">
        <v>27</v>
      </c>
      <c r="Q8" s="31" t="s">
        <v>70</v>
      </c>
      <c r="R8" s="31" t="s">
        <v>83</v>
      </c>
      <c r="S8" s="69"/>
      <c r="T8" s="69"/>
      <c r="U8" s="69"/>
      <c r="V8" s="69"/>
      <c r="W8" s="69"/>
      <c r="X8" s="69"/>
      <c r="Y8" s="69"/>
      <c r="Z8" s="69"/>
      <c r="AA8" s="69"/>
      <c r="AB8" s="69"/>
      <c r="AC8" s="69"/>
      <c r="AD8" s="69"/>
      <c r="AE8" s="69"/>
      <c r="AF8" s="69"/>
      <c r="AG8" s="69"/>
      <c r="AH8" s="69"/>
      <c r="AI8" s="69"/>
      <c r="AJ8" s="69"/>
      <c r="AK8" s="69"/>
      <c r="AL8" s="69"/>
      <c r="AM8" s="69"/>
      <c r="AN8" s="69"/>
      <c r="AO8" s="69"/>
      <c r="AP8" s="69"/>
      <c r="AQ8" s="69"/>
      <c r="AR8" s="69"/>
      <c r="AS8" s="69"/>
      <c r="AT8" s="69"/>
      <c r="AU8" s="69"/>
      <c r="AV8" s="69"/>
      <c r="AW8" s="69"/>
      <c r="AX8" s="69"/>
      <c r="AY8" s="69"/>
      <c r="AZ8" s="69"/>
      <c r="BA8" s="69"/>
      <c r="BB8" s="69"/>
      <c r="BC8" s="69"/>
      <c r="BD8" s="69"/>
      <c r="BE8" s="69"/>
      <c r="BF8" s="69"/>
      <c r="BG8" s="69"/>
      <c r="BH8" s="69"/>
      <c r="BI8" s="69"/>
      <c r="BJ8" s="69"/>
      <c r="BK8" s="69"/>
      <c r="BL8" s="69"/>
      <c r="BM8" s="69"/>
      <c r="BN8" s="69"/>
      <c r="BO8" s="69"/>
      <c r="BP8" s="69"/>
      <c r="BQ8" s="69"/>
      <c r="BR8" s="69"/>
      <c r="BS8" s="69"/>
      <c r="BT8" s="69"/>
      <c r="BU8" s="69"/>
      <c r="BV8" s="69"/>
      <c r="BW8" s="69"/>
      <c r="BX8" s="69"/>
      <c r="BY8" s="69"/>
      <c r="BZ8" s="69"/>
      <c r="CA8" s="69"/>
      <c r="CB8" s="69"/>
      <c r="CC8" s="69"/>
      <c r="CD8" s="69"/>
      <c r="CE8" s="69"/>
      <c r="CF8" s="69"/>
      <c r="CG8" s="69"/>
      <c r="CH8" s="69"/>
      <c r="CI8" s="69"/>
      <c r="CJ8" s="69"/>
      <c r="CK8" s="69"/>
      <c r="CL8" s="69"/>
      <c r="CM8" s="69"/>
      <c r="CN8" s="69"/>
      <c r="CO8" s="69"/>
      <c r="CP8" s="69"/>
      <c r="CQ8" s="69"/>
      <c r="CR8" s="69"/>
      <c r="CS8" s="69"/>
      <c r="CT8" s="69"/>
      <c r="CU8" s="69"/>
      <c r="CV8" s="69"/>
      <c r="CW8" s="69"/>
      <c r="CX8" s="69"/>
      <c r="CY8" s="69"/>
      <c r="CZ8" s="69"/>
      <c r="DA8" s="69"/>
      <c r="DB8" s="69"/>
      <c r="DC8" s="69"/>
      <c r="DD8" s="69"/>
      <c r="DE8" s="69"/>
    </row>
    <row r="9" spans="1:109" ht="14.5" customHeight="1" thickTop="1" x14ac:dyDescent="0.35">
      <c r="A9" s="133" t="s">
        <v>119</v>
      </c>
      <c r="B9" s="22" t="s">
        <v>17</v>
      </c>
      <c r="C9" s="22">
        <v>1000</v>
      </c>
      <c r="D9" s="22"/>
      <c r="E9" s="22"/>
      <c r="F9" s="22">
        <v>500</v>
      </c>
      <c r="G9" s="22">
        <v>50</v>
      </c>
      <c r="H9" s="22"/>
      <c r="I9" s="22">
        <v>100</v>
      </c>
      <c r="J9" s="22"/>
      <c r="K9" s="22">
        <v>1000</v>
      </c>
      <c r="L9" s="22"/>
      <c r="M9" s="22">
        <v>2000</v>
      </c>
      <c r="N9" s="26">
        <v>500</v>
      </c>
      <c r="O9" s="26">
        <f>SUM(C9:N9)</f>
        <v>5150</v>
      </c>
      <c r="P9" s="28">
        <f>O9*_xlfn.XLOOKUP(A9,Tableau12[Produits],Tableau12[Prix unitaire € 2026])*145*1.19*1.15*1.9</f>
        <v>14544990.135637498</v>
      </c>
      <c r="Q9" s="28">
        <f>'Forecast-Volumes annuels import'!O10-Ventes!O9</f>
        <v>10650</v>
      </c>
      <c r="R9" s="28">
        <f>O9/1000</f>
        <v>5.15</v>
      </c>
    </row>
    <row r="10" spans="1:109" x14ac:dyDescent="0.35">
      <c r="A10" s="133" t="s">
        <v>120</v>
      </c>
      <c r="B10" s="23" t="s">
        <v>17</v>
      </c>
      <c r="C10" s="23">
        <v>700</v>
      </c>
      <c r="D10" s="23"/>
      <c r="E10" s="23"/>
      <c r="F10" s="23">
        <v>500</v>
      </c>
      <c r="G10" s="23">
        <v>200</v>
      </c>
      <c r="H10" s="23"/>
      <c r="I10" s="23">
        <v>500</v>
      </c>
      <c r="J10" s="23"/>
      <c r="K10" s="23">
        <v>500</v>
      </c>
      <c r="L10" s="23">
        <v>1000</v>
      </c>
      <c r="M10" s="23">
        <v>2000</v>
      </c>
      <c r="N10" s="23">
        <v>1000</v>
      </c>
      <c r="O10" s="26">
        <f t="shared" ref="O10:O41" si="0">SUM(C10:N10)</f>
        <v>6400</v>
      </c>
      <c r="P10" s="28">
        <f>O10*_xlfn.XLOOKUP(A10,Tableau12[Produits],Tableau12[Prix unitaire € 2026])*145*1.19*1.15*1.9</f>
        <v>13536588.911999999</v>
      </c>
      <c r="Q10" s="28">
        <f>'Forecast-Volumes annuels import'!O11-Ventes!O10</f>
        <v>5700</v>
      </c>
      <c r="R10" s="28">
        <f t="shared" ref="R10:R24" si="1">O10/1000</f>
        <v>6.4</v>
      </c>
    </row>
    <row r="11" spans="1:109" x14ac:dyDescent="0.35">
      <c r="A11" s="133" t="s">
        <v>121</v>
      </c>
      <c r="B11" s="23" t="s">
        <v>17</v>
      </c>
      <c r="C11" s="23">
        <v>650</v>
      </c>
      <c r="D11" s="23"/>
      <c r="E11" s="23"/>
      <c r="F11" s="23">
        <v>100</v>
      </c>
      <c r="G11" s="23">
        <v>50</v>
      </c>
      <c r="H11" s="23"/>
      <c r="I11" s="23">
        <v>100</v>
      </c>
      <c r="J11" s="23">
        <v>1000</v>
      </c>
      <c r="K11" s="23">
        <v>500</v>
      </c>
      <c r="L11" s="23"/>
      <c r="M11" s="23">
        <v>500</v>
      </c>
      <c r="N11" s="23">
        <v>2000</v>
      </c>
      <c r="O11" s="26">
        <f t="shared" si="0"/>
        <v>4900</v>
      </c>
      <c r="P11" s="28">
        <f>O11*_xlfn.XLOOKUP(A11,Tableau12[Produits],Tableau12[Prix unitaire € 2026])*145*1.19*1.15*1.9</f>
        <v>26356949.605524994</v>
      </c>
      <c r="Q11" s="28">
        <f>'Forecast-Volumes annuels import'!O12-Ventes!O11</f>
        <v>5600</v>
      </c>
      <c r="R11" s="28">
        <f t="shared" si="1"/>
        <v>4.9000000000000004</v>
      </c>
    </row>
    <row r="12" spans="1:109" x14ac:dyDescent="0.35">
      <c r="A12" s="133" t="s">
        <v>122</v>
      </c>
      <c r="B12" s="23" t="s">
        <v>17</v>
      </c>
      <c r="C12" s="23">
        <v>700</v>
      </c>
      <c r="D12" s="23"/>
      <c r="E12" s="23"/>
      <c r="F12" s="23">
        <v>450</v>
      </c>
      <c r="G12" s="23">
        <v>100</v>
      </c>
      <c r="H12" s="23"/>
      <c r="I12" s="23">
        <v>300</v>
      </c>
      <c r="J12" s="23">
        <v>1000</v>
      </c>
      <c r="K12" s="23">
        <v>800</v>
      </c>
      <c r="L12" s="23"/>
      <c r="M12" s="23">
        <v>400</v>
      </c>
      <c r="N12" s="23">
        <v>1000</v>
      </c>
      <c r="O12" s="26">
        <f t="shared" si="0"/>
        <v>4750</v>
      </c>
      <c r="P12" s="28">
        <f>O12*_xlfn.XLOOKUP(A12,Tableau12[Produits],Tableau12[Prix unitaire € 2026])*145*1.19*1.15*1.9</f>
        <v>20960147.169500001</v>
      </c>
      <c r="Q12" s="28">
        <f>'Forecast-Volumes annuels import'!O13-Ventes!O12</f>
        <v>2450</v>
      </c>
      <c r="R12" s="28">
        <f t="shared" si="1"/>
        <v>4.75</v>
      </c>
    </row>
    <row r="13" spans="1:109" x14ac:dyDescent="0.35">
      <c r="A13" s="133" t="s">
        <v>123</v>
      </c>
      <c r="B13" s="23" t="s">
        <v>17</v>
      </c>
      <c r="C13" s="23"/>
      <c r="D13" s="23"/>
      <c r="E13" s="23"/>
      <c r="F13" s="23"/>
      <c r="G13" s="23">
        <v>1000</v>
      </c>
      <c r="H13" s="23">
        <v>2000</v>
      </c>
      <c r="I13" s="23"/>
      <c r="J13" s="23">
        <v>1000</v>
      </c>
      <c r="K13" s="23">
        <v>1000</v>
      </c>
      <c r="L13" s="23"/>
      <c r="M13" s="23">
        <v>2000</v>
      </c>
      <c r="N13" s="23">
        <v>1500</v>
      </c>
      <c r="O13" s="26">
        <f t="shared" si="0"/>
        <v>8500</v>
      </c>
      <c r="P13" s="28">
        <f>O13*_xlfn.XLOOKUP(A13,Tableau12[Produits],Tableau12[Prix unitaire € 2026])*145*1.19*1.15*1.9</f>
        <v>13395582.777499998</v>
      </c>
      <c r="Q13" s="28">
        <f>'Forecast-Volumes annuels import'!O14-Ventes!O13</f>
        <v>5500</v>
      </c>
      <c r="R13" s="28">
        <f t="shared" si="1"/>
        <v>8.5</v>
      </c>
    </row>
    <row r="14" spans="1:109" x14ac:dyDescent="0.35">
      <c r="A14" s="133" t="s">
        <v>124</v>
      </c>
      <c r="B14" s="23" t="s">
        <v>17</v>
      </c>
      <c r="C14" s="23"/>
      <c r="D14" s="23"/>
      <c r="E14" s="23"/>
      <c r="F14" s="23"/>
      <c r="G14" s="23">
        <v>1000</v>
      </c>
      <c r="H14" s="23">
        <v>1000</v>
      </c>
      <c r="I14" s="23">
        <v>2000</v>
      </c>
      <c r="J14" s="23"/>
      <c r="K14" s="23">
        <v>100</v>
      </c>
      <c r="L14" s="23"/>
      <c r="M14" s="23">
        <v>1000</v>
      </c>
      <c r="N14" s="23">
        <v>800</v>
      </c>
      <c r="O14" s="26">
        <f t="shared" si="0"/>
        <v>5900</v>
      </c>
      <c r="P14" s="28">
        <f>O14*_xlfn.XLOOKUP(A14,Tableau12[Produits],Tableau12[Prix unitaire € 2026])*145*1.19*1.15*1.9</f>
        <v>13457791.366250001</v>
      </c>
      <c r="Q14" s="28">
        <f>'Forecast-Volumes annuels import'!O15-Ventes!O14</f>
        <v>3600</v>
      </c>
      <c r="R14" s="28">
        <f t="shared" si="1"/>
        <v>5.9</v>
      </c>
    </row>
    <row r="15" spans="1:109" x14ac:dyDescent="0.35">
      <c r="A15" s="133" t="s">
        <v>125</v>
      </c>
      <c r="B15" s="23" t="s">
        <v>17</v>
      </c>
      <c r="C15" s="24"/>
      <c r="D15" s="24"/>
      <c r="E15" s="24"/>
      <c r="F15" s="24"/>
      <c r="G15" s="24"/>
      <c r="H15" s="24"/>
      <c r="I15" s="24"/>
      <c r="J15" s="24"/>
      <c r="K15" s="24"/>
      <c r="L15" s="24">
        <v>2000</v>
      </c>
      <c r="M15" s="24">
        <v>2000</v>
      </c>
      <c r="N15" s="24"/>
      <c r="O15" s="26">
        <f t="shared" si="0"/>
        <v>4000</v>
      </c>
      <c r="P15" s="28">
        <f>O15*_xlfn.XLOOKUP(A15,Tableau12[Produits],Tableau12[Prix unitaire € 2026])*145*1.19*1.15*1.9</f>
        <v>9455705.4899999984</v>
      </c>
      <c r="Q15" s="28">
        <f>'Forecast-Volumes annuels import'!O16-Ventes!O15</f>
        <v>3500</v>
      </c>
      <c r="R15" s="28">
        <f t="shared" si="1"/>
        <v>4</v>
      </c>
    </row>
    <row r="16" spans="1:109" x14ac:dyDescent="0.35">
      <c r="A16" s="133" t="s">
        <v>126</v>
      </c>
      <c r="B16" s="23" t="s">
        <v>17</v>
      </c>
      <c r="C16" s="23"/>
      <c r="D16" s="23"/>
      <c r="E16" s="23"/>
      <c r="F16" s="23"/>
      <c r="G16" s="23"/>
      <c r="H16" s="23"/>
      <c r="I16" s="23"/>
      <c r="J16" s="23"/>
      <c r="K16" s="23">
        <v>2000</v>
      </c>
      <c r="L16" s="23"/>
      <c r="M16" s="23"/>
      <c r="N16" s="23">
        <v>1000</v>
      </c>
      <c r="O16" s="26">
        <f t="shared" si="0"/>
        <v>3000</v>
      </c>
      <c r="P16" s="28">
        <f>O16*_xlfn.XLOOKUP(A16,Tableau12[Produits],Tableau12[Prix unitaire € 2026])*145*1.19*1.15*1.9</f>
        <v>4479018.3899999997</v>
      </c>
      <c r="Q16" s="28">
        <f>'Forecast-Volumes annuels import'!O17-Ventes!O16</f>
        <v>3000</v>
      </c>
      <c r="R16" s="28">
        <f t="shared" si="1"/>
        <v>3</v>
      </c>
    </row>
    <row r="17" spans="1:109" x14ac:dyDescent="0.35">
      <c r="A17" s="133" t="s">
        <v>127</v>
      </c>
      <c r="B17" s="23" t="s">
        <v>17</v>
      </c>
      <c r="C17" s="23"/>
      <c r="D17" s="23"/>
      <c r="E17" s="23"/>
      <c r="F17" s="23"/>
      <c r="G17" s="23"/>
      <c r="H17" s="23"/>
      <c r="I17" s="23"/>
      <c r="J17" s="23">
        <v>1000</v>
      </c>
      <c r="K17" s="23">
        <v>1000</v>
      </c>
      <c r="L17" s="23"/>
      <c r="M17" s="23">
        <v>1000</v>
      </c>
      <c r="N17" s="23">
        <v>1000</v>
      </c>
      <c r="O17" s="26">
        <f t="shared" si="0"/>
        <v>4000</v>
      </c>
      <c r="P17" s="28">
        <f>O17*_xlfn.XLOOKUP(A17,Tableau12[Produits],Tableau12[Prix unitaire € 2026])*145*1.19*1.15*1.9</f>
        <v>6303803.6599999992</v>
      </c>
      <c r="Q17" s="28">
        <f>'Forecast-Volumes annuels import'!O18-Ventes!O17</f>
        <v>3500</v>
      </c>
      <c r="R17" s="28">
        <f t="shared" si="1"/>
        <v>4</v>
      </c>
    </row>
    <row r="18" spans="1:109" x14ac:dyDescent="0.35">
      <c r="A18" s="133" t="s">
        <v>128</v>
      </c>
      <c r="B18" s="23" t="s">
        <v>17</v>
      </c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6">
        <f t="shared" si="0"/>
        <v>0</v>
      </c>
      <c r="P18" s="28">
        <f>O18*_xlfn.XLOOKUP(A18,Tableau12[Produits],Tableau12[Prix unitaire € 2026])*145*1.19*1.15*1.9</f>
        <v>0</v>
      </c>
      <c r="Q18" s="28">
        <f>'Forecast-Volumes annuels import'!O19-Ventes!O18</f>
        <v>0</v>
      </c>
      <c r="R18" s="28">
        <f t="shared" si="1"/>
        <v>0</v>
      </c>
    </row>
    <row r="19" spans="1:109" x14ac:dyDescent="0.35">
      <c r="A19" s="133" t="s">
        <v>129</v>
      </c>
      <c r="B19" s="23" t="s">
        <v>16</v>
      </c>
      <c r="C19" s="23"/>
      <c r="D19" s="23"/>
      <c r="E19" s="23"/>
      <c r="F19" s="23"/>
      <c r="G19" s="23"/>
      <c r="H19" s="23"/>
      <c r="I19" s="23"/>
      <c r="J19" s="23"/>
      <c r="K19" s="23"/>
      <c r="L19" s="23">
        <v>1000</v>
      </c>
      <c r="M19" s="23">
        <v>2000</v>
      </c>
      <c r="N19" s="23"/>
      <c r="O19" s="26">
        <f t="shared" si="0"/>
        <v>3000</v>
      </c>
      <c r="P19" s="28">
        <f>O19*_xlfn.XLOOKUP(A19,Tableau12[Produits],Tableau12[Prix unitaire € 2026])*145*1.19*1.15*1.9</f>
        <v>18911410.979999997</v>
      </c>
      <c r="Q19" s="28">
        <f>'Forecast-Volumes annuels import'!O20-Ventes!O19</f>
        <v>3000</v>
      </c>
      <c r="R19" s="28">
        <f t="shared" si="1"/>
        <v>3</v>
      </c>
    </row>
    <row r="20" spans="1:109" x14ac:dyDescent="0.35">
      <c r="A20" s="133" t="s">
        <v>130</v>
      </c>
      <c r="B20" s="23" t="s">
        <v>16</v>
      </c>
      <c r="C20" s="23">
        <v>280</v>
      </c>
      <c r="D20" s="23"/>
      <c r="E20" s="23"/>
      <c r="F20" s="23">
        <v>200</v>
      </c>
      <c r="G20" s="23">
        <v>1000</v>
      </c>
      <c r="H20" s="23">
        <v>3000</v>
      </c>
      <c r="I20" s="23">
        <v>2000</v>
      </c>
      <c r="J20" s="23">
        <v>3000</v>
      </c>
      <c r="K20" s="23">
        <v>5000</v>
      </c>
      <c r="L20" s="23">
        <v>5000</v>
      </c>
      <c r="M20" s="23">
        <v>5000</v>
      </c>
      <c r="N20" s="23">
        <v>8000</v>
      </c>
      <c r="O20" s="26">
        <f t="shared" si="0"/>
        <v>32480</v>
      </c>
      <c r="P20" s="28">
        <f>O20*_xlfn.XLOOKUP(A20,Tableau12[Produits],Tableau12[Prix unitaire € 2026])*145*1.19*1.15*1.9</f>
        <v>82033719.481559992</v>
      </c>
      <c r="Q20" s="28">
        <f>'Forecast-Volumes annuels import'!O21-Ventes!O20</f>
        <v>17320</v>
      </c>
      <c r="R20" s="28">
        <f t="shared" si="1"/>
        <v>32.479999999999997</v>
      </c>
    </row>
    <row r="21" spans="1:109" x14ac:dyDescent="0.35">
      <c r="A21" s="133" t="s">
        <v>131</v>
      </c>
      <c r="B21" s="23" t="s">
        <v>16</v>
      </c>
      <c r="C21" s="23">
        <v>400</v>
      </c>
      <c r="D21" s="23"/>
      <c r="E21" s="23"/>
      <c r="F21" s="23">
        <v>500</v>
      </c>
      <c r="G21" s="23">
        <v>250</v>
      </c>
      <c r="H21" s="23"/>
      <c r="I21" s="23">
        <v>500</v>
      </c>
      <c r="J21" s="23"/>
      <c r="K21" s="23">
        <v>1000</v>
      </c>
      <c r="L21" s="23">
        <v>5000</v>
      </c>
      <c r="M21" s="23">
        <v>2000</v>
      </c>
      <c r="N21" s="23">
        <v>300</v>
      </c>
      <c r="O21" s="26">
        <f t="shared" si="0"/>
        <v>9950</v>
      </c>
      <c r="P21" s="28">
        <f>O21*_xlfn.XLOOKUP(A21,Tableau12[Produits],Tableau12[Prix unitaire € 2026])*145*1.19*1.15*1.9</f>
        <v>20013539.810687497</v>
      </c>
      <c r="Q21" s="28">
        <f>'Forecast-Volumes annuels import'!O22-Ventes!O21</f>
        <v>6850</v>
      </c>
      <c r="R21" s="28">
        <f t="shared" si="1"/>
        <v>9.9499999999999993</v>
      </c>
    </row>
    <row r="22" spans="1:109" x14ac:dyDescent="0.35">
      <c r="A22" s="133" t="s">
        <v>132</v>
      </c>
      <c r="B22" s="23" t="s">
        <v>16</v>
      </c>
      <c r="C22" s="24">
        <v>640</v>
      </c>
      <c r="D22" s="23"/>
      <c r="E22" s="23"/>
      <c r="F22" s="24">
        <v>500</v>
      </c>
      <c r="G22" s="24">
        <v>300</v>
      </c>
      <c r="H22" s="23"/>
      <c r="I22" s="23"/>
      <c r="J22" s="23">
        <v>500</v>
      </c>
      <c r="K22" s="23">
        <v>500</v>
      </c>
      <c r="L22" s="23"/>
      <c r="M22" s="23">
        <v>2000</v>
      </c>
      <c r="N22" s="23">
        <v>2000</v>
      </c>
      <c r="O22" s="26">
        <f t="shared" si="0"/>
        <v>6440</v>
      </c>
      <c r="P22" s="28">
        <f>O22*_xlfn.XLOOKUP(A22,Tableau12[Produits],Tableau12[Prix unitaire € 2026])*145*1.19*1.15*1.9</f>
        <v>6223015.4394100001</v>
      </c>
      <c r="Q22" s="28">
        <f>'Forecast-Volumes annuels import'!O23-Ventes!O22</f>
        <v>8560</v>
      </c>
      <c r="R22" s="28">
        <f t="shared" si="1"/>
        <v>6.44</v>
      </c>
    </row>
    <row r="23" spans="1:109" x14ac:dyDescent="0.35">
      <c r="A23" s="133" t="s">
        <v>133</v>
      </c>
      <c r="B23" s="23" t="s">
        <v>16</v>
      </c>
      <c r="C23" s="23"/>
      <c r="D23" s="23"/>
      <c r="E23" s="23"/>
      <c r="F23" s="23"/>
      <c r="G23" s="23"/>
      <c r="H23" s="23"/>
      <c r="I23" s="23">
        <v>3000</v>
      </c>
      <c r="J23" s="23">
        <v>3000</v>
      </c>
      <c r="K23" s="23">
        <v>2000</v>
      </c>
      <c r="L23" s="23"/>
      <c r="M23" s="23"/>
      <c r="N23" s="23"/>
      <c r="O23" s="26">
        <f t="shared" si="0"/>
        <v>8000</v>
      </c>
      <c r="P23" s="28">
        <f>O23*_xlfn.XLOOKUP(A23,Tableau12[Produits],Tableau12[Prix unitaire € 2026])*145*1.19*1.15*1.9</f>
        <v>8294478.5</v>
      </c>
      <c r="Q23" s="28">
        <f>'Forecast-Volumes annuels import'!O24-Ventes!O23</f>
        <v>7000</v>
      </c>
      <c r="R23" s="28">
        <f t="shared" si="1"/>
        <v>8</v>
      </c>
    </row>
    <row r="24" spans="1:109" x14ac:dyDescent="0.35">
      <c r="A24" s="133" t="s">
        <v>134</v>
      </c>
      <c r="B24" s="23" t="s">
        <v>18</v>
      </c>
      <c r="C24" s="23"/>
      <c r="D24" s="23"/>
      <c r="E24" s="23"/>
      <c r="F24" s="23"/>
      <c r="G24" s="23"/>
      <c r="H24" s="23"/>
      <c r="I24" s="23"/>
      <c r="J24" s="23"/>
      <c r="K24" s="23">
        <v>4000</v>
      </c>
      <c r="L24" s="23">
        <v>2000</v>
      </c>
      <c r="M24" s="23">
        <v>1000</v>
      </c>
      <c r="N24" s="23"/>
      <c r="O24" s="26">
        <f t="shared" si="0"/>
        <v>7000</v>
      </c>
      <c r="P24" s="28">
        <f>O24*_xlfn.XLOOKUP(A24,Tableau12[Produits],Tableau12[Prix unitaire € 2026])*145*1.19*1.15*1.9</f>
        <v>7838282.1825000001</v>
      </c>
      <c r="Q24" s="28">
        <f>'Forecast-Volumes annuels import'!O25-Ventes!O24</f>
        <v>8000</v>
      </c>
      <c r="R24" s="28">
        <f t="shared" si="1"/>
        <v>7</v>
      </c>
    </row>
    <row r="25" spans="1:109" x14ac:dyDescent="0.35">
      <c r="A25" s="133" t="s">
        <v>135</v>
      </c>
      <c r="B25" s="23" t="s">
        <v>18</v>
      </c>
      <c r="C25" s="23"/>
      <c r="D25" s="23"/>
      <c r="E25" s="23"/>
      <c r="F25" s="23"/>
      <c r="G25" s="23"/>
      <c r="H25" s="23">
        <v>500</v>
      </c>
      <c r="I25" s="23"/>
      <c r="J25" s="23"/>
      <c r="K25" s="23"/>
      <c r="L25" s="23"/>
      <c r="M25" s="23"/>
      <c r="N25" s="23"/>
      <c r="O25" s="26">
        <f t="shared" si="0"/>
        <v>500</v>
      </c>
      <c r="P25" s="28">
        <f>O25*_xlfn.XLOOKUP(A25,Tableau12[Produits],Tableau12[Prix unitaire € 2026])*145*1.19*1.15*1.9</f>
        <v>15344785.224999998</v>
      </c>
      <c r="Q25" s="28">
        <f>'Forecast-Volumes annuels import'!O26-Ventes!O25</f>
        <v>300</v>
      </c>
      <c r="R25" s="28">
        <f t="shared" ref="R25:R31" si="2">O25/10</f>
        <v>50</v>
      </c>
    </row>
    <row r="26" spans="1:109" x14ac:dyDescent="0.35">
      <c r="A26" s="133" t="s">
        <v>136</v>
      </c>
      <c r="B26" s="23" t="s">
        <v>18</v>
      </c>
      <c r="C26" s="23"/>
      <c r="D26" s="23"/>
      <c r="E26" s="23"/>
      <c r="F26" s="23"/>
      <c r="G26" s="23"/>
      <c r="H26" s="23">
        <v>400</v>
      </c>
      <c r="I26" s="23"/>
      <c r="J26" s="23"/>
      <c r="K26" s="23"/>
      <c r="L26" s="23"/>
      <c r="M26" s="23"/>
      <c r="N26" s="23"/>
      <c r="O26" s="26">
        <f t="shared" si="0"/>
        <v>400</v>
      </c>
      <c r="P26" s="28">
        <f>O26*_xlfn.XLOOKUP(A26,Tableau12[Produits],Tableau12[Prix unitaire € 2026])*145*1.19*1.15*1.9</f>
        <v>15593619.579999998</v>
      </c>
      <c r="Q26" s="28">
        <f>'Forecast-Volumes annuels import'!O27-Ventes!O26</f>
        <v>200</v>
      </c>
      <c r="R26" s="28">
        <f t="shared" si="2"/>
        <v>40</v>
      </c>
    </row>
    <row r="27" spans="1:109" x14ac:dyDescent="0.35">
      <c r="A27" s="133" t="s">
        <v>137</v>
      </c>
      <c r="B27" s="23" t="s">
        <v>18</v>
      </c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>
        <v>300</v>
      </c>
      <c r="O27" s="26">
        <f t="shared" si="0"/>
        <v>300</v>
      </c>
      <c r="P27" s="28">
        <f>O27*_xlfn.XLOOKUP(A27,Tableau12[Produits],Tableau12[Prix unitaire € 2026])*145*1.19*1.15*1.9</f>
        <v>15863190.131249998</v>
      </c>
      <c r="Q27" s="28">
        <f>'Forecast-Volumes annuels import'!O28-Ventes!O27</f>
        <v>900</v>
      </c>
      <c r="R27" s="28">
        <f t="shared" si="2"/>
        <v>30</v>
      </c>
    </row>
    <row r="28" spans="1:109" x14ac:dyDescent="0.35">
      <c r="A28" s="133" t="s">
        <v>138</v>
      </c>
      <c r="B28" s="23" t="s">
        <v>18</v>
      </c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>
        <v>100</v>
      </c>
      <c r="O28" s="26">
        <f t="shared" si="0"/>
        <v>100</v>
      </c>
      <c r="P28" s="28">
        <f>O28*_xlfn.XLOOKUP(A28,Tableau12[Produits],Tableau12[Prix unitaire € 2026])*145*1.19*1.15*1.9</f>
        <v>5557300.5949999997</v>
      </c>
      <c r="Q28" s="28">
        <f>'Forecast-Volumes annuels import'!O29-Ventes!O28</f>
        <v>200</v>
      </c>
      <c r="R28" s="28">
        <f t="shared" si="2"/>
        <v>10</v>
      </c>
    </row>
    <row r="29" spans="1:109" x14ac:dyDescent="0.35">
      <c r="A29" s="133" t="s">
        <v>139</v>
      </c>
      <c r="B29" s="23" t="s">
        <v>18</v>
      </c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>
        <v>200</v>
      </c>
      <c r="O29" s="26">
        <f t="shared" si="0"/>
        <v>200</v>
      </c>
      <c r="P29" s="28">
        <f>O29*_xlfn.XLOOKUP(A29,Tableau12[Produits],Tableau12[Prix unitaire € 2026])*145*1.19*1.15*1.9</f>
        <v>9663067.4524999987</v>
      </c>
      <c r="Q29" s="28">
        <f>'Forecast-Volumes annuels import'!O30-Ventes!O29</f>
        <v>400</v>
      </c>
      <c r="R29" s="28">
        <f t="shared" si="2"/>
        <v>20</v>
      </c>
    </row>
    <row r="30" spans="1:109" x14ac:dyDescent="0.35">
      <c r="A30" s="133" t="s">
        <v>140</v>
      </c>
      <c r="B30" s="23" t="s">
        <v>18</v>
      </c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6">
        <f t="shared" si="0"/>
        <v>0</v>
      </c>
      <c r="P30" s="28">
        <f>O30*_xlfn.XLOOKUP(A30,Tableau12[Produits],Tableau12[Prix unitaire € 2026])*145*1.19*1.15*1.9</f>
        <v>0</v>
      </c>
      <c r="Q30" s="28">
        <f>'Forecast-Volumes annuels import'!O31-Ventes!O30</f>
        <v>0</v>
      </c>
      <c r="R30" s="28">
        <f t="shared" si="2"/>
        <v>0</v>
      </c>
    </row>
    <row r="31" spans="1:109" x14ac:dyDescent="0.35">
      <c r="A31" s="133" t="s">
        <v>141</v>
      </c>
      <c r="B31" s="23" t="s">
        <v>18</v>
      </c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>
        <v>400</v>
      </c>
      <c r="O31" s="26">
        <f t="shared" si="0"/>
        <v>400</v>
      </c>
      <c r="P31" s="28">
        <f>O31*_xlfn.XLOOKUP(A31,Tableau12[Produits],Tableau12[Prix unitaire € 2026])*145*1.19*1.15*1.9</f>
        <v>15759509.149999999</v>
      </c>
      <c r="Q31" s="28">
        <f>'Forecast-Volumes annuels import'!O32-Ventes!O31</f>
        <v>800</v>
      </c>
      <c r="R31" s="28">
        <f t="shared" si="2"/>
        <v>40</v>
      </c>
    </row>
    <row r="32" spans="1:109" s="21" customFormat="1" x14ac:dyDescent="0.35">
      <c r="A32" s="133" t="s">
        <v>142</v>
      </c>
      <c r="B32" s="23" t="s">
        <v>19</v>
      </c>
      <c r="C32" s="23"/>
      <c r="D32" s="23"/>
      <c r="E32" s="23"/>
      <c r="F32" s="23"/>
      <c r="G32" s="23"/>
      <c r="H32" s="23"/>
      <c r="I32" s="23"/>
      <c r="J32" s="23"/>
      <c r="K32" s="23"/>
      <c r="L32" s="23">
        <v>200</v>
      </c>
      <c r="M32" s="23">
        <v>200</v>
      </c>
      <c r="N32" s="23">
        <v>500</v>
      </c>
      <c r="O32" s="26">
        <f t="shared" si="0"/>
        <v>900</v>
      </c>
      <c r="P32" s="28">
        <f>O32*_xlfn.XLOOKUP(A32,Tableau12[Produits],Tableau12[Prix unitaire € 2026])*145*1.19*1.15*1.9</f>
        <v>279938649.375</v>
      </c>
      <c r="Q32" s="28">
        <f>'Forecast-Volumes annuels import'!O33-Ventes!O32</f>
        <v>750</v>
      </c>
      <c r="R32" s="28">
        <f>O32</f>
        <v>900</v>
      </c>
      <c r="S32" s="70"/>
      <c r="T32" s="70"/>
      <c r="U32" s="70"/>
      <c r="V32" s="70"/>
      <c r="W32" s="70"/>
      <c r="X32" s="70"/>
      <c r="Y32" s="70"/>
      <c r="Z32" s="70"/>
      <c r="AA32" s="70"/>
      <c r="AB32" s="70"/>
      <c r="AC32" s="70"/>
      <c r="AD32" s="70"/>
      <c r="AE32" s="70"/>
      <c r="AF32" s="70"/>
      <c r="AG32" s="70"/>
      <c r="AH32" s="70"/>
      <c r="AI32" s="70"/>
      <c r="AJ32" s="70"/>
      <c r="AK32" s="70"/>
      <c r="AL32" s="70"/>
      <c r="AM32" s="70"/>
      <c r="AN32" s="70"/>
      <c r="AO32" s="70"/>
      <c r="AP32" s="70"/>
      <c r="AQ32" s="70"/>
      <c r="AR32" s="70"/>
      <c r="AS32" s="70"/>
      <c r="AT32" s="70"/>
      <c r="AU32" s="70"/>
      <c r="AV32" s="70"/>
      <c r="AW32" s="70"/>
      <c r="AX32" s="70"/>
      <c r="AY32" s="70"/>
      <c r="AZ32" s="70"/>
      <c r="BA32" s="70"/>
      <c r="BB32" s="70"/>
      <c r="BC32" s="70"/>
      <c r="BD32" s="70"/>
      <c r="BE32" s="70"/>
      <c r="BF32" s="70"/>
      <c r="BG32" s="70"/>
      <c r="BH32" s="70"/>
      <c r="BI32" s="70"/>
      <c r="BJ32" s="70"/>
      <c r="BK32" s="70"/>
      <c r="BL32" s="70"/>
      <c r="BM32" s="70"/>
      <c r="BN32" s="70"/>
      <c r="BO32" s="70"/>
      <c r="BP32" s="70"/>
      <c r="BQ32" s="70"/>
      <c r="BR32" s="70"/>
      <c r="BS32" s="70"/>
      <c r="BT32" s="70"/>
      <c r="BU32" s="70"/>
      <c r="BV32" s="70"/>
      <c r="BW32" s="70"/>
      <c r="BX32" s="70"/>
      <c r="BY32" s="70"/>
      <c r="BZ32" s="70"/>
      <c r="CA32" s="70"/>
      <c r="CB32" s="70"/>
      <c r="CC32" s="70"/>
      <c r="CD32" s="70"/>
      <c r="CE32" s="70"/>
      <c r="CF32" s="70"/>
      <c r="CG32" s="70"/>
      <c r="CH32" s="70"/>
      <c r="CI32" s="70"/>
      <c r="CJ32" s="70"/>
      <c r="CK32" s="70"/>
      <c r="CL32" s="70"/>
      <c r="CM32" s="70"/>
      <c r="CN32" s="70"/>
      <c r="CO32" s="70"/>
      <c r="CP32" s="70"/>
      <c r="CQ32" s="70"/>
      <c r="CR32" s="70"/>
      <c r="CS32" s="70"/>
      <c r="CT32" s="70"/>
      <c r="CU32" s="70"/>
      <c r="CV32" s="70"/>
      <c r="CW32" s="70"/>
      <c r="CX32" s="70"/>
      <c r="CY32" s="70"/>
      <c r="CZ32" s="70"/>
      <c r="DA32" s="70"/>
      <c r="DB32" s="70"/>
      <c r="DC32" s="70"/>
      <c r="DD32" s="70"/>
      <c r="DE32" s="70"/>
    </row>
    <row r="33" spans="1:18" x14ac:dyDescent="0.35">
      <c r="A33" s="133" t="s">
        <v>143</v>
      </c>
      <c r="B33" s="23" t="s">
        <v>19</v>
      </c>
      <c r="C33" s="23"/>
      <c r="D33" s="23"/>
      <c r="E33" s="23"/>
      <c r="F33" s="23"/>
      <c r="G33" s="23"/>
      <c r="H33" s="23"/>
      <c r="I33" s="23"/>
      <c r="J33" s="23"/>
      <c r="K33" s="23"/>
      <c r="L33" s="23">
        <v>400</v>
      </c>
      <c r="M33" s="23">
        <v>500</v>
      </c>
      <c r="N33" s="23">
        <v>500</v>
      </c>
      <c r="O33" s="26">
        <f t="shared" si="0"/>
        <v>1400</v>
      </c>
      <c r="P33" s="28">
        <f>O33*_xlfn.XLOOKUP(A33,Tableau12[Produits],Tableau12[Prix unitaire € 2026])*145*1.19*1.15*1.9</f>
        <v>551582820.25</v>
      </c>
      <c r="Q33" s="28">
        <f>'Forecast-Volumes annuels import'!O34-Ventes!O33</f>
        <v>1000</v>
      </c>
      <c r="R33" s="28">
        <f t="shared" ref="R33" si="3">O33</f>
        <v>1400</v>
      </c>
    </row>
    <row r="34" spans="1:18" x14ac:dyDescent="0.35">
      <c r="A34" s="133" t="s">
        <v>144</v>
      </c>
      <c r="B34" s="23" t="s">
        <v>19</v>
      </c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>
        <v>200</v>
      </c>
      <c r="O34" s="26">
        <f t="shared" si="0"/>
        <v>200</v>
      </c>
      <c r="P34" s="28">
        <f>O34*_xlfn.XLOOKUP(A34,Tableau12[Produits],Tableau12[Prix unitaire € 2026])*145*1.19*1.15*1.9</f>
        <v>66355828</v>
      </c>
      <c r="Q34" s="28">
        <f>'Forecast-Volumes annuels import'!O35-Ventes!O34</f>
        <v>1000</v>
      </c>
      <c r="R34" s="28">
        <f t="shared" ref="R34" si="4">O34</f>
        <v>200</v>
      </c>
    </row>
    <row r="35" spans="1:18" x14ac:dyDescent="0.35">
      <c r="A35" s="133" t="s">
        <v>145</v>
      </c>
      <c r="B35" s="65" t="s">
        <v>17</v>
      </c>
      <c r="C35" s="65"/>
      <c r="D35" s="65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6">
        <f t="shared" si="0"/>
        <v>0</v>
      </c>
      <c r="P35" s="28">
        <f>O35*_xlfn.XLOOKUP(A35,Tableau12[Produits],Tableau12[Prix unitaire € 2026])*145*1.19*1.15*1.9</f>
        <v>0</v>
      </c>
      <c r="Q35" s="28">
        <f>'Forecast-Volumes annuels import'!O36-Ventes!O35</f>
        <v>24000</v>
      </c>
      <c r="R35" s="28">
        <f>O35/1000</f>
        <v>0</v>
      </c>
    </row>
    <row r="36" spans="1:18" x14ac:dyDescent="0.35">
      <c r="A36" s="133" t="s">
        <v>146</v>
      </c>
      <c r="B36" s="65" t="s">
        <v>17</v>
      </c>
      <c r="C36" s="65"/>
      <c r="D36" s="65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6">
        <f t="shared" si="0"/>
        <v>0</v>
      </c>
      <c r="P36" s="28">
        <f>O36*_xlfn.XLOOKUP(A36,Tableau12[Produits],Tableau12[Prix unitaire € 2026])*145*1.19*1.15*1.9</f>
        <v>0</v>
      </c>
      <c r="Q36" s="28">
        <f>'Forecast-Volumes annuels import'!O37-Ventes!O36</f>
        <v>24000</v>
      </c>
      <c r="R36" s="28">
        <f t="shared" ref="R36:R40" si="5">O36/1000</f>
        <v>0</v>
      </c>
    </row>
    <row r="37" spans="1:18" x14ac:dyDescent="0.35">
      <c r="A37" s="133" t="s">
        <v>147</v>
      </c>
      <c r="B37" s="65" t="s">
        <v>17</v>
      </c>
      <c r="C37" s="65"/>
      <c r="D37" s="65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6">
        <f t="shared" si="0"/>
        <v>0</v>
      </c>
      <c r="P37" s="28">
        <f>O37*_xlfn.XLOOKUP(A37,Tableau12[Produits],Tableau12[Prix unitaire € 2026])*145*1.19*1.15*1.9</f>
        <v>0</v>
      </c>
      <c r="Q37" s="28">
        <f>'Forecast-Volumes annuels import'!O38-Ventes!O37</f>
        <v>24000</v>
      </c>
      <c r="R37" s="28">
        <f t="shared" si="5"/>
        <v>0</v>
      </c>
    </row>
    <row r="38" spans="1:18" x14ac:dyDescent="0.35">
      <c r="A38" s="133" t="s">
        <v>148</v>
      </c>
      <c r="B38" s="65" t="s">
        <v>17</v>
      </c>
      <c r="C38" s="65"/>
      <c r="D38" s="65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6">
        <f t="shared" si="0"/>
        <v>0</v>
      </c>
      <c r="P38" s="28">
        <f>O38*_xlfn.XLOOKUP(A38,Tableau12[Produits],Tableau12[Prix unitaire € 2026])*145*1.19*1.15*1.9</f>
        <v>0</v>
      </c>
      <c r="Q38" s="28">
        <f>'Forecast-Volumes annuels import'!O39-Ventes!O38</f>
        <v>24000</v>
      </c>
      <c r="R38" s="28">
        <f t="shared" si="5"/>
        <v>0</v>
      </c>
    </row>
    <row r="39" spans="1:18" x14ac:dyDescent="0.35">
      <c r="A39" s="133" t="s">
        <v>149</v>
      </c>
      <c r="B39" s="65" t="s">
        <v>17</v>
      </c>
      <c r="C39" s="65"/>
      <c r="D39" s="65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6">
        <f t="shared" si="0"/>
        <v>0</v>
      </c>
      <c r="P39" s="28">
        <f>O39*_xlfn.XLOOKUP(A39,Tableau12[Produits],Tableau12[Prix unitaire € 2026])*145*1.19*1.15*1.9</f>
        <v>0</v>
      </c>
      <c r="Q39" s="28">
        <f>'Forecast-Volumes annuels import'!O40-Ventes!O39</f>
        <v>24000</v>
      </c>
      <c r="R39" s="28">
        <f t="shared" si="5"/>
        <v>0</v>
      </c>
    </row>
    <row r="40" spans="1:18" x14ac:dyDescent="0.35">
      <c r="A40" s="133" t="s">
        <v>150</v>
      </c>
      <c r="B40" s="65" t="s">
        <v>16</v>
      </c>
      <c r="C40" s="65"/>
      <c r="D40" s="65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6">
        <f t="shared" si="0"/>
        <v>0</v>
      </c>
      <c r="P40" s="28">
        <f>O40*_xlfn.XLOOKUP(A40,Tableau12[Produits],Tableau12[Prix unitaire € 2026])*145*1.19*1.15*1.9</f>
        <v>0</v>
      </c>
      <c r="Q40" s="28">
        <f>'Forecast-Volumes annuels import'!O41-Ventes!O40</f>
        <v>1000</v>
      </c>
      <c r="R40" s="28">
        <f t="shared" si="5"/>
        <v>0</v>
      </c>
    </row>
    <row r="41" spans="1:18" ht="15" thickBot="1" x14ac:dyDescent="0.4">
      <c r="A41" s="134" t="s">
        <v>151</v>
      </c>
      <c r="B41" s="25" t="s">
        <v>16</v>
      </c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83">
        <f t="shared" si="0"/>
        <v>0</v>
      </c>
      <c r="P41" s="83">
        <f>O41*_xlfn.XLOOKUP(A41,Tableau12[Produits],Tableau12[Prix unitaire € 2026])*145*1.19*1.15*1.9</f>
        <v>0</v>
      </c>
      <c r="Q41" s="83">
        <f>'Forecast-Volumes annuels import'!O42-Ventes!O41</f>
        <v>10000</v>
      </c>
      <c r="R41" s="83">
        <f>O41/1000</f>
        <v>0</v>
      </c>
    </row>
    <row r="42" spans="1:18" s="68" customFormat="1" ht="15" thickTop="1" x14ac:dyDescent="0.35">
      <c r="A42" s="66"/>
      <c r="B42" s="66"/>
      <c r="C42" s="67"/>
      <c r="D42" s="67"/>
      <c r="E42" s="67"/>
      <c r="F42" s="67"/>
      <c r="G42" s="67"/>
      <c r="H42" s="67"/>
      <c r="I42" s="67"/>
      <c r="J42" s="67"/>
      <c r="K42" s="67"/>
      <c r="L42" s="67"/>
      <c r="M42" s="67"/>
      <c r="N42" s="67"/>
      <c r="Q42" s="67"/>
    </row>
    <row r="43" spans="1:18" s="68" customFormat="1" x14ac:dyDescent="0.35">
      <c r="A43" s="66"/>
      <c r="B43" s="66"/>
      <c r="C43" s="67"/>
      <c r="D43" s="67"/>
      <c r="E43" s="67"/>
      <c r="F43" s="67"/>
      <c r="G43" s="67"/>
      <c r="H43" s="67"/>
      <c r="I43" s="67"/>
      <c r="J43" s="67"/>
      <c r="K43" s="67"/>
      <c r="L43" s="67"/>
      <c r="M43" s="67"/>
      <c r="N43" s="67"/>
      <c r="Q43" s="67"/>
    </row>
    <row r="44" spans="1:18" s="68" customFormat="1" x14ac:dyDescent="0.35">
      <c r="A44" s="66"/>
      <c r="B44" s="66"/>
      <c r="C44" s="67"/>
      <c r="D44" s="67"/>
      <c r="E44" s="67"/>
      <c r="F44" s="67"/>
      <c r="G44" s="67"/>
      <c r="H44" s="67"/>
      <c r="I44" s="67"/>
      <c r="J44" s="67"/>
      <c r="K44" s="67"/>
      <c r="L44" s="67"/>
      <c r="M44" s="67"/>
      <c r="N44" s="67"/>
      <c r="Q44" s="67"/>
    </row>
    <row r="45" spans="1:18" s="68" customFormat="1" x14ac:dyDescent="0.35">
      <c r="A45" s="66"/>
      <c r="B45" s="66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7"/>
      <c r="N45" s="67"/>
      <c r="Q45" s="67"/>
    </row>
    <row r="46" spans="1:18" s="68" customFormat="1" x14ac:dyDescent="0.35">
      <c r="A46" s="66"/>
      <c r="B46" s="66"/>
      <c r="C46" s="67"/>
      <c r="D46" s="67"/>
      <c r="E46" s="67"/>
      <c r="F46" s="67"/>
      <c r="G46" s="67"/>
      <c r="H46" s="67"/>
      <c r="I46" s="67"/>
      <c r="J46" s="67"/>
      <c r="K46" s="67"/>
      <c r="L46" s="67"/>
      <c r="M46" s="67"/>
      <c r="N46" s="67"/>
      <c r="Q46" s="67"/>
    </row>
    <row r="47" spans="1:18" s="68" customFormat="1" x14ac:dyDescent="0.35">
      <c r="A47" s="66"/>
      <c r="B47" s="66"/>
      <c r="C47" s="67"/>
      <c r="D47" s="67"/>
      <c r="E47" s="67"/>
      <c r="F47" s="67"/>
      <c r="G47" s="67"/>
      <c r="H47" s="67"/>
      <c r="I47" s="67"/>
      <c r="J47" s="67"/>
      <c r="K47" s="67"/>
      <c r="L47" s="67"/>
      <c r="M47" s="67"/>
      <c r="N47" s="67"/>
      <c r="Q47" s="67"/>
    </row>
    <row r="48" spans="1:18" s="68" customFormat="1" x14ac:dyDescent="0.35">
      <c r="A48" s="66"/>
      <c r="B48" s="66"/>
      <c r="C48" s="67"/>
      <c r="D48" s="67"/>
      <c r="E48" s="67"/>
      <c r="F48" s="67"/>
      <c r="G48" s="67"/>
      <c r="H48" s="67"/>
      <c r="I48" s="67"/>
      <c r="J48" s="67"/>
      <c r="K48" s="67"/>
      <c r="L48" s="67"/>
      <c r="M48" s="67"/>
      <c r="N48" s="67"/>
      <c r="Q48" s="67"/>
    </row>
    <row r="49" spans="1:17" s="68" customFormat="1" x14ac:dyDescent="0.35">
      <c r="A49" s="66"/>
      <c r="B49" s="66"/>
      <c r="C49" s="67"/>
      <c r="D49" s="67"/>
      <c r="E49" s="67"/>
      <c r="F49" s="67"/>
      <c r="G49" s="67"/>
      <c r="H49" s="67"/>
      <c r="I49" s="67"/>
      <c r="J49" s="67"/>
      <c r="K49" s="67"/>
      <c r="L49" s="67"/>
      <c r="M49" s="67"/>
      <c r="N49" s="67"/>
      <c r="Q49" s="67"/>
    </row>
    <row r="50" spans="1:17" s="68" customFormat="1" x14ac:dyDescent="0.35">
      <c r="A50" s="66"/>
      <c r="B50" s="66"/>
      <c r="C50" s="67"/>
      <c r="D50" s="67"/>
      <c r="E50" s="67"/>
      <c r="F50" s="67"/>
      <c r="G50" s="67"/>
      <c r="H50" s="67"/>
      <c r="I50" s="67"/>
      <c r="J50" s="67"/>
      <c r="K50" s="67"/>
      <c r="L50" s="67"/>
      <c r="M50" s="67"/>
      <c r="N50" s="67"/>
      <c r="Q50" s="67"/>
    </row>
    <row r="51" spans="1:17" s="68" customFormat="1" x14ac:dyDescent="0.35">
      <c r="A51" s="66"/>
      <c r="B51" s="66"/>
      <c r="C51" s="67"/>
      <c r="D51" s="67"/>
      <c r="E51" s="67"/>
      <c r="F51" s="67"/>
      <c r="G51" s="67"/>
      <c r="H51" s="67"/>
      <c r="I51" s="67"/>
      <c r="J51" s="67"/>
      <c r="K51" s="67"/>
      <c r="L51" s="67"/>
      <c r="M51" s="67"/>
      <c r="N51" s="67"/>
      <c r="Q51" s="67"/>
    </row>
    <row r="52" spans="1:17" s="68" customFormat="1" x14ac:dyDescent="0.35">
      <c r="A52" s="66"/>
      <c r="B52" s="66"/>
      <c r="C52" s="67"/>
      <c r="D52" s="67"/>
      <c r="E52" s="67"/>
      <c r="F52" s="67"/>
      <c r="G52" s="67"/>
      <c r="H52" s="67"/>
      <c r="I52" s="67"/>
      <c r="J52" s="67"/>
      <c r="K52" s="67"/>
      <c r="L52" s="67"/>
      <c r="M52" s="67"/>
      <c r="N52" s="67"/>
      <c r="Q52" s="67"/>
    </row>
    <row r="53" spans="1:17" s="68" customFormat="1" x14ac:dyDescent="0.35">
      <c r="A53" s="66"/>
      <c r="B53" s="66"/>
      <c r="C53" s="67"/>
      <c r="D53" s="67"/>
      <c r="E53" s="67"/>
      <c r="F53" s="67"/>
      <c r="G53" s="67"/>
      <c r="H53" s="67"/>
      <c r="I53" s="67"/>
      <c r="J53" s="67"/>
      <c r="K53" s="67"/>
      <c r="L53" s="67"/>
      <c r="M53" s="67"/>
      <c r="N53" s="67"/>
      <c r="Q53" s="67"/>
    </row>
    <row r="54" spans="1:17" s="68" customFormat="1" x14ac:dyDescent="0.35">
      <c r="A54" s="66"/>
      <c r="B54" s="66"/>
      <c r="C54" s="67"/>
      <c r="D54" s="67"/>
      <c r="E54" s="67"/>
      <c r="F54" s="67"/>
      <c r="G54" s="67"/>
      <c r="H54" s="67"/>
      <c r="I54" s="67"/>
      <c r="J54" s="67"/>
      <c r="K54" s="67"/>
      <c r="L54" s="67"/>
      <c r="M54" s="67"/>
      <c r="N54" s="67"/>
      <c r="Q54" s="67"/>
    </row>
    <row r="55" spans="1:17" s="68" customFormat="1" x14ac:dyDescent="0.35">
      <c r="A55" s="66"/>
      <c r="B55" s="66"/>
      <c r="C55" s="67"/>
      <c r="D55" s="67"/>
      <c r="E55" s="67"/>
      <c r="F55" s="67"/>
      <c r="G55" s="67"/>
      <c r="H55" s="67"/>
      <c r="I55" s="67"/>
      <c r="J55" s="67"/>
      <c r="K55" s="67"/>
      <c r="L55" s="67"/>
      <c r="M55" s="67"/>
      <c r="N55" s="67"/>
      <c r="Q55" s="67"/>
    </row>
    <row r="56" spans="1:17" s="68" customFormat="1" x14ac:dyDescent="0.35">
      <c r="A56" s="66"/>
      <c r="B56" s="66"/>
      <c r="C56" s="67"/>
      <c r="D56" s="67"/>
      <c r="E56" s="67"/>
      <c r="F56" s="67"/>
      <c r="G56" s="67"/>
      <c r="H56" s="67"/>
      <c r="I56" s="67"/>
      <c r="J56" s="67"/>
      <c r="K56" s="67"/>
      <c r="L56" s="67"/>
      <c r="M56" s="67"/>
      <c r="N56" s="67"/>
      <c r="Q56" s="67"/>
    </row>
    <row r="57" spans="1:17" s="68" customFormat="1" x14ac:dyDescent="0.35">
      <c r="A57" s="66"/>
      <c r="B57" s="66"/>
      <c r="C57" s="67"/>
      <c r="D57" s="67"/>
      <c r="E57" s="67"/>
      <c r="F57" s="67"/>
      <c r="G57" s="67"/>
      <c r="H57" s="67"/>
      <c r="I57" s="67"/>
      <c r="J57" s="67"/>
      <c r="K57" s="67"/>
      <c r="L57" s="67"/>
      <c r="M57" s="67"/>
      <c r="N57" s="67"/>
      <c r="Q57" s="67"/>
    </row>
    <row r="58" spans="1:17" s="68" customFormat="1" x14ac:dyDescent="0.35">
      <c r="A58" s="66"/>
      <c r="B58" s="66"/>
      <c r="C58" s="67"/>
      <c r="D58" s="67"/>
      <c r="E58" s="67"/>
      <c r="F58" s="67"/>
      <c r="G58" s="67"/>
      <c r="H58" s="67"/>
      <c r="I58" s="67"/>
      <c r="J58" s="67"/>
      <c r="K58" s="67"/>
      <c r="L58" s="67"/>
      <c r="M58" s="67"/>
      <c r="N58" s="67"/>
      <c r="Q58" s="67"/>
    </row>
    <row r="59" spans="1:17" s="68" customFormat="1" x14ac:dyDescent="0.35">
      <c r="A59" s="66"/>
      <c r="B59" s="66"/>
      <c r="C59" s="67"/>
      <c r="D59" s="67"/>
      <c r="E59" s="67"/>
      <c r="F59" s="67"/>
      <c r="G59" s="67"/>
      <c r="H59" s="67"/>
      <c r="I59" s="67"/>
      <c r="J59" s="67"/>
      <c r="K59" s="67"/>
      <c r="L59" s="67"/>
      <c r="M59" s="67"/>
      <c r="N59" s="67"/>
      <c r="Q59" s="67"/>
    </row>
    <row r="60" spans="1:17" s="68" customFormat="1" x14ac:dyDescent="0.35">
      <c r="A60" s="66"/>
      <c r="B60" s="66"/>
      <c r="C60" s="67"/>
      <c r="D60" s="67"/>
      <c r="E60" s="67"/>
      <c r="F60" s="67"/>
      <c r="G60" s="67"/>
      <c r="H60" s="67"/>
      <c r="I60" s="67"/>
      <c r="J60" s="67"/>
      <c r="K60" s="67"/>
      <c r="L60" s="67"/>
      <c r="M60" s="67"/>
      <c r="N60" s="67"/>
      <c r="Q60" s="67"/>
    </row>
    <row r="61" spans="1:17" s="68" customFormat="1" x14ac:dyDescent="0.35">
      <c r="A61" s="66"/>
      <c r="B61" s="66"/>
      <c r="C61" s="67"/>
      <c r="D61" s="67"/>
      <c r="E61" s="67"/>
      <c r="F61" s="67"/>
      <c r="G61" s="67"/>
      <c r="H61" s="67"/>
      <c r="I61" s="67"/>
      <c r="J61" s="67"/>
      <c r="K61" s="67"/>
      <c r="L61" s="67"/>
      <c r="M61" s="67"/>
      <c r="N61" s="67"/>
      <c r="Q61" s="67"/>
    </row>
    <row r="62" spans="1:17" s="68" customFormat="1" x14ac:dyDescent="0.35">
      <c r="A62" s="66"/>
      <c r="B62" s="66"/>
      <c r="C62" s="67"/>
      <c r="D62" s="67"/>
      <c r="E62" s="67"/>
      <c r="F62" s="67"/>
      <c r="G62" s="67"/>
      <c r="H62" s="67"/>
      <c r="I62" s="67"/>
      <c r="J62" s="67"/>
      <c r="K62" s="67"/>
      <c r="L62" s="67"/>
      <c r="M62" s="67"/>
      <c r="N62" s="67"/>
      <c r="Q62" s="67"/>
    </row>
    <row r="63" spans="1:17" s="68" customFormat="1" x14ac:dyDescent="0.35">
      <c r="A63" s="66"/>
      <c r="B63" s="66"/>
      <c r="C63" s="67"/>
      <c r="D63" s="67"/>
      <c r="E63" s="67"/>
      <c r="F63" s="67"/>
      <c r="G63" s="67"/>
      <c r="H63" s="67"/>
      <c r="I63" s="67"/>
      <c r="J63" s="67"/>
      <c r="K63" s="67"/>
      <c r="L63" s="67"/>
      <c r="M63" s="67"/>
      <c r="N63" s="67"/>
      <c r="Q63" s="67"/>
    </row>
    <row r="64" spans="1:17" s="68" customFormat="1" x14ac:dyDescent="0.35">
      <c r="A64" s="66"/>
      <c r="B64" s="66"/>
      <c r="C64" s="67"/>
      <c r="D64" s="67"/>
      <c r="E64" s="67"/>
      <c r="F64" s="67"/>
      <c r="G64" s="67"/>
      <c r="H64" s="67"/>
      <c r="I64" s="67"/>
      <c r="J64" s="67"/>
      <c r="K64" s="67"/>
      <c r="L64" s="67"/>
      <c r="M64" s="67"/>
      <c r="N64" s="67"/>
      <c r="Q64" s="67"/>
    </row>
    <row r="65" spans="1:17" s="68" customFormat="1" x14ac:dyDescent="0.35">
      <c r="A65" s="66"/>
      <c r="B65" s="66"/>
      <c r="C65" s="67"/>
      <c r="D65" s="67"/>
      <c r="E65" s="67"/>
      <c r="F65" s="67"/>
      <c r="G65" s="67"/>
      <c r="H65" s="67"/>
      <c r="I65" s="67"/>
      <c r="J65" s="67"/>
      <c r="K65" s="67"/>
      <c r="L65" s="67"/>
      <c r="M65" s="67"/>
      <c r="N65" s="67"/>
      <c r="Q65" s="67"/>
    </row>
    <row r="66" spans="1:17" s="68" customFormat="1" x14ac:dyDescent="0.35">
      <c r="A66" s="66"/>
      <c r="B66" s="66"/>
      <c r="C66" s="67"/>
      <c r="D66" s="67"/>
      <c r="E66" s="67"/>
      <c r="F66" s="67"/>
      <c r="G66" s="67"/>
      <c r="H66" s="67"/>
      <c r="I66" s="67"/>
      <c r="J66" s="67"/>
      <c r="K66" s="67"/>
      <c r="L66" s="67"/>
      <c r="M66" s="67"/>
      <c r="N66" s="67"/>
      <c r="Q66" s="67"/>
    </row>
    <row r="67" spans="1:17" s="68" customFormat="1" x14ac:dyDescent="0.35">
      <c r="A67" s="66"/>
      <c r="B67" s="66"/>
      <c r="C67" s="67"/>
      <c r="D67" s="67"/>
      <c r="E67" s="67"/>
      <c r="F67" s="67"/>
      <c r="G67" s="67"/>
      <c r="H67" s="67"/>
      <c r="I67" s="67"/>
      <c r="J67" s="67"/>
      <c r="K67" s="67"/>
      <c r="L67" s="67"/>
      <c r="M67" s="67"/>
      <c r="N67" s="67"/>
      <c r="Q67" s="67"/>
    </row>
    <row r="68" spans="1:17" s="68" customFormat="1" x14ac:dyDescent="0.35">
      <c r="A68" s="66"/>
      <c r="B68" s="66"/>
      <c r="C68" s="67"/>
      <c r="D68" s="67"/>
      <c r="E68" s="67"/>
      <c r="F68" s="67"/>
      <c r="G68" s="67"/>
      <c r="H68" s="67"/>
      <c r="I68" s="67"/>
      <c r="J68" s="67"/>
      <c r="K68" s="67"/>
      <c r="L68" s="67"/>
      <c r="M68" s="67"/>
      <c r="N68" s="67"/>
      <c r="Q68" s="67"/>
    </row>
    <row r="69" spans="1:17" s="68" customFormat="1" x14ac:dyDescent="0.35">
      <c r="A69" s="66"/>
      <c r="B69" s="66"/>
      <c r="C69" s="67"/>
      <c r="D69" s="67"/>
      <c r="E69" s="67"/>
      <c r="F69" s="67"/>
      <c r="G69" s="67"/>
      <c r="H69" s="67"/>
      <c r="I69" s="67"/>
      <c r="J69" s="67"/>
      <c r="K69" s="67"/>
      <c r="L69" s="67"/>
      <c r="M69" s="67"/>
      <c r="N69" s="67"/>
      <c r="Q69" s="67"/>
    </row>
    <row r="70" spans="1:17" s="68" customFormat="1" x14ac:dyDescent="0.35">
      <c r="A70" s="66"/>
      <c r="B70" s="66"/>
      <c r="C70" s="67"/>
      <c r="D70" s="67"/>
      <c r="E70" s="67"/>
      <c r="F70" s="67"/>
      <c r="G70" s="67"/>
      <c r="H70" s="67"/>
      <c r="I70" s="67"/>
      <c r="J70" s="67"/>
      <c r="K70" s="67"/>
      <c r="L70" s="67"/>
      <c r="M70" s="67"/>
      <c r="N70" s="67"/>
      <c r="Q70" s="67"/>
    </row>
    <row r="71" spans="1:17" s="68" customFormat="1" x14ac:dyDescent="0.35">
      <c r="A71" s="66"/>
      <c r="B71" s="66"/>
      <c r="C71" s="67"/>
      <c r="D71" s="67"/>
      <c r="E71" s="67"/>
      <c r="F71" s="67"/>
      <c r="G71" s="67"/>
      <c r="H71" s="67"/>
      <c r="I71" s="67"/>
      <c r="J71" s="67"/>
      <c r="K71" s="67"/>
      <c r="L71" s="67"/>
      <c r="M71" s="67"/>
      <c r="N71" s="67"/>
      <c r="Q71" s="67"/>
    </row>
    <row r="72" spans="1:17" s="68" customFormat="1" x14ac:dyDescent="0.35">
      <c r="A72" s="66"/>
      <c r="B72" s="66"/>
      <c r="C72" s="67"/>
      <c r="D72" s="67"/>
      <c r="E72" s="67"/>
      <c r="F72" s="67"/>
      <c r="G72" s="67"/>
      <c r="H72" s="67"/>
      <c r="I72" s="67"/>
      <c r="J72" s="67"/>
      <c r="K72" s="67"/>
      <c r="L72" s="67"/>
      <c r="M72" s="67"/>
      <c r="N72" s="67"/>
      <c r="Q72" s="67"/>
    </row>
    <row r="73" spans="1:17" s="68" customFormat="1" x14ac:dyDescent="0.35">
      <c r="A73" s="66"/>
      <c r="B73" s="66"/>
      <c r="C73" s="67"/>
      <c r="D73" s="67"/>
      <c r="E73" s="67"/>
      <c r="F73" s="67"/>
      <c r="G73" s="67"/>
      <c r="H73" s="67"/>
      <c r="I73" s="67"/>
      <c r="J73" s="67"/>
      <c r="K73" s="67"/>
      <c r="L73" s="67"/>
      <c r="M73" s="67"/>
      <c r="N73" s="67"/>
      <c r="Q73" s="67"/>
    </row>
    <row r="74" spans="1:17" s="68" customFormat="1" x14ac:dyDescent="0.35">
      <c r="A74" s="66"/>
      <c r="B74" s="66"/>
      <c r="C74" s="67"/>
      <c r="D74" s="67"/>
      <c r="E74" s="67"/>
      <c r="F74" s="67"/>
      <c r="G74" s="67"/>
      <c r="H74" s="67"/>
      <c r="I74" s="67"/>
      <c r="J74" s="67"/>
      <c r="K74" s="67"/>
      <c r="L74" s="67"/>
      <c r="M74" s="67"/>
      <c r="N74" s="67"/>
      <c r="Q74" s="67"/>
    </row>
    <row r="75" spans="1:17" s="68" customFormat="1" x14ac:dyDescent="0.35">
      <c r="A75" s="66"/>
      <c r="B75" s="66"/>
      <c r="C75" s="67"/>
      <c r="D75" s="67"/>
      <c r="E75" s="67"/>
      <c r="F75" s="67"/>
      <c r="G75" s="67"/>
      <c r="H75" s="67"/>
      <c r="I75" s="67"/>
      <c r="J75" s="67"/>
      <c r="K75" s="67"/>
      <c r="L75" s="67"/>
      <c r="M75" s="67"/>
      <c r="N75" s="67"/>
      <c r="Q75" s="67"/>
    </row>
    <row r="76" spans="1:17" s="68" customFormat="1" x14ac:dyDescent="0.35">
      <c r="A76" s="66"/>
      <c r="B76" s="66"/>
      <c r="C76" s="67"/>
      <c r="D76" s="67"/>
      <c r="E76" s="67"/>
      <c r="F76" s="67"/>
      <c r="G76" s="67"/>
      <c r="H76" s="67"/>
      <c r="I76" s="67"/>
      <c r="J76" s="67"/>
      <c r="K76" s="67"/>
      <c r="L76" s="67"/>
      <c r="M76" s="67"/>
      <c r="N76" s="67"/>
      <c r="Q76" s="67"/>
    </row>
    <row r="77" spans="1:17" s="68" customFormat="1" x14ac:dyDescent="0.35">
      <c r="A77" s="66"/>
      <c r="B77" s="66"/>
      <c r="C77" s="67"/>
      <c r="D77" s="67"/>
      <c r="E77" s="67"/>
      <c r="F77" s="67"/>
      <c r="G77" s="67"/>
      <c r="H77" s="67"/>
      <c r="I77" s="67"/>
      <c r="J77" s="67"/>
      <c r="K77" s="67"/>
      <c r="L77" s="67"/>
      <c r="M77" s="67"/>
      <c r="N77" s="67"/>
      <c r="Q77" s="67"/>
    </row>
    <row r="78" spans="1:17" s="68" customFormat="1" x14ac:dyDescent="0.35">
      <c r="A78" s="66"/>
      <c r="B78" s="66"/>
      <c r="C78" s="67"/>
      <c r="D78" s="67"/>
      <c r="E78" s="67"/>
      <c r="F78" s="67"/>
      <c r="G78" s="67"/>
      <c r="H78" s="67"/>
      <c r="I78" s="67"/>
      <c r="J78" s="67"/>
      <c r="K78" s="67"/>
      <c r="L78" s="67"/>
      <c r="M78" s="67"/>
      <c r="N78" s="67"/>
      <c r="Q78" s="67"/>
    </row>
    <row r="79" spans="1:17" s="68" customFormat="1" x14ac:dyDescent="0.35">
      <c r="A79" s="66"/>
      <c r="B79" s="66"/>
      <c r="C79" s="67"/>
      <c r="D79" s="67"/>
      <c r="E79" s="67"/>
      <c r="F79" s="67"/>
      <c r="G79" s="67"/>
      <c r="H79" s="67"/>
      <c r="I79" s="67"/>
      <c r="J79" s="67"/>
      <c r="K79" s="67"/>
      <c r="L79" s="67"/>
      <c r="M79" s="67"/>
      <c r="N79" s="67"/>
      <c r="Q79" s="67"/>
    </row>
    <row r="80" spans="1:17" s="68" customFormat="1" x14ac:dyDescent="0.35">
      <c r="A80" s="66"/>
      <c r="B80" s="66"/>
      <c r="C80" s="67"/>
      <c r="D80" s="67"/>
      <c r="E80" s="67"/>
      <c r="F80" s="67"/>
      <c r="G80" s="67"/>
      <c r="H80" s="67"/>
      <c r="I80" s="67"/>
      <c r="J80" s="67"/>
      <c r="K80" s="67"/>
      <c r="L80" s="67"/>
      <c r="M80" s="67"/>
      <c r="N80" s="67"/>
      <c r="Q80" s="67"/>
    </row>
    <row r="81" spans="1:17" s="68" customFormat="1" x14ac:dyDescent="0.35">
      <c r="A81" s="66"/>
      <c r="B81" s="66"/>
      <c r="C81" s="67"/>
      <c r="D81" s="67"/>
      <c r="E81" s="67"/>
      <c r="F81" s="67"/>
      <c r="G81" s="67"/>
      <c r="H81" s="67"/>
      <c r="I81" s="67"/>
      <c r="J81" s="67"/>
      <c r="K81" s="67"/>
      <c r="L81" s="67"/>
      <c r="M81" s="67"/>
      <c r="N81" s="67"/>
      <c r="Q81" s="67"/>
    </row>
    <row r="82" spans="1:17" s="68" customFormat="1" x14ac:dyDescent="0.35">
      <c r="A82" s="66"/>
      <c r="B82" s="66"/>
      <c r="C82" s="67"/>
      <c r="D82" s="67"/>
      <c r="E82" s="67"/>
      <c r="F82" s="67"/>
      <c r="G82" s="67"/>
      <c r="H82" s="67"/>
      <c r="I82" s="67"/>
      <c r="J82" s="67"/>
      <c r="K82" s="67"/>
      <c r="L82" s="67"/>
      <c r="M82" s="67"/>
      <c r="N82" s="67"/>
      <c r="Q82" s="67"/>
    </row>
    <row r="83" spans="1:17" s="68" customFormat="1" x14ac:dyDescent="0.35">
      <c r="A83" s="66"/>
      <c r="B83" s="66"/>
      <c r="C83" s="67"/>
      <c r="D83" s="67"/>
      <c r="E83" s="67"/>
      <c r="F83" s="67"/>
      <c r="G83" s="67"/>
      <c r="H83" s="67"/>
      <c r="I83" s="67"/>
      <c r="J83" s="67"/>
      <c r="K83" s="67"/>
      <c r="L83" s="67"/>
      <c r="M83" s="67"/>
      <c r="N83" s="67"/>
      <c r="Q83" s="67"/>
    </row>
    <row r="84" spans="1:17" s="68" customFormat="1" x14ac:dyDescent="0.35">
      <c r="A84" s="66"/>
      <c r="B84" s="66"/>
      <c r="C84" s="67"/>
      <c r="D84" s="67"/>
      <c r="E84" s="67"/>
      <c r="F84" s="67"/>
      <c r="G84" s="67"/>
      <c r="H84" s="67"/>
      <c r="I84" s="67"/>
      <c r="J84" s="67"/>
      <c r="K84" s="67"/>
      <c r="L84" s="67"/>
      <c r="M84" s="67"/>
      <c r="N84" s="67"/>
      <c r="Q84" s="67"/>
    </row>
    <row r="85" spans="1:17" s="68" customFormat="1" x14ac:dyDescent="0.35">
      <c r="A85" s="66"/>
      <c r="B85" s="66"/>
      <c r="C85" s="67"/>
      <c r="D85" s="67"/>
      <c r="E85" s="67"/>
      <c r="F85" s="67"/>
      <c r="G85" s="67"/>
      <c r="H85" s="67"/>
      <c r="I85" s="67"/>
      <c r="J85" s="67"/>
      <c r="K85" s="67"/>
      <c r="L85" s="67"/>
      <c r="M85" s="67"/>
      <c r="N85" s="67"/>
      <c r="Q85" s="67"/>
    </row>
    <row r="86" spans="1:17" s="68" customFormat="1" x14ac:dyDescent="0.35">
      <c r="A86" s="66"/>
      <c r="B86" s="66"/>
      <c r="C86" s="67"/>
      <c r="D86" s="67"/>
      <c r="E86" s="67"/>
      <c r="F86" s="67"/>
      <c r="G86" s="67"/>
      <c r="H86" s="67"/>
      <c r="I86" s="67"/>
      <c r="J86" s="67"/>
      <c r="K86" s="67"/>
      <c r="L86" s="67"/>
      <c r="M86" s="67"/>
      <c r="N86" s="67"/>
      <c r="Q86" s="67"/>
    </row>
    <row r="87" spans="1:17" s="68" customFormat="1" x14ac:dyDescent="0.35">
      <c r="A87" s="66"/>
      <c r="B87" s="66"/>
      <c r="C87" s="67"/>
      <c r="D87" s="67"/>
      <c r="E87" s="67"/>
      <c r="F87" s="67"/>
      <c r="G87" s="67"/>
      <c r="H87" s="67"/>
      <c r="I87" s="67"/>
      <c r="J87" s="67"/>
      <c r="K87" s="67"/>
      <c r="L87" s="67"/>
      <c r="M87" s="67"/>
      <c r="N87" s="67"/>
      <c r="Q87" s="67"/>
    </row>
    <row r="88" spans="1:17" s="68" customFormat="1" x14ac:dyDescent="0.35">
      <c r="A88" s="66"/>
      <c r="B88" s="66"/>
      <c r="C88" s="67"/>
      <c r="D88" s="67"/>
      <c r="E88" s="67"/>
      <c r="F88" s="67"/>
      <c r="G88" s="67"/>
      <c r="H88" s="67"/>
      <c r="I88" s="67"/>
      <c r="J88" s="67"/>
      <c r="K88" s="67"/>
      <c r="L88" s="67"/>
      <c r="M88" s="67"/>
      <c r="N88" s="67"/>
      <c r="Q88" s="67"/>
    </row>
    <row r="89" spans="1:17" s="68" customFormat="1" x14ac:dyDescent="0.35">
      <c r="A89" s="66"/>
      <c r="B89" s="66"/>
      <c r="C89" s="67"/>
      <c r="D89" s="67"/>
      <c r="E89" s="67"/>
      <c r="F89" s="67"/>
      <c r="G89" s="67"/>
      <c r="H89" s="67"/>
      <c r="I89" s="67"/>
      <c r="J89" s="67"/>
      <c r="K89" s="67"/>
      <c r="L89" s="67"/>
      <c r="M89" s="67"/>
      <c r="N89" s="67"/>
      <c r="Q89" s="67"/>
    </row>
    <row r="90" spans="1:17" s="68" customFormat="1" x14ac:dyDescent="0.35">
      <c r="A90" s="66"/>
      <c r="B90" s="66"/>
      <c r="C90" s="67"/>
      <c r="D90" s="67"/>
      <c r="E90" s="67"/>
      <c r="F90" s="67"/>
      <c r="G90" s="67"/>
      <c r="H90" s="67"/>
      <c r="I90" s="67"/>
      <c r="J90" s="67"/>
      <c r="K90" s="67"/>
      <c r="L90" s="67"/>
      <c r="M90" s="67"/>
      <c r="N90" s="67"/>
      <c r="Q90" s="67"/>
    </row>
    <row r="91" spans="1:17" s="68" customFormat="1" x14ac:dyDescent="0.35">
      <c r="A91" s="66"/>
      <c r="B91" s="66"/>
      <c r="C91" s="67"/>
      <c r="D91" s="67"/>
      <c r="E91" s="67"/>
      <c r="F91" s="67"/>
      <c r="G91" s="67"/>
      <c r="H91" s="67"/>
      <c r="I91" s="67"/>
      <c r="J91" s="67"/>
      <c r="K91" s="67"/>
      <c r="L91" s="67"/>
      <c r="M91" s="67"/>
      <c r="N91" s="67"/>
      <c r="Q91" s="67"/>
    </row>
    <row r="92" spans="1:17" s="68" customFormat="1" x14ac:dyDescent="0.35">
      <c r="A92" s="66"/>
      <c r="B92" s="66"/>
      <c r="C92" s="67"/>
      <c r="D92" s="67"/>
      <c r="E92" s="67"/>
      <c r="F92" s="67"/>
      <c r="G92" s="67"/>
      <c r="H92" s="67"/>
      <c r="I92" s="67"/>
      <c r="J92" s="67"/>
      <c r="K92" s="67"/>
      <c r="L92" s="67"/>
      <c r="M92" s="67"/>
      <c r="N92" s="67"/>
      <c r="Q92" s="67"/>
    </row>
    <row r="93" spans="1:17" s="68" customFormat="1" x14ac:dyDescent="0.35">
      <c r="A93" s="66"/>
      <c r="B93" s="66"/>
      <c r="C93" s="67"/>
      <c r="D93" s="67"/>
      <c r="E93" s="67"/>
      <c r="F93" s="67"/>
      <c r="G93" s="67"/>
      <c r="H93" s="67"/>
      <c r="I93" s="67"/>
      <c r="J93" s="67"/>
      <c r="K93" s="67"/>
      <c r="L93" s="67"/>
      <c r="M93" s="67"/>
      <c r="N93" s="67"/>
      <c r="Q93" s="67"/>
    </row>
    <row r="94" spans="1:17" s="68" customFormat="1" x14ac:dyDescent="0.35">
      <c r="A94" s="66"/>
      <c r="B94" s="66"/>
      <c r="C94" s="67"/>
      <c r="D94" s="67"/>
      <c r="E94" s="67"/>
      <c r="F94" s="67"/>
      <c r="G94" s="67"/>
      <c r="H94" s="67"/>
      <c r="I94" s="67"/>
      <c r="J94" s="67"/>
      <c r="K94" s="67"/>
      <c r="L94" s="67"/>
      <c r="M94" s="67"/>
      <c r="N94" s="67"/>
      <c r="Q94" s="67"/>
    </row>
    <row r="95" spans="1:17" s="68" customFormat="1" x14ac:dyDescent="0.35">
      <c r="A95" s="66"/>
      <c r="B95" s="66"/>
      <c r="C95" s="67"/>
      <c r="D95" s="67"/>
      <c r="E95" s="67"/>
      <c r="F95" s="67"/>
      <c r="G95" s="67"/>
      <c r="H95" s="67"/>
      <c r="I95" s="67"/>
      <c r="J95" s="67"/>
      <c r="K95" s="67"/>
      <c r="L95" s="67"/>
      <c r="M95" s="67"/>
      <c r="N95" s="67"/>
      <c r="Q95" s="67"/>
    </row>
    <row r="96" spans="1:17" s="68" customFormat="1" x14ac:dyDescent="0.35">
      <c r="A96" s="66"/>
      <c r="B96" s="66"/>
      <c r="C96" s="67"/>
      <c r="D96" s="67"/>
      <c r="E96" s="67"/>
      <c r="F96" s="67"/>
      <c r="G96" s="67"/>
      <c r="H96" s="67"/>
      <c r="I96" s="67"/>
      <c r="J96" s="67"/>
      <c r="K96" s="67"/>
      <c r="L96" s="67"/>
      <c r="M96" s="67"/>
      <c r="N96" s="67"/>
      <c r="Q96" s="67"/>
    </row>
    <row r="97" spans="1:17" s="68" customFormat="1" x14ac:dyDescent="0.35">
      <c r="A97" s="66"/>
      <c r="B97" s="66"/>
      <c r="C97" s="67"/>
      <c r="D97" s="67"/>
      <c r="E97" s="67"/>
      <c r="F97" s="67"/>
      <c r="G97" s="67"/>
      <c r="H97" s="67"/>
      <c r="I97" s="67"/>
      <c r="J97" s="67"/>
      <c r="K97" s="67"/>
      <c r="L97" s="67"/>
      <c r="M97" s="67"/>
      <c r="N97" s="67"/>
      <c r="Q97" s="67"/>
    </row>
    <row r="98" spans="1:17" s="68" customFormat="1" x14ac:dyDescent="0.35">
      <c r="A98" s="66"/>
      <c r="B98" s="66"/>
      <c r="C98" s="67"/>
      <c r="D98" s="67"/>
      <c r="E98" s="67"/>
      <c r="F98" s="67"/>
      <c r="G98" s="67"/>
      <c r="H98" s="67"/>
      <c r="I98" s="67"/>
      <c r="J98" s="67"/>
      <c r="K98" s="67"/>
      <c r="L98" s="67"/>
      <c r="M98" s="67"/>
      <c r="N98" s="67"/>
      <c r="Q98" s="67"/>
    </row>
    <row r="99" spans="1:17" s="68" customFormat="1" x14ac:dyDescent="0.35">
      <c r="A99" s="66"/>
      <c r="B99" s="66"/>
      <c r="C99" s="67"/>
      <c r="D99" s="67"/>
      <c r="E99" s="67"/>
      <c r="F99" s="67"/>
      <c r="G99" s="67"/>
      <c r="H99" s="67"/>
      <c r="I99" s="67"/>
      <c r="J99" s="67"/>
      <c r="K99" s="67"/>
      <c r="L99" s="67"/>
      <c r="M99" s="67"/>
      <c r="N99" s="67"/>
      <c r="Q99" s="67"/>
    </row>
    <row r="100" spans="1:17" s="68" customFormat="1" x14ac:dyDescent="0.35">
      <c r="A100" s="66"/>
      <c r="B100" s="66"/>
      <c r="C100" s="67"/>
      <c r="D100" s="67"/>
      <c r="E100" s="67"/>
      <c r="F100" s="67"/>
      <c r="G100" s="67"/>
      <c r="H100" s="67"/>
      <c r="I100" s="67"/>
      <c r="J100" s="67"/>
      <c r="K100" s="67"/>
      <c r="L100" s="67"/>
      <c r="M100" s="67"/>
      <c r="N100" s="67"/>
      <c r="Q100" s="67"/>
    </row>
    <row r="101" spans="1:17" s="68" customFormat="1" x14ac:dyDescent="0.35">
      <c r="A101" s="66"/>
      <c r="B101" s="66"/>
      <c r="C101" s="67"/>
      <c r="D101" s="67"/>
      <c r="E101" s="67"/>
      <c r="F101" s="67"/>
      <c r="G101" s="67"/>
      <c r="H101" s="67"/>
      <c r="I101" s="67"/>
      <c r="J101" s="67"/>
      <c r="K101" s="67"/>
      <c r="L101" s="67"/>
      <c r="M101" s="67"/>
      <c r="N101" s="67"/>
      <c r="Q101" s="67"/>
    </row>
    <row r="102" spans="1:17" s="68" customFormat="1" x14ac:dyDescent="0.35">
      <c r="A102" s="66"/>
      <c r="B102" s="66"/>
      <c r="C102" s="67"/>
      <c r="D102" s="67"/>
      <c r="E102" s="67"/>
      <c r="F102" s="67"/>
      <c r="G102" s="67"/>
      <c r="H102" s="67"/>
      <c r="I102" s="67"/>
      <c r="J102" s="67"/>
      <c r="K102" s="67"/>
      <c r="L102" s="67"/>
      <c r="M102" s="67"/>
      <c r="N102" s="67"/>
      <c r="Q102" s="67"/>
    </row>
    <row r="103" spans="1:17" s="68" customFormat="1" x14ac:dyDescent="0.35">
      <c r="A103" s="66"/>
      <c r="B103" s="66"/>
      <c r="C103" s="67"/>
      <c r="D103" s="67"/>
      <c r="E103" s="67"/>
      <c r="F103" s="67"/>
      <c r="G103" s="67"/>
      <c r="H103" s="67"/>
      <c r="I103" s="67"/>
      <c r="J103" s="67"/>
      <c r="K103" s="67"/>
      <c r="L103" s="67"/>
      <c r="M103" s="67"/>
      <c r="N103" s="67"/>
      <c r="Q103" s="67"/>
    </row>
    <row r="104" spans="1:17" s="68" customFormat="1" x14ac:dyDescent="0.35">
      <c r="A104" s="66"/>
      <c r="B104" s="66"/>
      <c r="C104" s="67"/>
      <c r="D104" s="67"/>
      <c r="E104" s="67"/>
      <c r="F104" s="67"/>
      <c r="G104" s="67"/>
      <c r="H104" s="67"/>
      <c r="I104" s="67"/>
      <c r="J104" s="67"/>
      <c r="K104" s="67"/>
      <c r="L104" s="67"/>
      <c r="M104" s="67"/>
      <c r="N104" s="67"/>
      <c r="Q104" s="67"/>
    </row>
    <row r="105" spans="1:17" s="68" customFormat="1" x14ac:dyDescent="0.35">
      <c r="A105" s="66"/>
      <c r="B105" s="66"/>
      <c r="C105" s="67"/>
      <c r="D105" s="67"/>
      <c r="E105" s="67"/>
      <c r="F105" s="67"/>
      <c r="G105" s="67"/>
      <c r="H105" s="67"/>
      <c r="I105" s="67"/>
      <c r="J105" s="67"/>
      <c r="K105" s="67"/>
      <c r="L105" s="67"/>
      <c r="M105" s="67"/>
      <c r="N105" s="67"/>
      <c r="Q105" s="67"/>
    </row>
    <row r="106" spans="1:17" s="68" customFormat="1" x14ac:dyDescent="0.35">
      <c r="A106" s="66"/>
      <c r="B106" s="66"/>
      <c r="C106" s="67"/>
      <c r="D106" s="67"/>
      <c r="E106" s="67"/>
      <c r="F106" s="67"/>
      <c r="G106" s="67"/>
      <c r="H106" s="67"/>
      <c r="I106" s="67"/>
      <c r="J106" s="67"/>
      <c r="K106" s="67"/>
      <c r="L106" s="67"/>
      <c r="M106" s="67"/>
      <c r="N106" s="67"/>
      <c r="Q106" s="67"/>
    </row>
    <row r="107" spans="1:17" s="68" customFormat="1" x14ac:dyDescent="0.35">
      <c r="A107" s="66"/>
      <c r="B107" s="66"/>
      <c r="C107" s="67"/>
      <c r="D107" s="67"/>
      <c r="E107" s="67"/>
      <c r="F107" s="67"/>
      <c r="G107" s="67"/>
      <c r="H107" s="67"/>
      <c r="I107" s="67"/>
      <c r="J107" s="67"/>
      <c r="K107" s="67"/>
      <c r="L107" s="67"/>
      <c r="M107" s="67"/>
      <c r="N107" s="67"/>
      <c r="Q107" s="67"/>
    </row>
    <row r="108" spans="1:17" s="68" customFormat="1" x14ac:dyDescent="0.35">
      <c r="A108" s="66"/>
      <c r="B108" s="66"/>
      <c r="C108" s="67"/>
      <c r="D108" s="67"/>
      <c r="E108" s="67"/>
      <c r="F108" s="67"/>
      <c r="G108" s="67"/>
      <c r="H108" s="67"/>
      <c r="I108" s="67"/>
      <c r="J108" s="67"/>
      <c r="K108" s="67"/>
      <c r="L108" s="67"/>
      <c r="M108" s="67"/>
      <c r="N108" s="67"/>
      <c r="Q108" s="67"/>
    </row>
    <row r="109" spans="1:17" s="68" customFormat="1" x14ac:dyDescent="0.35">
      <c r="A109" s="66"/>
      <c r="B109" s="66"/>
      <c r="C109" s="67"/>
      <c r="D109" s="67"/>
      <c r="E109" s="67"/>
      <c r="F109" s="67"/>
      <c r="G109" s="67"/>
      <c r="H109" s="67"/>
      <c r="I109" s="67"/>
      <c r="J109" s="67"/>
      <c r="K109" s="67"/>
      <c r="L109" s="67"/>
      <c r="M109" s="67"/>
      <c r="N109" s="67"/>
      <c r="Q109" s="67"/>
    </row>
    <row r="110" spans="1:17" s="68" customFormat="1" x14ac:dyDescent="0.35">
      <c r="A110" s="66"/>
      <c r="B110" s="66"/>
      <c r="C110" s="67"/>
      <c r="D110" s="67"/>
      <c r="E110" s="67"/>
      <c r="F110" s="67"/>
      <c r="G110" s="67"/>
      <c r="H110" s="67"/>
      <c r="I110" s="67"/>
      <c r="J110" s="67"/>
      <c r="K110" s="67"/>
      <c r="L110" s="67"/>
      <c r="M110" s="67"/>
      <c r="N110" s="67"/>
      <c r="Q110" s="67"/>
    </row>
    <row r="111" spans="1:17" s="68" customFormat="1" x14ac:dyDescent="0.35">
      <c r="A111" s="66"/>
      <c r="B111" s="66"/>
      <c r="C111" s="67"/>
      <c r="D111" s="67"/>
      <c r="E111" s="67"/>
      <c r="F111" s="67"/>
      <c r="G111" s="67"/>
      <c r="H111" s="67"/>
      <c r="I111" s="67"/>
      <c r="J111" s="67"/>
      <c r="K111" s="67"/>
      <c r="L111" s="67"/>
      <c r="M111" s="67"/>
      <c r="N111" s="67"/>
      <c r="Q111" s="67"/>
    </row>
    <row r="112" spans="1:17" s="68" customFormat="1" x14ac:dyDescent="0.35">
      <c r="A112" s="66"/>
      <c r="B112" s="66"/>
      <c r="C112" s="67"/>
      <c r="D112" s="67"/>
      <c r="E112" s="67"/>
      <c r="F112" s="67"/>
      <c r="G112" s="67"/>
      <c r="H112" s="67"/>
      <c r="I112" s="67"/>
      <c r="J112" s="67"/>
      <c r="K112" s="67"/>
      <c r="L112" s="67"/>
      <c r="M112" s="67"/>
      <c r="N112" s="67"/>
      <c r="Q112" s="67"/>
    </row>
    <row r="113" spans="1:17" s="68" customFormat="1" x14ac:dyDescent="0.35">
      <c r="A113" s="66"/>
      <c r="B113" s="66"/>
      <c r="C113" s="67"/>
      <c r="D113" s="67"/>
      <c r="E113" s="67"/>
      <c r="F113" s="67"/>
      <c r="G113" s="67"/>
      <c r="H113" s="67"/>
      <c r="I113" s="67"/>
      <c r="J113" s="67"/>
      <c r="K113" s="67"/>
      <c r="L113" s="67"/>
      <c r="M113" s="67"/>
      <c r="N113" s="67"/>
      <c r="Q113" s="67"/>
    </row>
    <row r="114" spans="1:17" s="68" customFormat="1" x14ac:dyDescent="0.35">
      <c r="A114" s="66"/>
      <c r="B114" s="66"/>
      <c r="C114" s="67"/>
      <c r="D114" s="67"/>
      <c r="E114" s="67"/>
      <c r="F114" s="67"/>
      <c r="G114" s="67"/>
      <c r="H114" s="67"/>
      <c r="I114" s="67"/>
      <c r="J114" s="67"/>
      <c r="K114" s="67"/>
      <c r="L114" s="67"/>
      <c r="M114" s="67"/>
      <c r="N114" s="67"/>
      <c r="Q114" s="67"/>
    </row>
    <row r="115" spans="1:17" s="68" customFormat="1" x14ac:dyDescent="0.35">
      <c r="A115" s="66"/>
      <c r="B115" s="66"/>
      <c r="C115" s="67"/>
      <c r="D115" s="67"/>
      <c r="E115" s="67"/>
      <c r="F115" s="67"/>
      <c r="G115" s="67"/>
      <c r="H115" s="67"/>
      <c r="I115" s="67"/>
      <c r="J115" s="67"/>
      <c r="K115" s="67"/>
      <c r="L115" s="67"/>
      <c r="M115" s="67"/>
      <c r="N115" s="67"/>
      <c r="Q115" s="67"/>
    </row>
    <row r="116" spans="1:17" s="68" customFormat="1" x14ac:dyDescent="0.35">
      <c r="A116" s="66"/>
      <c r="B116" s="66"/>
      <c r="C116" s="67"/>
      <c r="D116" s="67"/>
      <c r="E116" s="67"/>
      <c r="F116" s="67"/>
      <c r="G116" s="67"/>
      <c r="H116" s="67"/>
      <c r="I116" s="67"/>
      <c r="J116" s="67"/>
      <c r="K116" s="67"/>
      <c r="L116" s="67"/>
      <c r="M116" s="67"/>
      <c r="N116" s="67"/>
      <c r="Q116" s="67"/>
    </row>
    <row r="117" spans="1:17" s="68" customFormat="1" x14ac:dyDescent="0.35">
      <c r="A117" s="66"/>
      <c r="B117" s="66"/>
      <c r="C117" s="67"/>
      <c r="D117" s="67"/>
      <c r="E117" s="67"/>
      <c r="F117" s="67"/>
      <c r="G117" s="67"/>
      <c r="H117" s="67"/>
      <c r="I117" s="67"/>
      <c r="J117" s="67"/>
      <c r="K117" s="67"/>
      <c r="L117" s="67"/>
      <c r="M117" s="67"/>
      <c r="N117" s="67"/>
      <c r="Q117" s="67"/>
    </row>
    <row r="118" spans="1:17" s="68" customFormat="1" x14ac:dyDescent="0.35">
      <c r="A118" s="66"/>
      <c r="B118" s="66"/>
      <c r="C118" s="67"/>
      <c r="D118" s="67"/>
      <c r="E118" s="67"/>
      <c r="F118" s="67"/>
      <c r="G118" s="67"/>
      <c r="H118" s="67"/>
      <c r="I118" s="67"/>
      <c r="J118" s="67"/>
      <c r="K118" s="67"/>
      <c r="L118" s="67"/>
      <c r="M118" s="67"/>
      <c r="N118" s="67"/>
      <c r="Q118" s="67"/>
    </row>
    <row r="119" spans="1:17" s="68" customFormat="1" x14ac:dyDescent="0.35">
      <c r="A119" s="66"/>
      <c r="B119" s="66"/>
      <c r="C119" s="67"/>
      <c r="D119" s="67"/>
      <c r="E119" s="67"/>
      <c r="F119" s="67"/>
      <c r="G119" s="67"/>
      <c r="H119" s="67"/>
      <c r="I119" s="67"/>
      <c r="J119" s="67"/>
      <c r="K119" s="67"/>
      <c r="L119" s="67"/>
      <c r="M119" s="67"/>
      <c r="N119" s="67"/>
      <c r="Q119" s="67"/>
    </row>
    <row r="120" spans="1:17" s="68" customFormat="1" x14ac:dyDescent="0.35">
      <c r="A120" s="66"/>
      <c r="B120" s="66"/>
      <c r="C120" s="67"/>
      <c r="D120" s="67"/>
      <c r="E120" s="67"/>
      <c r="F120" s="67"/>
      <c r="G120" s="67"/>
      <c r="H120" s="67"/>
      <c r="I120" s="67"/>
      <c r="J120" s="67"/>
      <c r="K120" s="67"/>
      <c r="L120" s="67"/>
      <c r="M120" s="67"/>
      <c r="N120" s="67"/>
      <c r="Q120" s="67"/>
    </row>
    <row r="121" spans="1:17" s="68" customFormat="1" x14ac:dyDescent="0.35">
      <c r="A121" s="66"/>
      <c r="B121" s="66"/>
      <c r="C121" s="67"/>
      <c r="D121" s="67"/>
      <c r="E121" s="67"/>
      <c r="F121" s="67"/>
      <c r="G121" s="67"/>
      <c r="H121" s="67"/>
      <c r="I121" s="67"/>
      <c r="J121" s="67"/>
      <c r="K121" s="67"/>
      <c r="L121" s="67"/>
      <c r="M121" s="67"/>
      <c r="N121" s="67"/>
      <c r="Q121" s="67"/>
    </row>
    <row r="122" spans="1:17" s="68" customFormat="1" x14ac:dyDescent="0.35">
      <c r="A122" s="66"/>
      <c r="B122" s="66"/>
      <c r="C122" s="67"/>
      <c r="D122" s="67"/>
      <c r="E122" s="67"/>
      <c r="F122" s="67"/>
      <c r="G122" s="67"/>
      <c r="H122" s="67"/>
      <c r="I122" s="67"/>
      <c r="J122" s="67"/>
      <c r="K122" s="67"/>
      <c r="L122" s="67"/>
      <c r="M122" s="67"/>
      <c r="N122" s="67"/>
      <c r="Q122" s="67"/>
    </row>
    <row r="123" spans="1:17" s="68" customFormat="1" x14ac:dyDescent="0.35">
      <c r="A123" s="66"/>
      <c r="B123" s="66"/>
      <c r="C123" s="67"/>
      <c r="D123" s="67"/>
      <c r="E123" s="67"/>
      <c r="F123" s="67"/>
      <c r="G123" s="67"/>
      <c r="H123" s="67"/>
      <c r="I123" s="67"/>
      <c r="J123" s="67"/>
      <c r="K123" s="67"/>
      <c r="L123" s="67"/>
      <c r="M123" s="67"/>
      <c r="N123" s="67"/>
      <c r="Q123" s="67"/>
    </row>
    <row r="124" spans="1:17" s="68" customFormat="1" x14ac:dyDescent="0.35">
      <c r="A124" s="66"/>
      <c r="B124" s="66"/>
      <c r="C124" s="67"/>
      <c r="D124" s="67"/>
      <c r="E124" s="67"/>
      <c r="F124" s="67"/>
      <c r="G124" s="67"/>
      <c r="H124" s="67"/>
      <c r="I124" s="67"/>
      <c r="J124" s="67"/>
      <c r="K124" s="67"/>
      <c r="L124" s="67"/>
      <c r="M124" s="67"/>
      <c r="N124" s="67"/>
      <c r="Q124" s="67"/>
    </row>
    <row r="125" spans="1:17" s="68" customFormat="1" x14ac:dyDescent="0.35">
      <c r="A125" s="66"/>
      <c r="B125" s="66"/>
      <c r="C125" s="67"/>
      <c r="D125" s="67"/>
      <c r="E125" s="67"/>
      <c r="F125" s="67"/>
      <c r="G125" s="67"/>
      <c r="H125" s="67"/>
      <c r="I125" s="67"/>
      <c r="J125" s="67"/>
      <c r="K125" s="67"/>
      <c r="L125" s="67"/>
      <c r="M125" s="67"/>
      <c r="N125" s="67"/>
      <c r="Q125" s="67"/>
    </row>
    <row r="126" spans="1:17" s="68" customFormat="1" x14ac:dyDescent="0.35">
      <c r="A126" s="66"/>
      <c r="B126" s="66"/>
      <c r="C126" s="67"/>
      <c r="D126" s="67"/>
      <c r="E126" s="67"/>
      <c r="F126" s="67"/>
      <c r="G126" s="67"/>
      <c r="H126" s="67"/>
      <c r="I126" s="67"/>
      <c r="J126" s="67"/>
      <c r="K126" s="67"/>
      <c r="L126" s="67"/>
      <c r="M126" s="67"/>
      <c r="N126" s="67"/>
      <c r="Q126" s="67"/>
    </row>
    <row r="127" spans="1:17" s="68" customFormat="1" x14ac:dyDescent="0.35">
      <c r="A127" s="66"/>
      <c r="B127" s="66"/>
      <c r="C127" s="67"/>
      <c r="D127" s="67"/>
      <c r="E127" s="67"/>
      <c r="F127" s="67"/>
      <c r="G127" s="67"/>
      <c r="H127" s="67"/>
      <c r="I127" s="67"/>
      <c r="J127" s="67"/>
      <c r="K127" s="67"/>
      <c r="L127" s="67"/>
      <c r="M127" s="67"/>
      <c r="N127" s="67"/>
      <c r="Q127" s="67"/>
    </row>
    <row r="128" spans="1:17" s="68" customFormat="1" x14ac:dyDescent="0.35">
      <c r="A128" s="66"/>
      <c r="B128" s="66"/>
      <c r="C128" s="67"/>
      <c r="D128" s="67"/>
      <c r="E128" s="67"/>
      <c r="F128" s="67"/>
      <c r="G128" s="67"/>
      <c r="H128" s="67"/>
      <c r="I128" s="67"/>
      <c r="J128" s="67"/>
      <c r="K128" s="67"/>
      <c r="L128" s="67"/>
      <c r="M128" s="67"/>
      <c r="N128" s="67"/>
      <c r="Q128" s="67"/>
    </row>
    <row r="129" spans="1:17" s="68" customFormat="1" x14ac:dyDescent="0.35">
      <c r="A129" s="66"/>
      <c r="B129" s="66"/>
      <c r="C129" s="67"/>
      <c r="D129" s="67"/>
      <c r="E129" s="67"/>
      <c r="F129" s="67"/>
      <c r="G129" s="67"/>
      <c r="H129" s="67"/>
      <c r="I129" s="67"/>
      <c r="J129" s="67"/>
      <c r="K129" s="67"/>
      <c r="L129" s="67"/>
      <c r="M129" s="67"/>
      <c r="N129" s="67"/>
      <c r="Q129" s="67"/>
    </row>
    <row r="130" spans="1:17" s="68" customFormat="1" x14ac:dyDescent="0.35">
      <c r="A130" s="66"/>
      <c r="B130" s="66"/>
      <c r="C130" s="67"/>
      <c r="D130" s="67"/>
      <c r="E130" s="67"/>
      <c r="F130" s="67"/>
      <c r="G130" s="67"/>
      <c r="H130" s="67"/>
      <c r="I130" s="67"/>
      <c r="J130" s="67"/>
      <c r="K130" s="67"/>
      <c r="L130" s="67"/>
      <c r="M130" s="67"/>
      <c r="N130" s="67"/>
      <c r="Q130" s="67"/>
    </row>
    <row r="131" spans="1:17" s="68" customFormat="1" x14ac:dyDescent="0.35">
      <c r="A131" s="66"/>
      <c r="B131" s="66"/>
      <c r="C131" s="67"/>
      <c r="D131" s="67"/>
      <c r="E131" s="67"/>
      <c r="F131" s="67"/>
      <c r="G131" s="67"/>
      <c r="H131" s="67"/>
      <c r="I131" s="67"/>
      <c r="J131" s="67"/>
      <c r="K131" s="67"/>
      <c r="L131" s="67"/>
      <c r="M131" s="67"/>
      <c r="N131" s="67"/>
      <c r="Q131" s="67"/>
    </row>
    <row r="132" spans="1:17" s="68" customFormat="1" x14ac:dyDescent="0.35">
      <c r="A132" s="66"/>
      <c r="B132" s="66"/>
      <c r="C132" s="67"/>
      <c r="D132" s="67"/>
      <c r="E132" s="67"/>
      <c r="F132" s="67"/>
      <c r="G132" s="67"/>
      <c r="H132" s="67"/>
      <c r="I132" s="67"/>
      <c r="J132" s="67"/>
      <c r="K132" s="67"/>
      <c r="L132" s="67"/>
      <c r="M132" s="67"/>
      <c r="N132" s="67"/>
      <c r="Q132" s="67"/>
    </row>
    <row r="133" spans="1:17" s="68" customFormat="1" x14ac:dyDescent="0.35">
      <c r="A133" s="66"/>
      <c r="B133" s="66"/>
      <c r="C133" s="67"/>
      <c r="D133" s="67"/>
      <c r="E133" s="67"/>
      <c r="F133" s="67"/>
      <c r="G133" s="67"/>
      <c r="H133" s="67"/>
      <c r="I133" s="67"/>
      <c r="J133" s="67"/>
      <c r="K133" s="67"/>
      <c r="L133" s="67"/>
      <c r="M133" s="67"/>
      <c r="N133" s="67"/>
      <c r="Q133" s="67"/>
    </row>
    <row r="134" spans="1:17" s="68" customFormat="1" x14ac:dyDescent="0.35">
      <c r="A134" s="66"/>
      <c r="B134" s="66"/>
      <c r="C134" s="67"/>
      <c r="D134" s="67"/>
      <c r="E134" s="67"/>
      <c r="F134" s="67"/>
      <c r="G134" s="67"/>
      <c r="H134" s="67"/>
      <c r="I134" s="67"/>
      <c r="J134" s="67"/>
      <c r="K134" s="67"/>
      <c r="L134" s="67"/>
      <c r="M134" s="67"/>
      <c r="N134" s="67"/>
      <c r="Q134" s="67"/>
    </row>
    <row r="135" spans="1:17" s="68" customFormat="1" x14ac:dyDescent="0.35">
      <c r="A135" s="66"/>
      <c r="B135" s="66"/>
      <c r="C135" s="67"/>
      <c r="D135" s="67"/>
      <c r="E135" s="67"/>
      <c r="F135" s="67"/>
      <c r="G135" s="67"/>
      <c r="H135" s="67"/>
      <c r="I135" s="67"/>
      <c r="J135" s="67"/>
      <c r="K135" s="67"/>
      <c r="L135" s="67"/>
      <c r="M135" s="67"/>
      <c r="N135" s="67"/>
      <c r="Q135" s="67"/>
    </row>
    <row r="136" spans="1:17" s="68" customFormat="1" x14ac:dyDescent="0.35">
      <c r="A136" s="66"/>
      <c r="B136" s="66"/>
      <c r="C136" s="67"/>
      <c r="D136" s="67"/>
      <c r="E136" s="67"/>
      <c r="F136" s="67"/>
      <c r="G136" s="67"/>
      <c r="H136" s="67"/>
      <c r="I136" s="67"/>
      <c r="J136" s="67"/>
      <c r="K136" s="67"/>
      <c r="L136" s="67"/>
      <c r="M136" s="67"/>
      <c r="N136" s="67"/>
      <c r="Q136" s="67"/>
    </row>
    <row r="137" spans="1:17" s="68" customFormat="1" x14ac:dyDescent="0.35">
      <c r="A137" s="66"/>
      <c r="B137" s="66"/>
      <c r="C137" s="67"/>
      <c r="D137" s="67"/>
      <c r="E137" s="67"/>
      <c r="F137" s="67"/>
      <c r="G137" s="67"/>
      <c r="H137" s="67"/>
      <c r="I137" s="67"/>
      <c r="J137" s="67"/>
      <c r="K137" s="67"/>
      <c r="L137" s="67"/>
      <c r="M137" s="67"/>
      <c r="N137" s="67"/>
      <c r="Q137" s="67"/>
    </row>
    <row r="138" spans="1:17" s="68" customFormat="1" x14ac:dyDescent="0.35">
      <c r="A138" s="66"/>
      <c r="B138" s="66"/>
      <c r="C138" s="67"/>
      <c r="D138" s="67"/>
      <c r="E138" s="67"/>
      <c r="F138" s="67"/>
      <c r="G138" s="67"/>
      <c r="H138" s="67"/>
      <c r="I138" s="67"/>
      <c r="J138" s="67"/>
      <c r="K138" s="67"/>
      <c r="L138" s="67"/>
      <c r="M138" s="67"/>
      <c r="N138" s="67"/>
      <c r="Q138" s="67"/>
    </row>
    <row r="139" spans="1:17" s="68" customFormat="1" x14ac:dyDescent="0.35">
      <c r="A139" s="66"/>
      <c r="B139" s="66"/>
      <c r="C139" s="67"/>
      <c r="D139" s="67"/>
      <c r="E139" s="67"/>
      <c r="F139" s="67"/>
      <c r="G139" s="67"/>
      <c r="H139" s="67"/>
      <c r="I139" s="67"/>
      <c r="J139" s="67"/>
      <c r="K139" s="67"/>
      <c r="L139" s="67"/>
      <c r="M139" s="67"/>
      <c r="N139" s="67"/>
      <c r="Q139" s="67"/>
    </row>
    <row r="140" spans="1:17" s="68" customFormat="1" x14ac:dyDescent="0.35">
      <c r="A140" s="66"/>
      <c r="B140" s="66"/>
      <c r="C140" s="67"/>
      <c r="D140" s="67"/>
      <c r="E140" s="67"/>
      <c r="F140" s="67"/>
      <c r="G140" s="67"/>
      <c r="H140" s="67"/>
      <c r="I140" s="67"/>
      <c r="J140" s="67"/>
      <c r="K140" s="67"/>
      <c r="L140" s="67"/>
      <c r="M140" s="67"/>
      <c r="N140" s="67"/>
      <c r="Q140" s="67"/>
    </row>
    <row r="141" spans="1:17" s="68" customFormat="1" x14ac:dyDescent="0.35">
      <c r="A141" s="66"/>
      <c r="B141" s="66"/>
      <c r="C141" s="67"/>
      <c r="D141" s="67"/>
      <c r="E141" s="67"/>
      <c r="F141" s="67"/>
      <c r="G141" s="67"/>
      <c r="H141" s="67"/>
      <c r="I141" s="67"/>
      <c r="J141" s="67"/>
      <c r="K141" s="67"/>
      <c r="L141" s="67"/>
      <c r="M141" s="67"/>
      <c r="N141" s="67"/>
      <c r="Q141" s="67"/>
    </row>
    <row r="142" spans="1:17" s="68" customFormat="1" x14ac:dyDescent="0.35">
      <c r="A142" s="66"/>
      <c r="B142" s="66"/>
      <c r="C142" s="67"/>
      <c r="D142" s="67"/>
      <c r="E142" s="67"/>
      <c r="F142" s="67"/>
      <c r="G142" s="67"/>
      <c r="H142" s="67"/>
      <c r="I142" s="67"/>
      <c r="J142" s="67"/>
      <c r="K142" s="67"/>
      <c r="L142" s="67"/>
      <c r="M142" s="67"/>
      <c r="N142" s="67"/>
      <c r="Q142" s="67"/>
    </row>
    <row r="143" spans="1:17" s="68" customFormat="1" x14ac:dyDescent="0.35">
      <c r="A143" s="66"/>
      <c r="B143" s="66"/>
      <c r="C143" s="67"/>
      <c r="D143" s="67"/>
      <c r="E143" s="67"/>
      <c r="F143" s="67"/>
      <c r="G143" s="67"/>
      <c r="H143" s="67"/>
      <c r="I143" s="67"/>
      <c r="J143" s="67"/>
      <c r="K143" s="67"/>
      <c r="L143" s="67"/>
      <c r="M143" s="67"/>
      <c r="N143" s="67"/>
      <c r="Q143" s="67"/>
    </row>
    <row r="144" spans="1:17" s="68" customFormat="1" x14ac:dyDescent="0.35">
      <c r="A144" s="66"/>
      <c r="B144" s="66"/>
      <c r="C144" s="67"/>
      <c r="D144" s="67"/>
      <c r="E144" s="67"/>
      <c r="F144" s="67"/>
      <c r="G144" s="67"/>
      <c r="H144" s="67"/>
      <c r="I144" s="67"/>
      <c r="J144" s="67"/>
      <c r="K144" s="67"/>
      <c r="L144" s="67"/>
      <c r="M144" s="67"/>
      <c r="N144" s="67"/>
      <c r="Q144" s="67"/>
    </row>
    <row r="145" spans="1:17" s="68" customFormat="1" x14ac:dyDescent="0.35">
      <c r="A145" s="66"/>
      <c r="B145" s="66"/>
      <c r="C145" s="67"/>
      <c r="D145" s="67"/>
      <c r="E145" s="67"/>
      <c r="F145" s="67"/>
      <c r="G145" s="67"/>
      <c r="H145" s="67"/>
      <c r="I145" s="67"/>
      <c r="J145" s="67"/>
      <c r="K145" s="67"/>
      <c r="L145" s="67"/>
      <c r="M145" s="67"/>
      <c r="N145" s="67"/>
      <c r="Q145" s="67"/>
    </row>
    <row r="146" spans="1:17" s="68" customFormat="1" x14ac:dyDescent="0.35">
      <c r="A146" s="66"/>
      <c r="B146" s="66"/>
      <c r="C146" s="67"/>
      <c r="D146" s="67"/>
      <c r="E146" s="67"/>
      <c r="F146" s="67"/>
      <c r="G146" s="67"/>
      <c r="H146" s="67"/>
      <c r="I146" s="67"/>
      <c r="J146" s="67"/>
      <c r="K146" s="67"/>
      <c r="L146" s="67"/>
      <c r="M146" s="67"/>
      <c r="N146" s="67"/>
      <c r="Q146" s="67"/>
    </row>
    <row r="147" spans="1:17" s="68" customFormat="1" x14ac:dyDescent="0.35">
      <c r="A147" s="66"/>
      <c r="B147" s="66"/>
      <c r="C147" s="67"/>
      <c r="D147" s="67"/>
      <c r="E147" s="67"/>
      <c r="F147" s="67"/>
      <c r="G147" s="67"/>
      <c r="H147" s="67"/>
      <c r="I147" s="67"/>
      <c r="J147" s="67"/>
      <c r="K147" s="67"/>
      <c r="L147" s="67"/>
      <c r="M147" s="67"/>
      <c r="N147" s="67"/>
      <c r="Q147" s="67"/>
    </row>
    <row r="148" spans="1:17" s="68" customFormat="1" x14ac:dyDescent="0.35">
      <c r="A148" s="66"/>
      <c r="B148" s="66"/>
      <c r="C148" s="67"/>
      <c r="D148" s="67"/>
      <c r="E148" s="67"/>
      <c r="F148" s="67"/>
      <c r="G148" s="67"/>
      <c r="H148" s="67"/>
      <c r="I148" s="67"/>
      <c r="J148" s="67"/>
      <c r="K148" s="67"/>
      <c r="L148" s="67"/>
      <c r="M148" s="67"/>
      <c r="N148" s="67"/>
      <c r="Q148" s="67"/>
    </row>
    <row r="149" spans="1:17" s="68" customFormat="1" x14ac:dyDescent="0.35">
      <c r="A149" s="66"/>
      <c r="B149" s="66"/>
      <c r="C149" s="67"/>
      <c r="D149" s="67"/>
      <c r="E149" s="67"/>
      <c r="F149" s="67"/>
      <c r="G149" s="67"/>
      <c r="H149" s="67"/>
      <c r="I149" s="67"/>
      <c r="J149" s="67"/>
      <c r="K149" s="67"/>
      <c r="L149" s="67"/>
      <c r="M149" s="67"/>
      <c r="N149" s="67"/>
      <c r="Q149" s="67"/>
    </row>
    <row r="150" spans="1:17" s="68" customFormat="1" x14ac:dyDescent="0.35">
      <c r="A150" s="66"/>
      <c r="B150" s="66"/>
      <c r="C150" s="67"/>
      <c r="D150" s="67"/>
      <c r="E150" s="67"/>
      <c r="F150" s="67"/>
      <c r="G150" s="67"/>
      <c r="H150" s="67"/>
      <c r="I150" s="67"/>
      <c r="J150" s="67"/>
      <c r="K150" s="67"/>
      <c r="L150" s="67"/>
      <c r="M150" s="67"/>
      <c r="N150" s="67"/>
      <c r="Q150" s="67"/>
    </row>
    <row r="151" spans="1:17" s="68" customFormat="1" x14ac:dyDescent="0.35">
      <c r="A151" s="66"/>
      <c r="B151" s="66"/>
      <c r="C151" s="67"/>
      <c r="D151" s="67"/>
      <c r="E151" s="67"/>
      <c r="F151" s="67"/>
      <c r="G151" s="67"/>
      <c r="H151" s="67"/>
      <c r="I151" s="67"/>
      <c r="J151" s="67"/>
      <c r="K151" s="67"/>
      <c r="L151" s="67"/>
      <c r="M151" s="67"/>
      <c r="N151" s="67"/>
      <c r="Q151" s="67"/>
    </row>
    <row r="152" spans="1:17" s="68" customFormat="1" x14ac:dyDescent="0.35">
      <c r="A152" s="66"/>
      <c r="B152" s="66"/>
      <c r="C152" s="67"/>
      <c r="D152" s="67"/>
      <c r="E152" s="67"/>
      <c r="F152" s="67"/>
      <c r="G152" s="67"/>
      <c r="H152" s="67"/>
      <c r="I152" s="67"/>
      <c r="J152" s="67"/>
      <c r="K152" s="67"/>
      <c r="L152" s="67"/>
      <c r="M152" s="67"/>
      <c r="N152" s="67"/>
      <c r="Q152" s="67"/>
    </row>
    <row r="153" spans="1:17" s="68" customFormat="1" x14ac:dyDescent="0.35">
      <c r="A153" s="66"/>
      <c r="B153" s="66"/>
      <c r="C153" s="67"/>
      <c r="D153" s="67"/>
      <c r="E153" s="67"/>
      <c r="F153" s="67"/>
      <c r="G153" s="67"/>
      <c r="H153" s="67"/>
      <c r="I153" s="67"/>
      <c r="J153" s="67"/>
      <c r="K153" s="67"/>
      <c r="L153" s="67"/>
      <c r="M153" s="67"/>
      <c r="N153" s="67"/>
      <c r="Q153" s="67"/>
    </row>
    <row r="154" spans="1:17" s="68" customFormat="1" x14ac:dyDescent="0.35">
      <c r="A154" s="66"/>
      <c r="B154" s="66"/>
      <c r="C154" s="67"/>
      <c r="D154" s="67"/>
      <c r="E154" s="67"/>
      <c r="F154" s="67"/>
      <c r="G154" s="67"/>
      <c r="H154" s="67"/>
      <c r="I154" s="67"/>
      <c r="J154" s="67"/>
      <c r="K154" s="67"/>
      <c r="L154" s="67"/>
      <c r="M154" s="67"/>
      <c r="N154" s="67"/>
      <c r="Q154" s="67"/>
    </row>
    <row r="155" spans="1:17" s="68" customFormat="1" x14ac:dyDescent="0.35">
      <c r="A155" s="66"/>
      <c r="B155" s="66"/>
      <c r="C155" s="67"/>
      <c r="D155" s="67"/>
      <c r="E155" s="67"/>
      <c r="F155" s="67"/>
      <c r="G155" s="67"/>
      <c r="H155" s="67"/>
      <c r="I155" s="67"/>
      <c r="J155" s="67"/>
      <c r="K155" s="67"/>
      <c r="L155" s="67"/>
      <c r="M155" s="67"/>
      <c r="N155" s="67"/>
      <c r="Q155" s="67"/>
    </row>
    <row r="156" spans="1:17" s="68" customFormat="1" x14ac:dyDescent="0.35">
      <c r="A156" s="66"/>
      <c r="B156" s="66"/>
      <c r="C156" s="67"/>
      <c r="D156" s="67"/>
      <c r="E156" s="67"/>
      <c r="F156" s="67"/>
      <c r="G156" s="67"/>
      <c r="H156" s="67"/>
      <c r="I156" s="67"/>
      <c r="J156" s="67"/>
      <c r="K156" s="67"/>
      <c r="L156" s="67"/>
      <c r="M156" s="67"/>
      <c r="N156" s="67"/>
      <c r="Q156" s="67"/>
    </row>
    <row r="157" spans="1:17" s="68" customFormat="1" x14ac:dyDescent="0.35">
      <c r="A157" s="66"/>
      <c r="B157" s="66"/>
      <c r="C157" s="67"/>
      <c r="D157" s="67"/>
      <c r="E157" s="67"/>
      <c r="F157" s="67"/>
      <c r="G157" s="67"/>
      <c r="H157" s="67"/>
      <c r="I157" s="67"/>
      <c r="J157" s="67"/>
      <c r="K157" s="67"/>
      <c r="L157" s="67"/>
      <c r="M157" s="67"/>
      <c r="N157" s="67"/>
      <c r="Q157" s="67"/>
    </row>
    <row r="158" spans="1:17" s="68" customFormat="1" x14ac:dyDescent="0.35">
      <c r="A158" s="66"/>
      <c r="B158" s="66"/>
      <c r="C158" s="67"/>
      <c r="D158" s="67"/>
      <c r="E158" s="67"/>
      <c r="F158" s="67"/>
      <c r="G158" s="67"/>
      <c r="H158" s="67"/>
      <c r="I158" s="67"/>
      <c r="J158" s="67"/>
      <c r="K158" s="67"/>
      <c r="L158" s="67"/>
      <c r="M158" s="67"/>
      <c r="N158" s="67"/>
      <c r="Q158" s="67"/>
    </row>
    <row r="159" spans="1:17" s="68" customFormat="1" x14ac:dyDescent="0.35">
      <c r="A159" s="66"/>
      <c r="B159" s="66"/>
      <c r="C159" s="67"/>
      <c r="D159" s="67"/>
      <c r="E159" s="67"/>
      <c r="F159" s="67"/>
      <c r="G159" s="67"/>
      <c r="H159" s="67"/>
      <c r="I159" s="67"/>
      <c r="J159" s="67"/>
      <c r="K159" s="67"/>
      <c r="L159" s="67"/>
      <c r="M159" s="67"/>
      <c r="N159" s="67"/>
      <c r="Q159" s="67"/>
    </row>
    <row r="160" spans="1:17" s="68" customFormat="1" x14ac:dyDescent="0.35">
      <c r="A160" s="66"/>
      <c r="B160" s="66"/>
      <c r="C160" s="67"/>
      <c r="D160" s="67"/>
      <c r="E160" s="67"/>
      <c r="F160" s="67"/>
      <c r="G160" s="67"/>
      <c r="H160" s="67"/>
      <c r="I160" s="67"/>
      <c r="J160" s="67"/>
      <c r="K160" s="67"/>
      <c r="L160" s="67"/>
      <c r="M160" s="67"/>
      <c r="N160" s="67"/>
      <c r="Q160" s="67"/>
    </row>
    <row r="161" spans="1:17" s="68" customFormat="1" x14ac:dyDescent="0.35">
      <c r="A161" s="66"/>
      <c r="B161" s="66"/>
      <c r="C161" s="67"/>
      <c r="D161" s="67"/>
      <c r="E161" s="67"/>
      <c r="F161" s="67"/>
      <c r="G161" s="67"/>
      <c r="H161" s="67"/>
      <c r="I161" s="67"/>
      <c r="J161" s="67"/>
      <c r="K161" s="67"/>
      <c r="L161" s="67"/>
      <c r="M161" s="67"/>
      <c r="N161" s="67"/>
      <c r="Q161" s="67"/>
    </row>
    <row r="162" spans="1:17" s="68" customFormat="1" x14ac:dyDescent="0.35">
      <c r="A162" s="66"/>
      <c r="B162" s="66"/>
      <c r="C162" s="67"/>
      <c r="D162" s="67"/>
      <c r="E162" s="67"/>
      <c r="F162" s="67"/>
      <c r="G162" s="67"/>
      <c r="H162" s="67"/>
      <c r="I162" s="67"/>
      <c r="J162" s="67"/>
      <c r="K162" s="67"/>
      <c r="L162" s="67"/>
      <c r="M162" s="67"/>
      <c r="N162" s="67"/>
      <c r="Q162" s="67"/>
    </row>
    <row r="163" spans="1:17" s="68" customFormat="1" x14ac:dyDescent="0.35">
      <c r="A163" s="66"/>
      <c r="B163" s="66"/>
      <c r="C163" s="67"/>
      <c r="D163" s="67"/>
      <c r="E163" s="67"/>
      <c r="F163" s="67"/>
      <c r="G163" s="67"/>
      <c r="H163" s="67"/>
      <c r="I163" s="67"/>
      <c r="J163" s="67"/>
      <c r="K163" s="67"/>
      <c r="L163" s="67"/>
      <c r="M163" s="67"/>
      <c r="N163" s="67"/>
      <c r="Q163" s="67"/>
    </row>
    <row r="164" spans="1:17" s="68" customFormat="1" x14ac:dyDescent="0.35">
      <c r="A164" s="66"/>
      <c r="B164" s="66"/>
      <c r="C164" s="67"/>
      <c r="D164" s="67"/>
      <c r="E164" s="67"/>
      <c r="F164" s="67"/>
      <c r="G164" s="67"/>
      <c r="H164" s="67"/>
      <c r="I164" s="67"/>
      <c r="J164" s="67"/>
      <c r="K164" s="67"/>
      <c r="L164" s="67"/>
      <c r="M164" s="67"/>
      <c r="N164" s="67"/>
      <c r="Q164" s="67"/>
    </row>
    <row r="165" spans="1:17" s="68" customFormat="1" x14ac:dyDescent="0.35">
      <c r="A165" s="66"/>
      <c r="B165" s="66"/>
      <c r="C165" s="67"/>
      <c r="D165" s="67"/>
      <c r="E165" s="67"/>
      <c r="F165" s="67"/>
      <c r="G165" s="67"/>
      <c r="H165" s="67"/>
      <c r="I165" s="67"/>
      <c r="J165" s="67"/>
      <c r="K165" s="67"/>
      <c r="L165" s="67"/>
      <c r="M165" s="67"/>
      <c r="N165" s="67"/>
      <c r="Q165" s="67"/>
    </row>
    <row r="166" spans="1:17" s="68" customFormat="1" x14ac:dyDescent="0.35">
      <c r="A166" s="66"/>
      <c r="B166" s="66"/>
      <c r="C166" s="67"/>
      <c r="D166" s="67"/>
      <c r="E166" s="67"/>
      <c r="F166" s="67"/>
      <c r="G166" s="67"/>
      <c r="H166" s="67"/>
      <c r="I166" s="67"/>
      <c r="J166" s="67"/>
      <c r="K166" s="67"/>
      <c r="L166" s="67"/>
      <c r="M166" s="67"/>
      <c r="N166" s="67"/>
      <c r="Q166" s="67"/>
    </row>
    <row r="167" spans="1:17" s="68" customFormat="1" x14ac:dyDescent="0.35">
      <c r="A167" s="66"/>
      <c r="B167" s="66"/>
      <c r="C167" s="67"/>
      <c r="D167" s="67"/>
      <c r="E167" s="67"/>
      <c r="F167" s="67"/>
      <c r="G167" s="67"/>
      <c r="H167" s="67"/>
      <c r="I167" s="67"/>
      <c r="J167" s="67"/>
      <c r="K167" s="67"/>
      <c r="L167" s="67"/>
      <c r="M167" s="67"/>
      <c r="N167" s="67"/>
      <c r="Q167" s="67"/>
    </row>
    <row r="168" spans="1:17" s="68" customFormat="1" x14ac:dyDescent="0.35">
      <c r="A168" s="66"/>
      <c r="B168" s="66"/>
      <c r="C168" s="67"/>
      <c r="D168" s="67"/>
      <c r="E168" s="67"/>
      <c r="F168" s="67"/>
      <c r="G168" s="67"/>
      <c r="H168" s="67"/>
      <c r="I168" s="67"/>
      <c r="J168" s="67"/>
      <c r="K168" s="67"/>
      <c r="L168" s="67"/>
      <c r="M168" s="67"/>
      <c r="N168" s="67"/>
      <c r="Q168" s="67"/>
    </row>
    <row r="169" spans="1:17" s="68" customFormat="1" x14ac:dyDescent="0.35">
      <c r="A169" s="66"/>
      <c r="B169" s="66"/>
      <c r="C169" s="67"/>
      <c r="D169" s="67"/>
      <c r="E169" s="67"/>
      <c r="F169" s="67"/>
      <c r="G169" s="67"/>
      <c r="H169" s="67"/>
      <c r="I169" s="67"/>
      <c r="J169" s="67"/>
      <c r="K169" s="67"/>
      <c r="L169" s="67"/>
      <c r="M169" s="67"/>
      <c r="N169" s="67"/>
      <c r="Q169" s="67"/>
    </row>
    <row r="170" spans="1:17" s="68" customFormat="1" x14ac:dyDescent="0.35">
      <c r="A170" s="66"/>
      <c r="B170" s="66"/>
      <c r="C170" s="67"/>
      <c r="D170" s="67"/>
      <c r="E170" s="67"/>
      <c r="F170" s="67"/>
      <c r="G170" s="67"/>
      <c r="H170" s="67"/>
      <c r="I170" s="67"/>
      <c r="J170" s="67"/>
      <c r="K170" s="67"/>
      <c r="L170" s="67"/>
      <c r="M170" s="67"/>
      <c r="N170" s="67"/>
      <c r="Q170" s="67"/>
    </row>
    <row r="171" spans="1:17" s="68" customFormat="1" x14ac:dyDescent="0.35">
      <c r="A171" s="66"/>
      <c r="B171" s="66"/>
      <c r="C171" s="67"/>
      <c r="D171" s="67"/>
      <c r="E171" s="67"/>
      <c r="F171" s="67"/>
      <c r="G171" s="67"/>
      <c r="H171" s="67"/>
      <c r="I171" s="67"/>
      <c r="J171" s="67"/>
      <c r="K171" s="67"/>
      <c r="L171" s="67"/>
      <c r="M171" s="67"/>
      <c r="N171" s="67"/>
      <c r="Q171" s="67"/>
    </row>
    <row r="172" spans="1:17" s="68" customFormat="1" x14ac:dyDescent="0.35">
      <c r="A172" s="66"/>
      <c r="B172" s="66"/>
      <c r="C172" s="67"/>
      <c r="D172" s="67"/>
      <c r="E172" s="67"/>
      <c r="F172" s="67"/>
      <c r="G172" s="67"/>
      <c r="H172" s="67"/>
      <c r="I172" s="67"/>
      <c r="J172" s="67"/>
      <c r="K172" s="67"/>
      <c r="L172" s="67"/>
      <c r="M172" s="67"/>
      <c r="N172" s="67"/>
      <c r="Q172" s="67"/>
    </row>
    <row r="173" spans="1:17" s="68" customFormat="1" x14ac:dyDescent="0.35">
      <c r="A173" s="66"/>
      <c r="B173" s="66"/>
      <c r="C173" s="67"/>
      <c r="D173" s="67"/>
      <c r="E173" s="67"/>
      <c r="F173" s="67"/>
      <c r="G173" s="67"/>
      <c r="H173" s="67"/>
      <c r="I173" s="67"/>
      <c r="J173" s="67"/>
      <c r="K173" s="67"/>
      <c r="L173" s="67"/>
      <c r="M173" s="67"/>
      <c r="N173" s="67"/>
      <c r="Q173" s="67"/>
    </row>
    <row r="174" spans="1:17" s="68" customFormat="1" x14ac:dyDescent="0.35">
      <c r="A174" s="66"/>
      <c r="B174" s="66"/>
      <c r="C174" s="67"/>
      <c r="D174" s="67"/>
      <c r="E174" s="67"/>
      <c r="F174" s="67"/>
      <c r="G174" s="67"/>
      <c r="H174" s="67"/>
      <c r="I174" s="67"/>
      <c r="J174" s="67"/>
      <c r="K174" s="67"/>
      <c r="L174" s="67"/>
      <c r="M174" s="67"/>
      <c r="N174" s="67"/>
      <c r="Q174" s="67"/>
    </row>
    <row r="175" spans="1:17" s="68" customFormat="1" x14ac:dyDescent="0.35">
      <c r="A175" s="66"/>
      <c r="B175" s="66"/>
      <c r="C175" s="67"/>
      <c r="D175" s="67"/>
      <c r="E175" s="67"/>
      <c r="F175" s="67"/>
      <c r="G175" s="67"/>
      <c r="H175" s="67"/>
      <c r="I175" s="67"/>
      <c r="J175" s="67"/>
      <c r="K175" s="67"/>
      <c r="L175" s="67"/>
      <c r="M175" s="67"/>
      <c r="N175" s="67"/>
      <c r="Q175" s="67"/>
    </row>
    <row r="176" spans="1:17" s="68" customFormat="1" x14ac:dyDescent="0.35">
      <c r="A176" s="66"/>
      <c r="B176" s="66"/>
      <c r="C176" s="67"/>
      <c r="D176" s="67"/>
      <c r="E176" s="67"/>
      <c r="F176" s="67"/>
      <c r="G176" s="67"/>
      <c r="H176" s="67"/>
      <c r="I176" s="67"/>
      <c r="J176" s="67"/>
      <c r="K176" s="67"/>
      <c r="L176" s="67"/>
      <c r="M176" s="67"/>
      <c r="N176" s="67"/>
      <c r="Q176" s="67"/>
    </row>
    <row r="177" spans="1:17" s="68" customFormat="1" x14ac:dyDescent="0.35">
      <c r="A177" s="66"/>
      <c r="B177" s="66"/>
      <c r="C177" s="67"/>
      <c r="D177" s="67"/>
      <c r="E177" s="67"/>
      <c r="F177" s="67"/>
      <c r="G177" s="67"/>
      <c r="H177" s="67"/>
      <c r="I177" s="67"/>
      <c r="J177" s="67"/>
      <c r="K177" s="67"/>
      <c r="L177" s="67"/>
      <c r="M177" s="67"/>
      <c r="N177" s="67"/>
      <c r="Q177" s="67"/>
    </row>
    <row r="178" spans="1:17" s="68" customFormat="1" x14ac:dyDescent="0.35">
      <c r="A178" s="66"/>
      <c r="B178" s="66"/>
      <c r="C178" s="67"/>
      <c r="D178" s="67"/>
      <c r="E178" s="67"/>
      <c r="F178" s="67"/>
      <c r="G178" s="67"/>
      <c r="H178" s="67"/>
      <c r="I178" s="67"/>
      <c r="J178" s="67"/>
      <c r="K178" s="67"/>
      <c r="L178" s="67"/>
      <c r="M178" s="67"/>
      <c r="N178" s="67"/>
      <c r="Q178" s="67"/>
    </row>
    <row r="179" spans="1:17" s="68" customFormat="1" x14ac:dyDescent="0.35">
      <c r="A179" s="66"/>
      <c r="B179" s="66"/>
      <c r="C179" s="67"/>
      <c r="D179" s="67"/>
      <c r="E179" s="67"/>
      <c r="F179" s="67"/>
      <c r="G179" s="67"/>
      <c r="H179" s="67"/>
      <c r="I179" s="67"/>
      <c r="J179" s="67"/>
      <c r="K179" s="67"/>
      <c r="L179" s="67"/>
      <c r="M179" s="67"/>
      <c r="N179" s="67"/>
      <c r="Q179" s="67"/>
    </row>
    <row r="180" spans="1:17" s="68" customFormat="1" x14ac:dyDescent="0.35">
      <c r="A180" s="66"/>
      <c r="B180" s="66"/>
      <c r="C180" s="67"/>
      <c r="D180" s="67"/>
      <c r="E180" s="67"/>
      <c r="F180" s="67"/>
      <c r="G180" s="67"/>
      <c r="H180" s="67"/>
      <c r="I180" s="67"/>
      <c r="J180" s="67"/>
      <c r="K180" s="67"/>
      <c r="L180" s="67"/>
      <c r="M180" s="67"/>
      <c r="N180" s="67"/>
      <c r="Q180" s="67"/>
    </row>
    <row r="181" spans="1:17" s="68" customFormat="1" x14ac:dyDescent="0.35">
      <c r="A181" s="66"/>
      <c r="B181" s="66"/>
      <c r="C181" s="67"/>
      <c r="D181" s="67"/>
      <c r="E181" s="67"/>
      <c r="F181" s="67"/>
      <c r="G181" s="67"/>
      <c r="H181" s="67"/>
      <c r="I181" s="67"/>
      <c r="J181" s="67"/>
      <c r="K181" s="67"/>
      <c r="L181" s="67"/>
      <c r="M181" s="67"/>
      <c r="N181" s="67"/>
      <c r="Q181" s="67"/>
    </row>
    <row r="182" spans="1:17" s="68" customFormat="1" x14ac:dyDescent="0.35">
      <c r="A182" s="66"/>
      <c r="B182" s="66"/>
      <c r="C182" s="67"/>
      <c r="D182" s="67"/>
      <c r="E182" s="67"/>
      <c r="F182" s="67"/>
      <c r="G182" s="67"/>
      <c r="H182" s="67"/>
      <c r="I182" s="67"/>
      <c r="J182" s="67"/>
      <c r="K182" s="67"/>
      <c r="L182" s="67"/>
      <c r="M182" s="67"/>
      <c r="N182" s="67"/>
      <c r="Q182" s="67"/>
    </row>
    <row r="183" spans="1:17" s="68" customFormat="1" x14ac:dyDescent="0.35">
      <c r="A183" s="66"/>
      <c r="B183" s="66"/>
      <c r="C183" s="67"/>
      <c r="D183" s="67"/>
      <c r="E183" s="67"/>
      <c r="F183" s="67"/>
      <c r="G183" s="67"/>
      <c r="H183" s="67"/>
      <c r="I183" s="67"/>
      <c r="J183" s="67"/>
      <c r="K183" s="67"/>
      <c r="L183" s="67"/>
      <c r="M183" s="67"/>
      <c r="N183" s="67"/>
      <c r="Q183" s="67"/>
    </row>
    <row r="184" spans="1:17" s="68" customFormat="1" x14ac:dyDescent="0.35">
      <c r="A184" s="66"/>
      <c r="B184" s="66"/>
      <c r="C184" s="67"/>
      <c r="D184" s="67"/>
      <c r="E184" s="67"/>
      <c r="F184" s="67"/>
      <c r="G184" s="67"/>
      <c r="H184" s="67"/>
      <c r="I184" s="67"/>
      <c r="J184" s="67"/>
      <c r="K184" s="67"/>
      <c r="L184" s="67"/>
      <c r="M184" s="67"/>
      <c r="N184" s="67"/>
      <c r="Q184" s="67"/>
    </row>
    <row r="185" spans="1:17" s="68" customFormat="1" x14ac:dyDescent="0.35">
      <c r="A185" s="66"/>
      <c r="B185" s="66"/>
      <c r="C185" s="67"/>
      <c r="D185" s="67"/>
      <c r="E185" s="67"/>
      <c r="F185" s="67"/>
      <c r="G185" s="67"/>
      <c r="H185" s="67"/>
      <c r="I185" s="67"/>
      <c r="J185" s="67"/>
      <c r="K185" s="67"/>
      <c r="L185" s="67"/>
      <c r="M185" s="67"/>
      <c r="N185" s="67"/>
      <c r="Q185" s="67"/>
    </row>
    <row r="186" spans="1:17" s="68" customFormat="1" x14ac:dyDescent="0.35">
      <c r="A186" s="66"/>
      <c r="B186" s="66"/>
      <c r="C186" s="67"/>
      <c r="D186" s="67"/>
      <c r="E186" s="67"/>
      <c r="F186" s="67"/>
      <c r="G186" s="67"/>
      <c r="H186" s="67"/>
      <c r="I186" s="67"/>
      <c r="J186" s="67"/>
      <c r="K186" s="67"/>
      <c r="L186" s="67"/>
      <c r="M186" s="67"/>
      <c r="N186" s="67"/>
      <c r="Q186" s="67"/>
    </row>
    <row r="187" spans="1:17" s="68" customFormat="1" x14ac:dyDescent="0.35">
      <c r="A187" s="66"/>
      <c r="B187" s="66"/>
      <c r="C187" s="67"/>
      <c r="D187" s="67"/>
      <c r="E187" s="67"/>
      <c r="F187" s="67"/>
      <c r="G187" s="67"/>
      <c r="H187" s="67"/>
      <c r="I187" s="67"/>
      <c r="J187" s="67"/>
      <c r="K187" s="67"/>
      <c r="L187" s="67"/>
      <c r="M187" s="67"/>
      <c r="N187" s="67"/>
      <c r="Q187" s="67"/>
    </row>
    <row r="188" spans="1:17" s="68" customFormat="1" x14ac:dyDescent="0.35">
      <c r="A188" s="66"/>
      <c r="B188" s="66"/>
      <c r="C188" s="67"/>
      <c r="D188" s="67"/>
      <c r="E188" s="67"/>
      <c r="F188" s="67"/>
      <c r="G188" s="67"/>
      <c r="H188" s="67"/>
      <c r="I188" s="67"/>
      <c r="J188" s="67"/>
      <c r="K188" s="67"/>
      <c r="L188" s="67"/>
      <c r="M188" s="67"/>
      <c r="N188" s="67"/>
      <c r="Q188" s="67"/>
    </row>
    <row r="189" spans="1:17" s="68" customFormat="1" x14ac:dyDescent="0.35">
      <c r="A189" s="66"/>
      <c r="B189" s="66"/>
      <c r="C189" s="67"/>
      <c r="D189" s="67"/>
      <c r="E189" s="67"/>
      <c r="F189" s="67"/>
      <c r="G189" s="67"/>
      <c r="H189" s="67"/>
      <c r="I189" s="67"/>
      <c r="J189" s="67"/>
      <c r="K189" s="67"/>
      <c r="L189" s="67"/>
      <c r="M189" s="67"/>
      <c r="N189" s="67"/>
      <c r="Q189" s="67"/>
    </row>
    <row r="190" spans="1:17" s="68" customFormat="1" x14ac:dyDescent="0.35">
      <c r="A190" s="66"/>
      <c r="B190" s="66"/>
      <c r="C190" s="67"/>
      <c r="D190" s="67"/>
      <c r="E190" s="67"/>
      <c r="F190" s="67"/>
      <c r="G190" s="67"/>
      <c r="H190" s="67"/>
      <c r="I190" s="67"/>
      <c r="J190" s="67"/>
      <c r="K190" s="67"/>
      <c r="L190" s="67"/>
      <c r="M190" s="67"/>
      <c r="N190" s="67"/>
      <c r="Q190" s="67"/>
    </row>
    <row r="191" spans="1:17" s="68" customFormat="1" x14ac:dyDescent="0.35">
      <c r="A191" s="66"/>
      <c r="B191" s="66"/>
      <c r="C191" s="67"/>
      <c r="D191" s="67"/>
      <c r="E191" s="67"/>
      <c r="F191" s="67"/>
      <c r="G191" s="67"/>
      <c r="H191" s="67"/>
      <c r="I191" s="67"/>
      <c r="J191" s="67"/>
      <c r="K191" s="67"/>
      <c r="L191" s="67"/>
      <c r="M191" s="67"/>
      <c r="N191" s="67"/>
      <c r="Q191" s="67"/>
    </row>
    <row r="192" spans="1:17" s="68" customFormat="1" x14ac:dyDescent="0.35">
      <c r="A192" s="66"/>
      <c r="B192" s="66"/>
      <c r="C192" s="67"/>
      <c r="D192" s="67"/>
      <c r="E192" s="67"/>
      <c r="F192" s="67"/>
      <c r="G192" s="67"/>
      <c r="H192" s="67"/>
      <c r="I192" s="67"/>
      <c r="J192" s="67"/>
      <c r="K192" s="67"/>
      <c r="L192" s="67"/>
      <c r="M192" s="67"/>
      <c r="N192" s="67"/>
      <c r="Q192" s="67"/>
    </row>
    <row r="193" spans="1:17" s="68" customFormat="1" x14ac:dyDescent="0.35">
      <c r="A193" s="66"/>
      <c r="B193" s="66"/>
      <c r="C193" s="67"/>
      <c r="D193" s="67"/>
      <c r="E193" s="67"/>
      <c r="F193" s="67"/>
      <c r="G193" s="67"/>
      <c r="H193" s="67"/>
      <c r="I193" s="67"/>
      <c r="J193" s="67"/>
      <c r="K193" s="67"/>
      <c r="L193" s="67"/>
      <c r="M193" s="67"/>
      <c r="N193" s="67"/>
      <c r="Q193" s="67"/>
    </row>
    <row r="194" spans="1:17" s="68" customFormat="1" x14ac:dyDescent="0.35">
      <c r="A194" s="66"/>
      <c r="B194" s="66"/>
      <c r="C194" s="67"/>
      <c r="D194" s="67"/>
      <c r="E194" s="67"/>
      <c r="F194" s="67"/>
      <c r="G194" s="67"/>
      <c r="H194" s="67"/>
      <c r="I194" s="67"/>
      <c r="J194" s="67"/>
      <c r="K194" s="67"/>
      <c r="L194" s="67"/>
      <c r="M194" s="67"/>
      <c r="N194" s="67"/>
      <c r="Q194" s="67"/>
    </row>
    <row r="195" spans="1:17" s="68" customFormat="1" x14ac:dyDescent="0.35">
      <c r="A195" s="66"/>
      <c r="B195" s="66"/>
      <c r="C195" s="67"/>
      <c r="D195" s="67"/>
      <c r="E195" s="67"/>
      <c r="F195" s="67"/>
      <c r="G195" s="67"/>
      <c r="H195" s="67"/>
      <c r="I195" s="67"/>
      <c r="J195" s="67"/>
      <c r="K195" s="67"/>
      <c r="L195" s="67"/>
      <c r="M195" s="67"/>
      <c r="N195" s="67"/>
      <c r="Q195" s="67"/>
    </row>
    <row r="196" spans="1:17" s="68" customFormat="1" x14ac:dyDescent="0.35">
      <c r="A196" s="66"/>
      <c r="B196" s="66"/>
      <c r="C196" s="67"/>
      <c r="D196" s="67"/>
      <c r="E196" s="67"/>
      <c r="F196" s="67"/>
      <c r="G196" s="67"/>
      <c r="H196" s="67"/>
      <c r="I196" s="67"/>
      <c r="J196" s="67"/>
      <c r="K196" s="67"/>
      <c r="L196" s="67"/>
      <c r="M196" s="67"/>
      <c r="N196" s="67"/>
      <c r="Q196" s="67"/>
    </row>
    <row r="197" spans="1:17" s="68" customFormat="1" x14ac:dyDescent="0.35">
      <c r="A197" s="66"/>
      <c r="B197" s="66"/>
      <c r="C197" s="67"/>
      <c r="D197" s="67"/>
      <c r="E197" s="67"/>
      <c r="F197" s="67"/>
      <c r="G197" s="67"/>
      <c r="H197" s="67"/>
      <c r="I197" s="67"/>
      <c r="J197" s="67"/>
      <c r="K197" s="67"/>
      <c r="L197" s="67"/>
      <c r="M197" s="67"/>
      <c r="N197" s="67"/>
      <c r="Q197" s="67"/>
    </row>
    <row r="198" spans="1:17" s="68" customFormat="1" x14ac:dyDescent="0.35">
      <c r="A198" s="66"/>
      <c r="B198" s="66"/>
      <c r="C198" s="67"/>
      <c r="D198" s="67"/>
      <c r="E198" s="67"/>
      <c r="F198" s="67"/>
      <c r="G198" s="67"/>
      <c r="H198" s="67"/>
      <c r="I198" s="67"/>
      <c r="J198" s="67"/>
      <c r="K198" s="67"/>
      <c r="L198" s="67"/>
      <c r="M198" s="67"/>
      <c r="N198" s="67"/>
      <c r="Q198" s="67"/>
    </row>
    <row r="199" spans="1:17" s="68" customFormat="1" x14ac:dyDescent="0.35">
      <c r="A199" s="66"/>
      <c r="B199" s="66"/>
      <c r="C199" s="67"/>
      <c r="D199" s="67"/>
      <c r="E199" s="67"/>
      <c r="F199" s="67"/>
      <c r="G199" s="67"/>
      <c r="H199" s="67"/>
      <c r="I199" s="67"/>
      <c r="J199" s="67"/>
      <c r="K199" s="67"/>
      <c r="L199" s="67"/>
      <c r="M199" s="67"/>
      <c r="N199" s="67"/>
      <c r="Q199" s="67"/>
    </row>
    <row r="200" spans="1:17" s="68" customFormat="1" x14ac:dyDescent="0.35">
      <c r="A200" s="66"/>
      <c r="B200" s="66"/>
      <c r="C200" s="67"/>
      <c r="D200" s="67"/>
      <c r="E200" s="67"/>
      <c r="F200" s="67"/>
      <c r="G200" s="67"/>
      <c r="H200" s="67"/>
      <c r="I200" s="67"/>
      <c r="J200" s="67"/>
      <c r="K200" s="67"/>
      <c r="L200" s="67"/>
      <c r="M200" s="67"/>
      <c r="N200" s="67"/>
      <c r="Q200" s="67"/>
    </row>
    <row r="201" spans="1:17" s="68" customFormat="1" x14ac:dyDescent="0.35">
      <c r="A201" s="66"/>
      <c r="B201" s="66"/>
      <c r="C201" s="67"/>
      <c r="D201" s="67"/>
      <c r="E201" s="67"/>
      <c r="F201" s="67"/>
      <c r="G201" s="67"/>
      <c r="H201" s="67"/>
      <c r="I201" s="67"/>
      <c r="J201" s="67"/>
      <c r="K201" s="67"/>
      <c r="L201" s="67"/>
      <c r="M201" s="67"/>
      <c r="N201" s="67"/>
      <c r="Q201" s="67"/>
    </row>
    <row r="202" spans="1:17" s="68" customFormat="1" x14ac:dyDescent="0.35">
      <c r="A202" s="66"/>
      <c r="B202" s="66"/>
      <c r="C202" s="67"/>
      <c r="D202" s="67"/>
      <c r="E202" s="67"/>
      <c r="F202" s="67"/>
      <c r="G202" s="67"/>
      <c r="H202" s="67"/>
      <c r="I202" s="67"/>
      <c r="J202" s="67"/>
      <c r="K202" s="67"/>
      <c r="L202" s="67"/>
      <c r="M202" s="67"/>
      <c r="N202" s="67"/>
      <c r="Q202" s="67"/>
    </row>
    <row r="203" spans="1:17" s="68" customFormat="1" x14ac:dyDescent="0.35">
      <c r="A203" s="66"/>
      <c r="B203" s="66"/>
      <c r="C203" s="67"/>
      <c r="D203" s="67"/>
      <c r="E203" s="67"/>
      <c r="F203" s="67"/>
      <c r="G203" s="67"/>
      <c r="H203" s="67"/>
      <c r="I203" s="67"/>
      <c r="J203" s="67"/>
      <c r="K203" s="67"/>
      <c r="L203" s="67"/>
      <c r="M203" s="67"/>
      <c r="N203" s="67"/>
      <c r="Q203" s="67"/>
    </row>
    <row r="204" spans="1:17" s="68" customFormat="1" x14ac:dyDescent="0.35">
      <c r="A204" s="66"/>
      <c r="B204" s="66"/>
      <c r="C204" s="67"/>
      <c r="D204" s="67"/>
      <c r="E204" s="67"/>
      <c r="F204" s="67"/>
      <c r="G204" s="67"/>
      <c r="H204" s="67"/>
      <c r="I204" s="67"/>
      <c r="J204" s="67"/>
      <c r="K204" s="67"/>
      <c r="L204" s="67"/>
      <c r="M204" s="67"/>
      <c r="N204" s="67"/>
      <c r="Q204" s="67"/>
    </row>
    <row r="205" spans="1:17" s="68" customFormat="1" x14ac:dyDescent="0.35">
      <c r="A205" s="66"/>
      <c r="B205" s="66"/>
      <c r="C205" s="67"/>
      <c r="D205" s="67"/>
      <c r="E205" s="67"/>
      <c r="F205" s="67"/>
      <c r="G205" s="67"/>
      <c r="H205" s="67"/>
      <c r="I205" s="67"/>
      <c r="J205" s="67"/>
      <c r="K205" s="67"/>
      <c r="L205" s="67"/>
      <c r="M205" s="67"/>
      <c r="N205" s="67"/>
      <c r="Q205" s="67"/>
    </row>
    <row r="206" spans="1:17" s="68" customFormat="1" x14ac:dyDescent="0.35">
      <c r="A206" s="66"/>
      <c r="B206" s="66"/>
      <c r="C206" s="67"/>
      <c r="D206" s="67"/>
      <c r="E206" s="67"/>
      <c r="F206" s="67"/>
      <c r="G206" s="67"/>
      <c r="H206" s="67"/>
      <c r="I206" s="67"/>
      <c r="J206" s="67"/>
      <c r="K206" s="67"/>
      <c r="L206" s="67"/>
      <c r="M206" s="67"/>
      <c r="N206" s="67"/>
      <c r="Q206" s="67"/>
    </row>
    <row r="207" spans="1:17" s="68" customFormat="1" x14ac:dyDescent="0.35">
      <c r="A207" s="66"/>
      <c r="B207" s="66"/>
      <c r="C207" s="67"/>
      <c r="D207" s="67"/>
      <c r="E207" s="67"/>
      <c r="F207" s="67"/>
      <c r="G207" s="67"/>
      <c r="H207" s="67"/>
      <c r="I207" s="67"/>
      <c r="J207" s="67"/>
      <c r="K207" s="67"/>
      <c r="L207" s="67"/>
      <c r="M207" s="67"/>
      <c r="N207" s="67"/>
      <c r="Q207" s="67"/>
    </row>
    <row r="208" spans="1:17" s="68" customFormat="1" x14ac:dyDescent="0.35">
      <c r="A208" s="66"/>
      <c r="B208" s="66"/>
      <c r="C208" s="67"/>
      <c r="D208" s="67"/>
      <c r="E208" s="67"/>
      <c r="F208" s="67"/>
      <c r="G208" s="67"/>
      <c r="H208" s="67"/>
      <c r="I208" s="67"/>
      <c r="J208" s="67"/>
      <c r="K208" s="67"/>
      <c r="L208" s="67"/>
      <c r="M208" s="67"/>
      <c r="N208" s="67"/>
      <c r="Q208" s="67"/>
    </row>
    <row r="209" spans="1:17" s="68" customFormat="1" x14ac:dyDescent="0.35">
      <c r="A209" s="66"/>
      <c r="B209" s="66"/>
      <c r="C209" s="67"/>
      <c r="D209" s="67"/>
      <c r="E209" s="67"/>
      <c r="F209" s="67"/>
      <c r="G209" s="67"/>
      <c r="H209" s="67"/>
      <c r="I209" s="67"/>
      <c r="J209" s="67"/>
      <c r="K209" s="67"/>
      <c r="L209" s="67"/>
      <c r="M209" s="67"/>
      <c r="N209" s="67"/>
      <c r="Q209" s="67"/>
    </row>
    <row r="210" spans="1:17" s="68" customFormat="1" x14ac:dyDescent="0.35">
      <c r="A210" s="66"/>
      <c r="B210" s="66"/>
      <c r="C210" s="67"/>
      <c r="D210" s="67"/>
      <c r="E210" s="67"/>
      <c r="F210" s="67"/>
      <c r="G210" s="67"/>
      <c r="H210" s="67"/>
      <c r="I210" s="67"/>
      <c r="J210" s="67"/>
      <c r="K210" s="67"/>
      <c r="L210" s="67"/>
      <c r="M210" s="67"/>
      <c r="N210" s="67"/>
      <c r="Q210" s="67"/>
    </row>
    <row r="211" spans="1:17" s="68" customFormat="1" x14ac:dyDescent="0.35">
      <c r="A211" s="66"/>
      <c r="B211" s="66"/>
      <c r="C211" s="67"/>
      <c r="D211" s="67"/>
      <c r="E211" s="67"/>
      <c r="F211" s="67"/>
      <c r="G211" s="67"/>
      <c r="H211" s="67"/>
      <c r="I211" s="67"/>
      <c r="J211" s="67"/>
      <c r="K211" s="67"/>
      <c r="L211" s="67"/>
      <c r="M211" s="67"/>
      <c r="N211" s="67"/>
      <c r="Q211" s="67"/>
    </row>
    <row r="212" spans="1:17" s="68" customFormat="1" x14ac:dyDescent="0.35">
      <c r="A212" s="66"/>
      <c r="B212" s="66"/>
      <c r="C212" s="67"/>
      <c r="D212" s="67"/>
      <c r="E212" s="67"/>
      <c r="F212" s="67"/>
      <c r="G212" s="67"/>
      <c r="H212" s="67"/>
      <c r="I212" s="67"/>
      <c r="J212" s="67"/>
      <c r="K212" s="67"/>
      <c r="L212" s="67"/>
      <c r="M212" s="67"/>
      <c r="N212" s="67"/>
      <c r="Q212" s="67"/>
    </row>
    <row r="213" spans="1:17" s="68" customFormat="1" x14ac:dyDescent="0.35">
      <c r="A213" s="66"/>
      <c r="B213" s="66"/>
      <c r="C213" s="67"/>
      <c r="D213" s="67"/>
      <c r="E213" s="67"/>
      <c r="F213" s="67"/>
      <c r="G213" s="67"/>
      <c r="H213" s="67"/>
      <c r="I213" s="67"/>
      <c r="J213" s="67"/>
      <c r="K213" s="67"/>
      <c r="L213" s="67"/>
      <c r="M213" s="67"/>
      <c r="N213" s="67"/>
      <c r="Q213" s="67"/>
    </row>
    <row r="214" spans="1:17" s="68" customFormat="1" x14ac:dyDescent="0.35">
      <c r="A214" s="66"/>
      <c r="B214" s="66"/>
      <c r="C214" s="67"/>
      <c r="D214" s="67"/>
      <c r="E214" s="67"/>
      <c r="F214" s="67"/>
      <c r="G214" s="67"/>
      <c r="H214" s="67"/>
      <c r="I214" s="67"/>
      <c r="J214" s="67"/>
      <c r="K214" s="67"/>
      <c r="L214" s="67"/>
      <c r="M214" s="67"/>
      <c r="N214" s="67"/>
      <c r="Q214" s="67"/>
    </row>
    <row r="215" spans="1:17" s="68" customFormat="1" x14ac:dyDescent="0.35">
      <c r="A215" s="66"/>
      <c r="B215" s="66"/>
      <c r="C215" s="67"/>
      <c r="D215" s="67"/>
      <c r="E215" s="67"/>
      <c r="F215" s="67"/>
      <c r="G215" s="67"/>
      <c r="H215" s="67"/>
      <c r="I215" s="67"/>
      <c r="J215" s="67"/>
      <c r="K215" s="67"/>
      <c r="L215" s="67"/>
      <c r="M215" s="67"/>
      <c r="N215" s="67"/>
      <c r="Q215" s="67"/>
    </row>
    <row r="216" spans="1:17" s="68" customFormat="1" x14ac:dyDescent="0.35">
      <c r="A216" s="66"/>
      <c r="B216" s="66"/>
      <c r="C216" s="67"/>
      <c r="D216" s="67"/>
      <c r="E216" s="67"/>
      <c r="F216" s="67"/>
      <c r="G216" s="67"/>
      <c r="H216" s="67"/>
      <c r="I216" s="67"/>
      <c r="J216" s="67"/>
      <c r="K216" s="67"/>
      <c r="L216" s="67"/>
      <c r="M216" s="67"/>
      <c r="N216" s="67"/>
      <c r="Q216" s="67"/>
    </row>
    <row r="217" spans="1:17" s="68" customFormat="1" x14ac:dyDescent="0.35">
      <c r="A217" s="66"/>
      <c r="B217" s="66"/>
      <c r="C217" s="67"/>
      <c r="D217" s="67"/>
      <c r="E217" s="67"/>
      <c r="F217" s="67"/>
      <c r="G217" s="67"/>
      <c r="H217" s="67"/>
      <c r="I217" s="67"/>
      <c r="J217" s="67"/>
      <c r="K217" s="67"/>
      <c r="L217" s="67"/>
      <c r="M217" s="67"/>
      <c r="N217" s="67"/>
      <c r="Q217" s="67"/>
    </row>
    <row r="218" spans="1:17" s="68" customFormat="1" x14ac:dyDescent="0.35">
      <c r="A218" s="66"/>
      <c r="B218" s="66"/>
      <c r="C218" s="67"/>
      <c r="D218" s="67"/>
      <c r="E218" s="67"/>
      <c r="F218" s="67"/>
      <c r="G218" s="67"/>
      <c r="H218" s="67"/>
      <c r="I218" s="67"/>
      <c r="J218" s="67"/>
      <c r="K218" s="67"/>
      <c r="L218" s="67"/>
      <c r="M218" s="67"/>
      <c r="N218" s="67"/>
      <c r="Q218" s="67"/>
    </row>
    <row r="219" spans="1:17" s="68" customFormat="1" x14ac:dyDescent="0.35">
      <c r="A219" s="66"/>
      <c r="B219" s="66"/>
      <c r="C219" s="67"/>
      <c r="D219" s="67"/>
      <c r="E219" s="67"/>
      <c r="F219" s="67"/>
      <c r="G219" s="67"/>
      <c r="H219" s="67"/>
      <c r="I219" s="67"/>
      <c r="J219" s="67"/>
      <c r="K219" s="67"/>
      <c r="L219" s="67"/>
      <c r="M219" s="67"/>
      <c r="N219" s="67"/>
      <c r="Q219" s="67"/>
    </row>
    <row r="220" spans="1:17" s="68" customFormat="1" x14ac:dyDescent="0.35">
      <c r="A220" s="66"/>
      <c r="B220" s="66"/>
      <c r="C220" s="67"/>
      <c r="D220" s="67"/>
      <c r="E220" s="67"/>
      <c r="F220" s="67"/>
      <c r="G220" s="67"/>
      <c r="H220" s="67"/>
      <c r="I220" s="67"/>
      <c r="J220" s="67"/>
      <c r="K220" s="67"/>
      <c r="L220" s="67"/>
      <c r="M220" s="67"/>
      <c r="N220" s="67"/>
      <c r="Q220" s="67"/>
    </row>
    <row r="221" spans="1:17" s="68" customFormat="1" x14ac:dyDescent="0.35">
      <c r="A221" s="66"/>
      <c r="B221" s="66"/>
      <c r="C221" s="67"/>
      <c r="D221" s="67"/>
      <c r="E221" s="67"/>
      <c r="F221" s="67"/>
      <c r="G221" s="67"/>
      <c r="H221" s="67"/>
      <c r="I221" s="67"/>
      <c r="J221" s="67"/>
      <c r="K221" s="67"/>
      <c r="L221" s="67"/>
      <c r="M221" s="67"/>
      <c r="N221" s="67"/>
      <c r="Q221" s="67"/>
    </row>
    <row r="222" spans="1:17" s="68" customFormat="1" x14ac:dyDescent="0.35">
      <c r="A222" s="66"/>
      <c r="B222" s="66"/>
      <c r="C222" s="67"/>
      <c r="D222" s="67"/>
      <c r="E222" s="67"/>
      <c r="F222" s="67"/>
      <c r="G222" s="67"/>
      <c r="H222" s="67"/>
      <c r="I222" s="67"/>
      <c r="J222" s="67"/>
      <c r="K222" s="67"/>
      <c r="L222" s="67"/>
      <c r="M222" s="67"/>
      <c r="N222" s="67"/>
      <c r="Q222" s="67"/>
    </row>
    <row r="223" spans="1:17" s="68" customFormat="1" x14ac:dyDescent="0.35">
      <c r="A223" s="66"/>
      <c r="B223" s="66"/>
      <c r="C223" s="67"/>
      <c r="D223" s="67"/>
      <c r="E223" s="67"/>
      <c r="F223" s="67"/>
      <c r="G223" s="67"/>
      <c r="H223" s="67"/>
      <c r="I223" s="67"/>
      <c r="J223" s="67"/>
      <c r="K223" s="67"/>
      <c r="L223" s="67"/>
      <c r="M223" s="67"/>
      <c r="N223" s="67"/>
      <c r="Q223" s="67"/>
    </row>
    <row r="224" spans="1:17" s="68" customFormat="1" x14ac:dyDescent="0.35">
      <c r="A224" s="66"/>
      <c r="B224" s="66"/>
      <c r="C224" s="67"/>
      <c r="D224" s="67"/>
      <c r="E224" s="67"/>
      <c r="F224" s="67"/>
      <c r="G224" s="67"/>
      <c r="H224" s="67"/>
      <c r="I224" s="67"/>
      <c r="J224" s="67"/>
      <c r="K224" s="67"/>
      <c r="L224" s="67"/>
      <c r="M224" s="67"/>
      <c r="N224" s="67"/>
      <c r="Q224" s="67"/>
    </row>
    <row r="225" spans="1:17" s="68" customFormat="1" x14ac:dyDescent="0.35">
      <c r="A225" s="66"/>
      <c r="B225" s="66"/>
      <c r="C225" s="67"/>
      <c r="D225" s="67"/>
      <c r="E225" s="67"/>
      <c r="F225" s="67"/>
      <c r="G225" s="67"/>
      <c r="H225" s="67"/>
      <c r="I225" s="67"/>
      <c r="J225" s="67"/>
      <c r="K225" s="67"/>
      <c r="L225" s="67"/>
      <c r="M225" s="67"/>
      <c r="N225" s="67"/>
      <c r="Q225" s="67"/>
    </row>
    <row r="226" spans="1:17" s="68" customFormat="1" x14ac:dyDescent="0.35">
      <c r="A226" s="66"/>
      <c r="B226" s="66"/>
      <c r="C226" s="67"/>
      <c r="D226" s="67"/>
      <c r="E226" s="67"/>
      <c r="F226" s="67"/>
      <c r="G226" s="67"/>
      <c r="H226" s="67"/>
      <c r="I226" s="67"/>
      <c r="J226" s="67"/>
      <c r="K226" s="67"/>
      <c r="L226" s="67"/>
      <c r="M226" s="67"/>
      <c r="N226" s="67"/>
      <c r="Q226" s="67"/>
    </row>
    <row r="227" spans="1:17" s="68" customFormat="1" x14ac:dyDescent="0.35">
      <c r="A227" s="66"/>
      <c r="B227" s="66"/>
      <c r="C227" s="67"/>
      <c r="D227" s="67"/>
      <c r="E227" s="67"/>
      <c r="F227" s="67"/>
      <c r="G227" s="67"/>
      <c r="H227" s="67"/>
      <c r="I227" s="67"/>
      <c r="J227" s="67"/>
      <c r="K227" s="67"/>
      <c r="L227" s="67"/>
      <c r="M227" s="67"/>
      <c r="N227" s="67"/>
      <c r="Q227" s="67"/>
    </row>
    <row r="228" spans="1:17" s="68" customFormat="1" x14ac:dyDescent="0.35">
      <c r="A228" s="66"/>
      <c r="B228" s="66"/>
      <c r="C228" s="67"/>
      <c r="D228" s="67"/>
      <c r="E228" s="67"/>
      <c r="F228" s="67"/>
      <c r="G228" s="67"/>
      <c r="H228" s="67"/>
      <c r="I228" s="67"/>
      <c r="J228" s="67"/>
      <c r="K228" s="67"/>
      <c r="L228" s="67"/>
      <c r="M228" s="67"/>
      <c r="N228" s="67"/>
      <c r="Q228" s="67"/>
    </row>
    <row r="229" spans="1:17" s="68" customFormat="1" x14ac:dyDescent="0.35">
      <c r="A229" s="66"/>
      <c r="B229" s="66"/>
      <c r="C229" s="67"/>
      <c r="D229" s="67"/>
      <c r="E229" s="67"/>
      <c r="F229" s="67"/>
      <c r="G229" s="67"/>
      <c r="H229" s="67"/>
      <c r="I229" s="67"/>
      <c r="J229" s="67"/>
      <c r="K229" s="67"/>
      <c r="L229" s="67"/>
      <c r="M229" s="67"/>
      <c r="N229" s="67"/>
      <c r="Q229" s="67"/>
    </row>
    <row r="230" spans="1:17" s="68" customFormat="1" x14ac:dyDescent="0.35">
      <c r="A230" s="66"/>
      <c r="B230" s="66"/>
      <c r="C230" s="67"/>
      <c r="D230" s="67"/>
      <c r="E230" s="67"/>
      <c r="F230" s="67"/>
      <c r="G230" s="67"/>
      <c r="H230" s="67"/>
      <c r="I230" s="67"/>
      <c r="J230" s="67"/>
      <c r="K230" s="67"/>
      <c r="L230" s="67"/>
      <c r="M230" s="67"/>
      <c r="N230" s="67"/>
      <c r="Q230" s="67"/>
    </row>
    <row r="231" spans="1:17" s="68" customFormat="1" x14ac:dyDescent="0.35">
      <c r="A231" s="66"/>
      <c r="B231" s="66"/>
      <c r="C231" s="67"/>
      <c r="D231" s="67"/>
      <c r="E231" s="67"/>
      <c r="F231" s="67"/>
      <c r="G231" s="67"/>
      <c r="H231" s="67"/>
      <c r="I231" s="67"/>
      <c r="J231" s="67"/>
      <c r="K231" s="67"/>
      <c r="L231" s="67"/>
      <c r="M231" s="67"/>
      <c r="N231" s="67"/>
      <c r="Q231" s="67"/>
    </row>
    <row r="232" spans="1:17" s="68" customFormat="1" x14ac:dyDescent="0.35">
      <c r="A232" s="66"/>
      <c r="B232" s="66"/>
      <c r="C232" s="67"/>
      <c r="D232" s="67"/>
      <c r="E232" s="67"/>
      <c r="F232" s="67"/>
      <c r="G232" s="67"/>
      <c r="H232" s="67"/>
      <c r="I232" s="67"/>
      <c r="J232" s="67"/>
      <c r="K232" s="67"/>
      <c r="L232" s="67"/>
      <c r="M232" s="67"/>
      <c r="N232" s="67"/>
      <c r="Q232" s="67"/>
    </row>
    <row r="233" spans="1:17" s="68" customFormat="1" x14ac:dyDescent="0.35">
      <c r="A233" s="66"/>
      <c r="B233" s="66"/>
      <c r="C233" s="67"/>
      <c r="D233" s="67"/>
      <c r="E233" s="67"/>
      <c r="F233" s="67"/>
      <c r="G233" s="67"/>
      <c r="H233" s="67"/>
      <c r="I233" s="67"/>
      <c r="J233" s="67"/>
      <c r="K233" s="67"/>
      <c r="L233" s="67"/>
      <c r="M233" s="67"/>
      <c r="N233" s="67"/>
      <c r="Q233" s="67"/>
    </row>
    <row r="234" spans="1:17" s="68" customFormat="1" x14ac:dyDescent="0.35">
      <c r="A234" s="66"/>
      <c r="B234" s="66"/>
      <c r="C234" s="67"/>
      <c r="D234" s="67"/>
      <c r="E234" s="67"/>
      <c r="F234" s="67"/>
      <c r="G234" s="67"/>
      <c r="H234" s="67"/>
      <c r="I234" s="67"/>
      <c r="J234" s="67"/>
      <c r="K234" s="67"/>
      <c r="L234" s="67"/>
      <c r="M234" s="67"/>
      <c r="N234" s="67"/>
      <c r="Q234" s="67"/>
    </row>
    <row r="235" spans="1:17" s="68" customFormat="1" x14ac:dyDescent="0.35">
      <c r="A235" s="66"/>
      <c r="B235" s="66"/>
      <c r="C235" s="67"/>
      <c r="D235" s="67"/>
      <c r="E235" s="67"/>
      <c r="F235" s="67"/>
      <c r="G235" s="67"/>
      <c r="H235" s="67"/>
      <c r="I235" s="67"/>
      <c r="J235" s="67"/>
      <c r="K235" s="67"/>
      <c r="L235" s="67"/>
      <c r="M235" s="67"/>
      <c r="N235" s="67"/>
      <c r="Q235" s="67"/>
    </row>
    <row r="236" spans="1:17" s="68" customFormat="1" x14ac:dyDescent="0.35">
      <c r="A236" s="66"/>
      <c r="B236" s="66"/>
      <c r="C236" s="67"/>
      <c r="D236" s="67"/>
      <c r="E236" s="67"/>
      <c r="F236" s="67"/>
      <c r="G236" s="67"/>
      <c r="H236" s="67"/>
      <c r="I236" s="67"/>
      <c r="J236" s="67"/>
      <c r="K236" s="67"/>
      <c r="L236" s="67"/>
      <c r="M236" s="67"/>
      <c r="N236" s="67"/>
      <c r="Q236" s="67"/>
    </row>
    <row r="237" spans="1:17" s="68" customFormat="1" x14ac:dyDescent="0.35">
      <c r="A237" s="66"/>
      <c r="B237" s="66"/>
      <c r="C237" s="67"/>
      <c r="D237" s="67"/>
      <c r="E237" s="67"/>
      <c r="F237" s="67"/>
      <c r="G237" s="67"/>
      <c r="H237" s="67"/>
      <c r="I237" s="67"/>
      <c r="J237" s="67"/>
      <c r="K237" s="67"/>
      <c r="L237" s="67"/>
      <c r="M237" s="67"/>
      <c r="N237" s="67"/>
      <c r="Q237" s="67"/>
    </row>
    <row r="238" spans="1:17" s="68" customFormat="1" x14ac:dyDescent="0.35">
      <c r="A238" s="66"/>
      <c r="B238" s="66"/>
      <c r="C238" s="67"/>
      <c r="D238" s="67"/>
      <c r="E238" s="67"/>
      <c r="F238" s="67"/>
      <c r="G238" s="67"/>
      <c r="H238" s="67"/>
      <c r="I238" s="67"/>
      <c r="J238" s="67"/>
      <c r="K238" s="67"/>
      <c r="L238" s="67"/>
      <c r="M238" s="67"/>
      <c r="N238" s="67"/>
      <c r="Q238" s="67"/>
    </row>
    <row r="239" spans="1:17" s="68" customFormat="1" x14ac:dyDescent="0.35">
      <c r="A239" s="66"/>
      <c r="B239" s="66"/>
      <c r="C239" s="67"/>
      <c r="D239" s="67"/>
      <c r="E239" s="67"/>
      <c r="F239" s="67"/>
      <c r="G239" s="67"/>
      <c r="H239" s="67"/>
      <c r="I239" s="67"/>
      <c r="J239" s="67"/>
      <c r="K239" s="67"/>
      <c r="L239" s="67"/>
      <c r="M239" s="67"/>
      <c r="N239" s="67"/>
      <c r="Q239" s="67"/>
    </row>
    <row r="240" spans="1:17" s="68" customFormat="1" x14ac:dyDescent="0.35">
      <c r="A240" s="66"/>
      <c r="B240" s="66"/>
      <c r="C240" s="67"/>
      <c r="D240" s="67"/>
      <c r="E240" s="67"/>
      <c r="F240" s="67"/>
      <c r="G240" s="67"/>
      <c r="H240" s="67"/>
      <c r="I240" s="67"/>
      <c r="J240" s="67"/>
      <c r="K240" s="67"/>
      <c r="L240" s="67"/>
      <c r="M240" s="67"/>
      <c r="N240" s="67"/>
      <c r="Q240" s="67"/>
    </row>
    <row r="241" spans="1:17" s="68" customFormat="1" x14ac:dyDescent="0.35">
      <c r="A241" s="66"/>
      <c r="B241" s="66"/>
      <c r="C241" s="67"/>
      <c r="D241" s="67"/>
      <c r="E241" s="67"/>
      <c r="F241" s="67"/>
      <c r="G241" s="67"/>
      <c r="H241" s="67"/>
      <c r="I241" s="67"/>
      <c r="J241" s="67"/>
      <c r="K241" s="67"/>
      <c r="L241" s="67"/>
      <c r="M241" s="67"/>
      <c r="N241" s="67"/>
      <c r="Q241" s="67"/>
    </row>
    <row r="242" spans="1:17" s="68" customFormat="1" x14ac:dyDescent="0.35">
      <c r="A242" s="66"/>
      <c r="B242" s="66"/>
      <c r="C242" s="67"/>
      <c r="D242" s="67"/>
      <c r="E242" s="67"/>
      <c r="F242" s="67"/>
      <c r="G242" s="67"/>
      <c r="H242" s="67"/>
      <c r="I242" s="67"/>
      <c r="J242" s="67"/>
      <c r="K242" s="67"/>
      <c r="L242" s="67"/>
      <c r="M242" s="67"/>
      <c r="N242" s="67"/>
      <c r="Q242" s="67"/>
    </row>
    <row r="243" spans="1:17" s="68" customFormat="1" x14ac:dyDescent="0.35">
      <c r="A243" s="66"/>
      <c r="B243" s="66"/>
      <c r="C243" s="67"/>
      <c r="D243" s="67"/>
      <c r="E243" s="67"/>
      <c r="F243" s="67"/>
      <c r="G243" s="67"/>
      <c r="H243" s="67"/>
      <c r="I243" s="67"/>
      <c r="J243" s="67"/>
      <c r="K243" s="67"/>
      <c r="L243" s="67"/>
      <c r="M243" s="67"/>
      <c r="N243" s="67"/>
      <c r="Q243" s="67"/>
    </row>
    <row r="244" spans="1:17" s="68" customFormat="1" x14ac:dyDescent="0.35">
      <c r="A244" s="66"/>
      <c r="B244" s="66"/>
      <c r="C244" s="67"/>
      <c r="D244" s="67"/>
      <c r="E244" s="67"/>
      <c r="F244" s="67"/>
      <c r="G244" s="67"/>
      <c r="H244" s="67"/>
      <c r="I244" s="67"/>
      <c r="J244" s="67"/>
      <c r="K244" s="67"/>
      <c r="L244" s="67"/>
      <c r="M244" s="67"/>
      <c r="N244" s="67"/>
      <c r="Q244" s="67"/>
    </row>
    <row r="245" spans="1:17" s="68" customFormat="1" x14ac:dyDescent="0.35">
      <c r="A245" s="66"/>
      <c r="B245" s="66"/>
      <c r="C245" s="67"/>
      <c r="D245" s="67"/>
      <c r="E245" s="67"/>
      <c r="F245" s="67"/>
      <c r="G245" s="67"/>
      <c r="H245" s="67"/>
      <c r="I245" s="67"/>
      <c r="J245" s="67"/>
      <c r="K245" s="67"/>
      <c r="L245" s="67"/>
      <c r="M245" s="67"/>
      <c r="N245" s="67"/>
      <c r="Q245" s="67"/>
    </row>
    <row r="246" spans="1:17" s="68" customFormat="1" x14ac:dyDescent="0.35">
      <c r="A246" s="66"/>
      <c r="B246" s="66"/>
      <c r="C246" s="67"/>
      <c r="D246" s="67"/>
      <c r="E246" s="67"/>
      <c r="F246" s="67"/>
      <c r="G246" s="67"/>
      <c r="H246" s="67"/>
      <c r="I246" s="67"/>
      <c r="J246" s="67"/>
      <c r="K246" s="67"/>
      <c r="L246" s="67"/>
      <c r="M246" s="67"/>
      <c r="N246" s="67"/>
      <c r="Q246" s="67"/>
    </row>
    <row r="247" spans="1:17" s="68" customFormat="1" x14ac:dyDescent="0.35">
      <c r="A247" s="66"/>
      <c r="B247" s="66"/>
      <c r="C247" s="67"/>
      <c r="D247" s="67"/>
      <c r="E247" s="67"/>
      <c r="F247" s="67"/>
      <c r="G247" s="67"/>
      <c r="H247" s="67"/>
      <c r="I247" s="67"/>
      <c r="J247" s="67"/>
      <c r="K247" s="67"/>
      <c r="L247" s="67"/>
      <c r="M247" s="67"/>
      <c r="N247" s="67"/>
      <c r="Q247" s="67"/>
    </row>
    <row r="248" spans="1:17" s="68" customFormat="1" x14ac:dyDescent="0.35">
      <c r="A248" s="66"/>
      <c r="B248" s="66"/>
      <c r="C248" s="67"/>
      <c r="D248" s="67"/>
      <c r="E248" s="67"/>
      <c r="F248" s="67"/>
      <c r="G248" s="67"/>
      <c r="H248" s="67"/>
      <c r="I248" s="67"/>
      <c r="J248" s="67"/>
      <c r="K248" s="67"/>
      <c r="L248" s="67"/>
      <c r="M248" s="67"/>
      <c r="N248" s="67"/>
      <c r="Q248" s="67"/>
    </row>
    <row r="249" spans="1:17" s="68" customFormat="1" x14ac:dyDescent="0.35">
      <c r="A249" s="66"/>
      <c r="B249" s="66"/>
      <c r="C249" s="67"/>
      <c r="D249" s="67"/>
      <c r="E249" s="67"/>
      <c r="F249" s="67"/>
      <c r="G249" s="67"/>
      <c r="H249" s="67"/>
      <c r="I249" s="67"/>
      <c r="J249" s="67"/>
      <c r="K249" s="67"/>
      <c r="L249" s="67"/>
      <c r="M249" s="67"/>
      <c r="N249" s="67"/>
      <c r="Q249" s="67"/>
    </row>
    <row r="250" spans="1:17" s="68" customFormat="1" x14ac:dyDescent="0.35">
      <c r="A250" s="66"/>
      <c r="B250" s="66"/>
      <c r="C250" s="67"/>
      <c r="D250" s="67"/>
      <c r="E250" s="67"/>
      <c r="F250" s="67"/>
      <c r="G250" s="67"/>
      <c r="H250" s="67"/>
      <c r="I250" s="67"/>
      <c r="J250" s="67"/>
      <c r="K250" s="67"/>
      <c r="L250" s="67"/>
      <c r="M250" s="67"/>
      <c r="N250" s="67"/>
      <c r="Q250" s="67"/>
    </row>
    <row r="251" spans="1:17" s="68" customFormat="1" x14ac:dyDescent="0.35">
      <c r="A251" s="66"/>
      <c r="B251" s="66"/>
      <c r="C251" s="67"/>
      <c r="D251" s="67"/>
      <c r="E251" s="67"/>
      <c r="F251" s="67"/>
      <c r="G251" s="67"/>
      <c r="H251" s="67"/>
      <c r="I251" s="67"/>
      <c r="J251" s="67"/>
      <c r="K251" s="67"/>
      <c r="L251" s="67"/>
      <c r="M251" s="67"/>
      <c r="N251" s="67"/>
      <c r="Q251" s="67"/>
    </row>
    <row r="252" spans="1:17" s="68" customFormat="1" x14ac:dyDescent="0.35">
      <c r="A252" s="66"/>
      <c r="B252" s="66"/>
      <c r="C252" s="67"/>
      <c r="D252" s="67"/>
      <c r="E252" s="67"/>
      <c r="F252" s="67"/>
      <c r="G252" s="67"/>
      <c r="H252" s="67"/>
      <c r="I252" s="67"/>
      <c r="J252" s="67"/>
      <c r="K252" s="67"/>
      <c r="L252" s="67"/>
      <c r="M252" s="67"/>
      <c r="N252" s="67"/>
      <c r="Q252" s="67"/>
    </row>
    <row r="253" spans="1:17" s="68" customFormat="1" x14ac:dyDescent="0.35">
      <c r="A253" s="66"/>
      <c r="B253" s="66"/>
      <c r="C253" s="67"/>
      <c r="D253" s="67"/>
      <c r="E253" s="67"/>
      <c r="F253" s="67"/>
      <c r="G253" s="67"/>
      <c r="H253" s="67"/>
      <c r="I253" s="67"/>
      <c r="J253" s="67"/>
      <c r="K253" s="67"/>
      <c r="L253" s="67"/>
      <c r="M253" s="67"/>
      <c r="N253" s="67"/>
      <c r="Q253" s="67"/>
    </row>
    <row r="254" spans="1:17" s="68" customFormat="1" x14ac:dyDescent="0.35">
      <c r="A254" s="66"/>
      <c r="B254" s="66"/>
      <c r="C254" s="67"/>
      <c r="D254" s="67"/>
      <c r="E254" s="67"/>
      <c r="F254" s="67"/>
      <c r="G254" s="67"/>
      <c r="H254" s="67"/>
      <c r="I254" s="67"/>
      <c r="J254" s="67"/>
      <c r="K254" s="67"/>
      <c r="L254" s="67"/>
      <c r="M254" s="67"/>
      <c r="N254" s="67"/>
      <c r="Q254" s="67"/>
    </row>
    <row r="255" spans="1:17" s="68" customFormat="1" x14ac:dyDescent="0.35">
      <c r="A255" s="66"/>
      <c r="B255" s="66"/>
      <c r="C255" s="67"/>
      <c r="D255" s="67"/>
      <c r="E255" s="67"/>
      <c r="F255" s="67"/>
      <c r="G255" s="67"/>
      <c r="H255" s="67"/>
      <c r="I255" s="67"/>
      <c r="J255" s="67"/>
      <c r="K255" s="67"/>
      <c r="L255" s="67"/>
      <c r="M255" s="67"/>
      <c r="N255" s="67"/>
      <c r="Q255" s="67"/>
    </row>
    <row r="256" spans="1:17" s="68" customFormat="1" x14ac:dyDescent="0.35">
      <c r="A256" s="66"/>
      <c r="B256" s="66"/>
      <c r="C256" s="67"/>
      <c r="D256" s="67"/>
      <c r="E256" s="67"/>
      <c r="F256" s="67"/>
      <c r="G256" s="67"/>
      <c r="H256" s="67"/>
      <c r="I256" s="67"/>
      <c r="J256" s="67"/>
      <c r="K256" s="67"/>
      <c r="L256" s="67"/>
      <c r="M256" s="67"/>
      <c r="N256" s="67"/>
      <c r="Q256" s="67"/>
    </row>
    <row r="257" spans="1:17" s="68" customFormat="1" x14ac:dyDescent="0.35">
      <c r="A257" s="66"/>
      <c r="B257" s="66"/>
      <c r="C257" s="67"/>
      <c r="D257" s="67"/>
      <c r="E257" s="67"/>
      <c r="F257" s="67"/>
      <c r="G257" s="67"/>
      <c r="H257" s="67"/>
      <c r="I257" s="67"/>
      <c r="J257" s="67"/>
      <c r="K257" s="67"/>
      <c r="L257" s="67"/>
      <c r="M257" s="67"/>
      <c r="N257" s="67"/>
      <c r="Q257" s="67"/>
    </row>
    <row r="258" spans="1:17" s="68" customFormat="1" x14ac:dyDescent="0.35">
      <c r="A258" s="66"/>
      <c r="B258" s="66"/>
      <c r="C258" s="67"/>
      <c r="D258" s="67"/>
      <c r="E258" s="67"/>
      <c r="F258" s="67"/>
      <c r="G258" s="67"/>
      <c r="H258" s="67"/>
      <c r="I258" s="67"/>
      <c r="J258" s="67"/>
      <c r="K258" s="67"/>
      <c r="L258" s="67"/>
      <c r="M258" s="67"/>
      <c r="N258" s="67"/>
      <c r="Q258" s="67"/>
    </row>
    <row r="259" spans="1:17" s="68" customFormat="1" x14ac:dyDescent="0.35">
      <c r="A259" s="66"/>
      <c r="B259" s="66"/>
      <c r="C259" s="67"/>
      <c r="D259" s="67"/>
      <c r="E259" s="67"/>
      <c r="F259" s="67"/>
      <c r="G259" s="67"/>
      <c r="H259" s="67"/>
      <c r="I259" s="67"/>
      <c r="J259" s="67"/>
      <c r="K259" s="67"/>
      <c r="L259" s="67"/>
      <c r="M259" s="67"/>
      <c r="N259" s="67"/>
      <c r="Q259" s="67"/>
    </row>
    <row r="260" spans="1:17" s="68" customFormat="1" x14ac:dyDescent="0.35">
      <c r="A260" s="66"/>
      <c r="B260" s="66"/>
      <c r="C260" s="67"/>
      <c r="D260" s="67"/>
      <c r="E260" s="67"/>
      <c r="F260" s="67"/>
      <c r="G260" s="67"/>
      <c r="H260" s="67"/>
      <c r="I260" s="67"/>
      <c r="J260" s="67"/>
      <c r="K260" s="67"/>
      <c r="L260" s="67"/>
      <c r="M260" s="67"/>
      <c r="N260" s="67"/>
      <c r="Q260" s="67"/>
    </row>
    <row r="261" spans="1:17" s="68" customFormat="1" x14ac:dyDescent="0.35">
      <c r="A261" s="66"/>
      <c r="B261" s="66"/>
      <c r="C261" s="67"/>
      <c r="D261" s="67"/>
      <c r="E261" s="67"/>
      <c r="F261" s="67"/>
      <c r="G261" s="67"/>
      <c r="H261" s="67"/>
      <c r="I261" s="67"/>
      <c r="J261" s="67"/>
      <c r="K261" s="67"/>
      <c r="L261" s="67"/>
      <c r="M261" s="67"/>
      <c r="N261" s="67"/>
      <c r="Q261" s="67"/>
    </row>
    <row r="262" spans="1:17" s="68" customFormat="1" x14ac:dyDescent="0.35">
      <c r="A262" s="66"/>
      <c r="B262" s="66"/>
      <c r="C262" s="67"/>
      <c r="D262" s="67"/>
      <c r="E262" s="67"/>
      <c r="F262" s="67"/>
      <c r="G262" s="67"/>
      <c r="H262" s="67"/>
      <c r="I262" s="67"/>
      <c r="J262" s="67"/>
      <c r="K262" s="67"/>
      <c r="L262" s="67"/>
      <c r="M262" s="67"/>
      <c r="N262" s="67"/>
      <c r="Q262" s="67"/>
    </row>
    <row r="263" spans="1:17" s="68" customFormat="1" x14ac:dyDescent="0.35">
      <c r="A263" s="66"/>
      <c r="B263" s="66"/>
      <c r="C263" s="67"/>
      <c r="D263" s="67"/>
      <c r="E263" s="67"/>
      <c r="F263" s="67"/>
      <c r="G263" s="67"/>
      <c r="H263" s="67"/>
      <c r="I263" s="67"/>
      <c r="J263" s="67"/>
      <c r="K263" s="67"/>
      <c r="L263" s="67"/>
      <c r="M263" s="67"/>
      <c r="N263" s="67"/>
      <c r="Q263" s="67"/>
    </row>
    <row r="264" spans="1:17" s="68" customFormat="1" x14ac:dyDescent="0.35">
      <c r="A264" s="66"/>
      <c r="B264" s="66"/>
      <c r="C264" s="67"/>
      <c r="D264" s="67"/>
      <c r="E264" s="67"/>
      <c r="F264" s="67"/>
      <c r="G264" s="67"/>
      <c r="H264" s="67"/>
      <c r="I264" s="67"/>
      <c r="J264" s="67"/>
      <c r="K264" s="67"/>
      <c r="L264" s="67"/>
      <c r="M264" s="67"/>
      <c r="N264" s="67"/>
      <c r="Q264" s="67"/>
    </row>
    <row r="265" spans="1:17" s="68" customFormat="1" x14ac:dyDescent="0.35">
      <c r="A265" s="66"/>
      <c r="B265" s="66"/>
      <c r="C265" s="67"/>
      <c r="D265" s="67"/>
      <c r="E265" s="67"/>
      <c r="F265" s="67"/>
      <c r="G265" s="67"/>
      <c r="H265" s="67"/>
      <c r="I265" s="67"/>
      <c r="J265" s="67"/>
      <c r="K265" s="67"/>
      <c r="L265" s="67"/>
      <c r="M265" s="67"/>
      <c r="N265" s="67"/>
      <c r="Q265" s="67"/>
    </row>
    <row r="266" spans="1:17" s="68" customFormat="1" x14ac:dyDescent="0.35">
      <c r="A266" s="66"/>
      <c r="B266" s="66"/>
      <c r="C266" s="67"/>
      <c r="D266" s="67"/>
      <c r="E266" s="67"/>
      <c r="F266" s="67"/>
      <c r="G266" s="67"/>
      <c r="H266" s="67"/>
      <c r="I266" s="67"/>
      <c r="J266" s="67"/>
      <c r="K266" s="67"/>
      <c r="L266" s="67"/>
      <c r="M266" s="67"/>
      <c r="N266" s="67"/>
      <c r="Q266" s="67"/>
    </row>
    <row r="267" spans="1:17" s="68" customFormat="1" x14ac:dyDescent="0.35">
      <c r="A267" s="66"/>
      <c r="B267" s="66"/>
      <c r="C267" s="67"/>
      <c r="D267" s="67"/>
      <c r="E267" s="67"/>
      <c r="F267" s="67"/>
      <c r="G267" s="67"/>
      <c r="H267" s="67"/>
      <c r="I267" s="67"/>
      <c r="J267" s="67"/>
      <c r="K267" s="67"/>
      <c r="L267" s="67"/>
      <c r="M267" s="67"/>
      <c r="N267" s="67"/>
      <c r="Q267" s="67"/>
    </row>
    <row r="268" spans="1:17" s="68" customFormat="1" x14ac:dyDescent="0.35">
      <c r="A268" s="66"/>
      <c r="B268" s="66"/>
      <c r="C268" s="67"/>
      <c r="D268" s="67"/>
      <c r="E268" s="67"/>
      <c r="F268" s="67"/>
      <c r="G268" s="67"/>
      <c r="H268" s="67"/>
      <c r="I268" s="67"/>
      <c r="J268" s="67"/>
      <c r="K268" s="67"/>
      <c r="L268" s="67"/>
      <c r="M268" s="67"/>
      <c r="N268" s="67"/>
      <c r="Q268" s="67"/>
    </row>
    <row r="269" spans="1:17" s="68" customFormat="1" x14ac:dyDescent="0.35">
      <c r="A269" s="66"/>
      <c r="B269" s="66"/>
      <c r="C269" s="67"/>
      <c r="D269" s="67"/>
      <c r="E269" s="67"/>
      <c r="F269" s="67"/>
      <c r="G269" s="67"/>
      <c r="H269" s="67"/>
      <c r="I269" s="67"/>
      <c r="J269" s="67"/>
      <c r="K269" s="67"/>
      <c r="L269" s="67"/>
      <c r="M269" s="67"/>
      <c r="N269" s="67"/>
      <c r="Q269" s="67"/>
    </row>
    <row r="270" spans="1:17" s="68" customFormat="1" x14ac:dyDescent="0.35">
      <c r="A270" s="66"/>
      <c r="B270" s="66"/>
      <c r="C270" s="67"/>
      <c r="D270" s="67"/>
      <c r="E270" s="67"/>
      <c r="F270" s="67"/>
      <c r="G270" s="67"/>
      <c r="H270" s="67"/>
      <c r="I270" s="67"/>
      <c r="J270" s="67"/>
      <c r="K270" s="67"/>
      <c r="L270" s="67"/>
      <c r="M270" s="67"/>
      <c r="N270" s="67"/>
      <c r="Q270" s="67"/>
    </row>
    <row r="271" spans="1:17" s="68" customFormat="1" x14ac:dyDescent="0.35">
      <c r="A271" s="66"/>
      <c r="B271" s="66"/>
      <c r="C271" s="67"/>
      <c r="D271" s="67"/>
      <c r="E271" s="67"/>
      <c r="F271" s="67"/>
      <c r="G271" s="67"/>
      <c r="H271" s="67"/>
      <c r="I271" s="67"/>
      <c r="J271" s="67"/>
      <c r="K271" s="67"/>
      <c r="L271" s="67"/>
      <c r="M271" s="67"/>
      <c r="N271" s="67"/>
      <c r="Q271" s="67"/>
    </row>
    <row r="272" spans="1:17" s="68" customFormat="1" x14ac:dyDescent="0.35">
      <c r="A272" s="66"/>
      <c r="B272" s="66"/>
      <c r="C272" s="67"/>
      <c r="D272" s="67"/>
      <c r="E272" s="67"/>
      <c r="F272" s="67"/>
      <c r="G272" s="67"/>
      <c r="H272" s="67"/>
      <c r="I272" s="67"/>
      <c r="J272" s="67"/>
      <c r="K272" s="67"/>
      <c r="L272" s="67"/>
      <c r="M272" s="67"/>
      <c r="N272" s="67"/>
      <c r="Q272" s="67"/>
    </row>
    <row r="273" spans="1:17" s="68" customFormat="1" x14ac:dyDescent="0.35">
      <c r="A273" s="66"/>
      <c r="B273" s="66"/>
      <c r="C273" s="67"/>
      <c r="D273" s="67"/>
      <c r="E273" s="67"/>
      <c r="F273" s="67"/>
      <c r="G273" s="67"/>
      <c r="H273" s="67"/>
      <c r="I273" s="67"/>
      <c r="J273" s="67"/>
      <c r="K273" s="67"/>
      <c r="L273" s="67"/>
      <c r="M273" s="67"/>
      <c r="N273" s="67"/>
      <c r="Q273" s="67"/>
    </row>
    <row r="274" spans="1:17" s="68" customFormat="1" x14ac:dyDescent="0.35">
      <c r="A274" s="66"/>
      <c r="B274" s="66"/>
      <c r="C274" s="67"/>
      <c r="D274" s="67"/>
      <c r="E274" s="67"/>
      <c r="F274" s="67"/>
      <c r="G274" s="67"/>
      <c r="H274" s="67"/>
      <c r="I274" s="67"/>
      <c r="J274" s="67"/>
      <c r="K274" s="67"/>
      <c r="L274" s="67"/>
      <c r="M274" s="67"/>
      <c r="N274" s="67"/>
      <c r="Q274" s="67"/>
    </row>
    <row r="275" spans="1:17" s="68" customFormat="1" x14ac:dyDescent="0.35">
      <c r="A275" s="66"/>
      <c r="B275" s="66"/>
      <c r="C275" s="67"/>
      <c r="D275" s="67"/>
      <c r="E275" s="67"/>
      <c r="F275" s="67"/>
      <c r="G275" s="67"/>
      <c r="H275" s="67"/>
      <c r="I275" s="67"/>
      <c r="J275" s="67"/>
      <c r="K275" s="67"/>
      <c r="L275" s="67"/>
      <c r="M275" s="67"/>
      <c r="N275" s="67"/>
      <c r="Q275" s="67"/>
    </row>
    <row r="276" spans="1:17" s="68" customFormat="1" x14ac:dyDescent="0.35">
      <c r="A276" s="66"/>
      <c r="B276" s="66"/>
      <c r="C276" s="67"/>
      <c r="D276" s="67"/>
      <c r="E276" s="67"/>
      <c r="F276" s="67"/>
      <c r="G276" s="67"/>
      <c r="H276" s="67"/>
      <c r="I276" s="67"/>
      <c r="J276" s="67"/>
      <c r="K276" s="67"/>
      <c r="L276" s="67"/>
      <c r="M276" s="67"/>
      <c r="N276" s="67"/>
      <c r="Q276" s="67"/>
    </row>
    <row r="277" spans="1:17" s="68" customFormat="1" x14ac:dyDescent="0.35">
      <c r="A277" s="66"/>
      <c r="B277" s="66"/>
      <c r="C277" s="67"/>
      <c r="D277" s="67"/>
      <c r="E277" s="67"/>
      <c r="F277" s="67"/>
      <c r="G277" s="67"/>
      <c r="H277" s="67"/>
      <c r="I277" s="67"/>
      <c r="J277" s="67"/>
      <c r="K277" s="67"/>
      <c r="L277" s="67"/>
      <c r="M277" s="67"/>
      <c r="N277" s="67"/>
      <c r="Q277" s="67"/>
    </row>
    <row r="278" spans="1:17" s="68" customFormat="1" x14ac:dyDescent="0.35">
      <c r="A278" s="66"/>
      <c r="B278" s="66"/>
      <c r="C278" s="67"/>
      <c r="D278" s="67"/>
      <c r="E278" s="67"/>
      <c r="F278" s="67"/>
      <c r="G278" s="67"/>
      <c r="H278" s="67"/>
      <c r="I278" s="67"/>
      <c r="J278" s="67"/>
      <c r="K278" s="67"/>
      <c r="L278" s="67"/>
      <c r="M278" s="67"/>
      <c r="N278" s="67"/>
      <c r="Q278" s="67"/>
    </row>
    <row r="279" spans="1:17" s="68" customFormat="1" x14ac:dyDescent="0.35">
      <c r="A279" s="66"/>
      <c r="B279" s="66"/>
      <c r="C279" s="67"/>
      <c r="D279" s="67"/>
      <c r="E279" s="67"/>
      <c r="F279" s="67"/>
      <c r="G279" s="67"/>
      <c r="H279" s="67"/>
      <c r="I279" s="67"/>
      <c r="J279" s="67"/>
      <c r="K279" s="67"/>
      <c r="L279" s="67"/>
      <c r="M279" s="67"/>
      <c r="N279" s="67"/>
      <c r="Q279" s="67"/>
    </row>
    <row r="280" spans="1:17" s="68" customFormat="1" x14ac:dyDescent="0.35">
      <c r="A280" s="66"/>
      <c r="B280" s="66"/>
      <c r="C280" s="67"/>
      <c r="D280" s="67"/>
      <c r="E280" s="67"/>
      <c r="F280" s="67"/>
      <c r="G280" s="67"/>
      <c r="H280" s="67"/>
      <c r="I280" s="67"/>
      <c r="J280" s="67"/>
      <c r="K280" s="67"/>
      <c r="L280" s="67"/>
      <c r="M280" s="67"/>
      <c r="N280" s="67"/>
      <c r="Q280" s="67"/>
    </row>
    <row r="281" spans="1:17" s="68" customFormat="1" x14ac:dyDescent="0.35">
      <c r="A281" s="66"/>
      <c r="B281" s="66"/>
      <c r="C281" s="67"/>
      <c r="D281" s="67"/>
      <c r="E281" s="67"/>
      <c r="F281" s="67"/>
      <c r="G281" s="67"/>
      <c r="H281" s="67"/>
      <c r="I281" s="67"/>
      <c r="J281" s="67"/>
      <c r="K281" s="67"/>
      <c r="L281" s="67"/>
      <c r="M281" s="67"/>
      <c r="N281" s="67"/>
      <c r="Q281" s="67"/>
    </row>
    <row r="282" spans="1:17" s="68" customFormat="1" x14ac:dyDescent="0.35">
      <c r="A282" s="66"/>
      <c r="B282" s="66"/>
      <c r="C282" s="67"/>
      <c r="D282" s="67"/>
      <c r="E282" s="67"/>
      <c r="F282" s="67"/>
      <c r="G282" s="67"/>
      <c r="H282" s="67"/>
      <c r="I282" s="67"/>
      <c r="J282" s="67"/>
      <c r="K282" s="67"/>
      <c r="L282" s="67"/>
      <c r="M282" s="67"/>
      <c r="N282" s="67"/>
      <c r="Q282" s="67"/>
    </row>
    <row r="283" spans="1:17" s="68" customFormat="1" x14ac:dyDescent="0.35">
      <c r="A283" s="66"/>
      <c r="B283" s="66"/>
      <c r="C283" s="67"/>
      <c r="D283" s="67"/>
      <c r="E283" s="67"/>
      <c r="F283" s="67"/>
      <c r="G283" s="67"/>
      <c r="H283" s="67"/>
      <c r="I283" s="67"/>
      <c r="J283" s="67"/>
      <c r="K283" s="67"/>
      <c r="L283" s="67"/>
      <c r="M283" s="67"/>
      <c r="N283" s="67"/>
      <c r="Q283" s="67"/>
    </row>
    <row r="284" spans="1:17" s="68" customFormat="1" x14ac:dyDescent="0.35">
      <c r="A284" s="66"/>
      <c r="B284" s="66"/>
      <c r="C284" s="67"/>
      <c r="D284" s="67"/>
      <c r="E284" s="67"/>
      <c r="F284" s="67"/>
      <c r="G284" s="67"/>
      <c r="H284" s="67"/>
      <c r="I284" s="67"/>
      <c r="J284" s="67"/>
      <c r="K284" s="67"/>
      <c r="L284" s="67"/>
      <c r="M284" s="67"/>
      <c r="N284" s="67"/>
      <c r="Q284" s="67"/>
    </row>
    <row r="285" spans="1:17" s="68" customFormat="1" x14ac:dyDescent="0.35">
      <c r="A285" s="66"/>
      <c r="B285" s="66"/>
      <c r="C285" s="67"/>
      <c r="D285" s="67"/>
      <c r="E285" s="67"/>
      <c r="F285" s="67"/>
      <c r="G285" s="67"/>
      <c r="H285" s="67"/>
      <c r="I285" s="67"/>
      <c r="J285" s="67"/>
      <c r="K285" s="67"/>
      <c r="L285" s="67"/>
      <c r="M285" s="67"/>
      <c r="N285" s="67"/>
      <c r="Q285" s="67"/>
    </row>
    <row r="286" spans="1:17" s="68" customFormat="1" x14ac:dyDescent="0.35">
      <c r="A286" s="66"/>
      <c r="B286" s="66"/>
      <c r="C286" s="67"/>
      <c r="D286" s="67"/>
      <c r="E286" s="67"/>
      <c r="F286" s="67"/>
      <c r="G286" s="67"/>
      <c r="H286" s="67"/>
      <c r="I286" s="67"/>
      <c r="J286" s="67"/>
      <c r="K286" s="67"/>
      <c r="L286" s="67"/>
      <c r="M286" s="67"/>
      <c r="N286" s="67"/>
      <c r="Q286" s="67"/>
    </row>
    <row r="287" spans="1:17" s="68" customFormat="1" x14ac:dyDescent="0.35">
      <c r="A287" s="66"/>
      <c r="B287" s="66"/>
      <c r="C287" s="67"/>
      <c r="D287" s="67"/>
      <c r="E287" s="67"/>
      <c r="F287" s="67"/>
      <c r="G287" s="67"/>
      <c r="H287" s="67"/>
      <c r="I287" s="67"/>
      <c r="J287" s="67"/>
      <c r="K287" s="67"/>
      <c r="L287" s="67"/>
      <c r="M287" s="67"/>
      <c r="N287" s="67"/>
      <c r="Q287" s="67"/>
    </row>
    <row r="288" spans="1:17" s="68" customFormat="1" x14ac:dyDescent="0.35">
      <c r="A288" s="66"/>
      <c r="B288" s="66"/>
      <c r="C288" s="67"/>
      <c r="D288" s="67"/>
      <c r="E288" s="67"/>
      <c r="F288" s="67"/>
      <c r="G288" s="67"/>
      <c r="H288" s="67"/>
      <c r="I288" s="67"/>
      <c r="J288" s="67"/>
      <c r="K288" s="67"/>
      <c r="L288" s="67"/>
      <c r="M288" s="67"/>
      <c r="N288" s="67"/>
      <c r="Q288" s="67"/>
    </row>
    <row r="289" spans="1:17" s="68" customFormat="1" x14ac:dyDescent="0.35">
      <c r="A289" s="66"/>
      <c r="B289" s="66"/>
      <c r="C289" s="67"/>
      <c r="D289" s="67"/>
      <c r="E289" s="67"/>
      <c r="F289" s="67"/>
      <c r="G289" s="67"/>
      <c r="H289" s="67"/>
      <c r="I289" s="67"/>
      <c r="J289" s="67"/>
      <c r="K289" s="67"/>
      <c r="L289" s="67"/>
      <c r="M289" s="67"/>
      <c r="N289" s="67"/>
      <c r="Q289" s="67"/>
    </row>
    <row r="290" spans="1:17" s="68" customFormat="1" x14ac:dyDescent="0.35">
      <c r="A290" s="66"/>
      <c r="B290" s="66"/>
      <c r="C290" s="67"/>
      <c r="D290" s="67"/>
      <c r="E290" s="67"/>
      <c r="F290" s="67"/>
      <c r="G290" s="67"/>
      <c r="H290" s="67"/>
      <c r="I290" s="67"/>
      <c r="J290" s="67"/>
      <c r="K290" s="67"/>
      <c r="L290" s="67"/>
      <c r="M290" s="67"/>
      <c r="N290" s="67"/>
      <c r="Q290" s="67"/>
    </row>
    <row r="291" spans="1:17" s="68" customFormat="1" x14ac:dyDescent="0.35">
      <c r="A291" s="66"/>
      <c r="B291" s="66"/>
      <c r="C291" s="67"/>
      <c r="D291" s="67"/>
      <c r="E291" s="67"/>
      <c r="F291" s="67"/>
      <c r="G291" s="67"/>
      <c r="H291" s="67"/>
      <c r="I291" s="67"/>
      <c r="J291" s="67"/>
      <c r="K291" s="67"/>
      <c r="L291" s="67"/>
      <c r="M291" s="67"/>
      <c r="N291" s="67"/>
      <c r="Q291" s="67"/>
    </row>
    <row r="292" spans="1:17" s="68" customFormat="1" x14ac:dyDescent="0.35">
      <c r="A292" s="66"/>
      <c r="B292" s="66"/>
      <c r="C292" s="67"/>
      <c r="D292" s="67"/>
      <c r="E292" s="67"/>
      <c r="F292" s="67"/>
      <c r="G292" s="67"/>
      <c r="H292" s="67"/>
      <c r="I292" s="67"/>
      <c r="J292" s="67"/>
      <c r="K292" s="67"/>
      <c r="L292" s="67"/>
      <c r="M292" s="67"/>
      <c r="N292" s="67"/>
      <c r="Q292" s="67"/>
    </row>
    <row r="293" spans="1:17" s="68" customFormat="1" x14ac:dyDescent="0.35">
      <c r="A293" s="66"/>
      <c r="B293" s="66"/>
      <c r="C293" s="67"/>
      <c r="D293" s="67"/>
      <c r="E293" s="67"/>
      <c r="F293" s="67"/>
      <c r="G293" s="67"/>
      <c r="H293" s="67"/>
      <c r="I293" s="67"/>
      <c r="J293" s="67"/>
      <c r="K293" s="67"/>
      <c r="L293" s="67"/>
      <c r="M293" s="67"/>
      <c r="N293" s="67"/>
      <c r="Q293" s="67"/>
    </row>
    <row r="294" spans="1:17" s="68" customFormat="1" x14ac:dyDescent="0.35">
      <c r="A294" s="66"/>
      <c r="B294" s="66"/>
      <c r="C294" s="67"/>
      <c r="D294" s="67"/>
      <c r="E294" s="67"/>
      <c r="F294" s="67"/>
      <c r="G294" s="67"/>
      <c r="H294" s="67"/>
      <c r="I294" s="67"/>
      <c r="J294" s="67"/>
      <c r="K294" s="67"/>
      <c r="L294" s="67"/>
      <c r="M294" s="67"/>
      <c r="N294" s="67"/>
      <c r="Q294" s="67"/>
    </row>
    <row r="295" spans="1:17" s="68" customFormat="1" x14ac:dyDescent="0.35">
      <c r="A295" s="66"/>
      <c r="B295" s="66"/>
      <c r="C295" s="67"/>
      <c r="D295" s="67"/>
      <c r="E295" s="67"/>
      <c r="F295" s="67"/>
      <c r="G295" s="67"/>
      <c r="H295" s="67"/>
      <c r="I295" s="67"/>
      <c r="J295" s="67"/>
      <c r="K295" s="67"/>
      <c r="L295" s="67"/>
      <c r="M295" s="67"/>
      <c r="N295" s="67"/>
      <c r="Q295" s="67"/>
    </row>
    <row r="296" spans="1:17" s="68" customFormat="1" x14ac:dyDescent="0.35">
      <c r="A296" s="66"/>
      <c r="B296" s="66"/>
      <c r="C296" s="67"/>
      <c r="D296" s="67"/>
      <c r="E296" s="67"/>
      <c r="F296" s="67"/>
      <c r="G296" s="67"/>
      <c r="H296" s="67"/>
      <c r="I296" s="67"/>
      <c r="J296" s="67"/>
      <c r="K296" s="67"/>
      <c r="L296" s="67"/>
      <c r="M296" s="67"/>
      <c r="N296" s="67"/>
      <c r="Q296" s="67"/>
    </row>
    <row r="297" spans="1:17" s="68" customFormat="1" x14ac:dyDescent="0.35">
      <c r="A297" s="66"/>
      <c r="B297" s="66"/>
      <c r="C297" s="67"/>
      <c r="D297" s="67"/>
      <c r="E297" s="67"/>
      <c r="F297" s="67"/>
      <c r="G297" s="67"/>
      <c r="H297" s="67"/>
      <c r="I297" s="67"/>
      <c r="J297" s="67"/>
      <c r="K297" s="67"/>
      <c r="L297" s="67"/>
      <c r="M297" s="67"/>
      <c r="N297" s="67"/>
      <c r="Q297" s="67"/>
    </row>
    <row r="298" spans="1:17" s="68" customFormat="1" x14ac:dyDescent="0.35">
      <c r="A298" s="66"/>
      <c r="B298" s="66"/>
      <c r="C298" s="67"/>
      <c r="D298" s="67"/>
      <c r="E298" s="67"/>
      <c r="F298" s="67"/>
      <c r="G298" s="67"/>
      <c r="H298" s="67"/>
      <c r="I298" s="67"/>
      <c r="J298" s="67"/>
      <c r="K298" s="67"/>
      <c r="L298" s="67"/>
      <c r="M298" s="67"/>
      <c r="N298" s="67"/>
      <c r="Q298" s="67"/>
    </row>
    <row r="299" spans="1:17" s="68" customFormat="1" x14ac:dyDescent="0.35">
      <c r="A299" s="66"/>
      <c r="B299" s="66"/>
      <c r="C299" s="67"/>
      <c r="D299" s="67"/>
      <c r="E299" s="67"/>
      <c r="F299" s="67"/>
      <c r="G299" s="67"/>
      <c r="H299" s="67"/>
      <c r="I299" s="67"/>
      <c r="J299" s="67"/>
      <c r="K299" s="67"/>
      <c r="L299" s="67"/>
      <c r="M299" s="67"/>
      <c r="N299" s="67"/>
      <c r="Q299" s="67"/>
    </row>
    <row r="300" spans="1:17" s="68" customFormat="1" x14ac:dyDescent="0.35">
      <c r="A300" s="66"/>
      <c r="B300" s="66"/>
      <c r="C300" s="67"/>
      <c r="D300" s="67"/>
      <c r="E300" s="67"/>
      <c r="F300" s="67"/>
      <c r="G300" s="67"/>
      <c r="H300" s="67"/>
      <c r="I300" s="67"/>
      <c r="J300" s="67"/>
      <c r="K300" s="67"/>
      <c r="L300" s="67"/>
      <c r="M300" s="67"/>
      <c r="N300" s="67"/>
      <c r="Q300" s="67"/>
    </row>
    <row r="301" spans="1:17" s="68" customFormat="1" x14ac:dyDescent="0.35">
      <c r="A301" s="66"/>
      <c r="B301" s="66"/>
      <c r="C301" s="67"/>
      <c r="D301" s="67"/>
      <c r="E301" s="67"/>
      <c r="F301" s="67"/>
      <c r="G301" s="67"/>
      <c r="H301" s="67"/>
      <c r="I301" s="67"/>
      <c r="J301" s="67"/>
      <c r="K301" s="67"/>
      <c r="L301" s="67"/>
      <c r="M301" s="67"/>
      <c r="N301" s="67"/>
      <c r="Q301" s="67"/>
    </row>
    <row r="302" spans="1:17" s="68" customFormat="1" x14ac:dyDescent="0.35">
      <c r="A302" s="66"/>
      <c r="B302" s="66"/>
      <c r="C302" s="67"/>
      <c r="D302" s="67"/>
      <c r="E302" s="67"/>
      <c r="F302" s="67"/>
      <c r="G302" s="67"/>
      <c r="H302" s="67"/>
      <c r="I302" s="67"/>
      <c r="J302" s="67"/>
      <c r="K302" s="67"/>
      <c r="L302" s="67"/>
      <c r="M302" s="67"/>
      <c r="N302" s="67"/>
      <c r="Q302" s="67"/>
    </row>
    <row r="303" spans="1:17" s="68" customFormat="1" x14ac:dyDescent="0.35">
      <c r="A303" s="66"/>
      <c r="B303" s="66"/>
      <c r="C303" s="67"/>
      <c r="D303" s="67"/>
      <c r="E303" s="67"/>
      <c r="F303" s="67"/>
      <c r="G303" s="67"/>
      <c r="H303" s="67"/>
      <c r="I303" s="67"/>
      <c r="J303" s="67"/>
      <c r="K303" s="67"/>
      <c r="L303" s="67"/>
      <c r="M303" s="67"/>
      <c r="N303" s="67"/>
      <c r="Q303" s="67"/>
    </row>
    <row r="304" spans="1:17" s="68" customFormat="1" x14ac:dyDescent="0.35">
      <c r="A304" s="66"/>
      <c r="B304" s="66"/>
      <c r="C304" s="67"/>
      <c r="D304" s="67"/>
      <c r="E304" s="67"/>
      <c r="F304" s="67"/>
      <c r="G304" s="67"/>
      <c r="H304" s="67"/>
      <c r="I304" s="67"/>
      <c r="J304" s="67"/>
      <c r="K304" s="67"/>
      <c r="L304" s="67"/>
      <c r="M304" s="67"/>
      <c r="N304" s="67"/>
      <c r="Q304" s="67"/>
    </row>
    <row r="305" spans="1:17" s="68" customFormat="1" x14ac:dyDescent="0.35">
      <c r="A305" s="66"/>
      <c r="B305" s="66"/>
      <c r="C305" s="67"/>
      <c r="D305" s="67"/>
      <c r="E305" s="67"/>
      <c r="F305" s="67"/>
      <c r="G305" s="67"/>
      <c r="H305" s="67"/>
      <c r="I305" s="67"/>
      <c r="J305" s="67"/>
      <c r="K305" s="67"/>
      <c r="L305" s="67"/>
      <c r="M305" s="67"/>
      <c r="N305" s="67"/>
      <c r="Q305" s="67"/>
    </row>
    <row r="306" spans="1:17" s="68" customFormat="1" x14ac:dyDescent="0.35">
      <c r="A306" s="66"/>
      <c r="B306" s="66"/>
      <c r="C306" s="67"/>
      <c r="D306" s="67"/>
      <c r="E306" s="67"/>
      <c r="F306" s="67"/>
      <c r="G306" s="67"/>
      <c r="H306" s="67"/>
      <c r="I306" s="67"/>
      <c r="J306" s="67"/>
      <c r="K306" s="67"/>
      <c r="L306" s="67"/>
      <c r="M306" s="67"/>
      <c r="N306" s="67"/>
      <c r="Q306" s="67"/>
    </row>
    <row r="307" spans="1:17" s="68" customFormat="1" x14ac:dyDescent="0.35">
      <c r="A307" s="66"/>
      <c r="B307" s="66"/>
      <c r="C307" s="67"/>
      <c r="D307" s="67"/>
      <c r="E307" s="67"/>
      <c r="F307" s="67"/>
      <c r="G307" s="67"/>
      <c r="H307" s="67"/>
      <c r="I307" s="67"/>
      <c r="J307" s="67"/>
      <c r="K307" s="67"/>
      <c r="L307" s="67"/>
      <c r="M307" s="67"/>
      <c r="N307" s="67"/>
      <c r="Q307" s="67"/>
    </row>
    <row r="308" spans="1:17" s="68" customFormat="1" x14ac:dyDescent="0.35">
      <c r="A308" s="66"/>
      <c r="B308" s="66"/>
      <c r="C308" s="67"/>
      <c r="D308" s="67"/>
      <c r="E308" s="67"/>
      <c r="F308" s="67"/>
      <c r="G308" s="67"/>
      <c r="H308" s="67"/>
      <c r="I308" s="67"/>
      <c r="J308" s="67"/>
      <c r="K308" s="67"/>
      <c r="L308" s="67"/>
      <c r="M308" s="67"/>
      <c r="N308" s="67"/>
      <c r="Q308" s="67"/>
    </row>
    <row r="309" spans="1:17" s="68" customFormat="1" x14ac:dyDescent="0.35">
      <c r="A309" s="66"/>
      <c r="B309" s="66"/>
      <c r="C309" s="67"/>
      <c r="D309" s="67"/>
      <c r="E309" s="67"/>
      <c r="F309" s="67"/>
      <c r="G309" s="67"/>
      <c r="H309" s="67"/>
      <c r="I309" s="67"/>
      <c r="J309" s="67"/>
      <c r="K309" s="67"/>
      <c r="L309" s="67"/>
      <c r="M309" s="67"/>
      <c r="N309" s="67"/>
      <c r="Q309" s="67"/>
    </row>
    <row r="310" spans="1:17" s="68" customFormat="1" x14ac:dyDescent="0.35">
      <c r="A310" s="66"/>
      <c r="B310" s="66"/>
      <c r="C310" s="67"/>
      <c r="D310" s="67"/>
      <c r="E310" s="67"/>
      <c r="F310" s="67"/>
      <c r="G310" s="67"/>
      <c r="H310" s="67"/>
      <c r="I310" s="67"/>
      <c r="J310" s="67"/>
      <c r="K310" s="67"/>
      <c r="L310" s="67"/>
      <c r="M310" s="67"/>
      <c r="N310" s="67"/>
      <c r="Q310" s="67"/>
    </row>
    <row r="311" spans="1:17" s="68" customFormat="1" x14ac:dyDescent="0.35">
      <c r="A311" s="66"/>
      <c r="B311" s="66"/>
      <c r="C311" s="67"/>
      <c r="D311" s="67"/>
      <c r="E311" s="67"/>
      <c r="F311" s="67"/>
      <c r="G311" s="67"/>
      <c r="H311" s="67"/>
      <c r="I311" s="67"/>
      <c r="J311" s="67"/>
      <c r="K311" s="67"/>
      <c r="L311" s="67"/>
      <c r="M311" s="67"/>
      <c r="N311" s="67"/>
      <c r="Q311" s="67"/>
    </row>
    <row r="312" spans="1:17" s="68" customFormat="1" x14ac:dyDescent="0.35">
      <c r="A312" s="66"/>
      <c r="B312" s="66"/>
      <c r="C312" s="67"/>
      <c r="D312" s="67"/>
      <c r="E312" s="67"/>
      <c r="F312" s="67"/>
      <c r="G312" s="67"/>
      <c r="H312" s="67"/>
      <c r="I312" s="67"/>
      <c r="J312" s="67"/>
      <c r="K312" s="67"/>
      <c r="L312" s="67"/>
      <c r="M312" s="67"/>
      <c r="N312" s="67"/>
      <c r="Q312" s="67"/>
    </row>
    <row r="313" spans="1:17" s="68" customFormat="1" x14ac:dyDescent="0.35">
      <c r="A313" s="66"/>
      <c r="B313" s="66"/>
      <c r="C313" s="67"/>
      <c r="D313" s="67"/>
      <c r="E313" s="67"/>
      <c r="F313" s="67"/>
      <c r="G313" s="67"/>
      <c r="H313" s="67"/>
      <c r="I313" s="67"/>
      <c r="J313" s="67"/>
      <c r="K313" s="67"/>
      <c r="L313" s="67"/>
      <c r="M313" s="67"/>
      <c r="N313" s="67"/>
      <c r="Q313" s="67"/>
    </row>
    <row r="314" spans="1:17" s="68" customFormat="1" x14ac:dyDescent="0.35">
      <c r="A314" s="66"/>
      <c r="B314" s="66"/>
      <c r="C314" s="67"/>
      <c r="D314" s="67"/>
      <c r="E314" s="67"/>
      <c r="F314" s="67"/>
      <c r="G314" s="67"/>
      <c r="H314" s="67"/>
      <c r="I314" s="67"/>
      <c r="J314" s="67"/>
      <c r="K314" s="67"/>
      <c r="L314" s="67"/>
      <c r="M314" s="67"/>
      <c r="N314" s="67"/>
      <c r="Q314" s="67"/>
    </row>
    <row r="315" spans="1:17" s="68" customFormat="1" x14ac:dyDescent="0.35">
      <c r="A315" s="66"/>
      <c r="B315" s="66"/>
      <c r="C315" s="67"/>
      <c r="D315" s="67"/>
      <c r="E315" s="67"/>
      <c r="F315" s="67"/>
      <c r="G315" s="67"/>
      <c r="H315" s="67"/>
      <c r="I315" s="67"/>
      <c r="J315" s="67"/>
      <c r="K315" s="67"/>
      <c r="L315" s="67"/>
      <c r="M315" s="67"/>
      <c r="N315" s="67"/>
      <c r="Q315" s="67"/>
    </row>
    <row r="316" spans="1:17" s="68" customFormat="1" x14ac:dyDescent="0.35">
      <c r="A316" s="66"/>
      <c r="B316" s="66"/>
      <c r="C316" s="67"/>
      <c r="D316" s="67"/>
      <c r="E316" s="67"/>
      <c r="F316" s="67"/>
      <c r="G316" s="67"/>
      <c r="H316" s="67"/>
      <c r="I316" s="67"/>
      <c r="J316" s="67"/>
      <c r="K316" s="67"/>
      <c r="L316" s="67"/>
      <c r="M316" s="67"/>
      <c r="N316" s="67"/>
      <c r="Q316" s="67"/>
    </row>
    <row r="317" spans="1:17" s="68" customFormat="1" x14ac:dyDescent="0.35">
      <c r="A317" s="66"/>
      <c r="B317" s="66"/>
      <c r="C317" s="67"/>
      <c r="D317" s="67"/>
      <c r="E317" s="67"/>
      <c r="F317" s="67"/>
      <c r="G317" s="67"/>
      <c r="H317" s="67"/>
      <c r="I317" s="67"/>
      <c r="J317" s="67"/>
      <c r="K317" s="67"/>
      <c r="L317" s="67"/>
      <c r="M317" s="67"/>
      <c r="N317" s="67"/>
      <c r="Q317" s="67"/>
    </row>
    <row r="318" spans="1:17" s="68" customFormat="1" x14ac:dyDescent="0.35">
      <c r="A318" s="66"/>
      <c r="B318" s="66"/>
      <c r="C318" s="67"/>
      <c r="D318" s="67"/>
      <c r="E318" s="67"/>
      <c r="F318" s="67"/>
      <c r="G318" s="67"/>
      <c r="H318" s="67"/>
      <c r="I318" s="67"/>
      <c r="J318" s="67"/>
      <c r="K318" s="67"/>
      <c r="L318" s="67"/>
      <c r="M318" s="67"/>
      <c r="N318" s="67"/>
      <c r="Q318" s="67"/>
    </row>
    <row r="319" spans="1:17" s="68" customFormat="1" x14ac:dyDescent="0.35">
      <c r="A319" s="66"/>
      <c r="B319" s="66"/>
      <c r="C319" s="67"/>
      <c r="D319" s="67"/>
      <c r="E319" s="67"/>
      <c r="F319" s="67"/>
      <c r="G319" s="67"/>
      <c r="H319" s="67"/>
      <c r="I319" s="67"/>
      <c r="J319" s="67"/>
      <c r="K319" s="67"/>
      <c r="L319" s="67"/>
      <c r="M319" s="67"/>
      <c r="N319" s="67"/>
      <c r="Q319" s="67"/>
    </row>
    <row r="320" spans="1:17" s="68" customFormat="1" x14ac:dyDescent="0.35">
      <c r="A320" s="66"/>
      <c r="B320" s="66"/>
      <c r="C320" s="67"/>
      <c r="D320" s="67"/>
      <c r="E320" s="67"/>
      <c r="F320" s="67"/>
      <c r="G320" s="67"/>
      <c r="H320" s="67"/>
      <c r="I320" s="67"/>
      <c r="J320" s="67"/>
      <c r="K320" s="67"/>
      <c r="L320" s="67"/>
      <c r="M320" s="67"/>
      <c r="N320" s="67"/>
      <c r="Q320" s="67"/>
    </row>
    <row r="321" spans="1:17" s="68" customFormat="1" x14ac:dyDescent="0.35">
      <c r="A321" s="66"/>
      <c r="B321" s="66"/>
      <c r="C321" s="67"/>
      <c r="D321" s="67"/>
      <c r="E321" s="67"/>
      <c r="F321" s="67"/>
      <c r="G321" s="67"/>
      <c r="H321" s="67"/>
      <c r="I321" s="67"/>
      <c r="J321" s="67"/>
      <c r="K321" s="67"/>
      <c r="L321" s="67"/>
      <c r="M321" s="67"/>
      <c r="N321" s="67"/>
      <c r="Q321" s="67"/>
    </row>
    <row r="322" spans="1:17" s="68" customFormat="1" x14ac:dyDescent="0.35">
      <c r="A322" s="66"/>
      <c r="B322" s="66"/>
      <c r="C322" s="67"/>
      <c r="D322" s="67"/>
      <c r="E322" s="67"/>
      <c r="F322" s="67"/>
      <c r="G322" s="67"/>
      <c r="H322" s="67"/>
      <c r="I322" s="67"/>
      <c r="J322" s="67"/>
      <c r="K322" s="67"/>
      <c r="L322" s="67"/>
      <c r="M322" s="67"/>
      <c r="N322" s="67"/>
      <c r="Q322" s="67"/>
    </row>
    <row r="323" spans="1:17" s="68" customFormat="1" x14ac:dyDescent="0.35">
      <c r="A323" s="66"/>
      <c r="B323" s="66"/>
      <c r="C323" s="67"/>
      <c r="D323" s="67"/>
      <c r="E323" s="67"/>
      <c r="F323" s="67"/>
      <c r="G323" s="67"/>
      <c r="H323" s="67"/>
      <c r="I323" s="67"/>
      <c r="J323" s="67"/>
      <c r="K323" s="67"/>
      <c r="L323" s="67"/>
      <c r="M323" s="67"/>
      <c r="N323" s="67"/>
      <c r="Q323" s="67"/>
    </row>
    <row r="324" spans="1:17" s="68" customFormat="1" x14ac:dyDescent="0.35">
      <c r="A324" s="66"/>
      <c r="B324" s="66"/>
      <c r="C324" s="67"/>
      <c r="D324" s="67"/>
      <c r="E324" s="67"/>
      <c r="F324" s="67"/>
      <c r="G324" s="67"/>
      <c r="H324" s="67"/>
      <c r="I324" s="67"/>
      <c r="J324" s="67"/>
      <c r="K324" s="67"/>
      <c r="L324" s="67"/>
      <c r="M324" s="67"/>
      <c r="N324" s="67"/>
      <c r="Q324" s="67"/>
    </row>
    <row r="325" spans="1:17" s="68" customFormat="1" x14ac:dyDescent="0.35">
      <c r="A325" s="66"/>
      <c r="B325" s="66"/>
      <c r="C325" s="67"/>
      <c r="D325" s="67"/>
      <c r="E325" s="67"/>
      <c r="F325" s="67"/>
      <c r="G325" s="67"/>
      <c r="H325" s="67"/>
      <c r="I325" s="67"/>
      <c r="J325" s="67"/>
      <c r="K325" s="67"/>
      <c r="L325" s="67"/>
      <c r="M325" s="67"/>
      <c r="N325" s="67"/>
      <c r="Q325" s="67"/>
    </row>
    <row r="326" spans="1:17" s="68" customFormat="1" x14ac:dyDescent="0.35">
      <c r="A326" s="66"/>
      <c r="B326" s="66"/>
      <c r="C326" s="67"/>
      <c r="D326" s="67"/>
      <c r="E326" s="67"/>
      <c r="F326" s="67"/>
      <c r="G326" s="67"/>
      <c r="H326" s="67"/>
      <c r="I326" s="67"/>
      <c r="J326" s="67"/>
      <c r="K326" s="67"/>
      <c r="L326" s="67"/>
      <c r="M326" s="67"/>
      <c r="N326" s="67"/>
      <c r="Q326" s="67"/>
    </row>
    <row r="327" spans="1:17" s="68" customFormat="1" x14ac:dyDescent="0.35">
      <c r="A327" s="66"/>
      <c r="B327" s="66"/>
      <c r="C327" s="67"/>
      <c r="D327" s="67"/>
      <c r="E327" s="67"/>
      <c r="F327" s="67"/>
      <c r="G327" s="67"/>
      <c r="H327" s="67"/>
      <c r="I327" s="67"/>
      <c r="J327" s="67"/>
      <c r="K327" s="67"/>
      <c r="L327" s="67"/>
      <c r="M327" s="67"/>
      <c r="N327" s="67"/>
      <c r="Q327" s="67"/>
    </row>
    <row r="328" spans="1:17" s="68" customFormat="1" x14ac:dyDescent="0.35">
      <c r="A328" s="66"/>
      <c r="B328" s="66"/>
      <c r="C328" s="67"/>
      <c r="D328" s="67"/>
      <c r="E328" s="67"/>
      <c r="F328" s="67"/>
      <c r="G328" s="67"/>
      <c r="H328" s="67"/>
      <c r="I328" s="67"/>
      <c r="J328" s="67"/>
      <c r="K328" s="67"/>
      <c r="L328" s="67"/>
      <c r="M328" s="67"/>
      <c r="N328" s="67"/>
      <c r="Q328" s="67"/>
    </row>
    <row r="329" spans="1:17" s="68" customFormat="1" x14ac:dyDescent="0.35">
      <c r="A329" s="66"/>
      <c r="B329" s="66"/>
      <c r="C329" s="67"/>
      <c r="D329" s="67"/>
      <c r="E329" s="67"/>
      <c r="F329" s="67"/>
      <c r="G329" s="67"/>
      <c r="H329" s="67"/>
      <c r="I329" s="67"/>
      <c r="J329" s="67"/>
      <c r="K329" s="67"/>
      <c r="L329" s="67"/>
      <c r="M329" s="67"/>
      <c r="N329" s="67"/>
      <c r="Q329" s="67"/>
    </row>
    <row r="330" spans="1:17" s="68" customFormat="1" x14ac:dyDescent="0.35">
      <c r="A330" s="66"/>
      <c r="B330" s="66"/>
      <c r="C330" s="67"/>
      <c r="D330" s="67"/>
      <c r="E330" s="67"/>
      <c r="F330" s="67"/>
      <c r="G330" s="67"/>
      <c r="H330" s="67"/>
      <c r="I330" s="67"/>
      <c r="J330" s="67"/>
      <c r="K330" s="67"/>
      <c r="L330" s="67"/>
      <c r="M330" s="67"/>
      <c r="N330" s="67"/>
      <c r="Q330" s="67"/>
    </row>
    <row r="331" spans="1:17" s="68" customFormat="1" x14ac:dyDescent="0.35">
      <c r="A331" s="66"/>
      <c r="B331" s="66"/>
      <c r="C331" s="67"/>
      <c r="D331" s="67"/>
      <c r="E331" s="67"/>
      <c r="F331" s="67"/>
      <c r="G331" s="67"/>
      <c r="H331" s="67"/>
      <c r="I331" s="67"/>
      <c r="J331" s="67"/>
      <c r="K331" s="67"/>
      <c r="L331" s="67"/>
      <c r="M331" s="67"/>
      <c r="N331" s="67"/>
      <c r="Q331" s="67"/>
    </row>
    <row r="332" spans="1:17" s="68" customFormat="1" x14ac:dyDescent="0.35">
      <c r="A332" s="66"/>
      <c r="B332" s="66"/>
      <c r="C332" s="67"/>
      <c r="D332" s="67"/>
      <c r="E332" s="67"/>
      <c r="F332" s="67"/>
      <c r="G332" s="67"/>
      <c r="H332" s="67"/>
      <c r="I332" s="67"/>
      <c r="J332" s="67"/>
      <c r="K332" s="67"/>
      <c r="L332" s="67"/>
      <c r="M332" s="67"/>
      <c r="N332" s="67"/>
      <c r="Q332" s="67"/>
    </row>
    <row r="333" spans="1:17" s="68" customFormat="1" x14ac:dyDescent="0.35">
      <c r="A333" s="66"/>
      <c r="B333" s="66"/>
      <c r="C333" s="67"/>
      <c r="D333" s="67"/>
      <c r="E333" s="67"/>
      <c r="F333" s="67"/>
      <c r="G333" s="67"/>
      <c r="H333" s="67"/>
      <c r="I333" s="67"/>
      <c r="J333" s="67"/>
      <c r="K333" s="67"/>
      <c r="L333" s="67"/>
      <c r="M333" s="67"/>
      <c r="N333" s="67"/>
      <c r="Q333" s="67"/>
    </row>
    <row r="334" spans="1:17" s="68" customFormat="1" x14ac:dyDescent="0.35">
      <c r="A334" s="66"/>
      <c r="B334" s="66"/>
      <c r="C334" s="67"/>
      <c r="D334" s="67"/>
      <c r="E334" s="67"/>
      <c r="F334" s="67"/>
      <c r="G334" s="67"/>
      <c r="H334" s="67"/>
      <c r="I334" s="67"/>
      <c r="J334" s="67"/>
      <c r="K334" s="67"/>
      <c r="L334" s="67"/>
      <c r="M334" s="67"/>
      <c r="N334" s="67"/>
      <c r="Q334" s="67"/>
    </row>
    <row r="335" spans="1:17" s="68" customFormat="1" x14ac:dyDescent="0.35">
      <c r="A335" s="66"/>
      <c r="B335" s="66"/>
      <c r="C335" s="67"/>
      <c r="D335" s="67"/>
      <c r="E335" s="67"/>
      <c r="F335" s="67"/>
      <c r="G335" s="67"/>
      <c r="H335" s="67"/>
      <c r="I335" s="67"/>
      <c r="J335" s="67"/>
      <c r="K335" s="67"/>
      <c r="L335" s="67"/>
      <c r="M335" s="67"/>
      <c r="N335" s="67"/>
      <c r="Q335" s="67"/>
    </row>
    <row r="336" spans="1:17" s="68" customFormat="1" x14ac:dyDescent="0.35">
      <c r="A336" s="66"/>
      <c r="B336" s="66"/>
      <c r="C336" s="67"/>
      <c r="D336" s="67"/>
      <c r="E336" s="67"/>
      <c r="F336" s="67"/>
      <c r="G336" s="67"/>
      <c r="H336" s="67"/>
      <c r="I336" s="67"/>
      <c r="J336" s="67"/>
      <c r="K336" s="67"/>
      <c r="L336" s="67"/>
      <c r="M336" s="67"/>
      <c r="N336" s="67"/>
      <c r="Q336" s="67"/>
    </row>
    <row r="337" spans="1:17" s="68" customFormat="1" x14ac:dyDescent="0.35">
      <c r="A337" s="66"/>
      <c r="B337" s="66"/>
      <c r="C337" s="67"/>
      <c r="D337" s="67"/>
      <c r="E337" s="67"/>
      <c r="F337" s="67"/>
      <c r="G337" s="67"/>
      <c r="H337" s="67"/>
      <c r="I337" s="67"/>
      <c r="J337" s="67"/>
      <c r="K337" s="67"/>
      <c r="L337" s="67"/>
      <c r="M337" s="67"/>
      <c r="N337" s="67"/>
      <c r="Q337" s="67"/>
    </row>
    <row r="338" spans="1:17" s="68" customFormat="1" x14ac:dyDescent="0.35">
      <c r="A338" s="66"/>
      <c r="B338" s="66"/>
      <c r="C338" s="67"/>
      <c r="D338" s="67"/>
      <c r="E338" s="67"/>
      <c r="F338" s="67"/>
      <c r="G338" s="67"/>
      <c r="H338" s="67"/>
      <c r="I338" s="67"/>
      <c r="J338" s="67"/>
      <c r="K338" s="67"/>
      <c r="L338" s="67"/>
      <c r="M338" s="67"/>
      <c r="N338" s="67"/>
      <c r="Q338" s="67"/>
    </row>
    <row r="339" spans="1:17" s="68" customFormat="1" x14ac:dyDescent="0.35">
      <c r="A339" s="66"/>
      <c r="B339" s="66"/>
      <c r="C339" s="67"/>
      <c r="D339" s="67"/>
      <c r="E339" s="67"/>
      <c r="F339" s="67"/>
      <c r="G339" s="67"/>
      <c r="H339" s="67"/>
      <c r="I339" s="67"/>
      <c r="J339" s="67"/>
      <c r="K339" s="67"/>
      <c r="L339" s="67"/>
      <c r="M339" s="67"/>
      <c r="N339" s="67"/>
      <c r="Q339" s="67"/>
    </row>
    <row r="340" spans="1:17" s="68" customFormat="1" x14ac:dyDescent="0.35">
      <c r="A340" s="66"/>
      <c r="B340" s="66"/>
      <c r="C340" s="67"/>
      <c r="D340" s="67"/>
      <c r="E340" s="67"/>
      <c r="F340" s="67"/>
      <c r="G340" s="67"/>
      <c r="H340" s="67"/>
      <c r="I340" s="67"/>
      <c r="J340" s="67"/>
      <c r="K340" s="67"/>
      <c r="L340" s="67"/>
      <c r="M340" s="67"/>
      <c r="N340" s="67"/>
      <c r="Q340" s="67"/>
    </row>
    <row r="341" spans="1:17" s="68" customFormat="1" x14ac:dyDescent="0.35">
      <c r="A341" s="66"/>
      <c r="B341" s="66"/>
      <c r="C341" s="67"/>
      <c r="D341" s="67"/>
      <c r="E341" s="67"/>
      <c r="F341" s="67"/>
      <c r="G341" s="67"/>
      <c r="H341" s="67"/>
      <c r="I341" s="67"/>
      <c r="J341" s="67"/>
      <c r="K341" s="67"/>
      <c r="L341" s="67"/>
      <c r="M341" s="67"/>
      <c r="N341" s="67"/>
      <c r="Q341" s="67"/>
    </row>
    <row r="342" spans="1:17" s="68" customFormat="1" x14ac:dyDescent="0.35">
      <c r="A342" s="66"/>
      <c r="B342" s="66"/>
      <c r="C342" s="67"/>
      <c r="D342" s="67"/>
      <c r="E342" s="67"/>
      <c r="F342" s="67"/>
      <c r="G342" s="67"/>
      <c r="H342" s="67"/>
      <c r="I342" s="67"/>
      <c r="J342" s="67"/>
      <c r="K342" s="67"/>
      <c r="L342" s="67"/>
      <c r="M342" s="67"/>
      <c r="N342" s="67"/>
      <c r="Q342" s="67"/>
    </row>
    <row r="343" spans="1:17" s="68" customFormat="1" x14ac:dyDescent="0.35">
      <c r="A343" s="66"/>
      <c r="B343" s="66"/>
      <c r="C343" s="67"/>
      <c r="D343" s="67"/>
      <c r="E343" s="67"/>
      <c r="F343" s="67"/>
      <c r="G343" s="67"/>
      <c r="H343" s="67"/>
      <c r="I343" s="67"/>
      <c r="J343" s="67"/>
      <c r="K343" s="67"/>
      <c r="L343" s="67"/>
      <c r="M343" s="67"/>
      <c r="N343" s="67"/>
      <c r="Q343" s="67"/>
    </row>
    <row r="344" spans="1:17" s="68" customFormat="1" x14ac:dyDescent="0.35">
      <c r="A344" s="66"/>
      <c r="B344" s="66"/>
      <c r="C344" s="67"/>
      <c r="D344" s="67"/>
      <c r="E344" s="67"/>
      <c r="F344" s="67"/>
      <c r="G344" s="67"/>
      <c r="H344" s="67"/>
      <c r="I344" s="67"/>
      <c r="J344" s="67"/>
      <c r="K344" s="67"/>
      <c r="L344" s="67"/>
      <c r="M344" s="67"/>
      <c r="N344" s="67"/>
      <c r="Q344" s="67"/>
    </row>
    <row r="345" spans="1:17" s="68" customFormat="1" x14ac:dyDescent="0.35">
      <c r="A345" s="66"/>
      <c r="B345" s="66"/>
      <c r="C345" s="67"/>
      <c r="D345" s="67"/>
      <c r="E345" s="67"/>
      <c r="F345" s="67"/>
      <c r="G345" s="67"/>
      <c r="H345" s="67"/>
      <c r="I345" s="67"/>
      <c r="J345" s="67"/>
      <c r="K345" s="67"/>
      <c r="L345" s="67"/>
      <c r="M345" s="67"/>
      <c r="N345" s="67"/>
      <c r="Q345" s="67"/>
    </row>
    <row r="346" spans="1:17" s="68" customFormat="1" x14ac:dyDescent="0.35">
      <c r="A346" s="66"/>
      <c r="B346" s="66"/>
      <c r="C346" s="67"/>
      <c r="D346" s="67"/>
      <c r="E346" s="67"/>
      <c r="F346" s="67"/>
      <c r="G346" s="67"/>
      <c r="H346" s="67"/>
      <c r="I346" s="67"/>
      <c r="J346" s="67"/>
      <c r="K346" s="67"/>
      <c r="L346" s="67"/>
      <c r="M346" s="67"/>
      <c r="N346" s="67"/>
      <c r="Q346" s="67"/>
    </row>
    <row r="347" spans="1:17" s="68" customFormat="1" x14ac:dyDescent="0.35">
      <c r="A347" s="66"/>
      <c r="B347" s="66"/>
      <c r="C347" s="67"/>
      <c r="D347" s="67"/>
      <c r="E347" s="67"/>
      <c r="F347" s="67"/>
      <c r="G347" s="67"/>
      <c r="H347" s="67"/>
      <c r="I347" s="67"/>
      <c r="J347" s="67"/>
      <c r="K347" s="67"/>
      <c r="L347" s="67"/>
      <c r="M347" s="67"/>
      <c r="N347" s="67"/>
      <c r="Q347" s="67"/>
    </row>
    <row r="348" spans="1:17" s="68" customFormat="1" x14ac:dyDescent="0.35">
      <c r="A348" s="66"/>
      <c r="B348" s="66"/>
      <c r="C348" s="67"/>
      <c r="D348" s="67"/>
      <c r="E348" s="67"/>
      <c r="F348" s="67"/>
      <c r="G348" s="67"/>
      <c r="H348" s="67"/>
      <c r="I348" s="67"/>
      <c r="J348" s="67"/>
      <c r="K348" s="67"/>
      <c r="L348" s="67"/>
      <c r="M348" s="67"/>
      <c r="N348" s="67"/>
      <c r="Q348" s="67"/>
    </row>
    <row r="349" spans="1:17" s="68" customFormat="1" x14ac:dyDescent="0.35">
      <c r="A349" s="66"/>
      <c r="B349" s="66"/>
      <c r="C349" s="67"/>
      <c r="D349" s="67"/>
      <c r="E349" s="67"/>
      <c r="F349" s="67"/>
      <c r="G349" s="67"/>
      <c r="H349" s="67"/>
      <c r="I349" s="67"/>
      <c r="J349" s="67"/>
      <c r="K349" s="67"/>
      <c r="L349" s="67"/>
      <c r="M349" s="67"/>
      <c r="N349" s="67"/>
      <c r="Q349" s="67"/>
    </row>
    <row r="350" spans="1:17" s="68" customFormat="1" x14ac:dyDescent="0.35">
      <c r="A350" s="66"/>
      <c r="B350" s="66"/>
      <c r="C350" s="67"/>
      <c r="D350" s="67"/>
      <c r="E350" s="67"/>
      <c r="F350" s="67"/>
      <c r="G350" s="67"/>
      <c r="H350" s="67"/>
      <c r="I350" s="67"/>
      <c r="J350" s="67"/>
      <c r="K350" s="67"/>
      <c r="L350" s="67"/>
      <c r="M350" s="67"/>
      <c r="N350" s="67"/>
      <c r="Q350" s="67"/>
    </row>
    <row r="351" spans="1:17" s="68" customFormat="1" x14ac:dyDescent="0.35">
      <c r="A351" s="66"/>
      <c r="B351" s="66"/>
      <c r="C351" s="67"/>
      <c r="D351" s="67"/>
      <c r="E351" s="67"/>
      <c r="F351" s="67"/>
      <c r="G351" s="67"/>
      <c r="H351" s="67"/>
      <c r="I351" s="67"/>
      <c r="J351" s="67"/>
      <c r="K351" s="67"/>
      <c r="L351" s="67"/>
      <c r="M351" s="67"/>
      <c r="N351" s="67"/>
      <c r="Q351" s="67"/>
    </row>
    <row r="352" spans="1:17" s="68" customFormat="1" x14ac:dyDescent="0.35">
      <c r="A352" s="66"/>
      <c r="B352" s="66"/>
      <c r="C352" s="67"/>
      <c r="D352" s="67"/>
      <c r="E352" s="67"/>
      <c r="F352" s="67"/>
      <c r="G352" s="67"/>
      <c r="H352" s="67"/>
      <c r="I352" s="67"/>
      <c r="J352" s="67"/>
      <c r="K352" s="67"/>
      <c r="L352" s="67"/>
      <c r="M352" s="67"/>
      <c r="N352" s="67"/>
      <c r="Q352" s="67"/>
    </row>
    <row r="353" spans="1:17" s="68" customFormat="1" x14ac:dyDescent="0.35">
      <c r="A353" s="66"/>
      <c r="B353" s="66"/>
      <c r="C353" s="67"/>
      <c r="D353" s="67"/>
      <c r="E353" s="67"/>
      <c r="F353" s="67"/>
      <c r="G353" s="67"/>
      <c r="H353" s="67"/>
      <c r="I353" s="67"/>
      <c r="J353" s="67"/>
      <c r="K353" s="67"/>
      <c r="L353" s="67"/>
      <c r="M353" s="67"/>
      <c r="N353" s="67"/>
      <c r="Q353" s="67"/>
    </row>
    <row r="354" spans="1:17" s="68" customFormat="1" x14ac:dyDescent="0.35">
      <c r="A354" s="66"/>
      <c r="B354" s="66"/>
      <c r="C354" s="67"/>
      <c r="D354" s="67"/>
      <c r="E354" s="67"/>
      <c r="F354" s="67"/>
      <c r="G354" s="67"/>
      <c r="H354" s="67"/>
      <c r="I354" s="67"/>
      <c r="J354" s="67"/>
      <c r="K354" s="67"/>
      <c r="L354" s="67"/>
      <c r="M354" s="67"/>
      <c r="N354" s="67"/>
      <c r="Q354" s="67"/>
    </row>
    <row r="355" spans="1:17" s="68" customFormat="1" x14ac:dyDescent="0.35">
      <c r="A355" s="66"/>
      <c r="B355" s="66"/>
      <c r="C355" s="67"/>
      <c r="D355" s="67"/>
      <c r="E355" s="67"/>
      <c r="F355" s="67"/>
      <c r="G355" s="67"/>
      <c r="H355" s="67"/>
      <c r="I355" s="67"/>
      <c r="J355" s="67"/>
      <c r="K355" s="67"/>
      <c r="L355" s="67"/>
      <c r="M355" s="67"/>
      <c r="N355" s="67"/>
      <c r="Q355" s="67"/>
    </row>
    <row r="356" spans="1:17" s="68" customFormat="1" x14ac:dyDescent="0.35">
      <c r="A356" s="66"/>
      <c r="B356" s="66"/>
      <c r="C356" s="67"/>
      <c r="D356" s="67"/>
      <c r="E356" s="67"/>
      <c r="F356" s="67"/>
      <c r="G356" s="67"/>
      <c r="H356" s="67"/>
      <c r="I356" s="67"/>
      <c r="J356" s="67"/>
      <c r="K356" s="67"/>
      <c r="L356" s="67"/>
      <c r="M356" s="67"/>
      <c r="N356" s="67"/>
      <c r="Q356" s="67"/>
    </row>
    <row r="357" spans="1:17" s="68" customFormat="1" x14ac:dyDescent="0.35">
      <c r="A357" s="66"/>
      <c r="B357" s="66"/>
      <c r="C357" s="67"/>
      <c r="D357" s="67"/>
      <c r="E357" s="67"/>
      <c r="F357" s="67"/>
      <c r="G357" s="67"/>
      <c r="H357" s="67"/>
      <c r="I357" s="67"/>
      <c r="J357" s="67"/>
      <c r="K357" s="67"/>
      <c r="L357" s="67"/>
      <c r="M357" s="67"/>
      <c r="N357" s="67"/>
      <c r="Q357" s="67"/>
    </row>
    <row r="358" spans="1:17" s="68" customFormat="1" x14ac:dyDescent="0.35">
      <c r="A358" s="66"/>
      <c r="B358" s="66"/>
      <c r="C358" s="67"/>
      <c r="D358" s="67"/>
      <c r="E358" s="67"/>
      <c r="F358" s="67"/>
      <c r="G358" s="67"/>
      <c r="H358" s="67"/>
      <c r="I358" s="67"/>
      <c r="J358" s="67"/>
      <c r="K358" s="67"/>
      <c r="L358" s="67"/>
      <c r="M358" s="67"/>
      <c r="N358" s="67"/>
      <c r="Q358" s="67"/>
    </row>
    <row r="359" spans="1:17" s="68" customFormat="1" x14ac:dyDescent="0.35">
      <c r="A359" s="66"/>
      <c r="B359" s="66"/>
      <c r="C359" s="67"/>
      <c r="D359" s="67"/>
      <c r="E359" s="67"/>
      <c r="F359" s="67"/>
      <c r="G359" s="67"/>
      <c r="H359" s="67"/>
      <c r="I359" s="67"/>
      <c r="J359" s="67"/>
      <c r="K359" s="67"/>
      <c r="L359" s="67"/>
      <c r="M359" s="67"/>
      <c r="N359" s="67"/>
      <c r="Q359" s="67"/>
    </row>
    <row r="360" spans="1:17" s="68" customFormat="1" x14ac:dyDescent="0.35">
      <c r="A360" s="66"/>
      <c r="B360" s="66"/>
      <c r="C360" s="67"/>
      <c r="D360" s="67"/>
      <c r="E360" s="67"/>
      <c r="F360" s="67"/>
      <c r="G360" s="67"/>
      <c r="H360" s="67"/>
      <c r="I360" s="67"/>
      <c r="J360" s="67"/>
      <c r="K360" s="67"/>
      <c r="L360" s="67"/>
      <c r="M360" s="67"/>
      <c r="N360" s="67"/>
      <c r="Q360" s="67"/>
    </row>
    <row r="361" spans="1:17" s="68" customFormat="1" x14ac:dyDescent="0.35">
      <c r="A361" s="66"/>
      <c r="B361" s="66"/>
      <c r="C361" s="67"/>
      <c r="D361" s="67"/>
      <c r="E361" s="67"/>
      <c r="F361" s="67"/>
      <c r="G361" s="67"/>
      <c r="H361" s="67"/>
      <c r="I361" s="67"/>
      <c r="J361" s="67"/>
      <c r="K361" s="67"/>
      <c r="L361" s="67"/>
      <c r="M361" s="67"/>
      <c r="N361" s="67"/>
      <c r="Q361" s="67"/>
    </row>
    <row r="362" spans="1:17" s="68" customFormat="1" x14ac:dyDescent="0.35">
      <c r="A362" s="66"/>
      <c r="B362" s="66"/>
      <c r="C362" s="67"/>
      <c r="D362" s="67"/>
      <c r="E362" s="67"/>
      <c r="F362" s="67"/>
      <c r="G362" s="67"/>
      <c r="H362" s="67"/>
      <c r="I362" s="67"/>
      <c r="J362" s="67"/>
      <c r="K362" s="67"/>
      <c r="L362" s="67"/>
      <c r="M362" s="67"/>
      <c r="N362" s="67"/>
      <c r="Q362" s="67"/>
    </row>
    <row r="363" spans="1:17" s="68" customFormat="1" x14ac:dyDescent="0.35">
      <c r="A363" s="66"/>
      <c r="B363" s="66"/>
      <c r="C363" s="67"/>
      <c r="D363" s="67"/>
      <c r="E363" s="67"/>
      <c r="F363" s="67"/>
      <c r="G363" s="67"/>
      <c r="H363" s="67"/>
      <c r="I363" s="67"/>
      <c r="J363" s="67"/>
      <c r="K363" s="67"/>
      <c r="L363" s="67"/>
      <c r="M363" s="67"/>
      <c r="N363" s="67"/>
      <c r="Q363" s="67"/>
    </row>
    <row r="364" spans="1:17" s="68" customFormat="1" x14ac:dyDescent="0.35">
      <c r="A364" s="66"/>
      <c r="B364" s="66"/>
      <c r="C364" s="67"/>
      <c r="D364" s="67"/>
      <c r="E364" s="67"/>
      <c r="F364" s="67"/>
      <c r="G364" s="67"/>
      <c r="H364" s="67"/>
      <c r="I364" s="67"/>
      <c r="J364" s="67"/>
      <c r="K364" s="67"/>
      <c r="L364" s="67"/>
      <c r="M364" s="67"/>
      <c r="N364" s="67"/>
      <c r="Q364" s="67"/>
    </row>
    <row r="365" spans="1:17" s="68" customFormat="1" x14ac:dyDescent="0.35">
      <c r="A365" s="66"/>
      <c r="B365" s="66"/>
      <c r="C365" s="67"/>
      <c r="D365" s="67"/>
      <c r="E365" s="67"/>
      <c r="F365" s="67"/>
      <c r="G365" s="67"/>
      <c r="H365" s="67"/>
      <c r="I365" s="67"/>
      <c r="J365" s="67"/>
      <c r="K365" s="67"/>
      <c r="L365" s="67"/>
      <c r="M365" s="67"/>
      <c r="N365" s="67"/>
      <c r="Q365" s="67"/>
    </row>
    <row r="366" spans="1:17" s="68" customFormat="1" x14ac:dyDescent="0.35">
      <c r="A366" s="66"/>
      <c r="B366" s="66"/>
      <c r="C366" s="67"/>
      <c r="D366" s="67"/>
      <c r="E366" s="67"/>
      <c r="F366" s="67"/>
      <c r="G366" s="67"/>
      <c r="H366" s="67"/>
      <c r="I366" s="67"/>
      <c r="J366" s="67"/>
      <c r="K366" s="67"/>
      <c r="L366" s="67"/>
      <c r="M366" s="67"/>
      <c r="N366" s="67"/>
      <c r="Q366" s="67"/>
    </row>
    <row r="367" spans="1:17" s="68" customFormat="1" x14ac:dyDescent="0.35">
      <c r="A367" s="66"/>
      <c r="B367" s="66"/>
      <c r="C367" s="67"/>
      <c r="D367" s="67"/>
      <c r="E367" s="67"/>
      <c r="F367" s="67"/>
      <c r="G367" s="67"/>
      <c r="H367" s="67"/>
      <c r="I367" s="67"/>
      <c r="J367" s="67"/>
      <c r="K367" s="67"/>
      <c r="L367" s="67"/>
      <c r="M367" s="67"/>
      <c r="N367" s="67"/>
      <c r="Q367" s="67"/>
    </row>
    <row r="368" spans="1:17" s="68" customFormat="1" x14ac:dyDescent="0.35">
      <c r="A368" s="66"/>
      <c r="B368" s="66"/>
      <c r="C368" s="67"/>
      <c r="D368" s="67"/>
      <c r="E368" s="67"/>
      <c r="F368" s="67"/>
      <c r="G368" s="67"/>
      <c r="H368" s="67"/>
      <c r="I368" s="67"/>
      <c r="J368" s="67"/>
      <c r="K368" s="67"/>
      <c r="L368" s="67"/>
      <c r="M368" s="67"/>
      <c r="N368" s="67"/>
      <c r="Q368" s="67"/>
    </row>
    <row r="369" spans="1:17" s="68" customFormat="1" x14ac:dyDescent="0.35">
      <c r="A369" s="66"/>
      <c r="B369" s="66"/>
      <c r="C369" s="67"/>
      <c r="D369" s="67"/>
      <c r="E369" s="67"/>
      <c r="F369" s="67"/>
      <c r="G369" s="67"/>
      <c r="H369" s="67"/>
      <c r="I369" s="67"/>
      <c r="J369" s="67"/>
      <c r="K369" s="67"/>
      <c r="L369" s="67"/>
      <c r="M369" s="67"/>
      <c r="N369" s="67"/>
      <c r="Q369" s="67"/>
    </row>
    <row r="370" spans="1:17" s="68" customFormat="1" x14ac:dyDescent="0.35">
      <c r="A370" s="66"/>
      <c r="B370" s="66"/>
      <c r="C370" s="67"/>
      <c r="D370" s="67"/>
      <c r="E370" s="67"/>
      <c r="F370" s="67"/>
      <c r="G370" s="67"/>
      <c r="H370" s="67"/>
      <c r="I370" s="67"/>
      <c r="J370" s="67"/>
      <c r="K370" s="67"/>
      <c r="L370" s="67"/>
      <c r="M370" s="67"/>
      <c r="N370" s="67"/>
      <c r="Q370" s="67"/>
    </row>
    <row r="371" spans="1:17" s="68" customFormat="1" x14ac:dyDescent="0.35">
      <c r="A371" s="66"/>
      <c r="B371" s="66"/>
      <c r="C371" s="67"/>
      <c r="D371" s="67"/>
      <c r="E371" s="67"/>
      <c r="F371" s="67"/>
      <c r="G371" s="67"/>
      <c r="H371" s="67"/>
      <c r="I371" s="67"/>
      <c r="J371" s="67"/>
      <c r="K371" s="67"/>
      <c r="L371" s="67"/>
      <c r="M371" s="67"/>
      <c r="N371" s="67"/>
      <c r="Q371" s="67"/>
    </row>
    <row r="372" spans="1:17" s="68" customFormat="1" x14ac:dyDescent="0.35">
      <c r="A372" s="66"/>
      <c r="B372" s="66"/>
      <c r="C372" s="67"/>
      <c r="D372" s="67"/>
      <c r="E372" s="67"/>
      <c r="F372" s="67"/>
      <c r="G372" s="67"/>
      <c r="H372" s="67"/>
      <c r="I372" s="67"/>
      <c r="J372" s="67"/>
      <c r="K372" s="67"/>
      <c r="L372" s="67"/>
      <c r="M372" s="67"/>
      <c r="N372" s="67"/>
      <c r="Q372" s="67"/>
    </row>
    <row r="373" spans="1:17" s="68" customFormat="1" x14ac:dyDescent="0.35">
      <c r="A373" s="66"/>
      <c r="B373" s="66"/>
      <c r="C373" s="67"/>
      <c r="D373" s="67"/>
      <c r="E373" s="67"/>
      <c r="F373" s="67"/>
      <c r="G373" s="67"/>
      <c r="H373" s="67"/>
      <c r="I373" s="67"/>
      <c r="J373" s="67"/>
      <c r="K373" s="67"/>
      <c r="L373" s="67"/>
      <c r="M373" s="67"/>
      <c r="N373" s="67"/>
      <c r="Q373" s="67"/>
    </row>
    <row r="374" spans="1:17" s="68" customFormat="1" x14ac:dyDescent="0.35">
      <c r="A374" s="66"/>
      <c r="B374" s="66"/>
      <c r="C374" s="67"/>
      <c r="D374" s="67"/>
      <c r="E374" s="67"/>
      <c r="F374" s="67"/>
      <c r="G374" s="67"/>
      <c r="H374" s="67"/>
      <c r="I374" s="67"/>
      <c r="J374" s="67"/>
      <c r="K374" s="67"/>
      <c r="L374" s="67"/>
      <c r="M374" s="67"/>
      <c r="N374" s="67"/>
      <c r="Q374" s="67"/>
    </row>
    <row r="375" spans="1:17" s="68" customFormat="1" x14ac:dyDescent="0.35">
      <c r="A375" s="66"/>
      <c r="B375" s="66"/>
      <c r="C375" s="67"/>
      <c r="D375" s="67"/>
      <c r="E375" s="67"/>
      <c r="F375" s="67"/>
      <c r="G375" s="67"/>
      <c r="H375" s="67"/>
      <c r="I375" s="67"/>
      <c r="J375" s="67"/>
      <c r="K375" s="67"/>
      <c r="L375" s="67"/>
      <c r="M375" s="67"/>
      <c r="N375" s="67"/>
      <c r="Q375" s="67"/>
    </row>
    <row r="376" spans="1:17" s="68" customFormat="1" x14ac:dyDescent="0.35">
      <c r="A376" s="66"/>
      <c r="B376" s="66"/>
      <c r="C376" s="67"/>
      <c r="D376" s="67"/>
      <c r="E376" s="67"/>
      <c r="F376" s="67"/>
      <c r="G376" s="67"/>
      <c r="H376" s="67"/>
      <c r="I376" s="67"/>
      <c r="J376" s="67"/>
      <c r="K376" s="67"/>
      <c r="L376" s="67"/>
      <c r="M376" s="67"/>
      <c r="N376" s="67"/>
      <c r="Q376" s="67"/>
    </row>
    <row r="377" spans="1:17" s="68" customFormat="1" x14ac:dyDescent="0.35">
      <c r="A377" s="66"/>
      <c r="B377" s="66"/>
      <c r="C377" s="67"/>
      <c r="D377" s="67"/>
      <c r="E377" s="67"/>
      <c r="F377" s="67"/>
      <c r="G377" s="67"/>
      <c r="H377" s="67"/>
      <c r="I377" s="67"/>
      <c r="J377" s="67"/>
      <c r="K377" s="67"/>
      <c r="L377" s="67"/>
      <c r="M377" s="67"/>
      <c r="N377" s="67"/>
      <c r="Q377" s="67"/>
    </row>
    <row r="378" spans="1:17" s="68" customFormat="1" x14ac:dyDescent="0.35">
      <c r="A378" s="66"/>
      <c r="B378" s="66"/>
      <c r="C378" s="67"/>
      <c r="D378" s="67"/>
      <c r="E378" s="67"/>
      <c r="F378" s="67"/>
      <c r="G378" s="67"/>
      <c r="H378" s="67"/>
      <c r="I378" s="67"/>
      <c r="J378" s="67"/>
      <c r="K378" s="67"/>
      <c r="L378" s="67"/>
      <c r="M378" s="67"/>
      <c r="N378" s="67"/>
      <c r="Q378" s="67"/>
    </row>
    <row r="379" spans="1:17" s="68" customFormat="1" x14ac:dyDescent="0.35">
      <c r="A379" s="66"/>
      <c r="B379" s="66"/>
      <c r="C379" s="67"/>
      <c r="D379" s="67"/>
      <c r="E379" s="67"/>
      <c r="F379" s="67"/>
      <c r="G379" s="67"/>
      <c r="H379" s="67"/>
      <c r="I379" s="67"/>
      <c r="J379" s="67"/>
      <c r="K379" s="67"/>
      <c r="L379" s="67"/>
      <c r="M379" s="67"/>
      <c r="N379" s="67"/>
      <c r="Q379" s="67"/>
    </row>
    <row r="380" spans="1:17" s="68" customFormat="1" x14ac:dyDescent="0.35">
      <c r="A380" s="66"/>
      <c r="B380" s="66"/>
      <c r="C380" s="67"/>
      <c r="D380" s="67"/>
      <c r="E380" s="67"/>
      <c r="F380" s="67"/>
      <c r="G380" s="67"/>
      <c r="H380" s="67"/>
      <c r="I380" s="67"/>
      <c r="J380" s="67"/>
      <c r="K380" s="67"/>
      <c r="L380" s="67"/>
      <c r="M380" s="67"/>
      <c r="N380" s="67"/>
      <c r="Q380" s="67"/>
    </row>
    <row r="381" spans="1:17" s="68" customFormat="1" x14ac:dyDescent="0.35">
      <c r="A381" s="66"/>
      <c r="B381" s="66"/>
      <c r="C381" s="67"/>
      <c r="D381" s="67"/>
      <c r="E381" s="67"/>
      <c r="F381" s="67"/>
      <c r="G381" s="67"/>
      <c r="H381" s="67"/>
      <c r="I381" s="67"/>
      <c r="J381" s="67"/>
      <c r="K381" s="67"/>
      <c r="L381" s="67"/>
      <c r="M381" s="67"/>
      <c r="N381" s="67"/>
      <c r="Q381" s="67"/>
    </row>
    <row r="382" spans="1:17" s="68" customFormat="1" x14ac:dyDescent="0.35">
      <c r="A382" s="66"/>
      <c r="B382" s="66"/>
      <c r="C382" s="67"/>
      <c r="D382" s="67"/>
      <c r="E382" s="67"/>
      <c r="F382" s="67"/>
      <c r="G382" s="67"/>
      <c r="H382" s="67"/>
      <c r="I382" s="67"/>
      <c r="J382" s="67"/>
      <c r="K382" s="67"/>
      <c r="L382" s="67"/>
      <c r="M382" s="67"/>
      <c r="N382" s="67"/>
      <c r="Q382" s="67"/>
    </row>
    <row r="383" spans="1:17" s="68" customFormat="1" x14ac:dyDescent="0.35">
      <c r="A383" s="66"/>
      <c r="B383" s="66"/>
      <c r="C383" s="67"/>
      <c r="D383" s="67"/>
      <c r="E383" s="67"/>
      <c r="F383" s="67"/>
      <c r="G383" s="67"/>
      <c r="H383" s="67"/>
      <c r="I383" s="67"/>
      <c r="J383" s="67"/>
      <c r="K383" s="67"/>
      <c r="L383" s="67"/>
      <c r="M383" s="67"/>
      <c r="N383" s="67"/>
      <c r="Q383" s="67"/>
    </row>
    <row r="384" spans="1:17" s="68" customFormat="1" x14ac:dyDescent="0.35">
      <c r="A384" s="66"/>
      <c r="B384" s="66"/>
      <c r="C384" s="67"/>
      <c r="D384" s="67"/>
      <c r="E384" s="67"/>
      <c r="F384" s="67"/>
      <c r="G384" s="67"/>
      <c r="H384" s="67"/>
      <c r="I384" s="67"/>
      <c r="J384" s="67"/>
      <c r="K384" s="67"/>
      <c r="L384" s="67"/>
      <c r="M384" s="67"/>
      <c r="N384" s="67"/>
      <c r="Q384" s="67"/>
    </row>
    <row r="385" spans="1:17" s="68" customFormat="1" x14ac:dyDescent="0.35">
      <c r="A385" s="66"/>
      <c r="B385" s="66"/>
      <c r="C385" s="67"/>
      <c r="D385" s="67"/>
      <c r="E385" s="67"/>
      <c r="F385" s="67"/>
      <c r="G385" s="67"/>
      <c r="H385" s="67"/>
      <c r="I385" s="67"/>
      <c r="J385" s="67"/>
      <c r="K385" s="67"/>
      <c r="L385" s="67"/>
      <c r="M385" s="67"/>
      <c r="N385" s="67"/>
      <c r="Q385" s="67"/>
    </row>
    <row r="386" spans="1:17" s="68" customFormat="1" x14ac:dyDescent="0.35">
      <c r="A386" s="66"/>
      <c r="B386" s="66"/>
      <c r="C386" s="67"/>
      <c r="D386" s="67"/>
      <c r="E386" s="67"/>
      <c r="F386" s="67"/>
      <c r="G386" s="67"/>
      <c r="H386" s="67"/>
      <c r="I386" s="67"/>
      <c r="J386" s="67"/>
      <c r="K386" s="67"/>
      <c r="L386" s="67"/>
      <c r="M386" s="67"/>
      <c r="N386" s="67"/>
      <c r="Q386" s="67"/>
    </row>
    <row r="387" spans="1:17" s="68" customFormat="1" x14ac:dyDescent="0.35">
      <c r="A387" s="66"/>
      <c r="B387" s="66"/>
      <c r="C387" s="67"/>
      <c r="D387" s="67"/>
      <c r="E387" s="67"/>
      <c r="F387" s="67"/>
      <c r="G387" s="67"/>
      <c r="H387" s="67"/>
      <c r="I387" s="67"/>
      <c r="J387" s="67"/>
      <c r="K387" s="67"/>
      <c r="L387" s="67"/>
      <c r="M387" s="67"/>
      <c r="N387" s="67"/>
      <c r="Q387" s="67"/>
    </row>
    <row r="388" spans="1:17" s="68" customFormat="1" x14ac:dyDescent="0.35">
      <c r="A388" s="66"/>
      <c r="B388" s="66"/>
      <c r="C388" s="67"/>
      <c r="D388" s="67"/>
      <c r="E388" s="67"/>
      <c r="F388" s="67"/>
      <c r="G388" s="67"/>
      <c r="H388" s="67"/>
      <c r="I388" s="67"/>
      <c r="J388" s="67"/>
      <c r="K388" s="67"/>
      <c r="L388" s="67"/>
      <c r="M388" s="67"/>
      <c r="N388" s="67"/>
      <c r="Q388" s="67"/>
    </row>
    <row r="389" spans="1:17" s="68" customFormat="1" x14ac:dyDescent="0.35">
      <c r="A389" s="66"/>
      <c r="B389" s="66"/>
      <c r="C389" s="67"/>
      <c r="D389" s="67"/>
      <c r="E389" s="67"/>
      <c r="F389" s="67"/>
      <c r="G389" s="67"/>
      <c r="H389" s="67"/>
      <c r="I389" s="67"/>
      <c r="J389" s="67"/>
      <c r="K389" s="67"/>
      <c r="L389" s="67"/>
      <c r="M389" s="67"/>
      <c r="N389" s="67"/>
      <c r="Q389" s="67"/>
    </row>
    <row r="390" spans="1:17" s="68" customFormat="1" x14ac:dyDescent="0.35">
      <c r="A390" s="66"/>
      <c r="B390" s="66"/>
      <c r="C390" s="67"/>
      <c r="D390" s="67"/>
      <c r="E390" s="67"/>
      <c r="F390" s="67"/>
      <c r="G390" s="67"/>
      <c r="H390" s="67"/>
      <c r="I390" s="67"/>
      <c r="J390" s="67"/>
      <c r="K390" s="67"/>
      <c r="L390" s="67"/>
      <c r="M390" s="67"/>
      <c r="N390" s="67"/>
      <c r="Q390" s="67"/>
    </row>
    <row r="391" spans="1:17" s="68" customFormat="1" x14ac:dyDescent="0.35">
      <c r="A391" s="66"/>
      <c r="B391" s="66"/>
      <c r="C391" s="67"/>
      <c r="D391" s="67"/>
      <c r="E391" s="67"/>
      <c r="F391" s="67"/>
      <c r="G391" s="67"/>
      <c r="H391" s="67"/>
      <c r="I391" s="67"/>
      <c r="J391" s="67"/>
      <c r="K391" s="67"/>
      <c r="L391" s="67"/>
      <c r="M391" s="67"/>
      <c r="N391" s="67"/>
      <c r="Q391" s="67"/>
    </row>
    <row r="392" spans="1:17" s="68" customFormat="1" x14ac:dyDescent="0.35">
      <c r="A392" s="66"/>
      <c r="B392" s="66"/>
      <c r="C392" s="67"/>
      <c r="D392" s="67"/>
      <c r="E392" s="67"/>
      <c r="F392" s="67"/>
      <c r="G392" s="67"/>
      <c r="H392" s="67"/>
      <c r="I392" s="67"/>
      <c r="J392" s="67"/>
      <c r="K392" s="67"/>
      <c r="L392" s="67"/>
      <c r="M392" s="67"/>
      <c r="N392" s="67"/>
      <c r="Q392" s="67"/>
    </row>
    <row r="393" spans="1:17" s="68" customFormat="1" x14ac:dyDescent="0.35">
      <c r="A393" s="66"/>
      <c r="B393" s="66"/>
      <c r="C393" s="67"/>
      <c r="D393" s="67"/>
      <c r="E393" s="67"/>
      <c r="F393" s="67"/>
      <c r="G393" s="67"/>
      <c r="H393" s="67"/>
      <c r="I393" s="67"/>
      <c r="J393" s="67"/>
      <c r="K393" s="67"/>
      <c r="L393" s="67"/>
      <c r="M393" s="67"/>
      <c r="N393" s="67"/>
      <c r="Q393" s="67"/>
    </row>
    <row r="394" spans="1:17" s="68" customFormat="1" x14ac:dyDescent="0.35">
      <c r="A394" s="66"/>
      <c r="B394" s="66"/>
      <c r="C394" s="67"/>
      <c r="D394" s="67"/>
      <c r="E394" s="67"/>
      <c r="F394" s="67"/>
      <c r="G394" s="67"/>
      <c r="H394" s="67"/>
      <c r="I394" s="67"/>
      <c r="J394" s="67"/>
      <c r="K394" s="67"/>
      <c r="L394" s="67"/>
      <c r="M394" s="67"/>
      <c r="N394" s="67"/>
      <c r="Q394" s="67"/>
    </row>
    <row r="395" spans="1:17" s="68" customFormat="1" x14ac:dyDescent="0.35">
      <c r="A395" s="66"/>
      <c r="B395" s="66"/>
      <c r="C395" s="67"/>
      <c r="D395" s="67"/>
      <c r="E395" s="67"/>
      <c r="F395" s="67"/>
      <c r="G395" s="67"/>
      <c r="H395" s="67"/>
      <c r="I395" s="67"/>
      <c r="J395" s="67"/>
      <c r="K395" s="67"/>
      <c r="L395" s="67"/>
      <c r="M395" s="67"/>
      <c r="N395" s="67"/>
      <c r="Q395" s="67"/>
    </row>
    <row r="396" spans="1:17" s="68" customFormat="1" x14ac:dyDescent="0.35">
      <c r="A396" s="66"/>
      <c r="B396" s="66"/>
      <c r="C396" s="67"/>
      <c r="D396" s="67"/>
      <c r="E396" s="67"/>
      <c r="F396" s="67"/>
      <c r="G396" s="67"/>
      <c r="H396" s="67"/>
      <c r="I396" s="67"/>
      <c r="J396" s="67"/>
      <c r="K396" s="67"/>
      <c r="L396" s="67"/>
      <c r="M396" s="67"/>
      <c r="N396" s="67"/>
      <c r="Q396" s="67"/>
    </row>
    <row r="397" spans="1:17" s="68" customFormat="1" x14ac:dyDescent="0.35">
      <c r="A397" s="66"/>
      <c r="B397" s="66"/>
      <c r="C397" s="67"/>
      <c r="D397" s="67"/>
      <c r="E397" s="67"/>
      <c r="F397" s="67"/>
      <c r="G397" s="67"/>
      <c r="H397" s="67"/>
      <c r="I397" s="67"/>
      <c r="J397" s="67"/>
      <c r="K397" s="67"/>
      <c r="L397" s="67"/>
      <c r="M397" s="67"/>
      <c r="N397" s="67"/>
      <c r="Q397" s="67"/>
    </row>
    <row r="398" spans="1:17" s="68" customFormat="1" x14ac:dyDescent="0.35">
      <c r="A398" s="66"/>
      <c r="B398" s="66"/>
      <c r="C398" s="67"/>
      <c r="D398" s="67"/>
      <c r="E398" s="67"/>
      <c r="F398" s="67"/>
      <c r="G398" s="67"/>
      <c r="H398" s="67"/>
      <c r="I398" s="67"/>
      <c r="J398" s="67"/>
      <c r="K398" s="67"/>
      <c r="L398" s="67"/>
      <c r="M398" s="67"/>
      <c r="N398" s="67"/>
      <c r="Q398" s="67"/>
    </row>
    <row r="399" spans="1:17" s="68" customFormat="1" x14ac:dyDescent="0.35">
      <c r="A399" s="66"/>
      <c r="B399" s="66"/>
      <c r="C399" s="67"/>
      <c r="D399" s="67"/>
      <c r="E399" s="67"/>
      <c r="F399" s="67"/>
      <c r="G399" s="67"/>
      <c r="H399" s="67"/>
      <c r="I399" s="67"/>
      <c r="J399" s="67"/>
      <c r="K399" s="67"/>
      <c r="L399" s="67"/>
      <c r="M399" s="67"/>
      <c r="N399" s="67"/>
      <c r="Q399" s="67"/>
    </row>
    <row r="400" spans="1:17" s="68" customFormat="1" x14ac:dyDescent="0.35">
      <c r="A400" s="66"/>
      <c r="B400" s="66"/>
      <c r="C400" s="67"/>
      <c r="D400" s="67"/>
      <c r="E400" s="67"/>
      <c r="F400" s="67"/>
      <c r="G400" s="67"/>
      <c r="H400" s="67"/>
      <c r="I400" s="67"/>
      <c r="J400" s="67"/>
      <c r="K400" s="67"/>
      <c r="L400" s="67"/>
      <c r="M400" s="67"/>
      <c r="N400" s="67"/>
      <c r="Q400" s="67"/>
    </row>
    <row r="401" spans="1:17" s="68" customFormat="1" x14ac:dyDescent="0.35">
      <c r="A401" s="66"/>
      <c r="B401" s="66"/>
      <c r="C401" s="67"/>
      <c r="D401" s="67"/>
      <c r="E401" s="67"/>
      <c r="F401" s="67"/>
      <c r="G401" s="67"/>
      <c r="H401" s="67"/>
      <c r="I401" s="67"/>
      <c r="J401" s="67"/>
      <c r="K401" s="67"/>
      <c r="L401" s="67"/>
      <c r="M401" s="67"/>
      <c r="N401" s="67"/>
      <c r="Q401" s="67"/>
    </row>
    <row r="402" spans="1:17" s="68" customFormat="1" x14ac:dyDescent="0.35">
      <c r="A402" s="66"/>
      <c r="B402" s="66"/>
      <c r="C402" s="67"/>
      <c r="D402" s="67"/>
      <c r="E402" s="67"/>
      <c r="F402" s="67"/>
      <c r="G402" s="67"/>
      <c r="H402" s="67"/>
      <c r="I402" s="67"/>
      <c r="J402" s="67"/>
      <c r="K402" s="67"/>
      <c r="L402" s="67"/>
      <c r="M402" s="67"/>
      <c r="N402" s="67"/>
      <c r="Q402" s="67"/>
    </row>
    <row r="403" spans="1:17" s="68" customFormat="1" x14ac:dyDescent="0.35">
      <c r="A403" s="66"/>
      <c r="B403" s="66"/>
      <c r="C403" s="67"/>
      <c r="D403" s="67"/>
      <c r="E403" s="67"/>
      <c r="F403" s="67"/>
      <c r="G403" s="67"/>
      <c r="H403" s="67"/>
      <c r="I403" s="67"/>
      <c r="J403" s="67"/>
      <c r="K403" s="67"/>
      <c r="L403" s="67"/>
      <c r="M403" s="67"/>
      <c r="N403" s="67"/>
      <c r="Q403" s="67"/>
    </row>
    <row r="404" spans="1:17" s="68" customFormat="1" x14ac:dyDescent="0.35">
      <c r="A404" s="66"/>
      <c r="B404" s="66"/>
      <c r="C404" s="67"/>
      <c r="D404" s="67"/>
      <c r="E404" s="67"/>
      <c r="F404" s="67"/>
      <c r="G404" s="67"/>
      <c r="H404" s="67"/>
      <c r="I404" s="67"/>
      <c r="J404" s="67"/>
      <c r="K404" s="67"/>
      <c r="L404" s="67"/>
      <c r="M404" s="67"/>
      <c r="N404" s="67"/>
      <c r="Q404" s="67"/>
    </row>
    <row r="405" spans="1:17" s="68" customFormat="1" x14ac:dyDescent="0.35">
      <c r="A405" s="66"/>
      <c r="B405" s="66"/>
      <c r="C405" s="67"/>
      <c r="D405" s="67"/>
      <c r="E405" s="67"/>
      <c r="F405" s="67"/>
      <c r="G405" s="67"/>
      <c r="H405" s="67"/>
      <c r="I405" s="67"/>
      <c r="J405" s="67"/>
      <c r="K405" s="67"/>
      <c r="L405" s="67"/>
      <c r="M405" s="67"/>
      <c r="N405" s="67"/>
      <c r="Q405" s="67"/>
    </row>
    <row r="406" spans="1:17" s="68" customFormat="1" x14ac:dyDescent="0.35">
      <c r="A406" s="66"/>
      <c r="B406" s="66"/>
      <c r="C406" s="67"/>
      <c r="D406" s="67"/>
      <c r="E406" s="67"/>
      <c r="F406" s="67"/>
      <c r="G406" s="67"/>
      <c r="H406" s="67"/>
      <c r="I406" s="67"/>
      <c r="J406" s="67"/>
      <c r="K406" s="67"/>
      <c r="L406" s="67"/>
      <c r="M406" s="67"/>
      <c r="N406" s="67"/>
      <c r="Q406" s="67"/>
    </row>
    <row r="407" spans="1:17" s="68" customFormat="1" x14ac:dyDescent="0.35">
      <c r="A407" s="66"/>
      <c r="B407" s="66"/>
      <c r="C407" s="67"/>
      <c r="D407" s="67"/>
      <c r="E407" s="67"/>
      <c r="F407" s="67"/>
      <c r="G407" s="67"/>
      <c r="H407" s="67"/>
      <c r="I407" s="67"/>
      <c r="J407" s="67"/>
      <c r="K407" s="67"/>
      <c r="L407" s="67"/>
      <c r="M407" s="67"/>
      <c r="N407" s="67"/>
      <c r="Q407" s="67"/>
    </row>
    <row r="408" spans="1:17" s="68" customFormat="1" x14ac:dyDescent="0.35">
      <c r="A408" s="66"/>
      <c r="B408" s="66"/>
      <c r="C408" s="67"/>
      <c r="D408" s="67"/>
      <c r="E408" s="67"/>
      <c r="F408" s="67"/>
      <c r="G408" s="67"/>
      <c r="H408" s="67"/>
      <c r="I408" s="67"/>
      <c r="J408" s="67"/>
      <c r="K408" s="67"/>
      <c r="L408" s="67"/>
      <c r="M408" s="67"/>
      <c r="N408" s="67"/>
      <c r="Q408" s="67"/>
    </row>
    <row r="409" spans="1:17" s="68" customFormat="1" x14ac:dyDescent="0.35">
      <c r="A409" s="66"/>
      <c r="B409" s="66"/>
      <c r="C409" s="67"/>
      <c r="D409" s="67"/>
      <c r="E409" s="67"/>
      <c r="F409" s="67"/>
      <c r="G409" s="67"/>
      <c r="H409" s="67"/>
      <c r="I409" s="67"/>
      <c r="J409" s="67"/>
      <c r="K409" s="67"/>
      <c r="L409" s="67"/>
      <c r="M409" s="67"/>
      <c r="N409" s="67"/>
      <c r="Q409" s="67"/>
    </row>
    <row r="410" spans="1:17" s="68" customFormat="1" x14ac:dyDescent="0.35">
      <c r="A410" s="66"/>
      <c r="B410" s="66"/>
      <c r="C410" s="67"/>
      <c r="D410" s="67"/>
      <c r="E410" s="67"/>
      <c r="F410" s="67"/>
      <c r="G410" s="67"/>
      <c r="H410" s="67"/>
      <c r="I410" s="67"/>
      <c r="J410" s="67"/>
      <c r="K410" s="67"/>
      <c r="L410" s="67"/>
      <c r="M410" s="67"/>
      <c r="N410" s="67"/>
      <c r="Q410" s="67"/>
    </row>
    <row r="411" spans="1:17" s="68" customFormat="1" x14ac:dyDescent="0.35">
      <c r="A411" s="66"/>
      <c r="B411" s="66"/>
      <c r="C411" s="67"/>
      <c r="D411" s="67"/>
      <c r="E411" s="67"/>
      <c r="F411" s="67"/>
      <c r="G411" s="67"/>
      <c r="H411" s="67"/>
      <c r="I411" s="67"/>
      <c r="J411" s="67"/>
      <c r="K411" s="67"/>
      <c r="L411" s="67"/>
      <c r="M411" s="67"/>
      <c r="N411" s="67"/>
      <c r="Q411" s="67"/>
    </row>
    <row r="412" spans="1:17" s="68" customFormat="1" x14ac:dyDescent="0.35">
      <c r="A412" s="66"/>
      <c r="B412" s="66"/>
      <c r="C412" s="67"/>
      <c r="D412" s="67"/>
      <c r="E412" s="67"/>
      <c r="F412" s="67"/>
      <c r="G412" s="67"/>
      <c r="H412" s="67"/>
      <c r="I412" s="67"/>
      <c r="J412" s="67"/>
      <c r="K412" s="67"/>
      <c r="L412" s="67"/>
      <c r="M412" s="67"/>
      <c r="N412" s="67"/>
      <c r="Q412" s="67"/>
    </row>
    <row r="413" spans="1:17" s="68" customFormat="1" x14ac:dyDescent="0.35">
      <c r="A413" s="66"/>
      <c r="B413" s="66"/>
      <c r="C413" s="67"/>
      <c r="D413" s="67"/>
      <c r="E413" s="67"/>
      <c r="F413" s="67"/>
      <c r="G413" s="67"/>
      <c r="H413" s="67"/>
      <c r="I413" s="67"/>
      <c r="J413" s="67"/>
      <c r="K413" s="67"/>
      <c r="L413" s="67"/>
      <c r="M413" s="67"/>
      <c r="N413" s="67"/>
      <c r="Q413" s="67"/>
    </row>
    <row r="414" spans="1:17" s="68" customFormat="1" x14ac:dyDescent="0.35">
      <c r="A414" s="66"/>
      <c r="B414" s="66"/>
      <c r="C414" s="67"/>
      <c r="D414" s="67"/>
      <c r="E414" s="67"/>
      <c r="F414" s="67"/>
      <c r="G414" s="67"/>
      <c r="H414" s="67"/>
      <c r="I414" s="67"/>
      <c r="J414" s="67"/>
      <c r="K414" s="67"/>
      <c r="L414" s="67"/>
      <c r="M414" s="67"/>
      <c r="N414" s="67"/>
      <c r="Q414" s="67"/>
    </row>
    <row r="415" spans="1:17" s="68" customFormat="1" x14ac:dyDescent="0.35">
      <c r="A415" s="66"/>
      <c r="B415" s="66"/>
      <c r="C415" s="67"/>
      <c r="D415" s="67"/>
      <c r="E415" s="67"/>
      <c r="F415" s="67"/>
      <c r="G415" s="67"/>
      <c r="H415" s="67"/>
      <c r="I415" s="67"/>
      <c r="J415" s="67"/>
      <c r="K415" s="67"/>
      <c r="L415" s="67"/>
      <c r="M415" s="67"/>
      <c r="N415" s="67"/>
      <c r="Q415" s="67"/>
    </row>
    <row r="416" spans="1:17" s="68" customFormat="1" x14ac:dyDescent="0.35">
      <c r="A416" s="66"/>
      <c r="B416" s="66"/>
      <c r="C416" s="67"/>
      <c r="D416" s="67"/>
      <c r="E416" s="67"/>
      <c r="F416" s="67"/>
      <c r="G416" s="67"/>
      <c r="H416" s="67"/>
      <c r="I416" s="67"/>
      <c r="J416" s="67"/>
      <c r="K416" s="67"/>
      <c r="L416" s="67"/>
      <c r="M416" s="67"/>
      <c r="N416" s="67"/>
      <c r="Q416" s="67"/>
    </row>
    <row r="417" spans="1:17" s="68" customFormat="1" x14ac:dyDescent="0.35">
      <c r="A417" s="66"/>
      <c r="B417" s="66"/>
      <c r="C417" s="67"/>
      <c r="D417" s="67"/>
      <c r="E417" s="67"/>
      <c r="F417" s="67"/>
      <c r="G417" s="67"/>
      <c r="H417" s="67"/>
      <c r="I417" s="67"/>
      <c r="J417" s="67"/>
      <c r="K417" s="67"/>
      <c r="L417" s="67"/>
      <c r="M417" s="67"/>
      <c r="N417" s="67"/>
      <c r="Q417" s="67"/>
    </row>
    <row r="418" spans="1:17" s="68" customFormat="1" x14ac:dyDescent="0.35">
      <c r="A418" s="66"/>
      <c r="B418" s="66"/>
      <c r="C418" s="67"/>
      <c r="D418" s="67"/>
      <c r="E418" s="67"/>
      <c r="F418" s="67"/>
      <c r="G418" s="67"/>
      <c r="H418" s="67"/>
      <c r="I418" s="67"/>
      <c r="J418" s="67"/>
      <c r="K418" s="67"/>
      <c r="L418" s="67"/>
      <c r="M418" s="67"/>
      <c r="N418" s="67"/>
      <c r="Q418" s="67"/>
    </row>
    <row r="419" spans="1:17" s="68" customFormat="1" x14ac:dyDescent="0.35">
      <c r="A419" s="66"/>
      <c r="B419" s="66"/>
      <c r="C419" s="67"/>
      <c r="D419" s="67"/>
      <c r="E419" s="67"/>
      <c r="F419" s="67"/>
      <c r="G419" s="67"/>
      <c r="H419" s="67"/>
      <c r="I419" s="67"/>
      <c r="J419" s="67"/>
      <c r="K419" s="67"/>
      <c r="L419" s="67"/>
      <c r="M419" s="67"/>
      <c r="N419" s="67"/>
      <c r="Q419" s="67"/>
    </row>
    <row r="420" spans="1:17" s="68" customFormat="1" x14ac:dyDescent="0.35">
      <c r="A420" s="66"/>
      <c r="B420" s="66"/>
      <c r="C420" s="67"/>
      <c r="D420" s="67"/>
      <c r="E420" s="67"/>
      <c r="F420" s="67"/>
      <c r="G420" s="67"/>
      <c r="H420" s="67"/>
      <c r="I420" s="67"/>
      <c r="J420" s="67"/>
      <c r="K420" s="67"/>
      <c r="L420" s="67"/>
      <c r="M420" s="67"/>
      <c r="N420" s="67"/>
      <c r="Q420" s="67"/>
    </row>
    <row r="421" spans="1:17" s="68" customFormat="1" x14ac:dyDescent="0.35">
      <c r="A421" s="66"/>
      <c r="B421" s="66"/>
      <c r="C421" s="67"/>
      <c r="D421" s="67"/>
      <c r="E421" s="67"/>
      <c r="F421" s="67"/>
      <c r="G421" s="67"/>
      <c r="H421" s="67"/>
      <c r="I421" s="67"/>
      <c r="J421" s="67"/>
      <c r="K421" s="67"/>
      <c r="L421" s="67"/>
      <c r="M421" s="67"/>
      <c r="N421" s="67"/>
      <c r="Q421" s="67"/>
    </row>
    <row r="422" spans="1:17" s="68" customFormat="1" x14ac:dyDescent="0.35">
      <c r="A422" s="66"/>
      <c r="B422" s="66"/>
      <c r="C422" s="67"/>
      <c r="D422" s="67"/>
      <c r="E422" s="67"/>
      <c r="F422" s="67"/>
      <c r="G422" s="67"/>
      <c r="H422" s="67"/>
      <c r="I422" s="67"/>
      <c r="J422" s="67"/>
      <c r="K422" s="67"/>
      <c r="L422" s="67"/>
      <c r="M422" s="67"/>
      <c r="N422" s="67"/>
      <c r="Q422" s="67"/>
    </row>
    <row r="423" spans="1:17" s="68" customFormat="1" x14ac:dyDescent="0.35">
      <c r="A423" s="66"/>
      <c r="B423" s="66"/>
      <c r="C423" s="67"/>
      <c r="D423" s="67"/>
      <c r="E423" s="67"/>
      <c r="F423" s="67"/>
      <c r="G423" s="67"/>
      <c r="H423" s="67"/>
      <c r="I423" s="67"/>
      <c r="J423" s="67"/>
      <c r="K423" s="67"/>
      <c r="L423" s="67"/>
      <c r="M423" s="67"/>
      <c r="N423" s="67"/>
      <c r="Q423" s="67"/>
    </row>
    <row r="424" spans="1:17" s="68" customFormat="1" x14ac:dyDescent="0.35">
      <c r="A424" s="66"/>
      <c r="B424" s="66"/>
      <c r="C424" s="67"/>
      <c r="D424" s="67"/>
      <c r="E424" s="67"/>
      <c r="F424" s="67"/>
      <c r="G424" s="67"/>
      <c r="H424" s="67"/>
      <c r="I424" s="67"/>
      <c r="J424" s="67"/>
      <c r="K424" s="67"/>
      <c r="L424" s="67"/>
      <c r="M424" s="67"/>
      <c r="N424" s="67"/>
      <c r="Q424" s="67"/>
    </row>
    <row r="425" spans="1:17" s="68" customFormat="1" x14ac:dyDescent="0.35">
      <c r="A425" s="66"/>
      <c r="B425" s="66"/>
      <c r="C425" s="67"/>
      <c r="D425" s="67"/>
      <c r="E425" s="67"/>
      <c r="F425" s="67"/>
      <c r="G425" s="67"/>
      <c r="H425" s="67"/>
      <c r="I425" s="67"/>
      <c r="J425" s="67"/>
      <c r="K425" s="67"/>
      <c r="L425" s="67"/>
      <c r="M425" s="67"/>
      <c r="N425" s="67"/>
      <c r="Q425" s="67"/>
    </row>
    <row r="426" spans="1:17" s="68" customFormat="1" x14ac:dyDescent="0.35">
      <c r="A426" s="66"/>
      <c r="B426" s="66"/>
      <c r="C426" s="67"/>
      <c r="D426" s="67"/>
      <c r="E426" s="67"/>
      <c r="F426" s="67"/>
      <c r="G426" s="67"/>
      <c r="H426" s="67"/>
      <c r="I426" s="67"/>
      <c r="J426" s="67"/>
      <c r="K426" s="67"/>
      <c r="L426" s="67"/>
      <c r="M426" s="67"/>
      <c r="N426" s="67"/>
      <c r="Q426" s="67"/>
    </row>
    <row r="427" spans="1:17" s="68" customFormat="1" x14ac:dyDescent="0.35">
      <c r="A427" s="66"/>
      <c r="B427" s="66"/>
      <c r="C427" s="67"/>
      <c r="D427" s="67"/>
      <c r="E427" s="67"/>
      <c r="F427" s="67"/>
      <c r="G427" s="67"/>
      <c r="H427" s="67"/>
      <c r="I427" s="67"/>
      <c r="J427" s="67"/>
      <c r="K427" s="67"/>
      <c r="L427" s="67"/>
      <c r="M427" s="67"/>
      <c r="N427" s="67"/>
      <c r="Q427" s="67"/>
    </row>
    <row r="428" spans="1:17" s="68" customFormat="1" x14ac:dyDescent="0.35">
      <c r="A428" s="66"/>
      <c r="B428" s="66"/>
      <c r="C428" s="67"/>
      <c r="D428" s="67"/>
      <c r="E428" s="67"/>
      <c r="F428" s="67"/>
      <c r="G428" s="67"/>
      <c r="H428" s="67"/>
      <c r="I428" s="67"/>
      <c r="J428" s="67"/>
      <c r="K428" s="67"/>
      <c r="L428" s="67"/>
      <c r="M428" s="67"/>
      <c r="N428" s="67"/>
      <c r="Q428" s="67"/>
    </row>
    <row r="429" spans="1:17" s="68" customFormat="1" x14ac:dyDescent="0.35">
      <c r="A429" s="66"/>
      <c r="B429" s="66"/>
      <c r="C429" s="67"/>
      <c r="D429" s="67"/>
      <c r="E429" s="67"/>
      <c r="F429" s="67"/>
      <c r="G429" s="67"/>
      <c r="H429" s="67"/>
      <c r="I429" s="67"/>
      <c r="J429" s="67"/>
      <c r="K429" s="67"/>
      <c r="L429" s="67"/>
      <c r="M429" s="67"/>
      <c r="N429" s="67"/>
      <c r="Q429" s="67"/>
    </row>
    <row r="430" spans="1:17" s="68" customFormat="1" x14ac:dyDescent="0.35">
      <c r="A430" s="66"/>
      <c r="B430" s="66"/>
      <c r="C430" s="67"/>
      <c r="D430" s="67"/>
      <c r="E430" s="67"/>
      <c r="F430" s="67"/>
      <c r="G430" s="67"/>
      <c r="H430" s="67"/>
      <c r="I430" s="67"/>
      <c r="J430" s="67"/>
      <c r="K430" s="67"/>
      <c r="L430" s="67"/>
      <c r="M430" s="67"/>
      <c r="N430" s="67"/>
      <c r="Q430" s="67"/>
    </row>
    <row r="431" spans="1:17" s="68" customFormat="1" x14ac:dyDescent="0.35">
      <c r="A431" s="66"/>
      <c r="B431" s="66"/>
      <c r="C431" s="67"/>
      <c r="D431" s="67"/>
      <c r="E431" s="67"/>
      <c r="F431" s="67"/>
      <c r="G431" s="67"/>
      <c r="H431" s="67"/>
      <c r="I431" s="67"/>
      <c r="J431" s="67"/>
      <c r="K431" s="67"/>
      <c r="L431" s="67"/>
      <c r="M431" s="67"/>
      <c r="N431" s="67"/>
      <c r="Q431" s="67"/>
    </row>
    <row r="432" spans="1:17" s="68" customFormat="1" x14ac:dyDescent="0.35">
      <c r="A432" s="66"/>
      <c r="B432" s="66"/>
      <c r="C432" s="67"/>
      <c r="D432" s="67"/>
      <c r="E432" s="67"/>
      <c r="F432" s="67"/>
      <c r="G432" s="67"/>
      <c r="H432" s="67"/>
      <c r="I432" s="67"/>
      <c r="J432" s="67"/>
      <c r="K432" s="67"/>
      <c r="L432" s="67"/>
      <c r="M432" s="67"/>
      <c r="N432" s="67"/>
      <c r="Q432" s="67"/>
    </row>
    <row r="433" spans="1:17" s="68" customFormat="1" x14ac:dyDescent="0.35">
      <c r="A433" s="66"/>
      <c r="B433" s="66"/>
      <c r="C433" s="67"/>
      <c r="D433" s="67"/>
      <c r="E433" s="67"/>
      <c r="F433" s="67"/>
      <c r="G433" s="67"/>
      <c r="H433" s="67"/>
      <c r="I433" s="67"/>
      <c r="J433" s="67"/>
      <c r="K433" s="67"/>
      <c r="L433" s="67"/>
      <c r="M433" s="67"/>
      <c r="N433" s="67"/>
      <c r="Q433" s="67"/>
    </row>
    <row r="434" spans="1:17" s="68" customFormat="1" x14ac:dyDescent="0.35">
      <c r="A434" s="66"/>
      <c r="B434" s="66"/>
      <c r="C434" s="67"/>
      <c r="D434" s="67"/>
      <c r="E434" s="67"/>
      <c r="F434" s="67"/>
      <c r="G434" s="67"/>
      <c r="H434" s="67"/>
      <c r="I434" s="67"/>
      <c r="J434" s="67"/>
      <c r="K434" s="67"/>
      <c r="L434" s="67"/>
      <c r="M434" s="67"/>
      <c r="N434" s="67"/>
      <c r="Q434" s="67"/>
    </row>
    <row r="435" spans="1:17" s="68" customFormat="1" x14ac:dyDescent="0.35">
      <c r="A435" s="66"/>
      <c r="B435" s="66"/>
      <c r="C435" s="67"/>
      <c r="D435" s="67"/>
      <c r="E435" s="67"/>
      <c r="F435" s="67"/>
      <c r="G435" s="67"/>
      <c r="H435" s="67"/>
      <c r="I435" s="67"/>
      <c r="J435" s="67"/>
      <c r="K435" s="67"/>
      <c r="L435" s="67"/>
      <c r="M435" s="67"/>
      <c r="N435" s="67"/>
      <c r="Q435" s="67"/>
    </row>
    <row r="436" spans="1:17" s="68" customFormat="1" x14ac:dyDescent="0.35">
      <c r="A436" s="66"/>
      <c r="B436" s="66"/>
      <c r="C436" s="67"/>
      <c r="D436" s="67"/>
      <c r="E436" s="67"/>
      <c r="F436" s="67"/>
      <c r="G436" s="67"/>
      <c r="H436" s="67"/>
      <c r="I436" s="67"/>
      <c r="J436" s="67"/>
      <c r="K436" s="67"/>
      <c r="L436" s="67"/>
      <c r="M436" s="67"/>
      <c r="N436" s="67"/>
      <c r="Q436" s="67"/>
    </row>
    <row r="437" spans="1:17" s="68" customFormat="1" x14ac:dyDescent="0.35">
      <c r="A437" s="66"/>
      <c r="B437" s="66"/>
      <c r="C437" s="67"/>
      <c r="D437" s="67"/>
      <c r="E437" s="67"/>
      <c r="F437" s="67"/>
      <c r="G437" s="67"/>
      <c r="H437" s="67"/>
      <c r="I437" s="67"/>
      <c r="J437" s="67"/>
      <c r="K437" s="67"/>
      <c r="L437" s="67"/>
      <c r="M437" s="67"/>
      <c r="N437" s="67"/>
      <c r="Q437" s="67"/>
    </row>
    <row r="438" spans="1:17" s="68" customFormat="1" x14ac:dyDescent="0.35">
      <c r="A438" s="66"/>
      <c r="B438" s="66"/>
      <c r="C438" s="67"/>
      <c r="D438" s="67"/>
      <c r="E438" s="67"/>
      <c r="F438" s="67"/>
      <c r="G438" s="67"/>
      <c r="H438" s="67"/>
      <c r="I438" s="67"/>
      <c r="J438" s="67"/>
      <c r="K438" s="67"/>
      <c r="L438" s="67"/>
      <c r="M438" s="67"/>
      <c r="N438" s="67"/>
      <c r="Q438" s="67"/>
    </row>
    <row r="439" spans="1:17" s="68" customFormat="1" x14ac:dyDescent="0.35">
      <c r="A439" s="66"/>
      <c r="B439" s="66"/>
      <c r="C439" s="67"/>
      <c r="D439" s="67"/>
      <c r="E439" s="67"/>
      <c r="F439" s="67"/>
      <c r="G439" s="67"/>
      <c r="H439" s="67"/>
      <c r="I439" s="67"/>
      <c r="J439" s="67"/>
      <c r="K439" s="67"/>
      <c r="L439" s="67"/>
      <c r="M439" s="67"/>
      <c r="N439" s="67"/>
      <c r="Q439" s="67"/>
    </row>
    <row r="440" spans="1:17" s="68" customFormat="1" x14ac:dyDescent="0.35">
      <c r="A440" s="66"/>
      <c r="B440" s="66"/>
      <c r="C440" s="67"/>
      <c r="D440" s="67"/>
      <c r="E440" s="67"/>
      <c r="F440" s="67"/>
      <c r="G440" s="67"/>
      <c r="H440" s="67"/>
      <c r="I440" s="67"/>
      <c r="J440" s="67"/>
      <c r="K440" s="67"/>
      <c r="L440" s="67"/>
      <c r="M440" s="67"/>
      <c r="N440" s="67"/>
      <c r="Q440" s="67"/>
    </row>
    <row r="441" spans="1:17" s="68" customFormat="1" x14ac:dyDescent="0.35">
      <c r="A441" s="66"/>
      <c r="B441" s="66"/>
      <c r="C441" s="67"/>
      <c r="D441" s="67"/>
      <c r="E441" s="67"/>
      <c r="F441" s="67"/>
      <c r="G441" s="67"/>
      <c r="H441" s="67"/>
      <c r="I441" s="67"/>
      <c r="J441" s="67"/>
      <c r="K441" s="67"/>
      <c r="L441" s="67"/>
      <c r="M441" s="67"/>
      <c r="N441" s="67"/>
      <c r="Q441" s="67"/>
    </row>
    <row r="442" spans="1:17" s="68" customFormat="1" x14ac:dyDescent="0.35">
      <c r="A442" s="66"/>
      <c r="B442" s="66"/>
      <c r="C442" s="67"/>
      <c r="D442" s="67"/>
      <c r="E442" s="67"/>
      <c r="F442" s="67"/>
      <c r="G442" s="67"/>
      <c r="H442" s="67"/>
      <c r="I442" s="67"/>
      <c r="J442" s="67"/>
      <c r="K442" s="67"/>
      <c r="L442" s="67"/>
      <c r="M442" s="67"/>
      <c r="N442" s="67"/>
      <c r="Q442" s="67"/>
    </row>
    <row r="443" spans="1:17" s="68" customFormat="1" x14ac:dyDescent="0.35">
      <c r="A443" s="66"/>
      <c r="B443" s="66"/>
      <c r="C443" s="67"/>
      <c r="D443" s="67"/>
      <c r="E443" s="67"/>
      <c r="F443" s="67"/>
      <c r="G443" s="67"/>
      <c r="H443" s="67"/>
      <c r="I443" s="67"/>
      <c r="J443" s="67"/>
      <c r="K443" s="67"/>
      <c r="L443" s="67"/>
      <c r="M443" s="67"/>
      <c r="N443" s="67"/>
      <c r="Q443" s="67"/>
    </row>
    <row r="444" spans="1:17" s="68" customFormat="1" x14ac:dyDescent="0.35">
      <c r="A444" s="66"/>
      <c r="B444" s="66"/>
      <c r="C444" s="67"/>
      <c r="D444" s="67"/>
      <c r="E444" s="67"/>
      <c r="F444" s="67"/>
      <c r="G444" s="67"/>
      <c r="H444" s="67"/>
      <c r="I444" s="67"/>
      <c r="J444" s="67"/>
      <c r="K444" s="67"/>
      <c r="L444" s="67"/>
      <c r="M444" s="67"/>
      <c r="N444" s="67"/>
      <c r="Q444" s="67"/>
    </row>
    <row r="445" spans="1:17" s="68" customFormat="1" x14ac:dyDescent="0.35">
      <c r="A445" s="66"/>
      <c r="B445" s="66"/>
      <c r="C445" s="67"/>
      <c r="D445" s="67"/>
      <c r="E445" s="67"/>
      <c r="F445" s="67"/>
      <c r="G445" s="67"/>
      <c r="H445" s="67"/>
      <c r="I445" s="67"/>
      <c r="J445" s="67"/>
      <c r="K445" s="67"/>
      <c r="L445" s="67"/>
      <c r="M445" s="67"/>
      <c r="N445" s="67"/>
      <c r="Q445" s="67"/>
    </row>
    <row r="446" spans="1:17" s="68" customFormat="1" x14ac:dyDescent="0.35">
      <c r="A446" s="66"/>
      <c r="B446" s="66"/>
      <c r="C446" s="67"/>
      <c r="D446" s="67"/>
      <c r="E446" s="67"/>
      <c r="F446" s="67"/>
      <c r="G446" s="67"/>
      <c r="H446" s="67"/>
      <c r="I446" s="67"/>
      <c r="J446" s="67"/>
      <c r="K446" s="67"/>
      <c r="L446" s="67"/>
      <c r="M446" s="67"/>
      <c r="N446" s="67"/>
      <c r="Q446" s="67"/>
    </row>
    <row r="447" spans="1:17" s="68" customFormat="1" x14ac:dyDescent="0.35">
      <c r="A447" s="66"/>
      <c r="B447" s="66"/>
      <c r="C447" s="67"/>
      <c r="D447" s="67"/>
      <c r="E447" s="67"/>
      <c r="F447" s="67"/>
      <c r="G447" s="67"/>
      <c r="H447" s="67"/>
      <c r="I447" s="67"/>
      <c r="J447" s="67"/>
      <c r="K447" s="67"/>
      <c r="L447" s="67"/>
      <c r="M447" s="67"/>
      <c r="N447" s="67"/>
      <c r="Q447" s="67"/>
    </row>
    <row r="448" spans="1:17" s="68" customFormat="1" x14ac:dyDescent="0.35">
      <c r="A448" s="66"/>
      <c r="B448" s="66"/>
      <c r="C448" s="67"/>
      <c r="D448" s="67"/>
      <c r="E448" s="67"/>
      <c r="F448" s="67"/>
      <c r="G448" s="67"/>
      <c r="H448" s="67"/>
      <c r="I448" s="67"/>
      <c r="J448" s="67"/>
      <c r="K448" s="67"/>
      <c r="L448" s="67"/>
      <c r="M448" s="67"/>
      <c r="N448" s="67"/>
      <c r="Q448" s="67"/>
    </row>
    <row r="449" spans="1:17" s="68" customFormat="1" x14ac:dyDescent="0.35">
      <c r="A449" s="66"/>
      <c r="B449" s="66"/>
      <c r="C449" s="67"/>
      <c r="D449" s="67"/>
      <c r="E449" s="67"/>
      <c r="F449" s="67"/>
      <c r="G449" s="67"/>
      <c r="H449" s="67"/>
      <c r="I449" s="67"/>
      <c r="J449" s="67"/>
      <c r="K449" s="67"/>
      <c r="L449" s="67"/>
      <c r="M449" s="67"/>
      <c r="N449" s="67"/>
      <c r="Q449" s="67"/>
    </row>
    <row r="450" spans="1:17" s="68" customFormat="1" x14ac:dyDescent="0.35">
      <c r="A450" s="66"/>
      <c r="B450" s="66"/>
      <c r="C450" s="67"/>
      <c r="D450" s="67"/>
      <c r="E450" s="67"/>
      <c r="F450" s="67"/>
      <c r="G450" s="67"/>
      <c r="H450" s="67"/>
      <c r="I450" s="67"/>
      <c r="J450" s="67"/>
      <c r="K450" s="67"/>
      <c r="L450" s="67"/>
      <c r="M450" s="67"/>
      <c r="N450" s="67"/>
      <c r="Q450" s="67"/>
    </row>
    <row r="451" spans="1:17" s="68" customFormat="1" x14ac:dyDescent="0.35">
      <c r="A451" s="66"/>
      <c r="B451" s="66"/>
      <c r="C451" s="67"/>
      <c r="D451" s="67"/>
      <c r="E451" s="67"/>
      <c r="F451" s="67"/>
      <c r="G451" s="67"/>
      <c r="H451" s="67"/>
      <c r="I451" s="67"/>
      <c r="J451" s="67"/>
      <c r="K451" s="67"/>
      <c r="L451" s="67"/>
      <c r="M451" s="67"/>
      <c r="N451" s="67"/>
      <c r="Q451" s="67"/>
    </row>
    <row r="452" spans="1:17" s="68" customFormat="1" x14ac:dyDescent="0.35">
      <c r="A452" s="66"/>
      <c r="B452" s="66"/>
      <c r="C452" s="67"/>
      <c r="D452" s="67"/>
      <c r="E452" s="67"/>
      <c r="F452" s="67"/>
      <c r="G452" s="67"/>
      <c r="H452" s="67"/>
      <c r="I452" s="67"/>
      <c r="J452" s="67"/>
      <c r="K452" s="67"/>
      <c r="L452" s="67"/>
      <c r="M452" s="67"/>
      <c r="N452" s="67"/>
      <c r="Q452" s="67"/>
    </row>
    <row r="453" spans="1:17" s="68" customFormat="1" x14ac:dyDescent="0.35">
      <c r="A453" s="66"/>
      <c r="B453" s="66"/>
      <c r="C453" s="67"/>
      <c r="D453" s="67"/>
      <c r="E453" s="67"/>
      <c r="F453" s="67"/>
      <c r="G453" s="67"/>
      <c r="H453" s="67"/>
      <c r="I453" s="67"/>
      <c r="J453" s="67"/>
      <c r="K453" s="67"/>
      <c r="L453" s="67"/>
      <c r="M453" s="67"/>
      <c r="N453" s="67"/>
      <c r="Q453" s="67"/>
    </row>
    <row r="454" spans="1:17" s="68" customFormat="1" x14ac:dyDescent="0.35">
      <c r="A454" s="66"/>
      <c r="B454" s="66"/>
      <c r="C454" s="67"/>
      <c r="D454" s="67"/>
      <c r="E454" s="67"/>
      <c r="F454" s="67"/>
      <c r="G454" s="67"/>
      <c r="H454" s="67"/>
      <c r="I454" s="67"/>
      <c r="J454" s="67"/>
      <c r="K454" s="67"/>
      <c r="L454" s="67"/>
      <c r="M454" s="67"/>
      <c r="N454" s="67"/>
      <c r="Q454" s="67"/>
    </row>
    <row r="455" spans="1:17" s="68" customFormat="1" x14ac:dyDescent="0.35">
      <c r="A455" s="66"/>
      <c r="B455" s="66"/>
      <c r="C455" s="67"/>
      <c r="D455" s="67"/>
      <c r="E455" s="67"/>
      <c r="F455" s="67"/>
      <c r="G455" s="67"/>
      <c r="H455" s="67"/>
      <c r="I455" s="67"/>
      <c r="J455" s="67"/>
      <c r="K455" s="67"/>
      <c r="L455" s="67"/>
      <c r="M455" s="67"/>
      <c r="N455" s="67"/>
      <c r="Q455" s="67"/>
    </row>
    <row r="456" spans="1:17" s="68" customFormat="1" x14ac:dyDescent="0.35">
      <c r="A456" s="66"/>
      <c r="B456" s="66"/>
      <c r="C456" s="67"/>
      <c r="D456" s="67"/>
      <c r="E456" s="67"/>
      <c r="F456" s="67"/>
      <c r="G456" s="67"/>
      <c r="H456" s="67"/>
      <c r="I456" s="67"/>
      <c r="J456" s="67"/>
      <c r="K456" s="67"/>
      <c r="L456" s="67"/>
      <c r="M456" s="67"/>
      <c r="N456" s="67"/>
      <c r="Q456" s="67"/>
    </row>
    <row r="457" spans="1:17" s="68" customFormat="1" x14ac:dyDescent="0.35">
      <c r="A457" s="66"/>
      <c r="B457" s="66"/>
      <c r="C457" s="67"/>
      <c r="D457" s="67"/>
      <c r="E457" s="67"/>
      <c r="F457" s="67"/>
      <c r="G457" s="67"/>
      <c r="H457" s="67"/>
      <c r="I457" s="67"/>
      <c r="J457" s="67"/>
      <c r="K457" s="67"/>
      <c r="L457" s="67"/>
      <c r="M457" s="67"/>
      <c r="N457" s="67"/>
      <c r="Q457" s="67"/>
    </row>
    <row r="458" spans="1:17" s="68" customFormat="1" x14ac:dyDescent="0.35">
      <c r="A458" s="66"/>
      <c r="B458" s="66"/>
      <c r="C458" s="67"/>
      <c r="D458" s="67"/>
      <c r="E458" s="67"/>
      <c r="F458" s="67"/>
      <c r="G458" s="67"/>
      <c r="H458" s="67"/>
      <c r="I458" s="67"/>
      <c r="J458" s="67"/>
      <c r="K458" s="67"/>
      <c r="L458" s="67"/>
      <c r="M458" s="67"/>
      <c r="N458" s="67"/>
      <c r="Q458" s="67"/>
    </row>
    <row r="459" spans="1:17" s="68" customFormat="1" x14ac:dyDescent="0.35">
      <c r="A459" s="66"/>
      <c r="B459" s="66"/>
      <c r="C459" s="67"/>
      <c r="D459" s="67"/>
      <c r="E459" s="67"/>
      <c r="F459" s="67"/>
      <c r="G459" s="67"/>
      <c r="H459" s="67"/>
      <c r="I459" s="67"/>
      <c r="J459" s="67"/>
      <c r="K459" s="67"/>
      <c r="L459" s="67"/>
      <c r="M459" s="67"/>
      <c r="N459" s="67"/>
      <c r="Q459" s="67"/>
    </row>
    <row r="460" spans="1:17" s="68" customFormat="1" x14ac:dyDescent="0.35">
      <c r="A460" s="66"/>
      <c r="B460" s="66"/>
      <c r="C460" s="67"/>
      <c r="D460" s="67"/>
      <c r="E460" s="67"/>
      <c r="F460" s="67"/>
      <c r="G460" s="67"/>
      <c r="H460" s="67"/>
      <c r="I460" s="67"/>
      <c r="J460" s="67"/>
      <c r="K460" s="67"/>
      <c r="L460" s="67"/>
      <c r="M460" s="67"/>
      <c r="N460" s="67"/>
      <c r="Q460" s="67"/>
    </row>
    <row r="461" spans="1:17" s="68" customFormat="1" x14ac:dyDescent="0.35">
      <c r="A461" s="66"/>
      <c r="B461" s="66"/>
      <c r="C461" s="67"/>
      <c r="D461" s="67"/>
      <c r="E461" s="67"/>
      <c r="F461" s="67"/>
      <c r="G461" s="67"/>
      <c r="H461" s="67"/>
      <c r="I461" s="67"/>
      <c r="J461" s="67"/>
      <c r="K461" s="67"/>
      <c r="L461" s="67"/>
      <c r="M461" s="67"/>
      <c r="N461" s="67"/>
      <c r="Q461" s="67"/>
    </row>
    <row r="462" spans="1:17" s="68" customFormat="1" x14ac:dyDescent="0.35">
      <c r="A462" s="66"/>
      <c r="B462" s="66"/>
      <c r="C462" s="67"/>
      <c r="D462" s="67"/>
      <c r="E462" s="67"/>
      <c r="F462" s="67"/>
      <c r="G462" s="67"/>
      <c r="H462" s="67"/>
      <c r="I462" s="67"/>
      <c r="J462" s="67"/>
      <c r="K462" s="67"/>
      <c r="L462" s="67"/>
      <c r="M462" s="67"/>
      <c r="N462" s="67"/>
      <c r="Q462" s="67"/>
    </row>
    <row r="463" spans="1:17" s="68" customFormat="1" x14ac:dyDescent="0.35">
      <c r="A463" s="66"/>
      <c r="B463" s="66"/>
      <c r="C463" s="67"/>
      <c r="D463" s="67"/>
      <c r="E463" s="67"/>
      <c r="F463" s="67"/>
      <c r="G463" s="67"/>
      <c r="H463" s="67"/>
      <c r="I463" s="67"/>
      <c r="J463" s="67"/>
      <c r="K463" s="67"/>
      <c r="L463" s="67"/>
      <c r="M463" s="67"/>
      <c r="N463" s="67"/>
      <c r="Q463" s="67"/>
    </row>
    <row r="464" spans="1:17" s="68" customFormat="1" x14ac:dyDescent="0.35">
      <c r="A464" s="66"/>
      <c r="B464" s="66"/>
      <c r="C464" s="67"/>
      <c r="D464" s="67"/>
      <c r="E464" s="67"/>
      <c r="F464" s="67"/>
      <c r="G464" s="67"/>
      <c r="H464" s="67"/>
      <c r="I464" s="67"/>
      <c r="J464" s="67"/>
      <c r="K464" s="67"/>
      <c r="L464" s="67"/>
      <c r="M464" s="67"/>
      <c r="N464" s="67"/>
      <c r="Q464" s="67"/>
    </row>
    <row r="465" spans="1:17" s="68" customFormat="1" x14ac:dyDescent="0.35">
      <c r="A465" s="66"/>
      <c r="B465" s="66"/>
      <c r="C465" s="67"/>
      <c r="D465" s="67"/>
      <c r="E465" s="67"/>
      <c r="F465" s="67"/>
      <c r="G465" s="67"/>
      <c r="H465" s="67"/>
      <c r="I465" s="67"/>
      <c r="J465" s="67"/>
      <c r="K465" s="67"/>
      <c r="L465" s="67"/>
      <c r="M465" s="67"/>
      <c r="N465" s="67"/>
      <c r="Q465" s="67"/>
    </row>
    <row r="466" spans="1:17" s="68" customFormat="1" x14ac:dyDescent="0.35">
      <c r="A466" s="66"/>
      <c r="B466" s="66"/>
      <c r="C466" s="67"/>
      <c r="D466" s="67"/>
      <c r="E466" s="67"/>
      <c r="F466" s="67"/>
      <c r="G466" s="67"/>
      <c r="H466" s="67"/>
      <c r="I466" s="67"/>
      <c r="J466" s="67"/>
      <c r="K466" s="67"/>
      <c r="L466" s="67"/>
      <c r="M466" s="67"/>
      <c r="N466" s="67"/>
      <c r="Q466" s="67"/>
    </row>
    <row r="467" spans="1:17" s="68" customFormat="1" x14ac:dyDescent="0.35">
      <c r="A467" s="66"/>
      <c r="B467" s="66"/>
      <c r="C467" s="67"/>
      <c r="D467" s="67"/>
      <c r="E467" s="67"/>
      <c r="F467" s="67"/>
      <c r="G467" s="67"/>
      <c r="H467" s="67"/>
      <c r="I467" s="67"/>
      <c r="J467" s="67"/>
      <c r="K467" s="67"/>
      <c r="L467" s="67"/>
      <c r="M467" s="67"/>
      <c r="N467" s="67"/>
      <c r="Q467" s="67"/>
    </row>
    <row r="468" spans="1:17" s="68" customFormat="1" x14ac:dyDescent="0.35">
      <c r="A468" s="66"/>
      <c r="B468" s="66"/>
      <c r="C468" s="67"/>
      <c r="D468" s="67"/>
      <c r="E468" s="67"/>
      <c r="F468" s="67"/>
      <c r="G468" s="67"/>
      <c r="H468" s="67"/>
      <c r="I468" s="67"/>
      <c r="J468" s="67"/>
      <c r="K468" s="67"/>
      <c r="L468" s="67"/>
      <c r="M468" s="67"/>
      <c r="N468" s="67"/>
      <c r="Q468" s="67"/>
    </row>
    <row r="469" spans="1:17" s="68" customFormat="1" x14ac:dyDescent="0.35">
      <c r="A469" s="66"/>
      <c r="B469" s="66"/>
      <c r="C469" s="67"/>
      <c r="D469" s="67"/>
      <c r="E469" s="67"/>
      <c r="F469" s="67"/>
      <c r="G469" s="67"/>
      <c r="H469" s="67"/>
      <c r="I469" s="67"/>
      <c r="J469" s="67"/>
      <c r="K469" s="67"/>
      <c r="L469" s="67"/>
      <c r="M469" s="67"/>
      <c r="N469" s="67"/>
      <c r="Q469" s="67"/>
    </row>
    <row r="470" spans="1:17" s="68" customFormat="1" x14ac:dyDescent="0.35">
      <c r="A470" s="66"/>
      <c r="B470" s="66"/>
      <c r="C470" s="67"/>
      <c r="D470" s="67"/>
      <c r="E470" s="67"/>
      <c r="F470" s="67"/>
      <c r="G470" s="67"/>
      <c r="H470" s="67"/>
      <c r="I470" s="67"/>
      <c r="J470" s="67"/>
      <c r="K470" s="67"/>
      <c r="L470" s="67"/>
      <c r="M470" s="67"/>
      <c r="N470" s="67"/>
      <c r="Q470" s="67"/>
    </row>
    <row r="471" spans="1:17" s="68" customFormat="1" x14ac:dyDescent="0.35">
      <c r="A471" s="66"/>
      <c r="B471" s="66"/>
      <c r="C471" s="67"/>
      <c r="D471" s="67"/>
      <c r="E471" s="67"/>
      <c r="F471" s="67"/>
      <c r="G471" s="67"/>
      <c r="H471" s="67"/>
      <c r="I471" s="67"/>
      <c r="J471" s="67"/>
      <c r="K471" s="67"/>
      <c r="L471" s="67"/>
      <c r="M471" s="67"/>
      <c r="N471" s="67"/>
      <c r="Q471" s="67"/>
    </row>
    <row r="472" spans="1:17" s="68" customFormat="1" x14ac:dyDescent="0.35">
      <c r="A472" s="66"/>
      <c r="B472" s="66"/>
      <c r="C472" s="67"/>
      <c r="D472" s="67"/>
      <c r="E472" s="67"/>
      <c r="F472" s="67"/>
      <c r="G472" s="67"/>
      <c r="H472" s="67"/>
      <c r="I472" s="67"/>
      <c r="J472" s="67"/>
      <c r="K472" s="67"/>
      <c r="L472" s="67"/>
      <c r="M472" s="67"/>
      <c r="N472" s="67"/>
      <c r="Q472" s="67"/>
    </row>
    <row r="473" spans="1:17" s="68" customFormat="1" x14ac:dyDescent="0.35">
      <c r="A473" s="66"/>
      <c r="B473" s="66"/>
      <c r="C473" s="67"/>
      <c r="D473" s="67"/>
      <c r="E473" s="67"/>
      <c r="F473" s="67"/>
      <c r="G473" s="67"/>
      <c r="H473" s="67"/>
      <c r="I473" s="67"/>
      <c r="J473" s="67"/>
      <c r="K473" s="67"/>
      <c r="L473" s="67"/>
      <c r="M473" s="67"/>
      <c r="N473" s="67"/>
      <c r="Q473" s="67"/>
    </row>
    <row r="474" spans="1:17" s="68" customFormat="1" x14ac:dyDescent="0.35">
      <c r="A474" s="66"/>
      <c r="B474" s="66"/>
      <c r="C474" s="67"/>
      <c r="D474" s="67"/>
      <c r="E474" s="67"/>
      <c r="F474" s="67"/>
      <c r="G474" s="67"/>
      <c r="H474" s="67"/>
      <c r="I474" s="67"/>
      <c r="J474" s="67"/>
      <c r="K474" s="67"/>
      <c r="L474" s="67"/>
      <c r="M474" s="67"/>
      <c r="N474" s="67"/>
      <c r="Q474" s="67"/>
    </row>
    <row r="475" spans="1:17" s="68" customFormat="1" x14ac:dyDescent="0.35">
      <c r="A475" s="66"/>
      <c r="B475" s="66"/>
      <c r="C475" s="67"/>
      <c r="D475" s="67"/>
      <c r="E475" s="67"/>
      <c r="F475" s="67"/>
      <c r="G475" s="67"/>
      <c r="H475" s="67"/>
      <c r="I475" s="67"/>
      <c r="J475" s="67"/>
      <c r="K475" s="67"/>
      <c r="L475" s="67"/>
      <c r="M475" s="67"/>
      <c r="N475" s="67"/>
      <c r="Q475" s="67"/>
    </row>
    <row r="476" spans="1:17" s="68" customFormat="1" x14ac:dyDescent="0.35">
      <c r="A476" s="66"/>
      <c r="B476" s="66"/>
      <c r="C476" s="67"/>
      <c r="D476" s="67"/>
      <c r="E476" s="67"/>
      <c r="F476" s="67"/>
      <c r="G476" s="67"/>
      <c r="H476" s="67"/>
      <c r="I476" s="67"/>
      <c r="J476" s="67"/>
      <c r="K476" s="67"/>
      <c r="L476" s="67"/>
      <c r="M476" s="67"/>
      <c r="N476" s="67"/>
      <c r="Q476" s="67"/>
    </row>
    <row r="477" spans="1:17" s="68" customFormat="1" x14ac:dyDescent="0.35">
      <c r="A477" s="66"/>
      <c r="B477" s="66"/>
      <c r="C477" s="67"/>
      <c r="D477" s="67"/>
      <c r="E477" s="67"/>
      <c r="F477" s="67"/>
      <c r="G477" s="67"/>
      <c r="H477" s="67"/>
      <c r="I477" s="67"/>
      <c r="J477" s="67"/>
      <c r="K477" s="67"/>
      <c r="L477" s="67"/>
      <c r="M477" s="67"/>
      <c r="N477" s="67"/>
      <c r="Q477" s="67"/>
    </row>
    <row r="478" spans="1:17" s="68" customFormat="1" x14ac:dyDescent="0.35">
      <c r="A478" s="66"/>
      <c r="B478" s="66"/>
      <c r="C478" s="67"/>
      <c r="D478" s="67"/>
      <c r="E478" s="67"/>
      <c r="F478" s="67"/>
      <c r="G478" s="67"/>
      <c r="H478" s="67"/>
      <c r="I478" s="67"/>
      <c r="J478" s="67"/>
      <c r="K478" s="67"/>
      <c r="L478" s="67"/>
      <c r="M478" s="67"/>
      <c r="N478" s="67"/>
      <c r="Q478" s="67"/>
    </row>
    <row r="479" spans="1:17" s="68" customFormat="1" x14ac:dyDescent="0.35">
      <c r="A479" s="66"/>
      <c r="B479" s="66"/>
      <c r="C479" s="67"/>
      <c r="D479" s="67"/>
      <c r="E479" s="67"/>
      <c r="F479" s="67"/>
      <c r="G479" s="67"/>
      <c r="H479" s="67"/>
      <c r="I479" s="67"/>
      <c r="J479" s="67"/>
      <c r="K479" s="67"/>
      <c r="L479" s="67"/>
      <c r="M479" s="67"/>
      <c r="N479" s="67"/>
      <c r="Q479" s="67"/>
    </row>
    <row r="480" spans="1:17" s="68" customFormat="1" x14ac:dyDescent="0.35">
      <c r="A480" s="66"/>
      <c r="B480" s="66"/>
      <c r="C480" s="67"/>
      <c r="D480" s="67"/>
      <c r="E480" s="67"/>
      <c r="F480" s="67"/>
      <c r="G480" s="67"/>
      <c r="H480" s="67"/>
      <c r="I480" s="67"/>
      <c r="J480" s="67"/>
      <c r="K480" s="67"/>
      <c r="L480" s="67"/>
      <c r="M480" s="67"/>
      <c r="N480" s="67"/>
      <c r="Q480" s="67"/>
    </row>
    <row r="481" spans="1:17" s="68" customFormat="1" x14ac:dyDescent="0.35">
      <c r="A481" s="66"/>
      <c r="B481" s="66"/>
      <c r="C481" s="67"/>
      <c r="D481" s="67"/>
      <c r="E481" s="67"/>
      <c r="F481" s="67"/>
      <c r="G481" s="67"/>
      <c r="H481" s="67"/>
      <c r="I481" s="67"/>
      <c r="J481" s="67"/>
      <c r="K481" s="67"/>
      <c r="L481" s="67"/>
      <c r="M481" s="67"/>
      <c r="N481" s="67"/>
      <c r="Q481" s="67"/>
    </row>
    <row r="482" spans="1:17" s="68" customFormat="1" x14ac:dyDescent="0.35">
      <c r="A482" s="66"/>
      <c r="B482" s="66"/>
      <c r="C482" s="67"/>
      <c r="D482" s="67"/>
      <c r="E482" s="67"/>
      <c r="F482" s="67"/>
      <c r="G482" s="67"/>
      <c r="H482" s="67"/>
      <c r="I482" s="67"/>
      <c r="J482" s="67"/>
      <c r="K482" s="67"/>
      <c r="L482" s="67"/>
      <c r="M482" s="67"/>
      <c r="N482" s="67"/>
      <c r="Q482" s="67"/>
    </row>
    <row r="483" spans="1:17" s="68" customFormat="1" x14ac:dyDescent="0.35">
      <c r="A483" s="66"/>
      <c r="B483" s="66"/>
      <c r="C483" s="67"/>
      <c r="D483" s="67"/>
      <c r="E483" s="67"/>
      <c r="F483" s="67"/>
      <c r="G483" s="67"/>
      <c r="H483" s="67"/>
      <c r="I483" s="67"/>
      <c r="J483" s="67"/>
      <c r="K483" s="67"/>
      <c r="L483" s="67"/>
      <c r="M483" s="67"/>
      <c r="N483" s="67"/>
      <c r="Q483" s="67"/>
    </row>
    <row r="484" spans="1:17" s="68" customFormat="1" x14ac:dyDescent="0.35">
      <c r="A484" s="66"/>
      <c r="B484" s="66"/>
      <c r="C484" s="67"/>
      <c r="D484" s="67"/>
      <c r="E484" s="67"/>
      <c r="F484" s="67"/>
      <c r="G484" s="67"/>
      <c r="H484" s="67"/>
      <c r="I484" s="67"/>
      <c r="J484" s="67"/>
      <c r="K484" s="67"/>
      <c r="L484" s="67"/>
      <c r="M484" s="67"/>
      <c r="N484" s="67"/>
      <c r="Q484" s="67"/>
    </row>
    <row r="485" spans="1:17" s="68" customFormat="1" x14ac:dyDescent="0.35">
      <c r="A485" s="66"/>
      <c r="B485" s="66"/>
      <c r="C485" s="67"/>
      <c r="D485" s="67"/>
      <c r="E485" s="67"/>
      <c r="F485" s="67"/>
      <c r="G485" s="67"/>
      <c r="H485" s="67"/>
      <c r="I485" s="67"/>
      <c r="J485" s="67"/>
      <c r="K485" s="67"/>
      <c r="L485" s="67"/>
      <c r="M485" s="67"/>
      <c r="N485" s="67"/>
      <c r="Q485" s="67"/>
    </row>
    <row r="486" spans="1:17" s="68" customFormat="1" x14ac:dyDescent="0.35">
      <c r="A486" s="66"/>
      <c r="B486" s="66"/>
      <c r="C486" s="67"/>
      <c r="D486" s="67"/>
      <c r="E486" s="67"/>
      <c r="F486" s="67"/>
      <c r="G486" s="67"/>
      <c r="H486" s="67"/>
      <c r="I486" s="67"/>
      <c r="J486" s="67"/>
      <c r="K486" s="67"/>
      <c r="L486" s="67"/>
      <c r="M486" s="67"/>
      <c r="N486" s="67"/>
      <c r="Q486" s="67"/>
    </row>
    <row r="487" spans="1:17" s="68" customFormat="1" x14ac:dyDescent="0.35">
      <c r="A487" s="66"/>
      <c r="B487" s="66"/>
      <c r="C487" s="67"/>
      <c r="D487" s="67"/>
      <c r="E487" s="67"/>
      <c r="F487" s="67"/>
      <c r="G487" s="67"/>
      <c r="H487" s="67"/>
      <c r="I487" s="67"/>
      <c r="J487" s="67"/>
      <c r="K487" s="67"/>
      <c r="L487" s="67"/>
      <c r="M487" s="67"/>
      <c r="N487" s="67"/>
      <c r="Q487" s="67"/>
    </row>
    <row r="488" spans="1:17" s="68" customFormat="1" x14ac:dyDescent="0.35">
      <c r="A488" s="66"/>
      <c r="B488" s="66"/>
      <c r="C488" s="67"/>
      <c r="D488" s="67"/>
      <c r="E488" s="67"/>
      <c r="F488" s="67"/>
      <c r="G488" s="67"/>
      <c r="H488" s="67"/>
      <c r="I488" s="67"/>
      <c r="J488" s="67"/>
      <c r="K488" s="67"/>
      <c r="L488" s="67"/>
      <c r="M488" s="67"/>
      <c r="N488" s="67"/>
      <c r="Q488" s="67"/>
    </row>
    <row r="489" spans="1:17" s="68" customFormat="1" x14ac:dyDescent="0.35">
      <c r="A489" s="66"/>
      <c r="B489" s="66"/>
      <c r="C489" s="67"/>
      <c r="D489" s="67"/>
      <c r="E489" s="67"/>
      <c r="F489" s="67"/>
      <c r="G489" s="67"/>
      <c r="H489" s="67"/>
      <c r="I489" s="67"/>
      <c r="J489" s="67"/>
      <c r="K489" s="67"/>
      <c r="L489" s="67"/>
      <c r="M489" s="67"/>
      <c r="N489" s="67"/>
      <c r="Q489" s="67"/>
    </row>
    <row r="490" spans="1:17" s="68" customFormat="1" x14ac:dyDescent="0.35">
      <c r="A490" s="66"/>
      <c r="B490" s="66"/>
      <c r="C490" s="67"/>
      <c r="D490" s="67"/>
      <c r="E490" s="67"/>
      <c r="F490" s="67"/>
      <c r="G490" s="67"/>
      <c r="H490" s="67"/>
      <c r="I490" s="67"/>
      <c r="J490" s="67"/>
      <c r="K490" s="67"/>
      <c r="L490" s="67"/>
      <c r="M490" s="67"/>
      <c r="N490" s="67"/>
      <c r="Q490" s="67"/>
    </row>
    <row r="491" spans="1:17" s="68" customFormat="1" x14ac:dyDescent="0.35">
      <c r="A491" s="66"/>
      <c r="B491" s="66"/>
      <c r="C491" s="67"/>
      <c r="D491" s="67"/>
      <c r="E491" s="67"/>
      <c r="F491" s="67"/>
      <c r="G491" s="67"/>
      <c r="H491" s="67"/>
      <c r="I491" s="67"/>
      <c r="J491" s="67"/>
      <c r="K491" s="67"/>
      <c r="L491" s="67"/>
      <c r="M491" s="67"/>
      <c r="N491" s="67"/>
      <c r="Q491" s="67"/>
    </row>
    <row r="492" spans="1:17" s="68" customFormat="1" x14ac:dyDescent="0.35">
      <c r="A492" s="66"/>
      <c r="B492" s="66"/>
      <c r="C492" s="67"/>
      <c r="D492" s="67"/>
      <c r="E492" s="67"/>
      <c r="F492" s="67"/>
      <c r="G492" s="67"/>
      <c r="H492" s="67"/>
      <c r="I492" s="67"/>
      <c r="J492" s="67"/>
      <c r="K492" s="67"/>
      <c r="L492" s="67"/>
      <c r="M492" s="67"/>
      <c r="N492" s="67"/>
      <c r="Q492" s="67"/>
    </row>
    <row r="493" spans="1:17" s="68" customFormat="1" x14ac:dyDescent="0.35">
      <c r="A493" s="66"/>
      <c r="B493" s="66"/>
      <c r="C493" s="67"/>
      <c r="D493" s="67"/>
      <c r="E493" s="67"/>
      <c r="F493" s="67"/>
      <c r="G493" s="67"/>
      <c r="H493" s="67"/>
      <c r="I493" s="67"/>
      <c r="J493" s="67"/>
      <c r="K493" s="67"/>
      <c r="L493" s="67"/>
      <c r="M493" s="67"/>
      <c r="N493" s="67"/>
      <c r="Q493" s="67"/>
    </row>
    <row r="494" spans="1:17" s="68" customFormat="1" x14ac:dyDescent="0.35">
      <c r="A494" s="66"/>
      <c r="B494" s="66"/>
      <c r="C494" s="67"/>
      <c r="D494" s="67"/>
      <c r="E494" s="67"/>
      <c r="F494" s="67"/>
      <c r="G494" s="67"/>
      <c r="H494" s="67"/>
      <c r="I494" s="67"/>
      <c r="J494" s="67"/>
      <c r="K494" s="67"/>
      <c r="L494" s="67"/>
      <c r="M494" s="67"/>
      <c r="N494" s="67"/>
      <c r="Q494" s="67"/>
    </row>
    <row r="495" spans="1:17" s="68" customFormat="1" x14ac:dyDescent="0.35">
      <c r="A495" s="66"/>
      <c r="B495" s="66"/>
      <c r="C495" s="67"/>
      <c r="D495" s="67"/>
      <c r="E495" s="67"/>
      <c r="F495" s="67"/>
      <c r="G495" s="67"/>
      <c r="H495" s="67"/>
      <c r="I495" s="67"/>
      <c r="J495" s="67"/>
      <c r="K495" s="67"/>
      <c r="L495" s="67"/>
      <c r="M495" s="67"/>
      <c r="N495" s="67"/>
      <c r="Q495" s="67"/>
    </row>
    <row r="496" spans="1:17" s="68" customFormat="1" x14ac:dyDescent="0.35">
      <c r="A496" s="66"/>
      <c r="B496" s="66"/>
      <c r="C496" s="67"/>
      <c r="D496" s="67"/>
      <c r="E496" s="67"/>
      <c r="F496" s="67"/>
      <c r="G496" s="67"/>
      <c r="H496" s="67"/>
      <c r="I496" s="67"/>
      <c r="J496" s="67"/>
      <c r="K496" s="67"/>
      <c r="L496" s="67"/>
      <c r="M496" s="67"/>
      <c r="N496" s="67"/>
      <c r="Q496" s="67"/>
    </row>
    <row r="497" spans="1:17" s="68" customFormat="1" x14ac:dyDescent="0.35">
      <c r="A497" s="66"/>
      <c r="B497" s="66"/>
      <c r="C497" s="67"/>
      <c r="D497" s="67"/>
      <c r="E497" s="67"/>
      <c r="F497" s="67"/>
      <c r="G497" s="67"/>
      <c r="H497" s="67"/>
      <c r="I497" s="67"/>
      <c r="J497" s="67"/>
      <c r="K497" s="67"/>
      <c r="L497" s="67"/>
      <c r="M497" s="67"/>
      <c r="N497" s="67"/>
      <c r="Q497" s="67"/>
    </row>
    <row r="498" spans="1:17" s="68" customFormat="1" x14ac:dyDescent="0.35">
      <c r="A498" s="66"/>
      <c r="B498" s="66"/>
      <c r="C498" s="67"/>
      <c r="D498" s="67"/>
      <c r="E498" s="67"/>
      <c r="F498" s="67"/>
      <c r="G498" s="67"/>
      <c r="H498" s="67"/>
      <c r="I498" s="67"/>
      <c r="J498" s="67"/>
      <c r="K498" s="67"/>
      <c r="L498" s="67"/>
      <c r="M498" s="67"/>
      <c r="N498" s="67"/>
      <c r="Q498" s="67"/>
    </row>
    <row r="499" spans="1:17" s="68" customFormat="1" x14ac:dyDescent="0.35">
      <c r="A499" s="66"/>
      <c r="B499" s="66"/>
      <c r="C499" s="67"/>
      <c r="D499" s="67"/>
      <c r="E499" s="67"/>
      <c r="F499" s="67"/>
      <c r="G499" s="67"/>
      <c r="H499" s="67"/>
      <c r="I499" s="67"/>
      <c r="J499" s="67"/>
      <c r="K499" s="67"/>
      <c r="L499" s="67"/>
      <c r="M499" s="67"/>
      <c r="N499" s="67"/>
      <c r="Q499" s="67"/>
    </row>
    <row r="500" spans="1:17" s="68" customFormat="1" x14ac:dyDescent="0.35">
      <c r="A500" s="66"/>
      <c r="B500" s="66"/>
      <c r="C500" s="67"/>
      <c r="D500" s="67"/>
      <c r="E500" s="67"/>
      <c r="F500" s="67"/>
      <c r="G500" s="67"/>
      <c r="H500" s="67"/>
      <c r="I500" s="67"/>
      <c r="J500" s="67"/>
      <c r="K500" s="67"/>
      <c r="L500" s="67"/>
      <c r="M500" s="67"/>
      <c r="N500" s="67"/>
      <c r="Q500" s="67"/>
    </row>
    <row r="501" spans="1:17" s="68" customFormat="1" x14ac:dyDescent="0.35">
      <c r="A501" s="66"/>
      <c r="B501" s="66"/>
      <c r="C501" s="67"/>
      <c r="D501" s="67"/>
      <c r="E501" s="67"/>
      <c r="F501" s="67"/>
      <c r="G501" s="67"/>
      <c r="H501" s="67"/>
      <c r="I501" s="67"/>
      <c r="J501" s="67"/>
      <c r="K501" s="67"/>
      <c r="L501" s="67"/>
      <c r="M501" s="67"/>
      <c r="N501" s="67"/>
      <c r="Q501" s="67"/>
    </row>
    <row r="502" spans="1:17" s="68" customFormat="1" x14ac:dyDescent="0.35">
      <c r="A502" s="66"/>
      <c r="B502" s="66"/>
      <c r="C502" s="67"/>
      <c r="D502" s="67"/>
      <c r="E502" s="67"/>
      <c r="F502" s="67"/>
      <c r="G502" s="67"/>
      <c r="H502" s="67"/>
      <c r="I502" s="67"/>
      <c r="J502" s="67"/>
      <c r="K502" s="67"/>
      <c r="L502" s="67"/>
      <c r="M502" s="67"/>
      <c r="N502" s="67"/>
      <c r="Q502" s="67"/>
    </row>
    <row r="503" spans="1:17" s="68" customFormat="1" x14ac:dyDescent="0.35">
      <c r="A503" s="66"/>
      <c r="B503" s="66"/>
      <c r="C503" s="67"/>
      <c r="D503" s="67"/>
      <c r="E503" s="67"/>
      <c r="F503" s="67"/>
      <c r="G503" s="67"/>
      <c r="H503" s="67"/>
      <c r="I503" s="67"/>
      <c r="J503" s="67"/>
      <c r="K503" s="67"/>
      <c r="L503" s="67"/>
      <c r="M503" s="67"/>
      <c r="N503" s="67"/>
      <c r="Q503" s="67"/>
    </row>
    <row r="504" spans="1:17" s="68" customFormat="1" x14ac:dyDescent="0.35">
      <c r="A504" s="66"/>
      <c r="B504" s="66"/>
      <c r="C504" s="67"/>
      <c r="D504" s="67"/>
      <c r="E504" s="67"/>
      <c r="F504" s="67"/>
      <c r="G504" s="67"/>
      <c r="H504" s="67"/>
      <c r="I504" s="67"/>
      <c r="J504" s="67"/>
      <c r="K504" s="67"/>
      <c r="L504" s="67"/>
      <c r="M504" s="67"/>
      <c r="N504" s="67"/>
      <c r="Q504" s="67"/>
    </row>
    <row r="505" spans="1:17" s="68" customFormat="1" x14ac:dyDescent="0.35">
      <c r="A505" s="66"/>
      <c r="B505" s="66"/>
      <c r="C505" s="67"/>
      <c r="D505" s="67"/>
      <c r="E505" s="67"/>
      <c r="F505" s="67"/>
      <c r="G505" s="67"/>
      <c r="H505" s="67"/>
      <c r="I505" s="67"/>
      <c r="J505" s="67"/>
      <c r="K505" s="67"/>
      <c r="L505" s="67"/>
      <c r="M505" s="67"/>
      <c r="N505" s="67"/>
      <c r="Q505" s="67"/>
    </row>
    <row r="506" spans="1:17" s="68" customFormat="1" x14ac:dyDescent="0.35">
      <c r="A506" s="66"/>
      <c r="B506" s="66"/>
      <c r="C506" s="67"/>
      <c r="D506" s="67"/>
      <c r="E506" s="67"/>
      <c r="F506" s="67"/>
      <c r="G506" s="67"/>
      <c r="H506" s="67"/>
      <c r="I506" s="67"/>
      <c r="J506" s="67"/>
      <c r="K506" s="67"/>
      <c r="L506" s="67"/>
      <c r="M506" s="67"/>
      <c r="N506" s="67"/>
      <c r="Q506" s="67"/>
    </row>
    <row r="507" spans="1:17" s="68" customFormat="1" x14ac:dyDescent="0.35">
      <c r="A507" s="66"/>
      <c r="B507" s="66"/>
      <c r="C507" s="67"/>
      <c r="D507" s="67"/>
      <c r="E507" s="67"/>
      <c r="F507" s="67"/>
      <c r="G507" s="67"/>
      <c r="H507" s="67"/>
      <c r="I507" s="67"/>
      <c r="J507" s="67"/>
      <c r="K507" s="67"/>
      <c r="L507" s="67"/>
      <c r="M507" s="67"/>
      <c r="N507" s="67"/>
      <c r="Q507" s="67"/>
    </row>
    <row r="508" spans="1:17" s="68" customFormat="1" x14ac:dyDescent="0.35">
      <c r="A508" s="66"/>
      <c r="B508" s="66"/>
      <c r="C508" s="67"/>
      <c r="D508" s="67"/>
      <c r="E508" s="67"/>
      <c r="F508" s="67"/>
      <c r="G508" s="67"/>
      <c r="H508" s="67"/>
      <c r="I508" s="67"/>
      <c r="J508" s="67"/>
      <c r="K508" s="67"/>
      <c r="L508" s="67"/>
      <c r="M508" s="67"/>
      <c r="N508" s="67"/>
      <c r="Q508" s="67"/>
    </row>
    <row r="509" spans="1:17" s="68" customFormat="1" x14ac:dyDescent="0.35">
      <c r="A509" s="66"/>
      <c r="B509" s="66"/>
      <c r="C509" s="67"/>
      <c r="D509" s="67"/>
      <c r="E509" s="67"/>
      <c r="F509" s="67"/>
      <c r="G509" s="67"/>
      <c r="H509" s="67"/>
      <c r="I509" s="67"/>
      <c r="J509" s="67"/>
      <c r="K509" s="67"/>
      <c r="L509" s="67"/>
      <c r="M509" s="67"/>
      <c r="N509" s="67"/>
      <c r="Q509" s="67"/>
    </row>
    <row r="510" spans="1:17" s="68" customFormat="1" x14ac:dyDescent="0.35">
      <c r="A510" s="66"/>
      <c r="B510" s="66"/>
      <c r="C510" s="67"/>
      <c r="D510" s="67"/>
      <c r="E510" s="67"/>
      <c r="F510" s="67"/>
      <c r="G510" s="67"/>
      <c r="H510" s="67"/>
      <c r="I510" s="67"/>
      <c r="J510" s="67"/>
      <c r="K510" s="67"/>
      <c r="L510" s="67"/>
      <c r="M510" s="67"/>
      <c r="N510" s="67"/>
      <c r="Q510" s="67"/>
    </row>
    <row r="511" spans="1:17" s="68" customFormat="1" x14ac:dyDescent="0.35">
      <c r="A511" s="66"/>
      <c r="B511" s="66"/>
      <c r="C511" s="67"/>
      <c r="D511" s="67"/>
      <c r="E511" s="67"/>
      <c r="F511" s="67"/>
      <c r="G511" s="67"/>
      <c r="H511" s="67"/>
      <c r="I511" s="67"/>
      <c r="J511" s="67"/>
      <c r="K511" s="67"/>
      <c r="L511" s="67"/>
      <c r="M511" s="67"/>
      <c r="N511" s="67"/>
      <c r="Q511" s="67"/>
    </row>
    <row r="512" spans="1:17" s="68" customFormat="1" x14ac:dyDescent="0.35">
      <c r="A512" s="66"/>
      <c r="B512" s="66"/>
      <c r="C512" s="67"/>
      <c r="D512" s="67"/>
      <c r="E512" s="67"/>
      <c r="F512" s="67"/>
      <c r="G512" s="67"/>
      <c r="H512" s="67"/>
      <c r="I512" s="67"/>
      <c r="J512" s="67"/>
      <c r="K512" s="67"/>
      <c r="L512" s="67"/>
      <c r="M512" s="67"/>
      <c r="N512" s="67"/>
      <c r="Q512" s="67"/>
    </row>
    <row r="513" spans="1:17" s="68" customFormat="1" x14ac:dyDescent="0.35">
      <c r="A513" s="66"/>
      <c r="B513" s="66"/>
      <c r="C513" s="67"/>
      <c r="D513" s="67"/>
      <c r="E513" s="67"/>
      <c r="F513" s="67"/>
      <c r="G513" s="67"/>
      <c r="H513" s="67"/>
      <c r="I513" s="67"/>
      <c r="J513" s="67"/>
      <c r="K513" s="67"/>
      <c r="L513" s="67"/>
      <c r="M513" s="67"/>
      <c r="N513" s="67"/>
      <c r="Q513" s="67"/>
    </row>
    <row r="514" spans="1:17" s="68" customFormat="1" x14ac:dyDescent="0.35">
      <c r="A514" s="66"/>
      <c r="B514" s="66"/>
      <c r="C514" s="67"/>
      <c r="D514" s="67"/>
      <c r="E514" s="67"/>
      <c r="F514" s="67"/>
      <c r="G514" s="67"/>
      <c r="H514" s="67"/>
      <c r="I514" s="67"/>
      <c r="J514" s="67"/>
      <c r="K514" s="67"/>
      <c r="L514" s="67"/>
      <c r="M514" s="67"/>
      <c r="N514" s="67"/>
      <c r="Q514" s="67"/>
    </row>
    <row r="515" spans="1:17" s="68" customFormat="1" x14ac:dyDescent="0.35">
      <c r="A515" s="66"/>
      <c r="B515" s="66"/>
      <c r="C515" s="67"/>
      <c r="D515" s="67"/>
      <c r="E515" s="67"/>
      <c r="F515" s="67"/>
      <c r="G515" s="67"/>
      <c r="H515" s="67"/>
      <c r="I515" s="67"/>
      <c r="J515" s="67"/>
      <c r="K515" s="67"/>
      <c r="L515" s="67"/>
      <c r="M515" s="67"/>
      <c r="N515" s="67"/>
      <c r="Q515" s="67"/>
    </row>
    <row r="516" spans="1:17" s="68" customFormat="1" x14ac:dyDescent="0.35">
      <c r="A516" s="66"/>
      <c r="B516" s="66"/>
      <c r="C516" s="67"/>
      <c r="D516" s="67"/>
      <c r="E516" s="67"/>
      <c r="F516" s="67"/>
      <c r="G516" s="67"/>
      <c r="H516" s="67"/>
      <c r="I516" s="67"/>
      <c r="J516" s="67"/>
      <c r="K516" s="67"/>
      <c r="L516" s="67"/>
      <c r="M516" s="67"/>
      <c r="N516" s="67"/>
      <c r="Q516" s="67"/>
    </row>
    <row r="517" spans="1:17" s="68" customFormat="1" x14ac:dyDescent="0.35">
      <c r="A517" s="66"/>
      <c r="B517" s="66"/>
      <c r="C517" s="67"/>
      <c r="D517" s="67"/>
      <c r="E517" s="67"/>
      <c r="F517" s="67"/>
      <c r="G517" s="67"/>
      <c r="H517" s="67"/>
      <c r="I517" s="67"/>
      <c r="J517" s="67"/>
      <c r="K517" s="67"/>
      <c r="L517" s="67"/>
      <c r="M517" s="67"/>
      <c r="N517" s="67"/>
      <c r="Q517" s="67"/>
    </row>
    <row r="518" spans="1:17" s="68" customFormat="1" x14ac:dyDescent="0.35">
      <c r="A518" s="66"/>
      <c r="B518" s="66"/>
      <c r="C518" s="67"/>
      <c r="D518" s="67"/>
      <c r="E518" s="67"/>
      <c r="F518" s="67"/>
      <c r="G518" s="67"/>
      <c r="H518" s="67"/>
      <c r="I518" s="67"/>
      <c r="J518" s="67"/>
      <c r="K518" s="67"/>
      <c r="L518" s="67"/>
      <c r="M518" s="67"/>
      <c r="N518" s="67"/>
      <c r="Q518" s="67"/>
    </row>
    <row r="519" spans="1:17" s="68" customFormat="1" x14ac:dyDescent="0.35">
      <c r="A519" s="66"/>
      <c r="B519" s="66"/>
      <c r="C519" s="67"/>
      <c r="D519" s="67"/>
      <c r="E519" s="67"/>
      <c r="F519" s="67"/>
      <c r="G519" s="67"/>
      <c r="H519" s="67"/>
      <c r="I519" s="67"/>
      <c r="J519" s="67"/>
      <c r="K519" s="67"/>
      <c r="L519" s="67"/>
      <c r="M519" s="67"/>
      <c r="N519" s="67"/>
      <c r="Q519" s="67"/>
    </row>
    <row r="520" spans="1:17" s="68" customFormat="1" x14ac:dyDescent="0.35">
      <c r="A520" s="66"/>
      <c r="B520" s="66"/>
      <c r="C520" s="67"/>
      <c r="D520" s="67"/>
      <c r="E520" s="67"/>
      <c r="F520" s="67"/>
      <c r="G520" s="67"/>
      <c r="H520" s="67"/>
      <c r="I520" s="67"/>
      <c r="J520" s="67"/>
      <c r="K520" s="67"/>
      <c r="L520" s="67"/>
      <c r="M520" s="67"/>
      <c r="N520" s="67"/>
      <c r="Q520" s="67"/>
    </row>
    <row r="521" spans="1:17" s="68" customFormat="1" x14ac:dyDescent="0.35">
      <c r="A521" s="66"/>
      <c r="B521" s="66"/>
      <c r="C521" s="67"/>
      <c r="D521" s="67"/>
      <c r="E521" s="67"/>
      <c r="F521" s="67"/>
      <c r="G521" s="67"/>
      <c r="H521" s="67"/>
      <c r="I521" s="67"/>
      <c r="J521" s="67"/>
      <c r="K521" s="67"/>
      <c r="L521" s="67"/>
      <c r="M521" s="67"/>
      <c r="N521" s="67"/>
      <c r="Q521" s="67"/>
    </row>
    <row r="522" spans="1:17" s="68" customFormat="1" x14ac:dyDescent="0.35">
      <c r="A522" s="66"/>
      <c r="B522" s="66"/>
      <c r="C522" s="67"/>
      <c r="D522" s="67"/>
      <c r="E522" s="67"/>
      <c r="F522" s="67"/>
      <c r="G522" s="67"/>
      <c r="H522" s="67"/>
      <c r="I522" s="67"/>
      <c r="J522" s="67"/>
      <c r="K522" s="67"/>
      <c r="L522" s="67"/>
      <c r="M522" s="67"/>
      <c r="N522" s="67"/>
      <c r="Q522" s="67"/>
    </row>
    <row r="523" spans="1:17" s="68" customFormat="1" x14ac:dyDescent="0.35">
      <c r="A523" s="66"/>
      <c r="B523" s="66"/>
      <c r="C523" s="67"/>
      <c r="D523" s="67"/>
      <c r="E523" s="67"/>
      <c r="F523" s="67"/>
      <c r="G523" s="67"/>
      <c r="H523" s="67"/>
      <c r="I523" s="67"/>
      <c r="J523" s="67"/>
      <c r="K523" s="67"/>
      <c r="L523" s="67"/>
      <c r="M523" s="67"/>
      <c r="N523" s="67"/>
      <c r="Q523" s="67"/>
    </row>
    <row r="524" spans="1:17" s="68" customFormat="1" x14ac:dyDescent="0.35">
      <c r="A524" s="66"/>
      <c r="B524" s="66"/>
      <c r="C524" s="67"/>
      <c r="D524" s="67"/>
      <c r="E524" s="67"/>
      <c r="F524" s="67"/>
      <c r="G524" s="67"/>
      <c r="H524" s="67"/>
      <c r="I524" s="67"/>
      <c r="J524" s="67"/>
      <c r="K524" s="67"/>
      <c r="L524" s="67"/>
      <c r="M524" s="67"/>
      <c r="N524" s="67"/>
      <c r="Q524" s="67"/>
    </row>
    <row r="525" spans="1:17" s="68" customFormat="1" x14ac:dyDescent="0.35">
      <c r="A525" s="66"/>
      <c r="B525" s="66"/>
      <c r="C525" s="67"/>
      <c r="D525" s="67"/>
      <c r="E525" s="67"/>
      <c r="F525" s="67"/>
      <c r="G525" s="67"/>
      <c r="H525" s="67"/>
      <c r="I525" s="67"/>
      <c r="J525" s="67"/>
      <c r="K525" s="67"/>
      <c r="L525" s="67"/>
      <c r="M525" s="67"/>
      <c r="N525" s="67"/>
      <c r="Q525" s="67"/>
    </row>
    <row r="526" spans="1:17" s="68" customFormat="1" x14ac:dyDescent="0.35">
      <c r="A526" s="66"/>
      <c r="B526" s="66"/>
      <c r="C526" s="67"/>
      <c r="D526" s="67"/>
      <c r="E526" s="67"/>
      <c r="F526" s="67"/>
      <c r="G526" s="67"/>
      <c r="H526" s="67"/>
      <c r="I526" s="67"/>
      <c r="J526" s="67"/>
      <c r="K526" s="67"/>
      <c r="L526" s="67"/>
      <c r="M526" s="67"/>
      <c r="N526" s="67"/>
      <c r="Q526" s="67"/>
    </row>
    <row r="527" spans="1:17" s="68" customFormat="1" x14ac:dyDescent="0.35">
      <c r="A527" s="66"/>
      <c r="B527" s="66"/>
      <c r="C527" s="67"/>
      <c r="D527" s="67"/>
      <c r="E527" s="67"/>
      <c r="F527" s="67"/>
      <c r="G527" s="67"/>
      <c r="H527" s="67"/>
      <c r="I527" s="67"/>
      <c r="J527" s="67"/>
      <c r="K527" s="67"/>
      <c r="L527" s="67"/>
      <c r="M527" s="67"/>
      <c r="N527" s="67"/>
      <c r="Q527" s="67"/>
    </row>
    <row r="528" spans="1:17" s="68" customFormat="1" x14ac:dyDescent="0.35">
      <c r="A528" s="66"/>
      <c r="B528" s="66"/>
      <c r="C528" s="67"/>
      <c r="D528" s="67"/>
      <c r="E528" s="67"/>
      <c r="F528" s="67"/>
      <c r="G528" s="67"/>
      <c r="H528" s="67"/>
      <c r="I528" s="67"/>
      <c r="J528" s="67"/>
      <c r="K528" s="67"/>
      <c r="L528" s="67"/>
      <c r="M528" s="67"/>
      <c r="N528" s="67"/>
      <c r="Q528" s="67"/>
    </row>
    <row r="529" spans="1:17" s="68" customFormat="1" x14ac:dyDescent="0.35">
      <c r="A529" s="66"/>
      <c r="B529" s="66"/>
      <c r="C529" s="67"/>
      <c r="D529" s="67"/>
      <c r="E529" s="67"/>
      <c r="F529" s="67"/>
      <c r="G529" s="67"/>
      <c r="H529" s="67"/>
      <c r="I529" s="67"/>
      <c r="J529" s="67"/>
      <c r="K529" s="67"/>
      <c r="L529" s="67"/>
      <c r="M529" s="67"/>
      <c r="N529" s="67"/>
      <c r="Q529" s="67"/>
    </row>
    <row r="530" spans="1:17" s="68" customFormat="1" x14ac:dyDescent="0.35">
      <c r="A530" s="66"/>
      <c r="B530" s="66"/>
      <c r="C530" s="67"/>
      <c r="D530" s="67"/>
      <c r="E530" s="67"/>
      <c r="F530" s="67"/>
      <c r="G530" s="67"/>
      <c r="H530" s="67"/>
      <c r="I530" s="67"/>
      <c r="J530" s="67"/>
      <c r="K530" s="67"/>
      <c r="L530" s="67"/>
      <c r="M530" s="67"/>
      <c r="N530" s="67"/>
      <c r="Q530" s="67"/>
    </row>
    <row r="531" spans="1:17" s="68" customFormat="1" x14ac:dyDescent="0.35">
      <c r="A531" s="66"/>
      <c r="B531" s="66"/>
      <c r="C531" s="67"/>
      <c r="D531" s="67"/>
      <c r="E531" s="67"/>
      <c r="F531" s="67"/>
      <c r="G531" s="67"/>
      <c r="H531" s="67"/>
      <c r="I531" s="67"/>
      <c r="J531" s="67"/>
      <c r="K531" s="67"/>
      <c r="L531" s="67"/>
      <c r="M531" s="67"/>
      <c r="N531" s="67"/>
      <c r="Q531" s="67"/>
    </row>
    <row r="532" spans="1:17" s="68" customFormat="1" x14ac:dyDescent="0.35">
      <c r="A532" s="66"/>
      <c r="B532" s="66"/>
      <c r="C532" s="67"/>
      <c r="D532" s="67"/>
      <c r="E532" s="67"/>
      <c r="F532" s="67"/>
      <c r="G532" s="67"/>
      <c r="H532" s="67"/>
      <c r="I532" s="67"/>
      <c r="J532" s="67"/>
      <c r="K532" s="67"/>
      <c r="L532" s="67"/>
      <c r="M532" s="67"/>
      <c r="N532" s="67"/>
      <c r="Q532" s="67"/>
    </row>
    <row r="533" spans="1:17" s="68" customFormat="1" x14ac:dyDescent="0.35">
      <c r="A533" s="66"/>
      <c r="B533" s="66"/>
      <c r="C533" s="67"/>
      <c r="D533" s="67"/>
      <c r="E533" s="67"/>
      <c r="F533" s="67"/>
      <c r="G533" s="67"/>
      <c r="H533" s="67"/>
      <c r="I533" s="67"/>
      <c r="J533" s="67"/>
      <c r="K533" s="67"/>
      <c r="L533" s="67"/>
      <c r="M533" s="67"/>
      <c r="N533" s="67"/>
      <c r="Q533" s="67"/>
    </row>
    <row r="534" spans="1:17" s="68" customFormat="1" x14ac:dyDescent="0.35">
      <c r="A534" s="66"/>
      <c r="B534" s="66"/>
      <c r="C534" s="67"/>
      <c r="D534" s="67"/>
      <c r="E534" s="67"/>
      <c r="F534" s="67"/>
      <c r="G534" s="67"/>
      <c r="H534" s="67"/>
      <c r="I534" s="67"/>
      <c r="J534" s="67"/>
      <c r="K534" s="67"/>
      <c r="L534" s="67"/>
      <c r="M534" s="67"/>
      <c r="N534" s="67"/>
      <c r="Q534" s="67"/>
    </row>
    <row r="535" spans="1:17" s="68" customFormat="1" x14ac:dyDescent="0.35">
      <c r="A535" s="66"/>
      <c r="B535" s="66"/>
      <c r="C535" s="67"/>
      <c r="D535" s="67"/>
      <c r="E535" s="67"/>
      <c r="F535" s="67"/>
      <c r="G535" s="67"/>
      <c r="H535" s="67"/>
      <c r="I535" s="67"/>
      <c r="J535" s="67"/>
      <c r="K535" s="67"/>
      <c r="L535" s="67"/>
      <c r="M535" s="67"/>
      <c r="N535" s="67"/>
      <c r="Q535" s="67"/>
    </row>
    <row r="536" spans="1:17" s="68" customFormat="1" x14ac:dyDescent="0.35">
      <c r="A536" s="66"/>
      <c r="B536" s="66"/>
      <c r="C536" s="67"/>
      <c r="D536" s="67"/>
      <c r="E536" s="67"/>
      <c r="F536" s="67"/>
      <c r="G536" s="67"/>
      <c r="H536" s="67"/>
      <c r="I536" s="67"/>
      <c r="J536" s="67"/>
      <c r="K536" s="67"/>
      <c r="L536" s="67"/>
      <c r="M536" s="67"/>
      <c r="N536" s="67"/>
      <c r="Q536" s="67"/>
    </row>
    <row r="537" spans="1:17" s="68" customFormat="1" x14ac:dyDescent="0.35">
      <c r="A537" s="66"/>
      <c r="B537" s="66"/>
      <c r="C537" s="67"/>
      <c r="D537" s="67"/>
      <c r="E537" s="67"/>
      <c r="F537" s="67"/>
      <c r="G537" s="67"/>
      <c r="H537" s="67"/>
      <c r="I537" s="67"/>
      <c r="J537" s="67"/>
      <c r="K537" s="67"/>
      <c r="L537" s="67"/>
      <c r="M537" s="67"/>
      <c r="N537" s="67"/>
      <c r="Q537" s="67"/>
    </row>
    <row r="538" spans="1:17" s="68" customFormat="1" x14ac:dyDescent="0.35">
      <c r="A538" s="66"/>
      <c r="B538" s="66"/>
      <c r="C538" s="67"/>
      <c r="D538" s="67"/>
      <c r="E538" s="67"/>
      <c r="F538" s="67"/>
      <c r="G538" s="67"/>
      <c r="H538" s="67"/>
      <c r="I538" s="67"/>
      <c r="J538" s="67"/>
      <c r="K538" s="67"/>
      <c r="L538" s="67"/>
      <c r="M538" s="67"/>
      <c r="N538" s="67"/>
      <c r="Q538" s="67"/>
    </row>
    <row r="539" spans="1:17" s="68" customFormat="1" x14ac:dyDescent="0.35">
      <c r="A539" s="66"/>
      <c r="B539" s="66"/>
      <c r="C539" s="67"/>
      <c r="D539" s="67"/>
      <c r="E539" s="67"/>
      <c r="F539" s="67"/>
      <c r="G539" s="67"/>
      <c r="H539" s="67"/>
      <c r="I539" s="67"/>
      <c r="J539" s="67"/>
      <c r="K539" s="67"/>
      <c r="L539" s="67"/>
      <c r="M539" s="67"/>
      <c r="N539" s="67"/>
      <c r="Q539" s="67"/>
    </row>
    <row r="540" spans="1:17" s="68" customFormat="1" x14ac:dyDescent="0.35">
      <c r="A540" s="66"/>
      <c r="B540" s="66"/>
      <c r="C540" s="67"/>
      <c r="D540" s="67"/>
      <c r="E540" s="67"/>
      <c r="F540" s="67"/>
      <c r="G540" s="67"/>
      <c r="H540" s="67"/>
      <c r="I540" s="67"/>
      <c r="J540" s="67"/>
      <c r="K540" s="67"/>
      <c r="L540" s="67"/>
      <c r="M540" s="67"/>
      <c r="N540" s="67"/>
      <c r="Q540" s="67"/>
    </row>
    <row r="541" spans="1:17" s="68" customFormat="1" x14ac:dyDescent="0.35">
      <c r="A541" s="66"/>
      <c r="B541" s="66"/>
      <c r="C541" s="67"/>
      <c r="D541" s="67"/>
      <c r="E541" s="67"/>
      <c r="F541" s="67"/>
      <c r="G541" s="67"/>
      <c r="H541" s="67"/>
      <c r="I541" s="67"/>
      <c r="J541" s="67"/>
      <c r="K541" s="67"/>
      <c r="L541" s="67"/>
      <c r="M541" s="67"/>
      <c r="N541" s="67"/>
      <c r="Q541" s="67"/>
    </row>
    <row r="542" spans="1:17" s="68" customFormat="1" x14ac:dyDescent="0.35">
      <c r="A542" s="66"/>
      <c r="B542" s="66"/>
      <c r="C542" s="67"/>
      <c r="D542" s="67"/>
      <c r="E542" s="67"/>
      <c r="F542" s="67"/>
      <c r="G542" s="67"/>
      <c r="H542" s="67"/>
      <c r="I542" s="67"/>
      <c r="J542" s="67"/>
      <c r="K542" s="67"/>
      <c r="L542" s="67"/>
      <c r="M542" s="67"/>
      <c r="N542" s="67"/>
      <c r="Q542" s="67"/>
    </row>
    <row r="543" spans="1:17" s="68" customFormat="1" x14ac:dyDescent="0.35">
      <c r="A543" s="66"/>
      <c r="B543" s="66"/>
      <c r="C543" s="67"/>
      <c r="D543" s="67"/>
      <c r="E543" s="67"/>
      <c r="F543" s="67"/>
      <c r="G543" s="67"/>
      <c r="H543" s="67"/>
      <c r="I543" s="67"/>
      <c r="J543" s="67"/>
      <c r="K543" s="67"/>
      <c r="L543" s="67"/>
      <c r="M543" s="67"/>
      <c r="N543" s="67"/>
      <c r="Q543" s="67"/>
    </row>
    <row r="544" spans="1:17" s="68" customFormat="1" x14ac:dyDescent="0.35">
      <c r="A544" s="66"/>
      <c r="B544" s="66"/>
      <c r="C544" s="67"/>
      <c r="D544" s="67"/>
      <c r="E544" s="67"/>
      <c r="F544" s="67"/>
      <c r="G544" s="67"/>
      <c r="H544" s="67"/>
      <c r="I544" s="67"/>
      <c r="J544" s="67"/>
      <c r="K544" s="67"/>
      <c r="L544" s="67"/>
      <c r="M544" s="67"/>
      <c r="N544" s="67"/>
      <c r="Q544" s="67"/>
    </row>
    <row r="545" spans="1:17" s="68" customFormat="1" x14ac:dyDescent="0.35">
      <c r="A545" s="66"/>
      <c r="B545" s="66"/>
      <c r="C545" s="67"/>
      <c r="D545" s="67"/>
      <c r="E545" s="67"/>
      <c r="F545" s="67"/>
      <c r="G545" s="67"/>
      <c r="H545" s="67"/>
      <c r="I545" s="67"/>
      <c r="J545" s="67"/>
      <c r="K545" s="67"/>
      <c r="L545" s="67"/>
      <c r="M545" s="67"/>
      <c r="N545" s="67"/>
      <c r="Q545" s="67"/>
    </row>
    <row r="546" spans="1:17" s="68" customFormat="1" x14ac:dyDescent="0.35">
      <c r="A546" s="66"/>
      <c r="B546" s="66"/>
      <c r="C546" s="67"/>
      <c r="D546" s="67"/>
      <c r="E546" s="67"/>
      <c r="F546" s="67"/>
      <c r="G546" s="67"/>
      <c r="H546" s="67"/>
      <c r="I546" s="67"/>
      <c r="J546" s="67"/>
      <c r="K546" s="67"/>
      <c r="L546" s="67"/>
      <c r="M546" s="67"/>
      <c r="N546" s="67"/>
      <c r="Q546" s="67"/>
    </row>
    <row r="547" spans="1:17" s="68" customFormat="1" x14ac:dyDescent="0.35">
      <c r="A547" s="66"/>
      <c r="B547" s="66"/>
      <c r="C547" s="67"/>
      <c r="D547" s="67"/>
      <c r="E547" s="67"/>
      <c r="F547" s="67"/>
      <c r="G547" s="67"/>
      <c r="H547" s="67"/>
      <c r="I547" s="67"/>
      <c r="J547" s="67"/>
      <c r="K547" s="67"/>
      <c r="L547" s="67"/>
      <c r="M547" s="67"/>
      <c r="N547" s="67"/>
      <c r="Q547" s="67"/>
    </row>
    <row r="548" spans="1:17" s="68" customFormat="1" x14ac:dyDescent="0.35">
      <c r="A548" s="66"/>
      <c r="B548" s="66"/>
      <c r="C548" s="67"/>
      <c r="D548" s="67"/>
      <c r="E548" s="67"/>
      <c r="F548" s="67"/>
      <c r="G548" s="67"/>
      <c r="H548" s="67"/>
      <c r="I548" s="67"/>
      <c r="J548" s="67"/>
      <c r="K548" s="67"/>
      <c r="L548" s="67"/>
      <c r="M548" s="67"/>
      <c r="N548" s="67"/>
      <c r="Q548" s="67"/>
    </row>
    <row r="549" spans="1:17" s="68" customFormat="1" x14ac:dyDescent="0.35">
      <c r="A549" s="66"/>
      <c r="B549" s="66"/>
      <c r="C549" s="67"/>
      <c r="D549" s="67"/>
      <c r="E549" s="67"/>
      <c r="F549" s="67"/>
      <c r="G549" s="67"/>
      <c r="H549" s="67"/>
      <c r="I549" s="67"/>
      <c r="J549" s="67"/>
      <c r="K549" s="67"/>
      <c r="L549" s="67"/>
      <c r="M549" s="67"/>
      <c r="N549" s="67"/>
      <c r="Q549" s="67"/>
    </row>
    <row r="550" spans="1:17" s="68" customFormat="1" x14ac:dyDescent="0.35">
      <c r="A550" s="66"/>
      <c r="B550" s="66"/>
      <c r="C550" s="67"/>
      <c r="D550" s="67"/>
      <c r="E550" s="67"/>
      <c r="F550" s="67"/>
      <c r="G550" s="67"/>
      <c r="H550" s="67"/>
      <c r="I550" s="67"/>
      <c r="J550" s="67"/>
      <c r="K550" s="67"/>
      <c r="L550" s="67"/>
      <c r="M550" s="67"/>
      <c r="N550" s="67"/>
      <c r="Q550" s="67"/>
    </row>
    <row r="551" spans="1:17" s="68" customFormat="1" x14ac:dyDescent="0.35">
      <c r="A551" s="66"/>
      <c r="B551" s="66"/>
      <c r="C551" s="67"/>
      <c r="D551" s="67"/>
      <c r="E551" s="67"/>
      <c r="F551" s="67"/>
      <c r="G551" s="67"/>
      <c r="H551" s="67"/>
      <c r="I551" s="67"/>
      <c r="J551" s="67"/>
      <c r="K551" s="67"/>
      <c r="L551" s="67"/>
      <c r="M551" s="67"/>
      <c r="N551" s="67"/>
      <c r="Q551" s="67"/>
    </row>
    <row r="552" spans="1:17" s="68" customFormat="1" x14ac:dyDescent="0.35">
      <c r="A552" s="66"/>
      <c r="B552" s="66"/>
      <c r="C552" s="67"/>
      <c r="D552" s="67"/>
      <c r="E552" s="67"/>
      <c r="F552" s="67"/>
      <c r="G552" s="67"/>
      <c r="H552" s="67"/>
      <c r="I552" s="67"/>
      <c r="J552" s="67"/>
      <c r="K552" s="67"/>
      <c r="L552" s="67"/>
      <c r="M552" s="67"/>
      <c r="N552" s="67"/>
      <c r="Q552" s="67"/>
    </row>
    <row r="553" spans="1:17" s="68" customFormat="1" x14ac:dyDescent="0.35">
      <c r="A553" s="66"/>
      <c r="B553" s="66"/>
      <c r="C553" s="67"/>
      <c r="D553" s="67"/>
      <c r="E553" s="67"/>
      <c r="F553" s="67"/>
      <c r="G553" s="67"/>
      <c r="H553" s="67"/>
      <c r="I553" s="67"/>
      <c r="J553" s="67"/>
      <c r="K553" s="67"/>
      <c r="L553" s="67"/>
      <c r="M553" s="67"/>
      <c r="N553" s="67"/>
      <c r="Q553" s="67"/>
    </row>
    <row r="554" spans="1:17" s="68" customFormat="1" x14ac:dyDescent="0.35">
      <c r="A554" s="66"/>
      <c r="B554" s="66"/>
      <c r="C554" s="67"/>
      <c r="D554" s="67"/>
      <c r="E554" s="67"/>
      <c r="F554" s="67"/>
      <c r="G554" s="67"/>
      <c r="H554" s="67"/>
      <c r="I554" s="67"/>
      <c r="J554" s="67"/>
      <c r="K554" s="67"/>
      <c r="L554" s="67"/>
      <c r="M554" s="67"/>
      <c r="N554" s="67"/>
      <c r="Q554" s="67"/>
    </row>
    <row r="555" spans="1:17" s="68" customFormat="1" x14ac:dyDescent="0.35">
      <c r="A555" s="66"/>
      <c r="B555" s="66"/>
      <c r="C555" s="67"/>
      <c r="D555" s="67"/>
      <c r="E555" s="67"/>
      <c r="F555" s="67"/>
      <c r="G555" s="67"/>
      <c r="H555" s="67"/>
      <c r="I555" s="67"/>
      <c r="J555" s="67"/>
      <c r="K555" s="67"/>
      <c r="L555" s="67"/>
      <c r="M555" s="67"/>
      <c r="N555" s="67"/>
      <c r="Q555" s="67"/>
    </row>
    <row r="556" spans="1:17" s="68" customFormat="1" x14ac:dyDescent="0.35">
      <c r="A556" s="66"/>
      <c r="B556" s="66"/>
      <c r="C556" s="67"/>
      <c r="D556" s="67"/>
      <c r="E556" s="67"/>
      <c r="F556" s="67"/>
      <c r="G556" s="67"/>
      <c r="H556" s="67"/>
      <c r="I556" s="67"/>
      <c r="J556" s="67"/>
      <c r="K556" s="67"/>
      <c r="L556" s="67"/>
      <c r="M556" s="67"/>
      <c r="N556" s="67"/>
      <c r="Q556" s="67"/>
    </row>
    <row r="557" spans="1:17" s="68" customFormat="1" x14ac:dyDescent="0.35">
      <c r="A557" s="66"/>
      <c r="B557" s="66"/>
      <c r="C557" s="67"/>
      <c r="D557" s="67"/>
      <c r="E557" s="67"/>
      <c r="F557" s="67"/>
      <c r="G557" s="67"/>
      <c r="H557" s="67"/>
      <c r="I557" s="67"/>
      <c r="J557" s="67"/>
      <c r="K557" s="67"/>
      <c r="L557" s="67"/>
      <c r="M557" s="67"/>
      <c r="N557" s="67"/>
      <c r="Q557" s="67"/>
    </row>
    <row r="558" spans="1:17" s="68" customFormat="1" x14ac:dyDescent="0.35">
      <c r="A558" s="66"/>
      <c r="B558" s="66"/>
      <c r="C558" s="67"/>
      <c r="D558" s="67"/>
      <c r="E558" s="67"/>
      <c r="F558" s="67"/>
      <c r="G558" s="67"/>
      <c r="H558" s="67"/>
      <c r="I558" s="67"/>
      <c r="J558" s="67"/>
      <c r="K558" s="67"/>
      <c r="L558" s="67"/>
      <c r="M558" s="67"/>
      <c r="N558" s="67"/>
      <c r="Q558" s="67"/>
    </row>
    <row r="559" spans="1:17" s="68" customFormat="1" x14ac:dyDescent="0.35">
      <c r="A559" s="66"/>
      <c r="B559" s="66"/>
      <c r="C559" s="67"/>
      <c r="D559" s="67"/>
      <c r="E559" s="67"/>
      <c r="F559" s="67"/>
      <c r="G559" s="67"/>
      <c r="H559" s="67"/>
      <c r="I559" s="67"/>
      <c r="J559" s="67"/>
      <c r="K559" s="67"/>
      <c r="L559" s="67"/>
      <c r="M559" s="67"/>
      <c r="N559" s="67"/>
      <c r="Q559" s="67"/>
    </row>
    <row r="560" spans="1:17" s="68" customFormat="1" x14ac:dyDescent="0.35">
      <c r="A560" s="66"/>
      <c r="B560" s="66"/>
      <c r="C560" s="67"/>
      <c r="D560" s="67"/>
      <c r="E560" s="67"/>
      <c r="F560" s="67"/>
      <c r="G560" s="67"/>
      <c r="H560" s="67"/>
      <c r="I560" s="67"/>
      <c r="J560" s="67"/>
      <c r="K560" s="67"/>
      <c r="L560" s="67"/>
      <c r="M560" s="67"/>
      <c r="N560" s="67"/>
      <c r="Q560" s="67"/>
    </row>
    <row r="561" spans="1:17" s="68" customFormat="1" x14ac:dyDescent="0.35">
      <c r="A561" s="66"/>
      <c r="B561" s="66"/>
      <c r="C561" s="67"/>
      <c r="D561" s="67"/>
      <c r="E561" s="67"/>
      <c r="F561" s="67"/>
      <c r="G561" s="67"/>
      <c r="H561" s="67"/>
      <c r="I561" s="67"/>
      <c r="J561" s="67"/>
      <c r="K561" s="67"/>
      <c r="L561" s="67"/>
      <c r="M561" s="67"/>
      <c r="N561" s="67"/>
      <c r="Q561" s="67"/>
    </row>
    <row r="562" spans="1:17" s="68" customFormat="1" x14ac:dyDescent="0.35">
      <c r="A562" s="66"/>
      <c r="B562" s="66"/>
      <c r="C562" s="67"/>
      <c r="D562" s="67"/>
      <c r="E562" s="67"/>
      <c r="F562" s="67"/>
      <c r="G562" s="67"/>
      <c r="H562" s="67"/>
      <c r="I562" s="67"/>
      <c r="J562" s="67"/>
      <c r="K562" s="67"/>
      <c r="L562" s="67"/>
      <c r="M562" s="67"/>
      <c r="N562" s="67"/>
      <c r="Q562" s="67"/>
    </row>
    <row r="563" spans="1:17" s="68" customFormat="1" x14ac:dyDescent="0.35">
      <c r="A563" s="66"/>
      <c r="B563" s="66"/>
      <c r="C563" s="67"/>
      <c r="D563" s="67"/>
      <c r="E563" s="67"/>
      <c r="F563" s="67"/>
      <c r="G563" s="67"/>
      <c r="H563" s="67"/>
      <c r="I563" s="67"/>
      <c r="J563" s="67"/>
      <c r="K563" s="67"/>
      <c r="L563" s="67"/>
      <c r="M563" s="67"/>
      <c r="N563" s="67"/>
      <c r="Q563" s="67"/>
    </row>
    <row r="564" spans="1:17" s="68" customFormat="1" x14ac:dyDescent="0.35">
      <c r="A564" s="66"/>
      <c r="B564" s="66"/>
      <c r="C564" s="67"/>
      <c r="D564" s="67"/>
      <c r="E564" s="67"/>
      <c r="F564" s="67"/>
      <c r="G564" s="67"/>
      <c r="H564" s="67"/>
      <c r="I564" s="67"/>
      <c r="J564" s="67"/>
      <c r="K564" s="67"/>
      <c r="L564" s="67"/>
      <c r="M564" s="67"/>
      <c r="N564" s="67"/>
      <c r="Q564" s="67"/>
    </row>
    <row r="565" spans="1:17" s="68" customFormat="1" x14ac:dyDescent="0.35">
      <c r="A565" s="66"/>
      <c r="B565" s="66"/>
      <c r="C565" s="67"/>
      <c r="D565" s="67"/>
      <c r="E565" s="67"/>
      <c r="F565" s="67"/>
      <c r="G565" s="67"/>
      <c r="H565" s="67"/>
      <c r="I565" s="67"/>
      <c r="J565" s="67"/>
      <c r="K565" s="67"/>
      <c r="L565" s="67"/>
      <c r="M565" s="67"/>
      <c r="N565" s="67"/>
      <c r="Q565" s="67"/>
    </row>
    <row r="566" spans="1:17" s="68" customFormat="1" x14ac:dyDescent="0.35">
      <c r="A566" s="66"/>
      <c r="B566" s="66"/>
      <c r="C566" s="67"/>
      <c r="D566" s="67"/>
      <c r="E566" s="67"/>
      <c r="F566" s="67"/>
      <c r="G566" s="67"/>
      <c r="H566" s="67"/>
      <c r="I566" s="67"/>
      <c r="J566" s="67"/>
      <c r="K566" s="67"/>
      <c r="L566" s="67"/>
      <c r="M566" s="67"/>
      <c r="N566" s="67"/>
      <c r="Q566" s="67"/>
    </row>
    <row r="567" spans="1:17" s="68" customFormat="1" x14ac:dyDescent="0.35">
      <c r="A567" s="66"/>
      <c r="B567" s="66"/>
      <c r="C567" s="67"/>
      <c r="D567" s="67"/>
      <c r="E567" s="67"/>
      <c r="F567" s="67"/>
      <c r="G567" s="67"/>
      <c r="H567" s="67"/>
      <c r="I567" s="67"/>
      <c r="J567" s="67"/>
      <c r="K567" s="67"/>
      <c r="L567" s="67"/>
      <c r="M567" s="67"/>
      <c r="N567" s="67"/>
      <c r="Q567" s="67"/>
    </row>
    <row r="568" spans="1:17" s="68" customFormat="1" x14ac:dyDescent="0.35">
      <c r="A568" s="66"/>
      <c r="B568" s="66"/>
      <c r="C568" s="67"/>
      <c r="D568" s="67"/>
      <c r="E568" s="67"/>
      <c r="F568" s="67"/>
      <c r="G568" s="67"/>
      <c r="H568" s="67"/>
      <c r="I568" s="67"/>
      <c r="J568" s="67"/>
      <c r="K568" s="67"/>
      <c r="L568" s="67"/>
      <c r="M568" s="67"/>
      <c r="N568" s="67"/>
      <c r="Q568" s="67"/>
    </row>
    <row r="569" spans="1:17" s="68" customFormat="1" x14ac:dyDescent="0.35">
      <c r="A569" s="66"/>
      <c r="B569" s="66"/>
      <c r="C569" s="67"/>
      <c r="D569" s="67"/>
      <c r="E569" s="67"/>
      <c r="F569" s="67"/>
      <c r="G569" s="67"/>
      <c r="H569" s="67"/>
      <c r="I569" s="67"/>
      <c r="J569" s="67"/>
      <c r="K569" s="67"/>
      <c r="L569" s="67"/>
      <c r="M569" s="67"/>
      <c r="N569" s="67"/>
      <c r="Q569" s="67"/>
    </row>
    <row r="570" spans="1:17" s="68" customFormat="1" x14ac:dyDescent="0.35">
      <c r="A570" s="66"/>
      <c r="B570" s="66"/>
      <c r="C570" s="67"/>
      <c r="D570" s="67"/>
      <c r="E570" s="67"/>
      <c r="F570" s="67"/>
      <c r="G570" s="67"/>
      <c r="H570" s="67"/>
      <c r="I570" s="67"/>
      <c r="J570" s="67"/>
      <c r="K570" s="67"/>
      <c r="L570" s="67"/>
      <c r="M570" s="67"/>
      <c r="N570" s="67"/>
      <c r="Q570" s="67"/>
    </row>
    <row r="571" spans="1:17" s="68" customFormat="1" x14ac:dyDescent="0.35">
      <c r="A571" s="66"/>
      <c r="B571" s="66"/>
      <c r="C571" s="67"/>
      <c r="D571" s="67"/>
      <c r="E571" s="67"/>
      <c r="F571" s="67"/>
      <c r="G571" s="67"/>
      <c r="H571" s="67"/>
      <c r="I571" s="67"/>
      <c r="J571" s="67"/>
      <c r="K571" s="67"/>
      <c r="L571" s="67"/>
      <c r="M571" s="67"/>
      <c r="N571" s="67"/>
      <c r="Q571" s="67"/>
    </row>
    <row r="572" spans="1:17" s="68" customFormat="1" x14ac:dyDescent="0.35">
      <c r="A572" s="66"/>
      <c r="B572" s="66"/>
      <c r="C572" s="67"/>
      <c r="D572" s="67"/>
      <c r="E572" s="67"/>
      <c r="F572" s="67"/>
      <c r="G572" s="67"/>
      <c r="H572" s="67"/>
      <c r="I572" s="67"/>
      <c r="J572" s="67"/>
      <c r="K572" s="67"/>
      <c r="L572" s="67"/>
      <c r="M572" s="67"/>
      <c r="N572" s="67"/>
      <c r="Q572" s="67"/>
    </row>
    <row r="573" spans="1:17" s="68" customFormat="1" x14ac:dyDescent="0.35">
      <c r="A573" s="66"/>
      <c r="B573" s="66"/>
      <c r="C573" s="67"/>
      <c r="D573" s="67"/>
      <c r="E573" s="67"/>
      <c r="F573" s="67"/>
      <c r="G573" s="67"/>
      <c r="H573" s="67"/>
      <c r="I573" s="67"/>
      <c r="J573" s="67"/>
      <c r="K573" s="67"/>
      <c r="L573" s="67"/>
      <c r="M573" s="67"/>
      <c r="N573" s="67"/>
      <c r="Q573" s="67"/>
    </row>
    <row r="574" spans="1:17" s="68" customFormat="1" x14ac:dyDescent="0.35">
      <c r="A574" s="66"/>
      <c r="B574" s="66"/>
      <c r="C574" s="67"/>
      <c r="D574" s="67"/>
      <c r="E574" s="67"/>
      <c r="F574" s="67"/>
      <c r="G574" s="67"/>
      <c r="H574" s="67"/>
      <c r="I574" s="67"/>
      <c r="J574" s="67"/>
      <c r="K574" s="67"/>
      <c r="L574" s="67"/>
      <c r="M574" s="67"/>
      <c r="N574" s="67"/>
      <c r="Q574" s="67"/>
    </row>
    <row r="575" spans="1:17" s="68" customFormat="1" x14ac:dyDescent="0.35">
      <c r="A575" s="66"/>
      <c r="B575" s="66"/>
      <c r="C575" s="67"/>
      <c r="D575" s="67"/>
      <c r="E575" s="67"/>
      <c r="F575" s="67"/>
      <c r="G575" s="67"/>
      <c r="H575" s="67"/>
      <c r="I575" s="67"/>
      <c r="J575" s="67"/>
      <c r="K575" s="67"/>
      <c r="L575" s="67"/>
      <c r="M575" s="67"/>
      <c r="N575" s="67"/>
      <c r="Q575" s="67"/>
    </row>
    <row r="576" spans="1:17" s="68" customFormat="1" x14ac:dyDescent="0.35">
      <c r="A576" s="66"/>
      <c r="B576" s="66"/>
      <c r="C576" s="67"/>
      <c r="D576" s="67"/>
      <c r="E576" s="67"/>
      <c r="F576" s="67"/>
      <c r="G576" s="67"/>
      <c r="H576" s="67"/>
      <c r="I576" s="67"/>
      <c r="J576" s="67"/>
      <c r="K576" s="67"/>
      <c r="L576" s="67"/>
      <c r="M576" s="67"/>
      <c r="N576" s="67"/>
      <c r="Q576" s="67"/>
    </row>
    <row r="577" spans="1:17" s="68" customFormat="1" x14ac:dyDescent="0.35">
      <c r="A577" s="66"/>
      <c r="B577" s="66"/>
      <c r="C577" s="67"/>
      <c r="D577" s="67"/>
      <c r="E577" s="67"/>
      <c r="F577" s="67"/>
      <c r="G577" s="67"/>
      <c r="H577" s="67"/>
      <c r="I577" s="67"/>
      <c r="J577" s="67"/>
      <c r="K577" s="67"/>
      <c r="L577" s="67"/>
      <c r="M577" s="67"/>
      <c r="N577" s="67"/>
      <c r="Q577" s="67"/>
    </row>
    <row r="578" spans="1:17" s="68" customFormat="1" x14ac:dyDescent="0.35">
      <c r="A578" s="66"/>
      <c r="B578" s="66"/>
      <c r="C578" s="67"/>
      <c r="D578" s="67"/>
      <c r="E578" s="67"/>
      <c r="F578" s="67"/>
      <c r="G578" s="67"/>
      <c r="H578" s="67"/>
      <c r="I578" s="67"/>
      <c r="J578" s="67"/>
      <c r="K578" s="67"/>
      <c r="L578" s="67"/>
      <c r="M578" s="67"/>
      <c r="N578" s="67"/>
      <c r="Q578" s="67"/>
    </row>
    <row r="579" spans="1:17" s="68" customFormat="1" x14ac:dyDescent="0.35">
      <c r="A579" s="66"/>
      <c r="B579" s="66"/>
      <c r="C579" s="67"/>
      <c r="D579" s="67"/>
      <c r="E579" s="67"/>
      <c r="F579" s="67"/>
      <c r="G579" s="67"/>
      <c r="H579" s="67"/>
      <c r="I579" s="67"/>
      <c r="J579" s="67"/>
      <c r="K579" s="67"/>
      <c r="L579" s="67"/>
      <c r="M579" s="67"/>
      <c r="N579" s="67"/>
      <c r="Q579" s="67"/>
    </row>
    <row r="580" spans="1:17" s="68" customFormat="1" x14ac:dyDescent="0.35">
      <c r="A580" s="66"/>
      <c r="B580" s="66"/>
      <c r="C580" s="67"/>
      <c r="D580" s="67"/>
      <c r="E580" s="67"/>
      <c r="F580" s="67"/>
      <c r="G580" s="67"/>
      <c r="H580" s="67"/>
      <c r="I580" s="67"/>
      <c r="J580" s="67"/>
      <c r="K580" s="67"/>
      <c r="L580" s="67"/>
      <c r="M580" s="67"/>
      <c r="N580" s="67"/>
      <c r="Q580" s="67"/>
    </row>
    <row r="581" spans="1:17" s="68" customFormat="1" x14ac:dyDescent="0.35">
      <c r="A581" s="66"/>
      <c r="B581" s="66"/>
      <c r="C581" s="67"/>
      <c r="D581" s="67"/>
      <c r="E581" s="67"/>
      <c r="F581" s="67"/>
      <c r="G581" s="67"/>
      <c r="H581" s="67"/>
      <c r="I581" s="67"/>
      <c r="J581" s="67"/>
      <c r="K581" s="67"/>
      <c r="L581" s="67"/>
      <c r="M581" s="67"/>
      <c r="N581" s="67"/>
      <c r="Q581" s="67"/>
    </row>
    <row r="582" spans="1:17" s="68" customFormat="1" x14ac:dyDescent="0.35">
      <c r="A582" s="66"/>
      <c r="B582" s="66"/>
      <c r="C582" s="67"/>
      <c r="D582" s="67"/>
      <c r="E582" s="67"/>
      <c r="F582" s="67"/>
      <c r="G582" s="67"/>
      <c r="H582" s="67"/>
      <c r="I582" s="67"/>
      <c r="J582" s="67"/>
      <c r="K582" s="67"/>
      <c r="L582" s="67"/>
      <c r="M582" s="67"/>
      <c r="N582" s="67"/>
      <c r="Q582" s="67"/>
    </row>
    <row r="583" spans="1:17" s="68" customFormat="1" x14ac:dyDescent="0.35">
      <c r="A583" s="66"/>
      <c r="B583" s="66"/>
      <c r="C583" s="67"/>
      <c r="D583" s="67"/>
      <c r="E583" s="67"/>
      <c r="F583" s="67"/>
      <c r="G583" s="67"/>
      <c r="H583" s="67"/>
      <c r="I583" s="67"/>
      <c r="J583" s="67"/>
      <c r="K583" s="67"/>
      <c r="L583" s="67"/>
      <c r="M583" s="67"/>
      <c r="N583" s="67"/>
      <c r="Q583" s="67"/>
    </row>
    <row r="584" spans="1:17" s="68" customFormat="1" x14ac:dyDescent="0.35">
      <c r="A584" s="66"/>
      <c r="B584" s="66"/>
      <c r="C584" s="67"/>
      <c r="D584" s="67"/>
      <c r="E584" s="67"/>
      <c r="F584" s="67"/>
      <c r="G584" s="67"/>
      <c r="H584" s="67"/>
      <c r="I584" s="67"/>
      <c r="J584" s="67"/>
      <c r="K584" s="67"/>
      <c r="L584" s="67"/>
      <c r="M584" s="67"/>
      <c r="N584" s="67"/>
      <c r="Q584" s="67"/>
    </row>
    <row r="585" spans="1:17" s="68" customFormat="1" x14ac:dyDescent="0.35">
      <c r="A585" s="66"/>
      <c r="B585" s="66"/>
      <c r="C585" s="67"/>
      <c r="D585" s="67"/>
      <c r="E585" s="67"/>
      <c r="F585" s="67"/>
      <c r="G585" s="67"/>
      <c r="H585" s="67"/>
      <c r="I585" s="67"/>
      <c r="J585" s="67"/>
      <c r="K585" s="67"/>
      <c r="L585" s="67"/>
      <c r="M585" s="67"/>
      <c r="N585" s="67"/>
      <c r="Q585" s="67"/>
    </row>
    <row r="586" spans="1:17" s="68" customFormat="1" x14ac:dyDescent="0.35">
      <c r="A586" s="66"/>
      <c r="B586" s="66"/>
      <c r="C586" s="67"/>
      <c r="D586" s="67"/>
      <c r="E586" s="67"/>
      <c r="F586" s="67"/>
      <c r="G586" s="67"/>
      <c r="H586" s="67"/>
      <c r="I586" s="67"/>
      <c r="J586" s="67"/>
      <c r="K586" s="67"/>
      <c r="L586" s="67"/>
      <c r="M586" s="67"/>
      <c r="N586" s="67"/>
      <c r="Q586" s="67"/>
    </row>
    <row r="587" spans="1:17" s="68" customFormat="1" x14ac:dyDescent="0.35">
      <c r="A587" s="66"/>
      <c r="B587" s="66"/>
      <c r="C587" s="67"/>
      <c r="D587" s="67"/>
      <c r="E587" s="67"/>
      <c r="F587" s="67"/>
      <c r="G587" s="67"/>
      <c r="H587" s="67"/>
      <c r="I587" s="67"/>
      <c r="J587" s="67"/>
      <c r="K587" s="67"/>
      <c r="L587" s="67"/>
      <c r="M587" s="67"/>
      <c r="N587" s="67"/>
      <c r="Q587" s="67"/>
    </row>
    <row r="588" spans="1:17" s="68" customFormat="1" x14ac:dyDescent="0.35">
      <c r="A588" s="66"/>
      <c r="B588" s="66"/>
      <c r="C588" s="67"/>
      <c r="D588" s="67"/>
      <c r="E588" s="67"/>
      <c r="F588" s="67"/>
      <c r="G588" s="67"/>
      <c r="H588" s="67"/>
      <c r="I588" s="67"/>
      <c r="J588" s="67"/>
      <c r="K588" s="67"/>
      <c r="L588" s="67"/>
      <c r="M588" s="67"/>
      <c r="N588" s="67"/>
      <c r="Q588" s="67"/>
    </row>
    <row r="589" spans="1:17" s="68" customFormat="1" x14ac:dyDescent="0.35">
      <c r="A589" s="66"/>
      <c r="B589" s="66"/>
      <c r="C589" s="67"/>
      <c r="D589" s="67"/>
      <c r="E589" s="67"/>
      <c r="F589" s="67"/>
      <c r="G589" s="67"/>
      <c r="H589" s="67"/>
      <c r="I589" s="67"/>
      <c r="J589" s="67"/>
      <c r="K589" s="67"/>
      <c r="L589" s="67"/>
      <c r="M589" s="67"/>
      <c r="N589" s="67"/>
      <c r="Q589" s="67"/>
    </row>
    <row r="590" spans="1:17" s="68" customFormat="1" x14ac:dyDescent="0.35">
      <c r="A590" s="66"/>
      <c r="B590" s="66"/>
      <c r="C590" s="67"/>
      <c r="D590" s="67"/>
      <c r="E590" s="67"/>
      <c r="F590" s="67"/>
      <c r="G590" s="67"/>
      <c r="H590" s="67"/>
      <c r="I590" s="67"/>
      <c r="J590" s="67"/>
      <c r="K590" s="67"/>
      <c r="L590" s="67"/>
      <c r="M590" s="67"/>
      <c r="N590" s="67"/>
      <c r="Q590" s="67"/>
    </row>
    <row r="591" spans="1:17" s="68" customFormat="1" x14ac:dyDescent="0.35">
      <c r="A591" s="66"/>
      <c r="B591" s="66"/>
      <c r="C591" s="67"/>
      <c r="D591" s="67"/>
      <c r="E591" s="67"/>
      <c r="F591" s="67"/>
      <c r="G591" s="67"/>
      <c r="H591" s="67"/>
      <c r="I591" s="67"/>
      <c r="J591" s="67"/>
      <c r="K591" s="67"/>
      <c r="L591" s="67"/>
      <c r="M591" s="67"/>
      <c r="N591" s="67"/>
      <c r="Q591" s="67"/>
    </row>
    <row r="592" spans="1:17" s="68" customFormat="1" x14ac:dyDescent="0.35">
      <c r="A592" s="66"/>
      <c r="B592" s="66"/>
      <c r="C592" s="67"/>
      <c r="D592" s="67"/>
      <c r="E592" s="67"/>
      <c r="F592" s="67"/>
      <c r="G592" s="67"/>
      <c r="H592" s="67"/>
      <c r="I592" s="67"/>
      <c r="J592" s="67"/>
      <c r="K592" s="67"/>
      <c r="L592" s="67"/>
      <c r="M592" s="67"/>
      <c r="N592" s="67"/>
      <c r="Q592" s="67"/>
    </row>
    <row r="593" spans="1:17" s="68" customFormat="1" x14ac:dyDescent="0.35">
      <c r="A593" s="66"/>
      <c r="B593" s="66"/>
      <c r="C593" s="67"/>
      <c r="D593" s="67"/>
      <c r="E593" s="67"/>
      <c r="F593" s="67"/>
      <c r="G593" s="67"/>
      <c r="H593" s="67"/>
      <c r="I593" s="67"/>
      <c r="J593" s="67"/>
      <c r="K593" s="67"/>
      <c r="L593" s="67"/>
      <c r="M593" s="67"/>
      <c r="N593" s="67"/>
      <c r="Q593" s="67"/>
    </row>
    <row r="594" spans="1:17" s="68" customFormat="1" x14ac:dyDescent="0.35">
      <c r="A594" s="66"/>
      <c r="B594" s="66"/>
      <c r="C594" s="67"/>
      <c r="D594" s="67"/>
      <c r="E594" s="67"/>
      <c r="F594" s="67"/>
      <c r="G594" s="67"/>
      <c r="H594" s="67"/>
      <c r="I594" s="67"/>
      <c r="J594" s="67"/>
      <c r="K594" s="67"/>
      <c r="L594" s="67"/>
      <c r="M594" s="67"/>
      <c r="N594" s="67"/>
      <c r="Q594" s="67"/>
    </row>
    <row r="595" spans="1:17" s="68" customFormat="1" x14ac:dyDescent="0.35">
      <c r="A595" s="66"/>
      <c r="B595" s="66"/>
      <c r="C595" s="67"/>
      <c r="D595" s="67"/>
      <c r="E595" s="67"/>
      <c r="F595" s="67"/>
      <c r="G595" s="67"/>
      <c r="H595" s="67"/>
      <c r="I595" s="67"/>
      <c r="J595" s="67"/>
      <c r="K595" s="67"/>
      <c r="L595" s="67"/>
      <c r="M595" s="67"/>
      <c r="N595" s="67"/>
      <c r="Q595" s="67"/>
    </row>
    <row r="596" spans="1:17" s="68" customFormat="1" x14ac:dyDescent="0.35">
      <c r="A596" s="66"/>
      <c r="B596" s="66"/>
      <c r="C596" s="67"/>
      <c r="D596" s="67"/>
      <c r="E596" s="67"/>
      <c r="F596" s="67"/>
      <c r="G596" s="67"/>
      <c r="H596" s="67"/>
      <c r="I596" s="67"/>
      <c r="J596" s="67"/>
      <c r="K596" s="67"/>
      <c r="L596" s="67"/>
      <c r="M596" s="67"/>
      <c r="N596" s="67"/>
      <c r="Q596" s="67"/>
    </row>
    <row r="597" spans="1:17" s="68" customFormat="1" x14ac:dyDescent="0.35">
      <c r="A597" s="66"/>
      <c r="B597" s="66"/>
      <c r="C597" s="67"/>
      <c r="D597" s="67"/>
      <c r="E597" s="67"/>
      <c r="F597" s="67"/>
      <c r="G597" s="67"/>
      <c r="H597" s="67"/>
      <c r="I597" s="67"/>
      <c r="J597" s="67"/>
      <c r="K597" s="67"/>
      <c r="L597" s="67"/>
      <c r="M597" s="67"/>
      <c r="N597" s="67"/>
      <c r="Q597" s="67"/>
    </row>
    <row r="598" spans="1:17" s="68" customFormat="1" x14ac:dyDescent="0.35">
      <c r="A598" s="66"/>
      <c r="B598" s="66"/>
      <c r="C598" s="67"/>
      <c r="D598" s="67"/>
      <c r="E598" s="67"/>
      <c r="F598" s="67"/>
      <c r="G598" s="67"/>
      <c r="H598" s="67"/>
      <c r="I598" s="67"/>
      <c r="J598" s="67"/>
      <c r="K598" s="67"/>
      <c r="L598" s="67"/>
      <c r="M598" s="67"/>
      <c r="N598" s="67"/>
      <c r="Q598" s="67"/>
    </row>
    <row r="599" spans="1:17" s="68" customFormat="1" x14ac:dyDescent="0.35">
      <c r="A599" s="66"/>
      <c r="B599" s="66"/>
      <c r="C599" s="67"/>
      <c r="D599" s="67"/>
      <c r="E599" s="67"/>
      <c r="F599" s="67"/>
      <c r="G599" s="67"/>
      <c r="H599" s="67"/>
      <c r="I599" s="67"/>
      <c r="J599" s="67"/>
      <c r="K599" s="67"/>
      <c r="L599" s="67"/>
      <c r="M599" s="67"/>
      <c r="N599" s="67"/>
      <c r="Q599" s="67"/>
    </row>
    <row r="600" spans="1:17" s="68" customFormat="1" x14ac:dyDescent="0.35">
      <c r="A600" s="66"/>
      <c r="B600" s="66"/>
      <c r="C600" s="67"/>
      <c r="D600" s="67"/>
      <c r="E600" s="67"/>
      <c r="F600" s="67"/>
      <c r="G600" s="67"/>
      <c r="H600" s="67"/>
      <c r="I600" s="67"/>
      <c r="J600" s="67"/>
      <c r="K600" s="67"/>
      <c r="L600" s="67"/>
      <c r="M600" s="67"/>
      <c r="N600" s="67"/>
      <c r="Q600" s="67"/>
    </row>
    <row r="601" spans="1:17" s="68" customFormat="1" x14ac:dyDescent="0.35">
      <c r="A601" s="66"/>
      <c r="B601" s="66"/>
      <c r="C601" s="67"/>
      <c r="D601" s="67"/>
      <c r="E601" s="67"/>
      <c r="F601" s="67"/>
      <c r="G601" s="67"/>
      <c r="H601" s="67"/>
      <c r="I601" s="67"/>
      <c r="J601" s="67"/>
      <c r="K601" s="67"/>
      <c r="L601" s="67"/>
      <c r="M601" s="67"/>
      <c r="N601" s="67"/>
      <c r="Q601" s="67"/>
    </row>
    <row r="602" spans="1:17" s="68" customFormat="1" x14ac:dyDescent="0.35">
      <c r="A602" s="66"/>
      <c r="B602" s="66"/>
      <c r="C602" s="67"/>
      <c r="D602" s="67"/>
      <c r="E602" s="67"/>
      <c r="F602" s="67"/>
      <c r="G602" s="67"/>
      <c r="H602" s="67"/>
      <c r="I602" s="67"/>
      <c r="J602" s="67"/>
      <c r="K602" s="67"/>
      <c r="L602" s="67"/>
      <c r="M602" s="67"/>
      <c r="N602" s="67"/>
      <c r="Q602" s="67"/>
    </row>
    <row r="603" spans="1:17" s="68" customFormat="1" x14ac:dyDescent="0.35">
      <c r="A603" s="66"/>
      <c r="B603" s="66"/>
      <c r="C603" s="67"/>
      <c r="D603" s="67"/>
      <c r="E603" s="67"/>
      <c r="F603" s="67"/>
      <c r="G603" s="67"/>
      <c r="H603" s="67"/>
      <c r="I603" s="67"/>
      <c r="J603" s="67"/>
      <c r="K603" s="67"/>
      <c r="L603" s="67"/>
      <c r="M603" s="67"/>
      <c r="N603" s="67"/>
      <c r="Q603" s="67"/>
    </row>
    <row r="604" spans="1:17" s="68" customFormat="1" x14ac:dyDescent="0.35">
      <c r="A604" s="66"/>
      <c r="B604" s="66"/>
      <c r="C604" s="67"/>
      <c r="D604" s="67"/>
      <c r="E604" s="67"/>
      <c r="F604" s="67"/>
      <c r="G604" s="67"/>
      <c r="H604" s="67"/>
      <c r="I604" s="67"/>
      <c r="J604" s="67"/>
      <c r="K604" s="67"/>
      <c r="L604" s="67"/>
      <c r="M604" s="67"/>
      <c r="N604" s="67"/>
      <c r="Q604" s="67"/>
    </row>
    <row r="605" spans="1:17" s="68" customFormat="1" x14ac:dyDescent="0.35">
      <c r="A605" s="66"/>
      <c r="B605" s="66"/>
      <c r="C605" s="67"/>
      <c r="D605" s="67"/>
      <c r="E605" s="67"/>
      <c r="F605" s="67"/>
      <c r="G605" s="67"/>
      <c r="H605" s="67"/>
      <c r="I605" s="67"/>
      <c r="J605" s="67"/>
      <c r="K605" s="67"/>
      <c r="L605" s="67"/>
      <c r="M605" s="67"/>
      <c r="N605" s="67"/>
      <c r="Q605" s="67"/>
    </row>
    <row r="606" spans="1:17" s="68" customFormat="1" x14ac:dyDescent="0.35">
      <c r="A606" s="66"/>
      <c r="B606" s="66"/>
      <c r="C606" s="67"/>
      <c r="D606" s="67"/>
      <c r="E606" s="67"/>
      <c r="F606" s="67"/>
      <c r="G606" s="67"/>
      <c r="H606" s="67"/>
      <c r="I606" s="67"/>
      <c r="J606" s="67"/>
      <c r="K606" s="67"/>
      <c r="L606" s="67"/>
      <c r="M606" s="67"/>
      <c r="N606" s="67"/>
      <c r="Q606" s="67"/>
    </row>
    <row r="607" spans="1:17" s="68" customFormat="1" x14ac:dyDescent="0.35">
      <c r="A607" s="66"/>
      <c r="B607" s="66"/>
      <c r="C607" s="67"/>
      <c r="D607" s="67"/>
      <c r="E607" s="67"/>
      <c r="F607" s="67"/>
      <c r="G607" s="67"/>
      <c r="H607" s="67"/>
      <c r="I607" s="67"/>
      <c r="J607" s="67"/>
      <c r="K607" s="67"/>
      <c r="L607" s="67"/>
      <c r="M607" s="67"/>
      <c r="N607" s="67"/>
      <c r="Q607" s="67"/>
    </row>
    <row r="608" spans="1:17" s="68" customFormat="1" x14ac:dyDescent="0.35">
      <c r="A608" s="66"/>
      <c r="B608" s="66"/>
      <c r="C608" s="67"/>
      <c r="D608" s="67"/>
      <c r="E608" s="67"/>
      <c r="F608" s="67"/>
      <c r="G608" s="67"/>
      <c r="H608" s="67"/>
      <c r="I608" s="67"/>
      <c r="J608" s="67"/>
      <c r="K608" s="67"/>
      <c r="L608" s="67"/>
      <c r="M608" s="67"/>
      <c r="N608" s="67"/>
      <c r="Q608" s="67"/>
    </row>
    <row r="609" spans="1:17" s="68" customFormat="1" x14ac:dyDescent="0.35">
      <c r="A609" s="66"/>
      <c r="B609" s="66"/>
      <c r="C609" s="67"/>
      <c r="D609" s="67"/>
      <c r="E609" s="67"/>
      <c r="F609" s="67"/>
      <c r="G609" s="67"/>
      <c r="H609" s="67"/>
      <c r="I609" s="67"/>
      <c r="J609" s="67"/>
      <c r="K609" s="67"/>
      <c r="L609" s="67"/>
      <c r="M609" s="67"/>
      <c r="N609" s="67"/>
      <c r="Q609" s="67"/>
    </row>
    <row r="610" spans="1:17" s="68" customFormat="1" x14ac:dyDescent="0.35">
      <c r="A610" s="66"/>
      <c r="B610" s="66"/>
      <c r="C610" s="67"/>
      <c r="D610" s="67"/>
      <c r="E610" s="67"/>
      <c r="F610" s="67"/>
      <c r="G610" s="67"/>
      <c r="H610" s="67"/>
      <c r="I610" s="67"/>
      <c r="J610" s="67"/>
      <c r="K610" s="67"/>
      <c r="L610" s="67"/>
      <c r="M610" s="67"/>
      <c r="N610" s="67"/>
      <c r="Q610" s="67"/>
    </row>
    <row r="611" spans="1:17" s="68" customFormat="1" x14ac:dyDescent="0.35">
      <c r="A611" s="66"/>
      <c r="B611" s="66"/>
      <c r="C611" s="67"/>
      <c r="D611" s="67"/>
      <c r="E611" s="67"/>
      <c r="F611" s="67"/>
      <c r="G611" s="67"/>
      <c r="H611" s="67"/>
      <c r="I611" s="67"/>
      <c r="J611" s="67"/>
      <c r="K611" s="67"/>
      <c r="L611" s="67"/>
      <c r="M611" s="67"/>
      <c r="N611" s="67"/>
      <c r="Q611" s="67"/>
    </row>
    <row r="612" spans="1:17" s="68" customFormat="1" x14ac:dyDescent="0.35">
      <c r="A612" s="66"/>
      <c r="B612" s="66"/>
      <c r="C612" s="67"/>
      <c r="D612" s="67"/>
      <c r="E612" s="67"/>
      <c r="F612" s="67"/>
      <c r="G612" s="67"/>
      <c r="H612" s="67"/>
      <c r="I612" s="67"/>
      <c r="J612" s="67"/>
      <c r="K612" s="67"/>
      <c r="L612" s="67"/>
      <c r="M612" s="67"/>
      <c r="N612" s="67"/>
      <c r="Q612" s="67"/>
    </row>
    <row r="613" spans="1:17" s="68" customFormat="1" x14ac:dyDescent="0.35">
      <c r="A613" s="66"/>
      <c r="B613" s="66"/>
      <c r="C613" s="67"/>
      <c r="D613" s="67"/>
      <c r="E613" s="67"/>
      <c r="F613" s="67"/>
      <c r="G613" s="67"/>
      <c r="H613" s="67"/>
      <c r="I613" s="67"/>
      <c r="J613" s="67"/>
      <c r="K613" s="67"/>
      <c r="L613" s="67"/>
      <c r="M613" s="67"/>
      <c r="N613" s="67"/>
      <c r="Q613" s="67"/>
    </row>
    <row r="614" spans="1:17" s="68" customFormat="1" x14ac:dyDescent="0.35">
      <c r="A614" s="66"/>
      <c r="B614" s="66"/>
      <c r="C614" s="67"/>
      <c r="D614" s="67"/>
      <c r="E614" s="67"/>
      <c r="F614" s="67"/>
      <c r="G614" s="67"/>
      <c r="H614" s="67"/>
      <c r="I614" s="67"/>
      <c r="J614" s="67"/>
      <c r="K614" s="67"/>
      <c r="L614" s="67"/>
      <c r="M614" s="67"/>
      <c r="N614" s="67"/>
      <c r="Q614" s="67"/>
    </row>
    <row r="615" spans="1:17" s="68" customFormat="1" x14ac:dyDescent="0.35">
      <c r="A615" s="66"/>
      <c r="B615" s="66"/>
      <c r="C615" s="67"/>
      <c r="D615" s="67"/>
      <c r="E615" s="67"/>
      <c r="F615" s="67"/>
      <c r="G615" s="67"/>
      <c r="H615" s="67"/>
      <c r="I615" s="67"/>
      <c r="J615" s="67"/>
      <c r="K615" s="67"/>
      <c r="L615" s="67"/>
      <c r="M615" s="67"/>
      <c r="N615" s="67"/>
      <c r="Q615" s="67"/>
    </row>
    <row r="616" spans="1:17" s="68" customFormat="1" x14ac:dyDescent="0.35">
      <c r="A616" s="66"/>
      <c r="B616" s="66"/>
      <c r="C616" s="67"/>
      <c r="D616" s="67"/>
      <c r="E616" s="67"/>
      <c r="F616" s="67"/>
      <c r="G616" s="67"/>
      <c r="H616" s="67"/>
      <c r="I616" s="67"/>
      <c r="J616" s="67"/>
      <c r="K616" s="67"/>
      <c r="L616" s="67"/>
      <c r="M616" s="67"/>
      <c r="N616" s="67"/>
      <c r="Q616" s="67"/>
    </row>
    <row r="617" spans="1:17" s="68" customFormat="1" x14ac:dyDescent="0.35">
      <c r="A617" s="66"/>
      <c r="B617" s="66"/>
      <c r="C617" s="67"/>
      <c r="D617" s="67"/>
      <c r="E617" s="67"/>
      <c r="F617" s="67"/>
      <c r="G617" s="67"/>
      <c r="H617" s="67"/>
      <c r="I617" s="67"/>
      <c r="J617" s="67"/>
      <c r="K617" s="67"/>
      <c r="L617" s="67"/>
      <c r="M617" s="67"/>
      <c r="N617" s="67"/>
      <c r="Q617" s="67"/>
    </row>
    <row r="618" spans="1:17" s="68" customFormat="1" x14ac:dyDescent="0.35">
      <c r="A618" s="66"/>
      <c r="B618" s="66"/>
      <c r="C618" s="67"/>
      <c r="D618" s="67"/>
      <c r="E618" s="67"/>
      <c r="F618" s="67"/>
      <c r="G618" s="67"/>
      <c r="H618" s="67"/>
      <c r="I618" s="67"/>
      <c r="J618" s="67"/>
      <c r="K618" s="67"/>
      <c r="L618" s="67"/>
      <c r="M618" s="67"/>
      <c r="N618" s="67"/>
      <c r="Q618" s="67"/>
    </row>
    <row r="619" spans="1:17" s="68" customFormat="1" x14ac:dyDescent="0.35">
      <c r="A619" s="66"/>
      <c r="B619" s="66"/>
      <c r="C619" s="67"/>
      <c r="D619" s="67"/>
      <c r="E619" s="67"/>
      <c r="F619" s="67"/>
      <c r="G619" s="67"/>
      <c r="H619" s="67"/>
      <c r="I619" s="67"/>
      <c r="J619" s="67"/>
      <c r="K619" s="67"/>
      <c r="L619" s="67"/>
      <c r="M619" s="67"/>
      <c r="N619" s="67"/>
      <c r="Q619" s="67"/>
    </row>
    <row r="620" spans="1:17" s="68" customFormat="1" x14ac:dyDescent="0.35">
      <c r="A620" s="66"/>
      <c r="B620" s="66"/>
      <c r="C620" s="67"/>
      <c r="D620" s="67"/>
      <c r="E620" s="67"/>
      <c r="F620" s="67"/>
      <c r="G620" s="67"/>
      <c r="H620" s="67"/>
      <c r="I620" s="67"/>
      <c r="J620" s="67"/>
      <c r="K620" s="67"/>
      <c r="L620" s="67"/>
      <c r="M620" s="67"/>
      <c r="N620" s="67"/>
      <c r="Q620" s="67"/>
    </row>
    <row r="621" spans="1:17" s="68" customFormat="1" x14ac:dyDescent="0.35">
      <c r="A621" s="66"/>
      <c r="B621" s="66"/>
      <c r="C621" s="67"/>
      <c r="D621" s="67"/>
      <c r="E621" s="67"/>
      <c r="F621" s="67"/>
      <c r="G621" s="67"/>
      <c r="H621" s="67"/>
      <c r="I621" s="67"/>
      <c r="J621" s="67"/>
      <c r="K621" s="67"/>
      <c r="L621" s="67"/>
      <c r="M621" s="67"/>
      <c r="N621" s="67"/>
      <c r="Q621" s="67"/>
    </row>
    <row r="622" spans="1:17" s="68" customFormat="1" x14ac:dyDescent="0.35">
      <c r="A622" s="66"/>
      <c r="B622" s="66"/>
      <c r="C622" s="67"/>
      <c r="D622" s="67"/>
      <c r="E622" s="67"/>
      <c r="F622" s="67"/>
      <c r="G622" s="67"/>
      <c r="H622" s="67"/>
      <c r="I622" s="67"/>
      <c r="J622" s="67"/>
      <c r="K622" s="67"/>
      <c r="L622" s="67"/>
      <c r="M622" s="67"/>
      <c r="N622" s="67"/>
      <c r="Q622" s="67"/>
    </row>
    <row r="623" spans="1:17" s="68" customFormat="1" x14ac:dyDescent="0.35">
      <c r="A623" s="66"/>
      <c r="B623" s="66"/>
      <c r="C623" s="67"/>
      <c r="D623" s="67"/>
      <c r="E623" s="67"/>
      <c r="F623" s="67"/>
      <c r="G623" s="67"/>
      <c r="H623" s="67"/>
      <c r="I623" s="67"/>
      <c r="J623" s="67"/>
      <c r="K623" s="67"/>
      <c r="L623" s="67"/>
      <c r="M623" s="67"/>
      <c r="N623" s="67"/>
      <c r="Q623" s="67"/>
    </row>
    <row r="624" spans="1:17" s="68" customFormat="1" x14ac:dyDescent="0.35">
      <c r="A624" s="66"/>
      <c r="B624" s="66"/>
      <c r="C624" s="67"/>
      <c r="D624" s="67"/>
      <c r="E624" s="67"/>
      <c r="F624" s="67"/>
      <c r="G624" s="67"/>
      <c r="H624" s="67"/>
      <c r="I624" s="67"/>
      <c r="J624" s="67"/>
      <c r="K624" s="67"/>
      <c r="L624" s="67"/>
      <c r="M624" s="67"/>
      <c r="N624" s="67"/>
      <c r="Q624" s="67"/>
    </row>
    <row r="625" spans="1:17" s="68" customFormat="1" x14ac:dyDescent="0.35">
      <c r="A625" s="66"/>
      <c r="B625" s="66"/>
      <c r="C625" s="67"/>
      <c r="D625" s="67"/>
      <c r="E625" s="67"/>
      <c r="F625" s="67"/>
      <c r="G625" s="67"/>
      <c r="H625" s="67"/>
      <c r="I625" s="67"/>
      <c r="J625" s="67"/>
      <c r="K625" s="67"/>
      <c r="L625" s="67"/>
      <c r="M625" s="67"/>
      <c r="N625" s="67"/>
      <c r="Q625" s="67"/>
    </row>
    <row r="626" spans="1:17" s="68" customFormat="1" x14ac:dyDescent="0.35">
      <c r="A626" s="66"/>
      <c r="B626" s="66"/>
      <c r="C626" s="67"/>
      <c r="D626" s="67"/>
      <c r="E626" s="67"/>
      <c r="F626" s="67"/>
      <c r="G626" s="67"/>
      <c r="H626" s="67"/>
      <c r="I626" s="67"/>
      <c r="J626" s="67"/>
      <c r="K626" s="67"/>
      <c r="L626" s="67"/>
      <c r="M626" s="67"/>
      <c r="N626" s="67"/>
      <c r="Q626" s="67"/>
    </row>
    <row r="627" spans="1:17" s="68" customFormat="1" x14ac:dyDescent="0.35">
      <c r="A627" s="66"/>
      <c r="B627" s="66"/>
      <c r="C627" s="67"/>
      <c r="D627" s="67"/>
      <c r="E627" s="67"/>
      <c r="F627" s="67"/>
      <c r="G627" s="67"/>
      <c r="H627" s="67"/>
      <c r="I627" s="67"/>
      <c r="J627" s="67"/>
      <c r="K627" s="67"/>
      <c r="L627" s="67"/>
      <c r="M627" s="67"/>
      <c r="N627" s="67"/>
      <c r="Q627" s="67"/>
    </row>
    <row r="628" spans="1:17" s="68" customFormat="1" x14ac:dyDescent="0.35">
      <c r="A628" s="66"/>
      <c r="B628" s="66"/>
      <c r="C628" s="67"/>
      <c r="D628" s="67"/>
      <c r="E628" s="67"/>
      <c r="F628" s="67"/>
      <c r="G628" s="67"/>
      <c r="H628" s="67"/>
      <c r="I628" s="67"/>
      <c r="J628" s="67"/>
      <c r="K628" s="67"/>
      <c r="L628" s="67"/>
      <c r="M628" s="67"/>
      <c r="N628" s="67"/>
      <c r="Q628" s="67"/>
    </row>
    <row r="629" spans="1:17" s="68" customFormat="1" x14ac:dyDescent="0.35">
      <c r="A629" s="66"/>
      <c r="B629" s="66"/>
      <c r="C629" s="67"/>
      <c r="D629" s="67"/>
      <c r="E629" s="67"/>
      <c r="F629" s="67"/>
      <c r="G629" s="67"/>
      <c r="H629" s="67"/>
      <c r="I629" s="67"/>
      <c r="J629" s="67"/>
      <c r="K629" s="67"/>
      <c r="L629" s="67"/>
      <c r="M629" s="67"/>
      <c r="N629" s="67"/>
      <c r="Q629" s="67"/>
    </row>
    <row r="630" spans="1:17" s="68" customFormat="1" x14ac:dyDescent="0.35">
      <c r="A630" s="66"/>
      <c r="B630" s="66"/>
      <c r="C630" s="67"/>
      <c r="D630" s="67"/>
      <c r="E630" s="67"/>
      <c r="F630" s="67"/>
      <c r="G630" s="67"/>
      <c r="H630" s="67"/>
      <c r="I630" s="67"/>
      <c r="J630" s="67"/>
      <c r="K630" s="67"/>
      <c r="L630" s="67"/>
      <c r="M630" s="67"/>
      <c r="N630" s="67"/>
      <c r="Q630" s="67"/>
    </row>
    <row r="631" spans="1:17" s="68" customFormat="1" x14ac:dyDescent="0.35">
      <c r="A631" s="66"/>
      <c r="B631" s="66"/>
      <c r="C631" s="67"/>
      <c r="D631" s="67"/>
      <c r="E631" s="67"/>
      <c r="F631" s="67"/>
      <c r="G631" s="67"/>
      <c r="H631" s="67"/>
      <c r="I631" s="67"/>
      <c r="J631" s="67"/>
      <c r="K631" s="67"/>
      <c r="L631" s="67"/>
      <c r="M631" s="67"/>
      <c r="N631" s="67"/>
      <c r="Q631" s="67"/>
    </row>
    <row r="632" spans="1:17" s="68" customFormat="1" x14ac:dyDescent="0.35">
      <c r="A632" s="66"/>
      <c r="B632" s="66"/>
      <c r="C632" s="67"/>
      <c r="D632" s="67"/>
      <c r="E632" s="67"/>
      <c r="F632" s="67"/>
      <c r="G632" s="67"/>
      <c r="H632" s="67"/>
      <c r="I632" s="67"/>
      <c r="J632" s="67"/>
      <c r="K632" s="67"/>
      <c r="L632" s="67"/>
      <c r="M632" s="67"/>
      <c r="N632" s="67"/>
      <c r="Q632" s="67"/>
    </row>
    <row r="633" spans="1:17" s="68" customFormat="1" x14ac:dyDescent="0.35">
      <c r="A633" s="66"/>
      <c r="B633" s="66"/>
      <c r="C633" s="67"/>
      <c r="D633" s="67"/>
      <c r="E633" s="67"/>
      <c r="F633" s="67"/>
      <c r="G633" s="67"/>
      <c r="H633" s="67"/>
      <c r="I633" s="67"/>
      <c r="J633" s="67"/>
      <c r="K633" s="67"/>
      <c r="L633" s="67"/>
      <c r="M633" s="67"/>
      <c r="N633" s="67"/>
      <c r="Q633" s="67"/>
    </row>
    <row r="634" spans="1:17" s="68" customFormat="1" x14ac:dyDescent="0.35">
      <c r="A634" s="66"/>
      <c r="B634" s="66"/>
      <c r="C634" s="67"/>
      <c r="D634" s="67"/>
      <c r="E634" s="67"/>
      <c r="F634" s="67"/>
      <c r="G634" s="67"/>
      <c r="H634" s="67"/>
      <c r="I634" s="67"/>
      <c r="J634" s="67"/>
      <c r="K634" s="67"/>
      <c r="L634" s="67"/>
      <c r="M634" s="67"/>
      <c r="N634" s="67"/>
      <c r="Q634" s="67"/>
    </row>
    <row r="635" spans="1:17" s="68" customFormat="1" x14ac:dyDescent="0.35">
      <c r="A635" s="66"/>
      <c r="B635" s="66"/>
      <c r="C635" s="67"/>
      <c r="D635" s="67"/>
      <c r="E635" s="67"/>
      <c r="F635" s="67"/>
      <c r="G635" s="67"/>
      <c r="H635" s="67"/>
      <c r="I635" s="67"/>
      <c r="J635" s="67"/>
      <c r="K635" s="67"/>
      <c r="L635" s="67"/>
      <c r="M635" s="67"/>
      <c r="N635" s="67"/>
      <c r="Q635" s="67"/>
    </row>
    <row r="636" spans="1:17" s="68" customFormat="1" x14ac:dyDescent="0.35">
      <c r="A636" s="66"/>
      <c r="B636" s="66"/>
      <c r="C636" s="67"/>
      <c r="D636" s="67"/>
      <c r="E636" s="67"/>
      <c r="F636" s="67"/>
      <c r="G636" s="67"/>
      <c r="H636" s="67"/>
      <c r="I636" s="67"/>
      <c r="J636" s="67"/>
      <c r="K636" s="67"/>
      <c r="L636" s="67"/>
      <c r="M636" s="67"/>
      <c r="N636" s="67"/>
      <c r="Q636" s="67"/>
    </row>
    <row r="637" spans="1:17" s="68" customFormat="1" x14ac:dyDescent="0.35">
      <c r="A637" s="66"/>
      <c r="B637" s="66"/>
      <c r="C637" s="67"/>
      <c r="D637" s="67"/>
      <c r="E637" s="67"/>
      <c r="F637" s="67"/>
      <c r="G637" s="67"/>
      <c r="H637" s="67"/>
      <c r="I637" s="67"/>
      <c r="J637" s="67"/>
      <c r="K637" s="67"/>
      <c r="L637" s="67"/>
      <c r="M637" s="67"/>
      <c r="N637" s="67"/>
      <c r="Q637" s="67"/>
    </row>
    <row r="638" spans="1:17" s="68" customFormat="1" x14ac:dyDescent="0.35">
      <c r="A638" s="66"/>
      <c r="B638" s="66"/>
      <c r="C638" s="67"/>
      <c r="D638" s="67"/>
      <c r="E638" s="67"/>
      <c r="F638" s="67"/>
      <c r="G638" s="67"/>
      <c r="H638" s="67"/>
      <c r="I638" s="67"/>
      <c r="J638" s="67"/>
      <c r="K638" s="67"/>
      <c r="L638" s="67"/>
      <c r="M638" s="67"/>
      <c r="N638" s="67"/>
      <c r="Q638" s="67"/>
    </row>
    <row r="639" spans="1:17" s="68" customFormat="1" x14ac:dyDescent="0.35">
      <c r="A639" s="66"/>
      <c r="B639" s="66"/>
      <c r="C639" s="67"/>
      <c r="D639" s="67"/>
      <c r="E639" s="67"/>
      <c r="F639" s="67"/>
      <c r="G639" s="67"/>
      <c r="H639" s="67"/>
      <c r="I639" s="67"/>
      <c r="J639" s="67"/>
      <c r="K639" s="67"/>
      <c r="L639" s="67"/>
      <c r="M639" s="67"/>
      <c r="N639" s="67"/>
      <c r="Q639" s="67"/>
    </row>
    <row r="640" spans="1:17" s="68" customFormat="1" x14ac:dyDescent="0.35">
      <c r="A640" s="66"/>
      <c r="B640" s="66"/>
      <c r="C640" s="67"/>
      <c r="D640" s="67"/>
      <c r="E640" s="67"/>
      <c r="F640" s="67"/>
      <c r="G640" s="67"/>
      <c r="H640" s="67"/>
      <c r="I640" s="67"/>
      <c r="J640" s="67"/>
      <c r="K640" s="67"/>
      <c r="L640" s="67"/>
      <c r="M640" s="67"/>
      <c r="N640" s="67"/>
      <c r="Q640" s="67"/>
    </row>
    <row r="641" spans="1:17" s="68" customFormat="1" x14ac:dyDescent="0.35">
      <c r="A641" s="66"/>
      <c r="B641" s="66"/>
      <c r="C641" s="67"/>
      <c r="D641" s="67"/>
      <c r="E641" s="67"/>
      <c r="F641" s="67"/>
      <c r="G641" s="67"/>
      <c r="H641" s="67"/>
      <c r="I641" s="67"/>
      <c r="J641" s="67"/>
      <c r="K641" s="67"/>
      <c r="L641" s="67"/>
      <c r="M641" s="67"/>
      <c r="N641" s="67"/>
      <c r="Q641" s="67"/>
    </row>
    <row r="642" spans="1:17" s="68" customFormat="1" x14ac:dyDescent="0.35">
      <c r="A642" s="66"/>
      <c r="B642" s="66"/>
      <c r="C642" s="67"/>
      <c r="D642" s="67"/>
      <c r="E642" s="67"/>
      <c r="F642" s="67"/>
      <c r="G642" s="67"/>
      <c r="H642" s="67"/>
      <c r="I642" s="67"/>
      <c r="J642" s="67"/>
      <c r="K642" s="67"/>
      <c r="L642" s="67"/>
      <c r="M642" s="67"/>
      <c r="N642" s="67"/>
      <c r="Q642" s="67"/>
    </row>
    <row r="643" spans="1:17" s="68" customFormat="1" x14ac:dyDescent="0.35">
      <c r="A643" s="66"/>
      <c r="B643" s="66"/>
      <c r="C643" s="67"/>
      <c r="D643" s="67"/>
      <c r="E643" s="67"/>
      <c r="F643" s="67"/>
      <c r="G643" s="67"/>
      <c r="H643" s="67"/>
      <c r="I643" s="67"/>
      <c r="J643" s="67"/>
      <c r="K643" s="67"/>
      <c r="L643" s="67"/>
      <c r="M643" s="67"/>
      <c r="N643" s="67"/>
      <c r="Q643" s="67"/>
    </row>
    <row r="644" spans="1:17" s="68" customFormat="1" x14ac:dyDescent="0.35">
      <c r="A644" s="66"/>
      <c r="B644" s="66"/>
      <c r="C644" s="67"/>
      <c r="D644" s="67"/>
      <c r="E644" s="67"/>
      <c r="F644" s="67"/>
      <c r="G644" s="67"/>
      <c r="H644" s="67"/>
      <c r="I644" s="67"/>
      <c r="J644" s="67"/>
      <c r="K644" s="67"/>
      <c r="L644" s="67"/>
      <c r="M644" s="67"/>
      <c r="N644" s="67"/>
      <c r="Q644" s="67"/>
    </row>
    <row r="645" spans="1:17" s="68" customFormat="1" x14ac:dyDescent="0.35">
      <c r="A645" s="66"/>
      <c r="B645" s="66"/>
      <c r="C645" s="67"/>
      <c r="D645" s="67"/>
      <c r="E645" s="67"/>
      <c r="F645" s="67"/>
      <c r="G645" s="67"/>
      <c r="H645" s="67"/>
      <c r="I645" s="67"/>
      <c r="J645" s="67"/>
      <c r="K645" s="67"/>
      <c r="L645" s="67"/>
      <c r="M645" s="67"/>
      <c r="N645" s="67"/>
      <c r="Q645" s="67"/>
    </row>
    <row r="646" spans="1:17" s="68" customFormat="1" x14ac:dyDescent="0.35">
      <c r="A646" s="66"/>
      <c r="B646" s="66"/>
      <c r="C646" s="67"/>
      <c r="D646" s="67"/>
      <c r="E646" s="67"/>
      <c r="F646" s="67"/>
      <c r="G646" s="67"/>
      <c r="H646" s="67"/>
      <c r="I646" s="67"/>
      <c r="J646" s="67"/>
      <c r="K646" s="67"/>
      <c r="L646" s="67"/>
      <c r="M646" s="67"/>
      <c r="N646" s="67"/>
      <c r="Q646" s="67"/>
    </row>
    <row r="647" spans="1:17" s="68" customFormat="1" x14ac:dyDescent="0.35">
      <c r="A647" s="66"/>
      <c r="B647" s="66"/>
      <c r="C647" s="67"/>
      <c r="D647" s="67"/>
      <c r="E647" s="67"/>
      <c r="F647" s="67"/>
      <c r="G647" s="67"/>
      <c r="H647" s="67"/>
      <c r="I647" s="67"/>
      <c r="J647" s="67"/>
      <c r="K647" s="67"/>
      <c r="L647" s="67"/>
      <c r="M647" s="67"/>
      <c r="N647" s="67"/>
      <c r="Q647" s="67"/>
    </row>
    <row r="648" spans="1:17" s="68" customFormat="1" x14ac:dyDescent="0.35">
      <c r="A648" s="66"/>
      <c r="B648" s="66"/>
      <c r="C648" s="67"/>
      <c r="D648" s="67"/>
      <c r="E648" s="67"/>
      <c r="F648" s="67"/>
      <c r="G648" s="67"/>
      <c r="H648" s="67"/>
      <c r="I648" s="67"/>
      <c r="J648" s="67"/>
      <c r="K648" s="67"/>
      <c r="L648" s="67"/>
      <c r="M648" s="67"/>
      <c r="N648" s="67"/>
      <c r="Q648" s="67"/>
    </row>
    <row r="649" spans="1:17" s="68" customFormat="1" x14ac:dyDescent="0.35">
      <c r="A649" s="66"/>
      <c r="B649" s="66"/>
      <c r="C649" s="67"/>
      <c r="D649" s="67"/>
      <c r="E649" s="67"/>
      <c r="F649" s="67"/>
      <c r="G649" s="67"/>
      <c r="H649" s="67"/>
      <c r="I649" s="67"/>
      <c r="J649" s="67"/>
      <c r="K649" s="67"/>
      <c r="L649" s="67"/>
      <c r="M649" s="67"/>
      <c r="N649" s="67"/>
      <c r="Q649" s="67"/>
    </row>
    <row r="650" spans="1:17" s="68" customFormat="1" x14ac:dyDescent="0.35">
      <c r="A650" s="66"/>
      <c r="B650" s="66"/>
      <c r="C650" s="67"/>
      <c r="D650" s="67"/>
      <c r="E650" s="67"/>
      <c r="F650" s="67"/>
      <c r="G650" s="67"/>
      <c r="H650" s="67"/>
      <c r="I650" s="67"/>
      <c r="J650" s="67"/>
      <c r="K650" s="67"/>
      <c r="L650" s="67"/>
      <c r="M650" s="67"/>
      <c r="N650" s="67"/>
      <c r="Q650" s="67"/>
    </row>
    <row r="651" spans="1:17" s="68" customFormat="1" x14ac:dyDescent="0.35">
      <c r="A651" s="66"/>
      <c r="B651" s="66"/>
      <c r="C651" s="67"/>
      <c r="D651" s="67"/>
      <c r="E651" s="67"/>
      <c r="F651" s="67"/>
      <c r="G651" s="67"/>
      <c r="H651" s="67"/>
      <c r="I651" s="67"/>
      <c r="J651" s="67"/>
      <c r="K651" s="67"/>
      <c r="L651" s="67"/>
      <c r="M651" s="67"/>
      <c r="N651" s="67"/>
      <c r="Q651" s="67"/>
    </row>
    <row r="652" spans="1:17" s="68" customFormat="1" x14ac:dyDescent="0.35">
      <c r="A652" s="66"/>
      <c r="B652" s="66"/>
      <c r="C652" s="67"/>
      <c r="D652" s="67"/>
      <c r="E652" s="67"/>
      <c r="F652" s="67"/>
      <c r="G652" s="67"/>
      <c r="H652" s="67"/>
      <c r="I652" s="67"/>
      <c r="J652" s="67"/>
      <c r="K652" s="67"/>
      <c r="L652" s="67"/>
      <c r="M652" s="67"/>
      <c r="N652" s="67"/>
      <c r="Q652" s="67"/>
    </row>
    <row r="653" spans="1:17" s="68" customFormat="1" x14ac:dyDescent="0.35">
      <c r="A653" s="66"/>
      <c r="B653" s="66"/>
      <c r="C653" s="67"/>
      <c r="D653" s="67"/>
      <c r="E653" s="67"/>
      <c r="F653" s="67"/>
      <c r="G653" s="67"/>
      <c r="H653" s="67"/>
      <c r="I653" s="67"/>
      <c r="J653" s="67"/>
      <c r="K653" s="67"/>
      <c r="L653" s="67"/>
      <c r="M653" s="67"/>
      <c r="N653" s="67"/>
      <c r="Q653" s="67"/>
    </row>
    <row r="654" spans="1:17" s="68" customFormat="1" x14ac:dyDescent="0.35">
      <c r="A654" s="66"/>
      <c r="B654" s="66"/>
      <c r="C654" s="67"/>
      <c r="D654" s="67"/>
      <c r="E654" s="67"/>
      <c r="F654" s="67"/>
      <c r="G654" s="67"/>
      <c r="H654" s="67"/>
      <c r="I654" s="67"/>
      <c r="J654" s="67"/>
      <c r="K654" s="67"/>
      <c r="L654" s="67"/>
      <c r="M654" s="67"/>
      <c r="N654" s="67"/>
      <c r="Q654" s="67"/>
    </row>
    <row r="655" spans="1:17" s="68" customFormat="1" x14ac:dyDescent="0.35">
      <c r="A655" s="66"/>
      <c r="B655" s="66"/>
      <c r="C655" s="67"/>
      <c r="D655" s="67"/>
      <c r="E655" s="67"/>
      <c r="F655" s="67"/>
      <c r="G655" s="67"/>
      <c r="H655" s="67"/>
      <c r="I655" s="67"/>
      <c r="J655" s="67"/>
      <c r="K655" s="67"/>
      <c r="L655" s="67"/>
      <c r="M655" s="67"/>
      <c r="N655" s="67"/>
      <c r="Q655" s="67"/>
    </row>
    <row r="656" spans="1:17" s="68" customFormat="1" x14ac:dyDescent="0.35">
      <c r="A656" s="66"/>
      <c r="B656" s="66"/>
      <c r="C656" s="67"/>
      <c r="D656" s="67"/>
      <c r="E656" s="67"/>
      <c r="F656" s="67"/>
      <c r="G656" s="67"/>
      <c r="H656" s="67"/>
      <c r="I656" s="67"/>
      <c r="J656" s="67"/>
      <c r="K656" s="67"/>
      <c r="L656" s="67"/>
      <c r="M656" s="67"/>
      <c r="N656" s="67"/>
      <c r="Q656" s="67"/>
    </row>
    <row r="657" spans="1:17" s="68" customFormat="1" x14ac:dyDescent="0.35">
      <c r="A657" s="66"/>
      <c r="B657" s="66"/>
      <c r="C657" s="67"/>
      <c r="D657" s="67"/>
      <c r="E657" s="67"/>
      <c r="F657" s="67"/>
      <c r="G657" s="67"/>
      <c r="H657" s="67"/>
      <c r="I657" s="67"/>
      <c r="J657" s="67"/>
      <c r="K657" s="67"/>
      <c r="L657" s="67"/>
      <c r="M657" s="67"/>
      <c r="N657" s="67"/>
      <c r="Q657" s="67"/>
    </row>
    <row r="658" spans="1:17" s="68" customFormat="1" x14ac:dyDescent="0.35">
      <c r="A658" s="66"/>
      <c r="B658" s="66"/>
      <c r="C658" s="67"/>
      <c r="D658" s="67"/>
      <c r="E658" s="67"/>
      <c r="F658" s="67"/>
      <c r="G658" s="67"/>
      <c r="H658" s="67"/>
      <c r="I658" s="67"/>
      <c r="J658" s="67"/>
      <c r="K658" s="67"/>
      <c r="L658" s="67"/>
      <c r="M658" s="67"/>
      <c r="N658" s="67"/>
      <c r="Q658" s="67"/>
    </row>
    <row r="659" spans="1:17" s="68" customFormat="1" x14ac:dyDescent="0.35">
      <c r="A659" s="66"/>
      <c r="B659" s="66"/>
      <c r="C659" s="67"/>
      <c r="D659" s="67"/>
      <c r="E659" s="67"/>
      <c r="F659" s="67"/>
      <c r="G659" s="67"/>
      <c r="H659" s="67"/>
      <c r="I659" s="67"/>
      <c r="J659" s="67"/>
      <c r="K659" s="67"/>
      <c r="L659" s="67"/>
      <c r="M659" s="67"/>
      <c r="N659" s="67"/>
      <c r="Q659" s="67"/>
    </row>
    <row r="660" spans="1:17" s="68" customFormat="1" x14ac:dyDescent="0.35">
      <c r="A660" s="66"/>
      <c r="B660" s="66"/>
      <c r="C660" s="67"/>
      <c r="D660" s="67"/>
      <c r="E660" s="67"/>
      <c r="F660" s="67"/>
      <c r="G660" s="67"/>
      <c r="H660" s="67"/>
      <c r="I660" s="67"/>
      <c r="J660" s="67"/>
      <c r="K660" s="67"/>
      <c r="L660" s="67"/>
      <c r="M660" s="67"/>
      <c r="N660" s="67"/>
      <c r="Q660" s="67"/>
    </row>
    <row r="661" spans="1:17" s="68" customFormat="1" x14ac:dyDescent="0.35">
      <c r="A661" s="66"/>
      <c r="B661" s="66"/>
      <c r="C661" s="67"/>
      <c r="D661" s="67"/>
      <c r="E661" s="67"/>
      <c r="F661" s="67"/>
      <c r="G661" s="67"/>
      <c r="H661" s="67"/>
      <c r="I661" s="67"/>
      <c r="J661" s="67"/>
      <c r="K661" s="67"/>
      <c r="L661" s="67"/>
      <c r="M661" s="67"/>
      <c r="N661" s="67"/>
      <c r="Q661" s="67"/>
    </row>
    <row r="662" spans="1:17" s="68" customFormat="1" x14ac:dyDescent="0.35">
      <c r="A662" s="66"/>
      <c r="B662" s="66"/>
      <c r="C662" s="67"/>
      <c r="D662" s="67"/>
      <c r="E662" s="67"/>
      <c r="F662" s="67"/>
      <c r="G662" s="67"/>
      <c r="H662" s="67"/>
      <c r="I662" s="67"/>
      <c r="J662" s="67"/>
      <c r="K662" s="67"/>
      <c r="L662" s="67"/>
      <c r="M662" s="67"/>
      <c r="N662" s="67"/>
      <c r="Q662" s="67"/>
    </row>
    <row r="663" spans="1:17" s="68" customFormat="1" x14ac:dyDescent="0.35">
      <c r="A663" s="66"/>
      <c r="B663" s="66"/>
      <c r="C663" s="67"/>
      <c r="D663" s="67"/>
      <c r="E663" s="67"/>
      <c r="F663" s="67"/>
      <c r="G663" s="67"/>
      <c r="H663" s="67"/>
      <c r="I663" s="67"/>
      <c r="J663" s="67"/>
      <c r="K663" s="67"/>
      <c r="L663" s="67"/>
      <c r="M663" s="67"/>
      <c r="N663" s="67"/>
      <c r="Q663" s="67"/>
    </row>
    <row r="664" spans="1:17" s="68" customFormat="1" x14ac:dyDescent="0.35">
      <c r="A664" s="66"/>
      <c r="B664" s="66"/>
      <c r="C664" s="67"/>
      <c r="D664" s="67"/>
      <c r="E664" s="67"/>
      <c r="F664" s="67"/>
      <c r="G664" s="67"/>
      <c r="H664" s="67"/>
      <c r="I664" s="67"/>
      <c r="J664" s="67"/>
      <c r="K664" s="67"/>
      <c r="L664" s="67"/>
      <c r="M664" s="67"/>
      <c r="N664" s="67"/>
      <c r="Q664" s="67"/>
    </row>
    <row r="665" spans="1:17" s="68" customFormat="1" x14ac:dyDescent="0.35">
      <c r="A665" s="66"/>
      <c r="B665" s="66"/>
      <c r="C665" s="67"/>
      <c r="D665" s="67"/>
      <c r="E665" s="67"/>
      <c r="F665" s="67"/>
      <c r="G665" s="67"/>
      <c r="H665" s="67"/>
      <c r="I665" s="67"/>
      <c r="J665" s="67"/>
      <c r="K665" s="67"/>
      <c r="L665" s="67"/>
      <c r="M665" s="67"/>
      <c r="N665" s="67"/>
      <c r="Q665" s="67"/>
    </row>
    <row r="666" spans="1:17" s="68" customFormat="1" x14ac:dyDescent="0.35">
      <c r="A666" s="66"/>
      <c r="B666" s="66"/>
      <c r="C666" s="67"/>
      <c r="D666" s="67"/>
      <c r="E666" s="67"/>
      <c r="F666" s="67"/>
      <c r="G666" s="67"/>
      <c r="H666" s="67"/>
      <c r="I666" s="67"/>
      <c r="J666" s="67"/>
      <c r="K666" s="67"/>
      <c r="L666" s="67"/>
      <c r="M666" s="67"/>
      <c r="N666" s="67"/>
      <c r="Q666" s="67"/>
    </row>
    <row r="667" spans="1:17" s="68" customFormat="1" x14ac:dyDescent="0.35">
      <c r="A667" s="66"/>
      <c r="B667" s="66"/>
      <c r="C667" s="67"/>
      <c r="D667" s="67"/>
      <c r="E667" s="67"/>
      <c r="F667" s="67"/>
      <c r="G667" s="67"/>
      <c r="H667" s="67"/>
      <c r="I667" s="67"/>
      <c r="J667" s="67"/>
      <c r="K667" s="67"/>
      <c r="L667" s="67"/>
      <c r="M667" s="67"/>
      <c r="N667" s="67"/>
      <c r="Q667" s="67"/>
    </row>
    <row r="668" spans="1:17" s="68" customFormat="1" x14ac:dyDescent="0.35">
      <c r="A668" s="66"/>
      <c r="B668" s="66"/>
      <c r="C668" s="67"/>
      <c r="D668" s="67"/>
      <c r="E668" s="67"/>
      <c r="F668" s="67"/>
      <c r="G668" s="67"/>
      <c r="H668" s="67"/>
      <c r="I668" s="67"/>
      <c r="J668" s="67"/>
      <c r="K668" s="67"/>
      <c r="L668" s="67"/>
      <c r="M668" s="67"/>
      <c r="N668" s="67"/>
      <c r="Q668" s="67"/>
    </row>
    <row r="669" spans="1:17" s="68" customFormat="1" x14ac:dyDescent="0.35">
      <c r="A669" s="66"/>
      <c r="B669" s="66"/>
      <c r="C669" s="67"/>
      <c r="D669" s="67"/>
      <c r="E669" s="67"/>
      <c r="F669" s="67"/>
      <c r="G669" s="67"/>
      <c r="H669" s="67"/>
      <c r="I669" s="67"/>
      <c r="J669" s="67"/>
      <c r="K669" s="67"/>
      <c r="L669" s="67"/>
      <c r="M669" s="67"/>
      <c r="N669" s="67"/>
      <c r="Q669" s="67"/>
    </row>
    <row r="670" spans="1:17" s="68" customFormat="1" x14ac:dyDescent="0.35">
      <c r="A670" s="66"/>
      <c r="B670" s="66"/>
      <c r="C670" s="67"/>
      <c r="D670" s="67"/>
      <c r="E670" s="67"/>
      <c r="F670" s="67"/>
      <c r="G670" s="67"/>
      <c r="H670" s="67"/>
      <c r="I670" s="67"/>
      <c r="J670" s="67"/>
      <c r="K670" s="67"/>
      <c r="L670" s="67"/>
      <c r="M670" s="67"/>
      <c r="N670" s="67"/>
      <c r="Q670" s="67"/>
    </row>
    <row r="671" spans="1:17" s="68" customFormat="1" x14ac:dyDescent="0.35">
      <c r="A671" s="66"/>
      <c r="B671" s="66"/>
      <c r="C671" s="67"/>
      <c r="D671" s="67"/>
      <c r="E671" s="67"/>
      <c r="F671" s="67"/>
      <c r="G671" s="67"/>
      <c r="H671" s="67"/>
      <c r="I671" s="67"/>
      <c r="J671" s="67"/>
      <c r="K671" s="67"/>
      <c r="L671" s="67"/>
      <c r="M671" s="67"/>
      <c r="N671" s="67"/>
      <c r="Q671" s="67"/>
    </row>
    <row r="672" spans="1:17" s="68" customFormat="1" x14ac:dyDescent="0.35">
      <c r="A672" s="66"/>
      <c r="B672" s="66"/>
      <c r="C672" s="67"/>
      <c r="D672" s="67"/>
      <c r="E672" s="67"/>
      <c r="F672" s="67"/>
      <c r="G672" s="67"/>
      <c r="H672" s="67"/>
      <c r="I672" s="67"/>
      <c r="J672" s="67"/>
      <c r="K672" s="67"/>
      <c r="L672" s="67"/>
      <c r="M672" s="67"/>
      <c r="N672" s="67"/>
      <c r="Q672" s="67"/>
    </row>
    <row r="673" spans="1:17" s="68" customFormat="1" x14ac:dyDescent="0.35">
      <c r="A673" s="66"/>
      <c r="B673" s="66"/>
      <c r="C673" s="67"/>
      <c r="D673" s="67"/>
      <c r="E673" s="67"/>
      <c r="F673" s="67"/>
      <c r="G673" s="67"/>
      <c r="H673" s="67"/>
      <c r="I673" s="67"/>
      <c r="J673" s="67"/>
      <c r="K673" s="67"/>
      <c r="L673" s="67"/>
      <c r="M673" s="67"/>
      <c r="N673" s="67"/>
      <c r="Q673" s="67"/>
    </row>
    <row r="674" spans="1:17" s="68" customFormat="1" x14ac:dyDescent="0.35">
      <c r="A674" s="66"/>
      <c r="B674" s="66"/>
      <c r="C674" s="67"/>
      <c r="D674" s="67"/>
      <c r="E674" s="67"/>
      <c r="F674" s="67"/>
      <c r="G674" s="67"/>
      <c r="H674" s="67"/>
      <c r="I674" s="67"/>
      <c r="J674" s="67"/>
      <c r="K674" s="67"/>
      <c r="L674" s="67"/>
      <c r="M674" s="67"/>
      <c r="N674" s="67"/>
      <c r="Q674" s="67"/>
    </row>
    <row r="675" spans="1:17" s="68" customFormat="1" x14ac:dyDescent="0.35">
      <c r="A675" s="66"/>
      <c r="B675" s="66"/>
      <c r="C675" s="67"/>
      <c r="D675" s="67"/>
      <c r="E675" s="67"/>
      <c r="F675" s="67"/>
      <c r="G675" s="67"/>
      <c r="H675" s="67"/>
      <c r="I675" s="67"/>
      <c r="J675" s="67"/>
      <c r="K675" s="67"/>
      <c r="L675" s="67"/>
      <c r="M675" s="67"/>
      <c r="N675" s="67"/>
      <c r="Q675" s="67"/>
    </row>
    <row r="676" spans="1:17" s="68" customFormat="1" x14ac:dyDescent="0.35">
      <c r="A676" s="66"/>
      <c r="B676" s="66"/>
      <c r="C676" s="67"/>
      <c r="D676" s="67"/>
      <c r="E676" s="67"/>
      <c r="F676" s="67"/>
      <c r="G676" s="67"/>
      <c r="H676" s="67"/>
      <c r="I676" s="67"/>
      <c r="J676" s="67"/>
      <c r="K676" s="67"/>
      <c r="L676" s="67"/>
      <c r="M676" s="67"/>
      <c r="N676" s="67"/>
      <c r="Q676" s="67"/>
    </row>
    <row r="677" spans="1:17" s="68" customFormat="1" x14ac:dyDescent="0.35">
      <c r="A677" s="66"/>
      <c r="B677" s="66"/>
      <c r="C677" s="67"/>
      <c r="D677" s="67"/>
      <c r="E677" s="67"/>
      <c r="F677" s="67"/>
      <c r="G677" s="67"/>
      <c r="H677" s="67"/>
      <c r="I677" s="67"/>
      <c r="J677" s="67"/>
      <c r="K677" s="67"/>
      <c r="L677" s="67"/>
      <c r="M677" s="67"/>
      <c r="N677" s="67"/>
      <c r="Q677" s="67"/>
    </row>
    <row r="678" spans="1:17" s="68" customFormat="1" x14ac:dyDescent="0.35">
      <c r="A678" s="66"/>
      <c r="B678" s="66"/>
      <c r="C678" s="67"/>
      <c r="D678" s="67"/>
      <c r="E678" s="67"/>
      <c r="F678" s="67"/>
      <c r="G678" s="67"/>
      <c r="H678" s="67"/>
      <c r="I678" s="67"/>
      <c r="J678" s="67"/>
      <c r="K678" s="67"/>
      <c r="L678" s="67"/>
      <c r="M678" s="67"/>
      <c r="N678" s="67"/>
      <c r="Q678" s="67"/>
    </row>
    <row r="679" spans="1:17" s="68" customFormat="1" x14ac:dyDescent="0.35">
      <c r="A679" s="66"/>
      <c r="B679" s="66"/>
      <c r="C679" s="67"/>
      <c r="D679" s="67"/>
      <c r="E679" s="67"/>
      <c r="F679" s="67"/>
      <c r="G679" s="67"/>
      <c r="H679" s="67"/>
      <c r="I679" s="67"/>
      <c r="J679" s="67"/>
      <c r="K679" s="67"/>
      <c r="L679" s="67"/>
      <c r="M679" s="67"/>
      <c r="N679" s="67"/>
      <c r="Q679" s="67"/>
    </row>
    <row r="680" spans="1:17" s="68" customFormat="1" x14ac:dyDescent="0.35">
      <c r="A680" s="66"/>
      <c r="B680" s="66"/>
      <c r="C680" s="67"/>
      <c r="D680" s="67"/>
      <c r="E680" s="67"/>
      <c r="F680" s="67"/>
      <c r="G680" s="67"/>
      <c r="H680" s="67"/>
      <c r="I680" s="67"/>
      <c r="J680" s="67"/>
      <c r="K680" s="67"/>
      <c r="L680" s="67"/>
      <c r="M680" s="67"/>
      <c r="N680" s="67"/>
      <c r="Q680" s="67"/>
    </row>
    <row r="681" spans="1:17" s="68" customFormat="1" x14ac:dyDescent="0.35">
      <c r="A681" s="66"/>
      <c r="B681" s="66"/>
      <c r="C681" s="67"/>
      <c r="D681" s="67"/>
      <c r="E681" s="67"/>
      <c r="F681" s="67"/>
      <c r="G681" s="67"/>
      <c r="H681" s="67"/>
      <c r="I681" s="67"/>
      <c r="J681" s="67"/>
      <c r="K681" s="67"/>
      <c r="L681" s="67"/>
      <c r="M681" s="67"/>
      <c r="N681" s="67"/>
      <c r="Q681" s="67"/>
    </row>
    <row r="682" spans="1:17" s="68" customFormat="1" x14ac:dyDescent="0.35">
      <c r="A682" s="66"/>
      <c r="B682" s="66"/>
      <c r="C682" s="67"/>
      <c r="D682" s="67"/>
      <c r="E682" s="67"/>
      <c r="F682" s="67"/>
      <c r="G682" s="67"/>
      <c r="H682" s="67"/>
      <c r="I682" s="67"/>
      <c r="J682" s="67"/>
      <c r="K682" s="67"/>
      <c r="L682" s="67"/>
      <c r="M682" s="67"/>
      <c r="N682" s="67"/>
      <c r="Q682" s="67"/>
    </row>
    <row r="683" spans="1:17" s="68" customFormat="1" x14ac:dyDescent="0.35">
      <c r="A683" s="66"/>
      <c r="B683" s="66"/>
      <c r="C683" s="67"/>
      <c r="D683" s="67"/>
      <c r="E683" s="67"/>
      <c r="F683" s="67"/>
      <c r="G683" s="67"/>
      <c r="H683" s="67"/>
      <c r="I683" s="67"/>
      <c r="J683" s="67"/>
      <c r="K683" s="67"/>
      <c r="L683" s="67"/>
      <c r="M683" s="67"/>
      <c r="N683" s="67"/>
      <c r="Q683" s="67"/>
    </row>
    <row r="684" spans="1:17" s="68" customFormat="1" x14ac:dyDescent="0.35">
      <c r="A684" s="66"/>
      <c r="B684" s="66"/>
      <c r="C684" s="67"/>
      <c r="D684" s="67"/>
      <c r="E684" s="67"/>
      <c r="F684" s="67"/>
      <c r="G684" s="67"/>
      <c r="H684" s="67"/>
      <c r="I684" s="67"/>
      <c r="J684" s="67"/>
      <c r="K684" s="67"/>
      <c r="L684" s="67"/>
      <c r="M684" s="67"/>
      <c r="N684" s="67"/>
      <c r="Q684" s="67"/>
    </row>
    <row r="685" spans="1:17" s="68" customFormat="1" x14ac:dyDescent="0.35">
      <c r="A685" s="66"/>
      <c r="B685" s="66"/>
      <c r="C685" s="67"/>
      <c r="D685" s="67"/>
      <c r="E685" s="67"/>
      <c r="F685" s="67"/>
      <c r="G685" s="67"/>
      <c r="H685" s="67"/>
      <c r="I685" s="67"/>
      <c r="J685" s="67"/>
      <c r="K685" s="67"/>
      <c r="L685" s="67"/>
      <c r="M685" s="67"/>
      <c r="N685" s="67"/>
      <c r="Q685" s="67"/>
    </row>
    <row r="686" spans="1:17" s="68" customFormat="1" x14ac:dyDescent="0.35">
      <c r="A686" s="66"/>
      <c r="B686" s="66"/>
      <c r="C686" s="67"/>
      <c r="D686" s="67"/>
      <c r="E686" s="67"/>
      <c r="F686" s="67"/>
      <c r="G686" s="67"/>
      <c r="H686" s="67"/>
      <c r="I686" s="67"/>
      <c r="J686" s="67"/>
      <c r="K686" s="67"/>
      <c r="L686" s="67"/>
      <c r="M686" s="67"/>
      <c r="N686" s="67"/>
      <c r="Q686" s="67"/>
    </row>
    <row r="687" spans="1:17" s="68" customFormat="1" x14ac:dyDescent="0.35">
      <c r="A687" s="66"/>
      <c r="B687" s="66"/>
      <c r="C687" s="67"/>
      <c r="D687" s="67"/>
      <c r="E687" s="67"/>
      <c r="F687" s="67"/>
      <c r="G687" s="67"/>
      <c r="H687" s="67"/>
      <c r="I687" s="67"/>
      <c r="J687" s="67"/>
      <c r="K687" s="67"/>
      <c r="L687" s="67"/>
      <c r="M687" s="67"/>
      <c r="N687" s="67"/>
      <c r="Q687" s="67"/>
    </row>
    <row r="688" spans="1:17" s="68" customFormat="1" x14ac:dyDescent="0.35">
      <c r="A688" s="66"/>
      <c r="B688" s="66"/>
      <c r="C688" s="67"/>
      <c r="D688" s="67"/>
      <c r="E688" s="67"/>
      <c r="F688" s="67"/>
      <c r="G688" s="67"/>
      <c r="H688" s="67"/>
      <c r="I688" s="67"/>
      <c r="J688" s="67"/>
      <c r="K688" s="67"/>
      <c r="L688" s="67"/>
      <c r="M688" s="67"/>
      <c r="N688" s="67"/>
      <c r="Q688" s="67"/>
    </row>
    <row r="689" spans="1:17" s="68" customFormat="1" x14ac:dyDescent="0.35">
      <c r="A689" s="66"/>
      <c r="B689" s="66"/>
      <c r="C689" s="67"/>
      <c r="D689" s="67"/>
      <c r="E689" s="67"/>
      <c r="F689" s="67"/>
      <c r="G689" s="67"/>
      <c r="H689" s="67"/>
      <c r="I689" s="67"/>
      <c r="J689" s="67"/>
      <c r="K689" s="67"/>
      <c r="L689" s="67"/>
      <c r="M689" s="67"/>
      <c r="N689" s="67"/>
      <c r="Q689" s="67"/>
    </row>
    <row r="690" spans="1:17" s="68" customFormat="1" x14ac:dyDescent="0.35">
      <c r="A690" s="66"/>
      <c r="B690" s="66"/>
      <c r="C690" s="67"/>
      <c r="D690" s="67"/>
      <c r="E690" s="67"/>
      <c r="F690" s="67"/>
      <c r="G690" s="67"/>
      <c r="H690" s="67"/>
      <c r="I690" s="67"/>
      <c r="J690" s="67"/>
      <c r="K690" s="67"/>
      <c r="L690" s="67"/>
      <c r="M690" s="67"/>
      <c r="N690" s="67"/>
      <c r="Q690" s="67"/>
    </row>
    <row r="691" spans="1:17" s="68" customFormat="1" x14ac:dyDescent="0.35">
      <c r="A691" s="66"/>
      <c r="B691" s="66"/>
      <c r="C691" s="67"/>
      <c r="D691" s="67"/>
      <c r="E691" s="67"/>
      <c r="F691" s="67"/>
      <c r="G691" s="67"/>
      <c r="H691" s="67"/>
      <c r="I691" s="67"/>
      <c r="J691" s="67"/>
      <c r="K691" s="67"/>
      <c r="L691" s="67"/>
      <c r="M691" s="67"/>
      <c r="N691" s="67"/>
      <c r="Q691" s="67"/>
    </row>
    <row r="692" spans="1:17" s="68" customFormat="1" x14ac:dyDescent="0.35">
      <c r="A692" s="66"/>
      <c r="B692" s="66"/>
      <c r="C692" s="67"/>
      <c r="D692" s="67"/>
      <c r="E692" s="67"/>
      <c r="F692" s="67"/>
      <c r="G692" s="67"/>
      <c r="H692" s="67"/>
      <c r="I692" s="67"/>
      <c r="J692" s="67"/>
      <c r="K692" s="67"/>
      <c r="L692" s="67"/>
      <c r="M692" s="67"/>
      <c r="N692" s="67"/>
      <c r="Q692" s="67"/>
    </row>
    <row r="693" spans="1:17" s="68" customFormat="1" x14ac:dyDescent="0.35">
      <c r="A693" s="66"/>
      <c r="B693" s="66"/>
      <c r="C693" s="67"/>
      <c r="D693" s="67"/>
      <c r="E693" s="67"/>
      <c r="F693" s="67"/>
      <c r="G693" s="67"/>
      <c r="H693" s="67"/>
      <c r="I693" s="67"/>
      <c r="J693" s="67"/>
      <c r="K693" s="67"/>
      <c r="L693" s="67"/>
      <c r="M693" s="67"/>
      <c r="N693" s="67"/>
      <c r="Q693" s="67"/>
    </row>
    <row r="694" spans="1:17" s="68" customFormat="1" x14ac:dyDescent="0.35">
      <c r="A694" s="66"/>
      <c r="B694" s="66"/>
      <c r="C694" s="67"/>
      <c r="D694" s="67"/>
      <c r="E694" s="67"/>
      <c r="F694" s="67"/>
      <c r="G694" s="67"/>
      <c r="H694" s="67"/>
      <c r="I694" s="67"/>
      <c r="J694" s="67"/>
      <c r="K694" s="67"/>
      <c r="L694" s="67"/>
      <c r="M694" s="67"/>
      <c r="N694" s="67"/>
      <c r="Q694" s="67"/>
    </row>
    <row r="695" spans="1:17" s="68" customFormat="1" x14ac:dyDescent="0.35">
      <c r="A695" s="66"/>
      <c r="B695" s="66"/>
      <c r="C695" s="67"/>
      <c r="D695" s="67"/>
      <c r="E695" s="67"/>
      <c r="F695" s="67"/>
      <c r="G695" s="67"/>
      <c r="H695" s="67"/>
      <c r="I695" s="67"/>
      <c r="J695" s="67"/>
      <c r="K695" s="67"/>
      <c r="L695" s="67"/>
      <c r="M695" s="67"/>
      <c r="N695" s="67"/>
      <c r="Q695" s="67"/>
    </row>
    <row r="696" spans="1:17" s="68" customFormat="1" x14ac:dyDescent="0.35">
      <c r="A696" s="66"/>
      <c r="B696" s="66"/>
      <c r="C696" s="67"/>
      <c r="D696" s="67"/>
      <c r="E696" s="67"/>
      <c r="F696" s="67"/>
      <c r="G696" s="67"/>
      <c r="H696" s="67"/>
      <c r="I696" s="67"/>
      <c r="J696" s="67"/>
      <c r="K696" s="67"/>
      <c r="L696" s="67"/>
      <c r="M696" s="67"/>
      <c r="N696" s="67"/>
      <c r="Q696" s="67"/>
    </row>
    <row r="697" spans="1:17" s="68" customFormat="1" x14ac:dyDescent="0.35">
      <c r="A697" s="66"/>
      <c r="B697" s="66"/>
      <c r="C697" s="67"/>
      <c r="D697" s="67"/>
      <c r="E697" s="67"/>
      <c r="F697" s="67"/>
      <c r="G697" s="67"/>
      <c r="H697" s="67"/>
      <c r="I697" s="67"/>
      <c r="J697" s="67"/>
      <c r="K697" s="67"/>
      <c r="L697" s="67"/>
      <c r="M697" s="67"/>
      <c r="N697" s="67"/>
      <c r="Q697" s="67"/>
    </row>
    <row r="698" spans="1:17" s="68" customFormat="1" x14ac:dyDescent="0.35">
      <c r="A698" s="66"/>
      <c r="B698" s="66"/>
      <c r="C698" s="67"/>
      <c r="D698" s="67"/>
      <c r="E698" s="67"/>
      <c r="F698" s="67"/>
      <c r="G698" s="67"/>
      <c r="H698" s="67"/>
      <c r="I698" s="67"/>
      <c r="J698" s="67"/>
      <c r="K698" s="67"/>
      <c r="L698" s="67"/>
      <c r="M698" s="67"/>
      <c r="N698" s="67"/>
      <c r="Q698" s="67"/>
    </row>
    <row r="699" spans="1:17" s="68" customFormat="1" x14ac:dyDescent="0.35">
      <c r="A699" s="66"/>
      <c r="B699" s="66"/>
      <c r="C699" s="67"/>
      <c r="D699" s="67"/>
      <c r="E699" s="67"/>
      <c r="F699" s="67"/>
      <c r="G699" s="67"/>
      <c r="H699" s="67"/>
      <c r="I699" s="67"/>
      <c r="J699" s="67"/>
      <c r="K699" s="67"/>
      <c r="L699" s="67"/>
      <c r="M699" s="67"/>
      <c r="N699" s="67"/>
      <c r="Q699" s="67"/>
    </row>
    <row r="700" spans="1:17" s="68" customFormat="1" x14ac:dyDescent="0.35">
      <c r="A700" s="66"/>
      <c r="B700" s="66"/>
      <c r="C700" s="67"/>
      <c r="D700" s="67"/>
      <c r="E700" s="67"/>
      <c r="F700" s="67"/>
      <c r="G700" s="67"/>
      <c r="H700" s="67"/>
      <c r="I700" s="67"/>
      <c r="J700" s="67"/>
      <c r="K700" s="67"/>
      <c r="L700" s="67"/>
      <c r="M700" s="67"/>
      <c r="N700" s="67"/>
      <c r="Q700" s="67"/>
    </row>
    <row r="701" spans="1:17" s="68" customFormat="1" x14ac:dyDescent="0.35">
      <c r="A701" s="66"/>
      <c r="B701" s="66"/>
      <c r="C701" s="67"/>
      <c r="D701" s="67"/>
      <c r="E701" s="67"/>
      <c r="F701" s="67"/>
      <c r="G701" s="67"/>
      <c r="H701" s="67"/>
      <c r="I701" s="67"/>
      <c r="J701" s="67"/>
      <c r="K701" s="67"/>
      <c r="L701" s="67"/>
      <c r="M701" s="67"/>
      <c r="N701" s="67"/>
      <c r="Q701" s="67"/>
    </row>
    <row r="702" spans="1:17" s="68" customFormat="1" x14ac:dyDescent="0.35">
      <c r="A702" s="66"/>
      <c r="B702" s="66"/>
      <c r="C702" s="67"/>
      <c r="D702" s="67"/>
      <c r="E702" s="67"/>
      <c r="F702" s="67"/>
      <c r="G702" s="67"/>
      <c r="H702" s="67"/>
      <c r="I702" s="67"/>
      <c r="J702" s="67"/>
      <c r="K702" s="67"/>
      <c r="L702" s="67"/>
      <c r="M702" s="67"/>
      <c r="N702" s="67"/>
      <c r="Q702" s="67"/>
    </row>
    <row r="703" spans="1:17" s="68" customFormat="1" x14ac:dyDescent="0.35">
      <c r="A703" s="66"/>
      <c r="B703" s="66"/>
      <c r="C703" s="67"/>
      <c r="D703" s="67"/>
      <c r="E703" s="67"/>
      <c r="F703" s="67"/>
      <c r="G703" s="67"/>
      <c r="H703" s="67"/>
      <c r="I703" s="67"/>
      <c r="J703" s="67"/>
      <c r="K703" s="67"/>
      <c r="L703" s="67"/>
      <c r="M703" s="67"/>
      <c r="N703" s="67"/>
      <c r="Q703" s="67"/>
    </row>
    <row r="704" spans="1:17" s="68" customFormat="1" x14ac:dyDescent="0.35">
      <c r="A704" s="66"/>
      <c r="B704" s="66"/>
      <c r="C704" s="67"/>
      <c r="D704" s="67"/>
      <c r="E704" s="67"/>
      <c r="F704" s="67"/>
      <c r="G704" s="67"/>
      <c r="H704" s="67"/>
      <c r="I704" s="67"/>
      <c r="J704" s="67"/>
      <c r="K704" s="67"/>
      <c r="L704" s="67"/>
      <c r="M704" s="67"/>
      <c r="N704" s="67"/>
      <c r="Q704" s="67"/>
    </row>
    <row r="705" spans="1:17" s="68" customFormat="1" x14ac:dyDescent="0.35">
      <c r="A705" s="66"/>
      <c r="B705" s="66"/>
      <c r="C705" s="67"/>
      <c r="D705" s="67"/>
      <c r="E705" s="67"/>
      <c r="F705" s="67"/>
      <c r="G705" s="67"/>
      <c r="H705" s="67"/>
      <c r="I705" s="67"/>
      <c r="J705" s="67"/>
      <c r="K705" s="67"/>
      <c r="L705" s="67"/>
      <c r="M705" s="67"/>
      <c r="N705" s="67"/>
      <c r="Q705" s="67"/>
    </row>
    <row r="706" spans="1:17" s="68" customFormat="1" x14ac:dyDescent="0.35">
      <c r="A706" s="66"/>
      <c r="B706" s="66"/>
      <c r="C706" s="67"/>
      <c r="D706" s="67"/>
      <c r="E706" s="67"/>
      <c r="F706" s="67"/>
      <c r="G706" s="67"/>
      <c r="H706" s="67"/>
      <c r="I706" s="67"/>
      <c r="J706" s="67"/>
      <c r="K706" s="67"/>
      <c r="L706" s="67"/>
      <c r="M706" s="67"/>
      <c r="N706" s="67"/>
      <c r="Q706" s="67"/>
    </row>
    <row r="707" spans="1:17" s="68" customFormat="1" x14ac:dyDescent="0.35">
      <c r="A707" s="66"/>
      <c r="B707" s="66"/>
      <c r="C707" s="67"/>
      <c r="D707" s="67"/>
      <c r="E707" s="67"/>
      <c r="F707" s="67"/>
      <c r="G707" s="67"/>
      <c r="H707" s="67"/>
      <c r="I707" s="67"/>
      <c r="J707" s="67"/>
      <c r="K707" s="67"/>
      <c r="L707" s="67"/>
      <c r="M707" s="67"/>
      <c r="N707" s="67"/>
      <c r="Q707" s="67"/>
    </row>
    <row r="708" spans="1:17" s="68" customFormat="1" x14ac:dyDescent="0.35">
      <c r="A708" s="66"/>
      <c r="B708" s="66"/>
      <c r="C708" s="67"/>
      <c r="D708" s="67"/>
      <c r="E708" s="67"/>
      <c r="F708" s="67"/>
      <c r="G708" s="67"/>
      <c r="H708" s="67"/>
      <c r="I708" s="67"/>
      <c r="J708" s="67"/>
      <c r="K708" s="67"/>
      <c r="L708" s="67"/>
      <c r="M708" s="67"/>
      <c r="N708" s="67"/>
      <c r="Q708" s="67"/>
    </row>
    <row r="709" spans="1:17" s="68" customFormat="1" x14ac:dyDescent="0.35">
      <c r="A709" s="66"/>
      <c r="B709" s="66"/>
      <c r="C709" s="67"/>
      <c r="D709" s="67"/>
      <c r="E709" s="67"/>
      <c r="F709" s="67"/>
      <c r="G709" s="67"/>
      <c r="H709" s="67"/>
      <c r="I709" s="67"/>
      <c r="J709" s="67"/>
      <c r="K709" s="67"/>
      <c r="L709" s="67"/>
      <c r="M709" s="67"/>
      <c r="N709" s="67"/>
      <c r="Q709" s="67"/>
    </row>
    <row r="710" spans="1:17" s="68" customFormat="1" x14ac:dyDescent="0.35">
      <c r="A710" s="66"/>
      <c r="B710" s="66"/>
      <c r="C710" s="67"/>
      <c r="D710" s="67"/>
      <c r="E710" s="67"/>
      <c r="F710" s="67"/>
      <c r="G710" s="67"/>
      <c r="H710" s="67"/>
      <c r="I710" s="67"/>
      <c r="J710" s="67"/>
      <c r="K710" s="67"/>
      <c r="L710" s="67"/>
      <c r="M710" s="67"/>
      <c r="N710" s="67"/>
      <c r="Q710" s="67"/>
    </row>
    <row r="711" spans="1:17" s="68" customFormat="1" x14ac:dyDescent="0.35">
      <c r="A711" s="66"/>
      <c r="B711" s="66"/>
      <c r="C711" s="67"/>
      <c r="D711" s="67"/>
      <c r="E711" s="67"/>
      <c r="F711" s="67"/>
      <c r="G711" s="67"/>
      <c r="H711" s="67"/>
      <c r="I711" s="67"/>
      <c r="J711" s="67"/>
      <c r="K711" s="67"/>
      <c r="L711" s="67"/>
      <c r="M711" s="67"/>
      <c r="N711" s="67"/>
      <c r="Q711" s="67"/>
    </row>
    <row r="712" spans="1:17" s="68" customFormat="1" x14ac:dyDescent="0.35">
      <c r="A712" s="66"/>
      <c r="B712" s="66"/>
      <c r="C712" s="67"/>
      <c r="D712" s="67"/>
      <c r="E712" s="67"/>
      <c r="F712" s="67"/>
      <c r="G712" s="67"/>
      <c r="H712" s="67"/>
      <c r="I712" s="67"/>
      <c r="J712" s="67"/>
      <c r="K712" s="67"/>
      <c r="L712" s="67"/>
      <c r="M712" s="67"/>
      <c r="N712" s="67"/>
      <c r="Q712" s="67"/>
    </row>
    <row r="713" spans="1:17" s="68" customFormat="1" x14ac:dyDescent="0.35">
      <c r="A713" s="66"/>
      <c r="B713" s="66"/>
      <c r="C713" s="67"/>
      <c r="D713" s="67"/>
      <c r="E713" s="67"/>
      <c r="F713" s="67"/>
      <c r="G713" s="67"/>
      <c r="H713" s="67"/>
      <c r="I713" s="67"/>
      <c r="J713" s="67"/>
      <c r="K713" s="67"/>
      <c r="L713" s="67"/>
      <c r="M713" s="67"/>
      <c r="N713" s="67"/>
      <c r="Q713" s="67"/>
    </row>
    <row r="714" spans="1:17" s="68" customFormat="1" x14ac:dyDescent="0.35">
      <c r="A714" s="66"/>
      <c r="B714" s="66"/>
      <c r="C714" s="67"/>
      <c r="D714" s="67"/>
      <c r="E714" s="67"/>
      <c r="F714" s="67"/>
      <c r="G714" s="67"/>
      <c r="H714" s="67"/>
      <c r="I714" s="67"/>
      <c r="J714" s="67"/>
      <c r="K714" s="67"/>
      <c r="L714" s="67"/>
      <c r="M714" s="67"/>
      <c r="N714" s="67"/>
      <c r="Q714" s="67"/>
    </row>
    <row r="715" spans="1:17" s="68" customFormat="1" x14ac:dyDescent="0.35">
      <c r="A715" s="66"/>
      <c r="B715" s="66"/>
      <c r="C715" s="67"/>
      <c r="D715" s="67"/>
      <c r="E715" s="67"/>
      <c r="F715" s="67"/>
      <c r="G715" s="67"/>
      <c r="H715" s="67"/>
      <c r="I715" s="67"/>
      <c r="J715" s="67"/>
      <c r="K715" s="67"/>
      <c r="L715" s="67"/>
      <c r="M715" s="67"/>
      <c r="N715" s="67"/>
      <c r="Q715" s="67"/>
    </row>
    <row r="716" spans="1:17" s="68" customFormat="1" x14ac:dyDescent="0.35">
      <c r="A716" s="66"/>
      <c r="B716" s="66"/>
      <c r="C716" s="67"/>
      <c r="D716" s="67"/>
      <c r="E716" s="67"/>
      <c r="F716" s="67"/>
      <c r="G716" s="67"/>
      <c r="H716" s="67"/>
      <c r="I716" s="67"/>
      <c r="J716" s="67"/>
      <c r="K716" s="67"/>
      <c r="L716" s="67"/>
      <c r="M716" s="67"/>
      <c r="N716" s="67"/>
      <c r="Q716" s="67"/>
    </row>
    <row r="717" spans="1:17" s="68" customFormat="1" x14ac:dyDescent="0.35">
      <c r="A717" s="66"/>
      <c r="B717" s="66"/>
      <c r="C717" s="67"/>
      <c r="D717" s="67"/>
      <c r="E717" s="67"/>
      <c r="F717" s="67"/>
      <c r="G717" s="67"/>
      <c r="H717" s="67"/>
      <c r="I717" s="67"/>
      <c r="J717" s="67"/>
      <c r="K717" s="67"/>
      <c r="L717" s="67"/>
      <c r="M717" s="67"/>
      <c r="N717" s="67"/>
      <c r="Q717" s="67"/>
    </row>
    <row r="718" spans="1:17" s="68" customFormat="1" x14ac:dyDescent="0.35">
      <c r="A718" s="66"/>
      <c r="B718" s="66"/>
      <c r="C718" s="67"/>
      <c r="D718" s="67"/>
      <c r="E718" s="67"/>
      <c r="F718" s="67"/>
      <c r="G718" s="67"/>
      <c r="H718" s="67"/>
      <c r="I718" s="67"/>
      <c r="J718" s="67"/>
      <c r="K718" s="67"/>
      <c r="L718" s="67"/>
      <c r="M718" s="67"/>
      <c r="N718" s="67"/>
      <c r="Q718" s="67"/>
    </row>
    <row r="719" spans="1:17" s="68" customFormat="1" x14ac:dyDescent="0.35">
      <c r="A719" s="66"/>
      <c r="B719" s="66"/>
      <c r="C719" s="67"/>
      <c r="D719" s="67"/>
      <c r="E719" s="67"/>
      <c r="F719" s="67"/>
      <c r="G719" s="67"/>
      <c r="H719" s="67"/>
      <c r="I719" s="67"/>
      <c r="J719" s="67"/>
      <c r="K719" s="67"/>
      <c r="L719" s="67"/>
      <c r="M719" s="67"/>
      <c r="N719" s="67"/>
      <c r="Q719" s="67"/>
    </row>
    <row r="720" spans="1:17" s="68" customFormat="1" x14ac:dyDescent="0.35">
      <c r="A720" s="66"/>
      <c r="B720" s="66"/>
      <c r="C720" s="67"/>
      <c r="D720" s="67"/>
      <c r="E720" s="67"/>
      <c r="F720" s="67"/>
      <c r="G720" s="67"/>
      <c r="H720" s="67"/>
      <c r="I720" s="67"/>
      <c r="J720" s="67"/>
      <c r="K720" s="67"/>
      <c r="L720" s="67"/>
      <c r="M720" s="67"/>
      <c r="N720" s="67"/>
      <c r="Q720" s="67"/>
    </row>
    <row r="721" spans="1:17" s="68" customFormat="1" x14ac:dyDescent="0.35">
      <c r="A721" s="66"/>
      <c r="B721" s="66"/>
      <c r="C721" s="67"/>
      <c r="D721" s="67"/>
      <c r="E721" s="67"/>
      <c r="F721" s="67"/>
      <c r="G721" s="67"/>
      <c r="H721" s="67"/>
      <c r="I721" s="67"/>
      <c r="J721" s="67"/>
      <c r="K721" s="67"/>
      <c r="L721" s="67"/>
      <c r="M721" s="67"/>
      <c r="N721" s="67"/>
      <c r="Q721" s="67"/>
    </row>
    <row r="722" spans="1:17" s="68" customFormat="1" x14ac:dyDescent="0.35">
      <c r="A722" s="66"/>
      <c r="B722" s="66"/>
      <c r="C722" s="67"/>
      <c r="D722" s="67"/>
      <c r="E722" s="67"/>
      <c r="F722" s="67"/>
      <c r="G722" s="67"/>
      <c r="H722" s="67"/>
      <c r="I722" s="67"/>
      <c r="J722" s="67"/>
      <c r="K722" s="67"/>
      <c r="L722" s="67"/>
      <c r="M722" s="67"/>
      <c r="N722" s="67"/>
      <c r="Q722" s="67"/>
    </row>
    <row r="723" spans="1:17" s="68" customFormat="1" x14ac:dyDescent="0.35">
      <c r="A723" s="66"/>
      <c r="B723" s="66"/>
      <c r="C723" s="67"/>
      <c r="D723" s="67"/>
      <c r="E723" s="67"/>
      <c r="F723" s="67"/>
      <c r="G723" s="67"/>
      <c r="H723" s="67"/>
      <c r="I723" s="67"/>
      <c r="J723" s="67"/>
      <c r="K723" s="67"/>
      <c r="L723" s="67"/>
      <c r="M723" s="67"/>
      <c r="N723" s="67"/>
      <c r="Q723" s="67"/>
    </row>
    <row r="724" spans="1:17" s="68" customFormat="1" x14ac:dyDescent="0.35">
      <c r="A724" s="66"/>
      <c r="B724" s="66"/>
      <c r="C724" s="67"/>
      <c r="D724" s="67"/>
      <c r="E724" s="67"/>
      <c r="F724" s="67"/>
      <c r="G724" s="67"/>
      <c r="H724" s="67"/>
      <c r="I724" s="67"/>
      <c r="J724" s="67"/>
      <c r="K724" s="67"/>
      <c r="L724" s="67"/>
      <c r="M724" s="67"/>
      <c r="N724" s="67"/>
      <c r="Q724" s="67"/>
    </row>
    <row r="725" spans="1:17" s="68" customFormat="1" x14ac:dyDescent="0.35">
      <c r="A725" s="66"/>
      <c r="B725" s="66"/>
      <c r="C725" s="67"/>
      <c r="D725" s="67"/>
      <c r="E725" s="67"/>
      <c r="F725" s="67"/>
      <c r="G725" s="67"/>
      <c r="H725" s="67"/>
      <c r="I725" s="67"/>
      <c r="J725" s="67"/>
      <c r="K725" s="67"/>
      <c r="L725" s="67"/>
      <c r="M725" s="67"/>
      <c r="N725" s="67"/>
      <c r="Q725" s="67"/>
    </row>
    <row r="726" spans="1:17" s="68" customFormat="1" x14ac:dyDescent="0.35">
      <c r="A726" s="66"/>
      <c r="B726" s="66"/>
      <c r="C726" s="67"/>
      <c r="D726" s="67"/>
      <c r="E726" s="67"/>
      <c r="F726" s="67"/>
      <c r="G726" s="67"/>
      <c r="H726" s="67"/>
      <c r="I726" s="67"/>
      <c r="J726" s="67"/>
      <c r="K726" s="67"/>
      <c r="L726" s="67"/>
      <c r="M726" s="67"/>
      <c r="N726" s="67"/>
      <c r="Q726" s="67"/>
    </row>
    <row r="727" spans="1:17" s="68" customFormat="1" x14ac:dyDescent="0.35">
      <c r="A727" s="66"/>
      <c r="B727" s="66"/>
      <c r="C727" s="67"/>
      <c r="D727" s="67"/>
      <c r="E727" s="67"/>
      <c r="F727" s="67"/>
      <c r="G727" s="67"/>
      <c r="H727" s="67"/>
      <c r="I727" s="67"/>
      <c r="J727" s="67"/>
      <c r="K727" s="67"/>
      <c r="L727" s="67"/>
      <c r="M727" s="67"/>
      <c r="N727" s="67"/>
      <c r="Q727" s="67"/>
    </row>
    <row r="728" spans="1:17" s="68" customFormat="1" x14ac:dyDescent="0.35">
      <c r="A728" s="66"/>
      <c r="B728" s="66"/>
      <c r="C728" s="67"/>
      <c r="D728" s="67"/>
      <c r="E728" s="67"/>
      <c r="F728" s="67"/>
      <c r="G728" s="67"/>
      <c r="H728" s="67"/>
      <c r="I728" s="67"/>
      <c r="J728" s="67"/>
      <c r="K728" s="67"/>
      <c r="L728" s="67"/>
      <c r="M728" s="67"/>
      <c r="N728" s="67"/>
      <c r="Q728" s="67"/>
    </row>
    <row r="729" spans="1:17" s="68" customFormat="1" x14ac:dyDescent="0.35">
      <c r="A729" s="66"/>
      <c r="B729" s="66"/>
      <c r="C729" s="67"/>
      <c r="D729" s="67"/>
      <c r="E729" s="67"/>
      <c r="F729" s="67"/>
      <c r="G729" s="67"/>
      <c r="H729" s="67"/>
      <c r="I729" s="67"/>
      <c r="J729" s="67"/>
      <c r="K729" s="67"/>
      <c r="L729" s="67"/>
      <c r="M729" s="67"/>
      <c r="N729" s="67"/>
      <c r="Q729" s="67"/>
    </row>
    <row r="730" spans="1:17" s="68" customFormat="1" x14ac:dyDescent="0.35">
      <c r="A730" s="66"/>
      <c r="B730" s="66"/>
      <c r="C730" s="67"/>
      <c r="D730" s="67"/>
      <c r="E730" s="67"/>
      <c r="F730" s="67"/>
      <c r="G730" s="67"/>
      <c r="H730" s="67"/>
      <c r="I730" s="67"/>
      <c r="J730" s="67"/>
      <c r="K730" s="67"/>
      <c r="L730" s="67"/>
      <c r="M730" s="67"/>
      <c r="N730" s="67"/>
      <c r="Q730" s="67"/>
    </row>
    <row r="731" spans="1:17" s="68" customFormat="1" x14ac:dyDescent="0.35">
      <c r="A731" s="66"/>
      <c r="B731" s="66"/>
      <c r="C731" s="67"/>
      <c r="D731" s="67"/>
      <c r="E731" s="67"/>
      <c r="F731" s="67"/>
      <c r="G731" s="67"/>
      <c r="H731" s="67"/>
      <c r="I731" s="67"/>
      <c r="J731" s="67"/>
      <c r="K731" s="67"/>
      <c r="L731" s="67"/>
      <c r="M731" s="67"/>
      <c r="N731" s="67"/>
      <c r="Q731" s="67"/>
    </row>
    <row r="732" spans="1:17" s="68" customFormat="1" x14ac:dyDescent="0.35">
      <c r="A732" s="66"/>
      <c r="B732" s="66"/>
      <c r="C732" s="67"/>
      <c r="D732" s="67"/>
      <c r="E732" s="67"/>
      <c r="F732" s="67"/>
      <c r="G732" s="67"/>
      <c r="H732" s="67"/>
      <c r="I732" s="67"/>
      <c r="J732" s="67"/>
      <c r="K732" s="67"/>
      <c r="L732" s="67"/>
      <c r="M732" s="67"/>
      <c r="N732" s="67"/>
      <c r="Q732" s="67"/>
    </row>
    <row r="733" spans="1:17" s="68" customFormat="1" x14ac:dyDescent="0.35">
      <c r="A733" s="66"/>
      <c r="B733" s="66"/>
      <c r="C733" s="67"/>
      <c r="D733" s="67"/>
      <c r="E733" s="67"/>
      <c r="F733" s="67"/>
      <c r="G733" s="67"/>
      <c r="H733" s="67"/>
      <c r="I733" s="67"/>
      <c r="J733" s="67"/>
      <c r="K733" s="67"/>
      <c r="L733" s="67"/>
      <c r="M733" s="67"/>
      <c r="N733" s="67"/>
      <c r="Q733" s="67"/>
    </row>
    <row r="734" spans="1:17" s="68" customFormat="1" x14ac:dyDescent="0.35">
      <c r="A734" s="66"/>
      <c r="B734" s="66"/>
      <c r="C734" s="67"/>
      <c r="D734" s="67"/>
      <c r="E734" s="67"/>
      <c r="F734" s="67"/>
      <c r="G734" s="67"/>
      <c r="H734" s="67"/>
      <c r="I734" s="67"/>
      <c r="J734" s="67"/>
      <c r="K734" s="67"/>
      <c r="L734" s="67"/>
      <c r="M734" s="67"/>
      <c r="N734" s="67"/>
      <c r="Q734" s="67"/>
    </row>
    <row r="735" spans="1:17" s="68" customFormat="1" x14ac:dyDescent="0.35">
      <c r="A735" s="66"/>
      <c r="B735" s="66"/>
      <c r="C735" s="67"/>
      <c r="D735" s="67"/>
      <c r="E735" s="67"/>
      <c r="F735" s="67"/>
      <c r="G735" s="67"/>
      <c r="H735" s="67"/>
      <c r="I735" s="67"/>
      <c r="J735" s="67"/>
      <c r="K735" s="67"/>
      <c r="L735" s="67"/>
      <c r="M735" s="67"/>
      <c r="N735" s="67"/>
      <c r="Q735" s="67"/>
    </row>
    <row r="736" spans="1:17" s="68" customFormat="1" x14ac:dyDescent="0.35">
      <c r="A736" s="66"/>
      <c r="B736" s="66"/>
      <c r="C736" s="67"/>
      <c r="D736" s="67"/>
      <c r="E736" s="67"/>
      <c r="F736" s="67"/>
      <c r="G736" s="67"/>
      <c r="H736" s="67"/>
      <c r="I736" s="67"/>
      <c r="J736" s="67"/>
      <c r="K736" s="67"/>
      <c r="L736" s="67"/>
      <c r="M736" s="67"/>
      <c r="N736" s="67"/>
      <c r="Q736" s="67"/>
    </row>
    <row r="737" spans="1:17" s="68" customFormat="1" x14ac:dyDescent="0.35">
      <c r="A737" s="66"/>
      <c r="B737" s="66"/>
      <c r="C737" s="67"/>
      <c r="D737" s="67"/>
      <c r="E737" s="67"/>
      <c r="F737" s="67"/>
      <c r="G737" s="67"/>
      <c r="H737" s="67"/>
      <c r="I737" s="67"/>
      <c r="J737" s="67"/>
      <c r="K737" s="67"/>
      <c r="L737" s="67"/>
      <c r="M737" s="67"/>
      <c r="N737" s="67"/>
      <c r="Q737" s="67"/>
    </row>
    <row r="738" spans="1:17" s="68" customFormat="1" x14ac:dyDescent="0.35">
      <c r="A738" s="66"/>
      <c r="B738" s="66"/>
      <c r="C738" s="67"/>
      <c r="D738" s="67"/>
      <c r="E738" s="67"/>
      <c r="F738" s="67"/>
      <c r="G738" s="67"/>
      <c r="H738" s="67"/>
      <c r="I738" s="67"/>
      <c r="J738" s="67"/>
      <c r="K738" s="67"/>
      <c r="L738" s="67"/>
      <c r="M738" s="67"/>
      <c r="N738" s="67"/>
      <c r="Q738" s="67"/>
    </row>
    <row r="739" spans="1:17" s="68" customFormat="1" x14ac:dyDescent="0.35">
      <c r="A739" s="66"/>
      <c r="B739" s="66"/>
      <c r="C739" s="67"/>
      <c r="D739" s="67"/>
      <c r="E739" s="67"/>
      <c r="F739" s="67"/>
      <c r="G739" s="67"/>
      <c r="H739" s="67"/>
      <c r="I739" s="67"/>
      <c r="J739" s="67"/>
      <c r="K739" s="67"/>
      <c r="L739" s="67"/>
      <c r="M739" s="67"/>
      <c r="N739" s="67"/>
      <c r="Q739" s="67"/>
    </row>
    <row r="740" spans="1:17" s="68" customFormat="1" x14ac:dyDescent="0.35">
      <c r="A740" s="66"/>
      <c r="B740" s="66"/>
      <c r="C740" s="67"/>
      <c r="D740" s="67"/>
      <c r="E740" s="67"/>
      <c r="F740" s="67"/>
      <c r="G740" s="67"/>
      <c r="H740" s="67"/>
      <c r="I740" s="67"/>
      <c r="J740" s="67"/>
      <c r="K740" s="67"/>
      <c r="L740" s="67"/>
      <c r="M740" s="67"/>
      <c r="N740" s="67"/>
      <c r="Q740" s="67"/>
    </row>
    <row r="741" spans="1:17" s="68" customFormat="1" x14ac:dyDescent="0.35">
      <c r="A741" s="66"/>
      <c r="B741" s="66"/>
      <c r="C741" s="67"/>
      <c r="D741" s="67"/>
      <c r="E741" s="67"/>
      <c r="F741" s="67"/>
      <c r="G741" s="67"/>
      <c r="H741" s="67"/>
      <c r="I741" s="67"/>
      <c r="J741" s="67"/>
      <c r="K741" s="67"/>
      <c r="L741" s="67"/>
      <c r="M741" s="67"/>
      <c r="N741" s="67"/>
      <c r="Q741" s="67"/>
    </row>
    <row r="742" spans="1:17" s="68" customFormat="1" x14ac:dyDescent="0.35">
      <c r="A742" s="66"/>
      <c r="B742" s="66"/>
      <c r="C742" s="67"/>
      <c r="D742" s="67"/>
      <c r="E742" s="67"/>
      <c r="F742" s="67"/>
      <c r="G742" s="67"/>
      <c r="H742" s="67"/>
      <c r="I742" s="67"/>
      <c r="J742" s="67"/>
      <c r="K742" s="67"/>
      <c r="L742" s="67"/>
      <c r="M742" s="67"/>
      <c r="N742" s="67"/>
      <c r="Q742" s="67"/>
    </row>
    <row r="743" spans="1:17" s="68" customFormat="1" x14ac:dyDescent="0.35">
      <c r="A743" s="66"/>
      <c r="B743" s="66"/>
      <c r="C743" s="67"/>
      <c r="D743" s="67"/>
      <c r="E743" s="67"/>
      <c r="F743" s="67"/>
      <c r="G743" s="67"/>
      <c r="H743" s="67"/>
      <c r="I743" s="67"/>
      <c r="J743" s="67"/>
      <c r="K743" s="67"/>
      <c r="L743" s="67"/>
      <c r="M743" s="67"/>
      <c r="N743" s="67"/>
      <c r="Q743" s="67"/>
    </row>
    <row r="744" spans="1:17" s="68" customFormat="1" x14ac:dyDescent="0.35">
      <c r="A744" s="66"/>
      <c r="B744" s="66"/>
      <c r="C744" s="67"/>
      <c r="D744" s="67"/>
      <c r="E744" s="67"/>
      <c r="F744" s="67"/>
      <c r="G744" s="67"/>
      <c r="H744" s="67"/>
      <c r="I744" s="67"/>
      <c r="J744" s="67"/>
      <c r="K744" s="67"/>
      <c r="L744" s="67"/>
      <c r="M744" s="67"/>
      <c r="N744" s="67"/>
      <c r="Q744" s="67"/>
    </row>
    <row r="745" spans="1:17" s="68" customFormat="1" x14ac:dyDescent="0.35">
      <c r="A745" s="66"/>
      <c r="B745" s="66"/>
      <c r="C745" s="67"/>
      <c r="D745" s="67"/>
      <c r="E745" s="67"/>
      <c r="F745" s="67"/>
      <c r="G745" s="67"/>
      <c r="H745" s="67"/>
      <c r="I745" s="67"/>
      <c r="J745" s="67"/>
      <c r="K745" s="67"/>
      <c r="L745" s="67"/>
      <c r="M745" s="67"/>
      <c r="N745" s="67"/>
      <c r="Q745" s="67"/>
    </row>
    <row r="746" spans="1:17" s="68" customFormat="1" x14ac:dyDescent="0.35">
      <c r="A746" s="66"/>
      <c r="B746" s="66"/>
      <c r="C746" s="67"/>
      <c r="D746" s="67"/>
      <c r="E746" s="67"/>
      <c r="F746" s="67"/>
      <c r="G746" s="67"/>
      <c r="H746" s="67"/>
      <c r="I746" s="67"/>
      <c r="J746" s="67"/>
      <c r="K746" s="67"/>
      <c r="L746" s="67"/>
      <c r="M746" s="67"/>
      <c r="N746" s="67"/>
      <c r="Q746" s="67"/>
    </row>
    <row r="747" spans="1:17" s="68" customFormat="1" x14ac:dyDescent="0.35">
      <c r="A747" s="66"/>
      <c r="B747" s="66"/>
      <c r="C747" s="67"/>
      <c r="D747" s="67"/>
      <c r="E747" s="67"/>
      <c r="F747" s="67"/>
      <c r="G747" s="67"/>
      <c r="H747" s="67"/>
      <c r="I747" s="67"/>
      <c r="J747" s="67"/>
      <c r="K747" s="67"/>
      <c r="L747" s="67"/>
      <c r="M747" s="67"/>
      <c r="N747" s="67"/>
      <c r="Q747" s="67"/>
    </row>
    <row r="748" spans="1:17" s="68" customFormat="1" x14ac:dyDescent="0.35">
      <c r="A748" s="66"/>
      <c r="B748" s="66"/>
      <c r="C748" s="67"/>
      <c r="D748" s="67"/>
      <c r="E748" s="67"/>
      <c r="F748" s="67"/>
      <c r="G748" s="67"/>
      <c r="H748" s="67"/>
      <c r="I748" s="67"/>
      <c r="J748" s="67"/>
      <c r="K748" s="67"/>
      <c r="L748" s="67"/>
      <c r="M748" s="67"/>
      <c r="N748" s="67"/>
      <c r="Q748" s="67"/>
    </row>
    <row r="749" spans="1:17" s="68" customFormat="1" x14ac:dyDescent="0.35">
      <c r="A749" s="66"/>
      <c r="B749" s="66"/>
      <c r="C749" s="67"/>
      <c r="D749" s="67"/>
      <c r="E749" s="67"/>
      <c r="F749" s="67"/>
      <c r="G749" s="67"/>
      <c r="H749" s="67"/>
      <c r="I749" s="67"/>
      <c r="J749" s="67"/>
      <c r="K749" s="67"/>
      <c r="L749" s="67"/>
      <c r="M749" s="67"/>
      <c r="N749" s="67"/>
      <c r="Q749" s="67"/>
    </row>
    <row r="750" spans="1:17" s="68" customFormat="1" x14ac:dyDescent="0.35">
      <c r="A750" s="66"/>
      <c r="B750" s="66"/>
      <c r="C750" s="67"/>
      <c r="D750" s="67"/>
      <c r="E750" s="67"/>
      <c r="F750" s="67"/>
      <c r="G750" s="67"/>
      <c r="H750" s="67"/>
      <c r="I750" s="67"/>
      <c r="J750" s="67"/>
      <c r="K750" s="67"/>
      <c r="L750" s="67"/>
      <c r="M750" s="67"/>
      <c r="N750" s="67"/>
      <c r="Q750" s="67"/>
    </row>
    <row r="751" spans="1:17" s="68" customFormat="1" x14ac:dyDescent="0.35">
      <c r="A751" s="66"/>
      <c r="B751" s="66"/>
      <c r="C751" s="67"/>
      <c r="D751" s="67"/>
      <c r="E751" s="67"/>
      <c r="F751" s="67"/>
      <c r="G751" s="67"/>
      <c r="H751" s="67"/>
      <c r="I751" s="67"/>
      <c r="J751" s="67"/>
      <c r="K751" s="67"/>
      <c r="L751" s="67"/>
      <c r="M751" s="67"/>
      <c r="N751" s="67"/>
      <c r="Q751" s="67"/>
    </row>
    <row r="752" spans="1:17" s="68" customFormat="1" x14ac:dyDescent="0.35">
      <c r="A752" s="66"/>
      <c r="B752" s="66"/>
      <c r="C752" s="67"/>
      <c r="D752" s="67"/>
      <c r="E752" s="67"/>
      <c r="F752" s="67"/>
      <c r="G752" s="67"/>
      <c r="H752" s="67"/>
      <c r="I752" s="67"/>
      <c r="J752" s="67"/>
      <c r="K752" s="67"/>
      <c r="L752" s="67"/>
      <c r="M752" s="67"/>
      <c r="N752" s="67"/>
      <c r="Q752" s="67"/>
    </row>
    <row r="753" spans="1:17" s="68" customFormat="1" x14ac:dyDescent="0.35">
      <c r="A753" s="66"/>
      <c r="B753" s="66"/>
      <c r="C753" s="67"/>
      <c r="D753" s="67"/>
      <c r="E753" s="67"/>
      <c r="F753" s="67"/>
      <c r="G753" s="67"/>
      <c r="H753" s="67"/>
      <c r="I753" s="67"/>
      <c r="J753" s="67"/>
      <c r="K753" s="67"/>
      <c r="L753" s="67"/>
      <c r="M753" s="67"/>
      <c r="N753" s="67"/>
      <c r="Q753" s="67"/>
    </row>
    <row r="754" spans="1:17" s="68" customFormat="1" x14ac:dyDescent="0.35">
      <c r="A754" s="66"/>
      <c r="B754" s="66"/>
      <c r="C754" s="67"/>
      <c r="D754" s="67"/>
      <c r="E754" s="67"/>
      <c r="F754" s="67"/>
      <c r="G754" s="67"/>
      <c r="H754" s="67"/>
      <c r="I754" s="67"/>
      <c r="J754" s="67"/>
      <c r="K754" s="67"/>
      <c r="L754" s="67"/>
      <c r="M754" s="67"/>
      <c r="N754" s="67"/>
      <c r="Q754" s="67"/>
    </row>
    <row r="755" spans="1:17" s="68" customFormat="1" x14ac:dyDescent="0.35">
      <c r="A755" s="66"/>
      <c r="B755" s="66"/>
      <c r="C755" s="67"/>
      <c r="D755" s="67"/>
      <c r="E755" s="67"/>
      <c r="F755" s="67"/>
      <c r="G755" s="67"/>
      <c r="H755" s="67"/>
      <c r="I755" s="67"/>
      <c r="J755" s="67"/>
      <c r="K755" s="67"/>
      <c r="L755" s="67"/>
      <c r="M755" s="67"/>
      <c r="N755" s="67"/>
      <c r="Q755" s="67"/>
    </row>
    <row r="756" spans="1:17" s="68" customFormat="1" x14ac:dyDescent="0.35">
      <c r="A756" s="66"/>
      <c r="B756" s="66"/>
      <c r="C756" s="67"/>
      <c r="D756" s="67"/>
      <c r="E756" s="67"/>
      <c r="F756" s="67"/>
      <c r="G756" s="67"/>
      <c r="H756" s="67"/>
      <c r="I756" s="67"/>
      <c r="J756" s="67"/>
      <c r="K756" s="67"/>
      <c r="L756" s="67"/>
      <c r="M756" s="67"/>
      <c r="N756" s="67"/>
      <c r="Q756" s="67"/>
    </row>
    <row r="757" spans="1:17" s="68" customFormat="1" x14ac:dyDescent="0.35">
      <c r="A757" s="66"/>
      <c r="B757" s="66"/>
      <c r="C757" s="67"/>
      <c r="D757" s="67"/>
      <c r="E757" s="67"/>
      <c r="F757" s="67"/>
      <c r="G757" s="67"/>
      <c r="H757" s="67"/>
      <c r="I757" s="67"/>
      <c r="J757" s="67"/>
      <c r="K757" s="67"/>
      <c r="L757" s="67"/>
      <c r="M757" s="67"/>
      <c r="N757" s="67"/>
      <c r="Q757" s="67"/>
    </row>
    <row r="758" spans="1:17" s="68" customFormat="1" x14ac:dyDescent="0.35">
      <c r="A758" s="66"/>
      <c r="B758" s="66"/>
      <c r="C758" s="67"/>
      <c r="D758" s="67"/>
      <c r="E758" s="67"/>
      <c r="F758" s="67"/>
      <c r="G758" s="67"/>
      <c r="H758" s="67"/>
      <c r="I758" s="67"/>
      <c r="J758" s="67"/>
      <c r="K758" s="67"/>
      <c r="L758" s="67"/>
      <c r="M758" s="67"/>
      <c r="N758" s="67"/>
      <c r="Q758" s="67"/>
    </row>
    <row r="759" spans="1:17" s="68" customFormat="1" x14ac:dyDescent="0.35">
      <c r="A759" s="66"/>
      <c r="B759" s="66"/>
      <c r="C759" s="67"/>
      <c r="D759" s="67"/>
      <c r="E759" s="67"/>
      <c r="F759" s="67"/>
      <c r="G759" s="67"/>
      <c r="H759" s="67"/>
      <c r="I759" s="67"/>
      <c r="J759" s="67"/>
      <c r="K759" s="67"/>
      <c r="L759" s="67"/>
      <c r="M759" s="67"/>
      <c r="N759" s="67"/>
      <c r="Q759" s="67"/>
    </row>
    <row r="760" spans="1:17" s="68" customFormat="1" x14ac:dyDescent="0.35">
      <c r="A760" s="66"/>
      <c r="B760" s="66"/>
      <c r="C760" s="67"/>
      <c r="D760" s="67"/>
      <c r="E760" s="67"/>
      <c r="F760" s="67"/>
      <c r="G760" s="67"/>
      <c r="H760" s="67"/>
      <c r="I760" s="67"/>
      <c r="J760" s="67"/>
      <c r="K760" s="67"/>
      <c r="L760" s="67"/>
      <c r="M760" s="67"/>
      <c r="N760" s="67"/>
      <c r="Q760" s="67"/>
    </row>
    <row r="761" spans="1:17" s="68" customFormat="1" x14ac:dyDescent="0.35">
      <c r="A761" s="66"/>
      <c r="B761" s="66"/>
      <c r="C761" s="67"/>
      <c r="D761" s="67"/>
      <c r="E761" s="67"/>
      <c r="F761" s="67"/>
      <c r="G761" s="67"/>
      <c r="H761" s="67"/>
      <c r="I761" s="67"/>
      <c r="J761" s="67"/>
      <c r="K761" s="67"/>
      <c r="L761" s="67"/>
      <c r="M761" s="67"/>
      <c r="N761" s="67"/>
      <c r="Q761" s="67"/>
    </row>
    <row r="762" spans="1:17" s="68" customFormat="1" x14ac:dyDescent="0.35">
      <c r="A762" s="66"/>
      <c r="B762" s="66"/>
      <c r="C762" s="67"/>
      <c r="D762" s="67"/>
      <c r="E762" s="67"/>
      <c r="F762" s="67"/>
      <c r="G762" s="67"/>
      <c r="H762" s="67"/>
      <c r="I762" s="67"/>
      <c r="J762" s="67"/>
      <c r="K762" s="67"/>
      <c r="L762" s="67"/>
      <c r="M762" s="67"/>
      <c r="N762" s="67"/>
      <c r="Q762" s="67"/>
    </row>
    <row r="763" spans="1:17" s="68" customFormat="1" x14ac:dyDescent="0.35">
      <c r="A763" s="66"/>
      <c r="B763" s="66"/>
      <c r="C763" s="67"/>
      <c r="D763" s="67"/>
      <c r="E763" s="67"/>
      <c r="F763" s="67"/>
      <c r="G763" s="67"/>
      <c r="H763" s="67"/>
      <c r="I763" s="67"/>
      <c r="J763" s="67"/>
      <c r="K763" s="67"/>
      <c r="L763" s="67"/>
      <c r="M763" s="67"/>
      <c r="N763" s="67"/>
      <c r="Q763" s="67"/>
    </row>
    <row r="764" spans="1:17" s="68" customFormat="1" x14ac:dyDescent="0.35">
      <c r="A764" s="66"/>
      <c r="B764" s="66"/>
      <c r="C764" s="67"/>
      <c r="D764" s="67"/>
      <c r="E764" s="67"/>
      <c r="F764" s="67"/>
      <c r="G764" s="67"/>
      <c r="H764" s="67"/>
      <c r="I764" s="67"/>
      <c r="J764" s="67"/>
      <c r="K764" s="67"/>
      <c r="L764" s="67"/>
      <c r="M764" s="67"/>
      <c r="N764" s="67"/>
      <c r="Q764" s="67"/>
    </row>
    <row r="765" spans="1:17" s="68" customFormat="1" x14ac:dyDescent="0.35">
      <c r="A765" s="66"/>
      <c r="B765" s="66"/>
      <c r="C765" s="67"/>
      <c r="D765" s="67"/>
      <c r="E765" s="67"/>
      <c r="F765" s="67"/>
      <c r="G765" s="67"/>
      <c r="H765" s="67"/>
      <c r="I765" s="67"/>
      <c r="J765" s="67"/>
      <c r="K765" s="67"/>
      <c r="L765" s="67"/>
      <c r="M765" s="67"/>
      <c r="N765" s="67"/>
      <c r="Q765" s="67"/>
    </row>
    <row r="766" spans="1:17" s="68" customFormat="1" x14ac:dyDescent="0.35">
      <c r="A766" s="66"/>
      <c r="B766" s="66"/>
      <c r="C766" s="67"/>
      <c r="D766" s="67"/>
      <c r="E766" s="67"/>
      <c r="F766" s="67"/>
      <c r="G766" s="67"/>
      <c r="H766" s="67"/>
      <c r="I766" s="67"/>
      <c r="J766" s="67"/>
      <c r="K766" s="67"/>
      <c r="L766" s="67"/>
      <c r="M766" s="67"/>
      <c r="N766" s="67"/>
      <c r="Q766" s="67"/>
    </row>
    <row r="767" spans="1:17" s="68" customFormat="1" x14ac:dyDescent="0.35">
      <c r="A767" s="66"/>
      <c r="B767" s="66"/>
      <c r="C767" s="67"/>
      <c r="D767" s="67"/>
      <c r="E767" s="67"/>
      <c r="F767" s="67"/>
      <c r="G767" s="67"/>
      <c r="H767" s="67"/>
      <c r="I767" s="67"/>
      <c r="J767" s="67"/>
      <c r="K767" s="67"/>
      <c r="L767" s="67"/>
      <c r="M767" s="67"/>
      <c r="N767" s="67"/>
      <c r="Q767" s="67"/>
    </row>
    <row r="768" spans="1:17" s="68" customFormat="1" x14ac:dyDescent="0.35">
      <c r="A768" s="66"/>
      <c r="B768" s="66"/>
      <c r="C768" s="67"/>
      <c r="D768" s="67"/>
      <c r="E768" s="67"/>
      <c r="F768" s="67"/>
      <c r="G768" s="67"/>
      <c r="H768" s="67"/>
      <c r="I768" s="67"/>
      <c r="J768" s="67"/>
      <c r="K768" s="67"/>
      <c r="L768" s="67"/>
      <c r="M768" s="67"/>
      <c r="N768" s="67"/>
      <c r="Q768" s="67"/>
    </row>
    <row r="769" spans="1:17" s="68" customFormat="1" x14ac:dyDescent="0.35">
      <c r="A769" s="66"/>
      <c r="B769" s="66"/>
      <c r="C769" s="67"/>
      <c r="D769" s="67"/>
      <c r="E769" s="67"/>
      <c r="F769" s="67"/>
      <c r="G769" s="67"/>
      <c r="H769" s="67"/>
      <c r="I769" s="67"/>
      <c r="J769" s="67"/>
      <c r="K769" s="67"/>
      <c r="L769" s="67"/>
      <c r="M769" s="67"/>
      <c r="N769" s="67"/>
      <c r="Q769" s="67"/>
    </row>
    <row r="770" spans="1:17" s="68" customFormat="1" x14ac:dyDescent="0.35">
      <c r="A770" s="66"/>
      <c r="B770" s="66"/>
      <c r="C770" s="67"/>
      <c r="D770" s="67"/>
      <c r="E770" s="67"/>
      <c r="F770" s="67"/>
      <c r="G770" s="67"/>
      <c r="H770" s="67"/>
      <c r="I770" s="67"/>
      <c r="J770" s="67"/>
      <c r="K770" s="67"/>
      <c r="L770" s="67"/>
      <c r="M770" s="67"/>
      <c r="N770" s="67"/>
      <c r="Q770" s="67"/>
    </row>
    <row r="771" spans="1:17" s="68" customFormat="1" x14ac:dyDescent="0.35">
      <c r="A771" s="66"/>
      <c r="B771" s="66"/>
      <c r="C771" s="67"/>
      <c r="D771" s="67"/>
      <c r="E771" s="67"/>
      <c r="F771" s="67"/>
      <c r="G771" s="67"/>
      <c r="H771" s="67"/>
      <c r="I771" s="67"/>
      <c r="J771" s="67"/>
      <c r="K771" s="67"/>
      <c r="L771" s="67"/>
      <c r="M771" s="67"/>
      <c r="N771" s="67"/>
      <c r="Q771" s="67"/>
    </row>
    <row r="772" spans="1:17" s="68" customFormat="1" x14ac:dyDescent="0.35">
      <c r="A772" s="66"/>
      <c r="B772" s="66"/>
      <c r="C772" s="67"/>
      <c r="D772" s="67"/>
      <c r="E772" s="67"/>
      <c r="F772" s="67"/>
      <c r="G772" s="67"/>
      <c r="H772" s="67"/>
      <c r="I772" s="67"/>
      <c r="J772" s="67"/>
      <c r="K772" s="67"/>
      <c r="L772" s="67"/>
      <c r="M772" s="67"/>
      <c r="N772" s="67"/>
      <c r="Q772" s="67"/>
    </row>
    <row r="773" spans="1:17" s="68" customFormat="1" x14ac:dyDescent="0.35">
      <c r="A773" s="66"/>
      <c r="B773" s="66"/>
      <c r="C773" s="67"/>
      <c r="D773" s="67"/>
      <c r="E773" s="67"/>
      <c r="F773" s="67"/>
      <c r="G773" s="67"/>
      <c r="H773" s="67"/>
      <c r="I773" s="67"/>
      <c r="J773" s="67"/>
      <c r="K773" s="67"/>
      <c r="L773" s="67"/>
      <c r="M773" s="67"/>
      <c r="N773" s="67"/>
      <c r="Q773" s="67"/>
    </row>
    <row r="774" spans="1:17" s="68" customFormat="1" x14ac:dyDescent="0.35">
      <c r="A774" s="66"/>
      <c r="B774" s="66"/>
      <c r="C774" s="67"/>
      <c r="D774" s="67"/>
      <c r="E774" s="67"/>
      <c r="F774" s="67"/>
      <c r="G774" s="67"/>
      <c r="H774" s="67"/>
      <c r="I774" s="67"/>
      <c r="J774" s="67"/>
      <c r="K774" s="67"/>
      <c r="L774" s="67"/>
      <c r="M774" s="67"/>
      <c r="N774" s="67"/>
      <c r="Q774" s="67"/>
    </row>
    <row r="775" spans="1:17" s="68" customFormat="1" x14ac:dyDescent="0.35">
      <c r="A775" s="66"/>
      <c r="B775" s="66"/>
      <c r="C775" s="67"/>
      <c r="D775" s="67"/>
      <c r="E775" s="67"/>
      <c r="F775" s="67"/>
      <c r="G775" s="67"/>
      <c r="H775" s="67"/>
      <c r="I775" s="67"/>
      <c r="J775" s="67"/>
      <c r="K775" s="67"/>
      <c r="L775" s="67"/>
      <c r="M775" s="67"/>
      <c r="N775" s="67"/>
      <c r="Q775" s="67"/>
    </row>
    <row r="776" spans="1:17" s="68" customFormat="1" x14ac:dyDescent="0.35">
      <c r="A776" s="66"/>
      <c r="B776" s="66"/>
      <c r="C776" s="67"/>
      <c r="D776" s="67"/>
      <c r="E776" s="67"/>
      <c r="F776" s="67"/>
      <c r="G776" s="67"/>
      <c r="H776" s="67"/>
      <c r="I776" s="67"/>
      <c r="J776" s="67"/>
      <c r="K776" s="67"/>
      <c r="L776" s="67"/>
      <c r="M776" s="67"/>
      <c r="N776" s="67"/>
      <c r="Q776" s="67"/>
    </row>
    <row r="777" spans="1:17" s="68" customFormat="1" x14ac:dyDescent="0.35">
      <c r="A777" s="66"/>
      <c r="B777" s="66"/>
      <c r="C777" s="67"/>
      <c r="D777" s="67"/>
      <c r="E777" s="67"/>
      <c r="F777" s="67"/>
      <c r="G777" s="67"/>
      <c r="H777" s="67"/>
      <c r="I777" s="67"/>
      <c r="J777" s="67"/>
      <c r="K777" s="67"/>
      <c r="L777" s="67"/>
      <c r="M777" s="67"/>
      <c r="N777" s="67"/>
      <c r="Q777" s="67"/>
    </row>
    <row r="778" spans="1:17" s="68" customFormat="1" x14ac:dyDescent="0.35">
      <c r="A778" s="66"/>
      <c r="B778" s="66"/>
      <c r="C778" s="67"/>
      <c r="D778" s="67"/>
      <c r="E778" s="67"/>
      <c r="F778" s="67"/>
      <c r="G778" s="67"/>
      <c r="H778" s="67"/>
      <c r="I778" s="67"/>
      <c r="J778" s="67"/>
      <c r="K778" s="67"/>
      <c r="L778" s="67"/>
      <c r="M778" s="67"/>
      <c r="N778" s="67"/>
      <c r="Q778" s="67"/>
    </row>
    <row r="779" spans="1:17" s="68" customFormat="1" x14ac:dyDescent="0.35">
      <c r="A779" s="66"/>
      <c r="B779" s="66"/>
      <c r="C779" s="67"/>
      <c r="D779" s="67"/>
      <c r="E779" s="67"/>
      <c r="F779" s="67"/>
      <c r="G779" s="67"/>
      <c r="H779" s="67"/>
      <c r="I779" s="67"/>
      <c r="J779" s="67"/>
      <c r="K779" s="67"/>
      <c r="L779" s="67"/>
      <c r="M779" s="67"/>
      <c r="N779" s="67"/>
      <c r="Q779" s="67"/>
    </row>
    <row r="780" spans="1:17" s="68" customFormat="1" x14ac:dyDescent="0.35">
      <c r="A780" s="66"/>
      <c r="B780" s="66"/>
      <c r="C780" s="67"/>
      <c r="D780" s="67"/>
      <c r="E780" s="67"/>
      <c r="F780" s="67"/>
      <c r="G780" s="67"/>
      <c r="H780" s="67"/>
      <c r="I780" s="67"/>
      <c r="J780" s="67"/>
      <c r="K780" s="67"/>
      <c r="L780" s="67"/>
      <c r="M780" s="67"/>
      <c r="N780" s="67"/>
      <c r="Q780" s="67"/>
    </row>
    <row r="781" spans="1:17" s="68" customFormat="1" x14ac:dyDescent="0.35">
      <c r="A781" s="66"/>
      <c r="B781" s="66"/>
      <c r="C781" s="67"/>
      <c r="D781" s="67"/>
      <c r="E781" s="67"/>
      <c r="F781" s="67"/>
      <c r="G781" s="67"/>
      <c r="H781" s="67"/>
      <c r="I781" s="67"/>
      <c r="J781" s="67"/>
      <c r="K781" s="67"/>
      <c r="L781" s="67"/>
      <c r="M781" s="67"/>
      <c r="N781" s="67"/>
      <c r="Q781" s="67"/>
    </row>
    <row r="782" spans="1:17" s="68" customFormat="1" x14ac:dyDescent="0.35">
      <c r="A782" s="66"/>
      <c r="B782" s="66"/>
      <c r="C782" s="67"/>
      <c r="D782" s="67"/>
      <c r="E782" s="67"/>
      <c r="F782" s="67"/>
      <c r="G782" s="67"/>
      <c r="H782" s="67"/>
      <c r="I782" s="67"/>
      <c r="J782" s="67"/>
      <c r="K782" s="67"/>
      <c r="L782" s="67"/>
      <c r="M782" s="67"/>
      <c r="N782" s="67"/>
      <c r="Q782" s="67"/>
    </row>
    <row r="783" spans="1:17" s="68" customFormat="1" x14ac:dyDescent="0.35">
      <c r="A783" s="66"/>
      <c r="B783" s="66"/>
      <c r="C783" s="67"/>
      <c r="D783" s="67"/>
      <c r="E783" s="67"/>
      <c r="F783" s="67"/>
      <c r="G783" s="67"/>
      <c r="H783" s="67"/>
      <c r="I783" s="67"/>
      <c r="J783" s="67"/>
      <c r="K783" s="67"/>
      <c r="L783" s="67"/>
      <c r="M783" s="67"/>
      <c r="N783" s="67"/>
      <c r="Q783" s="67"/>
    </row>
    <row r="784" spans="1:17" s="68" customFormat="1" x14ac:dyDescent="0.35">
      <c r="A784" s="66"/>
      <c r="B784" s="66"/>
      <c r="C784" s="67"/>
      <c r="D784" s="67"/>
      <c r="E784" s="67"/>
      <c r="F784" s="67"/>
      <c r="G784" s="67"/>
      <c r="H784" s="67"/>
      <c r="I784" s="67"/>
      <c r="J784" s="67"/>
      <c r="K784" s="67"/>
      <c r="L784" s="67"/>
      <c r="M784" s="67"/>
      <c r="N784" s="67"/>
      <c r="Q784" s="67"/>
    </row>
    <row r="785" spans="1:17" s="68" customFormat="1" x14ac:dyDescent="0.35">
      <c r="A785" s="66"/>
      <c r="B785" s="66"/>
      <c r="C785" s="67"/>
      <c r="D785" s="67"/>
      <c r="E785" s="67"/>
      <c r="F785" s="67"/>
      <c r="G785" s="67"/>
      <c r="H785" s="67"/>
      <c r="I785" s="67"/>
      <c r="J785" s="67"/>
      <c r="K785" s="67"/>
      <c r="L785" s="67"/>
      <c r="M785" s="67"/>
      <c r="N785" s="67"/>
      <c r="Q785" s="67"/>
    </row>
    <row r="786" spans="1:17" s="68" customFormat="1" x14ac:dyDescent="0.35">
      <c r="A786" s="66"/>
      <c r="B786" s="66"/>
      <c r="C786" s="67"/>
      <c r="D786" s="67"/>
      <c r="E786" s="67"/>
      <c r="F786" s="67"/>
      <c r="G786" s="67"/>
      <c r="H786" s="67"/>
      <c r="I786" s="67"/>
      <c r="J786" s="67"/>
      <c r="K786" s="67"/>
      <c r="L786" s="67"/>
      <c r="M786" s="67"/>
      <c r="N786" s="67"/>
      <c r="Q786" s="67"/>
    </row>
    <row r="787" spans="1:17" s="68" customFormat="1" x14ac:dyDescent="0.35">
      <c r="A787" s="66"/>
      <c r="B787" s="66"/>
      <c r="C787" s="67"/>
      <c r="D787" s="67"/>
      <c r="E787" s="67"/>
      <c r="F787" s="67"/>
      <c r="G787" s="67"/>
      <c r="H787" s="67"/>
      <c r="I787" s="67"/>
      <c r="J787" s="67"/>
      <c r="K787" s="67"/>
      <c r="L787" s="67"/>
      <c r="M787" s="67"/>
      <c r="N787" s="67"/>
      <c r="Q787" s="67"/>
    </row>
    <row r="788" spans="1:17" s="68" customFormat="1" x14ac:dyDescent="0.35">
      <c r="A788" s="66"/>
      <c r="B788" s="66"/>
      <c r="C788" s="67"/>
      <c r="D788" s="67"/>
      <c r="E788" s="67"/>
      <c r="F788" s="67"/>
      <c r="G788" s="67"/>
      <c r="H788" s="67"/>
      <c r="I788" s="67"/>
      <c r="J788" s="67"/>
      <c r="K788" s="67"/>
      <c r="L788" s="67"/>
      <c r="M788" s="67"/>
      <c r="N788" s="67"/>
      <c r="Q788" s="67"/>
    </row>
    <row r="789" spans="1:17" s="68" customFormat="1" x14ac:dyDescent="0.35">
      <c r="A789" s="66"/>
      <c r="B789" s="66"/>
      <c r="C789" s="67"/>
      <c r="D789" s="67"/>
      <c r="E789" s="67"/>
      <c r="F789" s="67"/>
      <c r="G789" s="67"/>
      <c r="H789" s="67"/>
      <c r="I789" s="67"/>
      <c r="J789" s="67"/>
      <c r="K789" s="67"/>
      <c r="L789" s="67"/>
      <c r="M789" s="67"/>
      <c r="N789" s="67"/>
      <c r="Q789" s="67"/>
    </row>
    <row r="790" spans="1:17" s="68" customFormat="1" x14ac:dyDescent="0.35">
      <c r="A790" s="66"/>
      <c r="B790" s="66"/>
      <c r="C790" s="67"/>
      <c r="D790" s="67"/>
      <c r="E790" s="67"/>
      <c r="F790" s="67"/>
      <c r="G790" s="67"/>
      <c r="H790" s="67"/>
      <c r="I790" s="67"/>
      <c r="J790" s="67"/>
      <c r="K790" s="67"/>
      <c r="L790" s="67"/>
      <c r="M790" s="67"/>
      <c r="N790" s="67"/>
      <c r="Q790" s="67"/>
    </row>
    <row r="791" spans="1:17" s="68" customFormat="1" x14ac:dyDescent="0.35">
      <c r="A791" s="66"/>
      <c r="B791" s="66"/>
      <c r="C791" s="67"/>
      <c r="D791" s="67"/>
      <c r="E791" s="67"/>
      <c r="F791" s="67"/>
      <c r="G791" s="67"/>
      <c r="H791" s="67"/>
      <c r="I791" s="67"/>
      <c r="J791" s="67"/>
      <c r="K791" s="67"/>
      <c r="L791" s="67"/>
      <c r="M791" s="67"/>
      <c r="N791" s="67"/>
      <c r="Q791" s="67"/>
    </row>
    <row r="792" spans="1:17" s="68" customFormat="1" x14ac:dyDescent="0.35">
      <c r="A792" s="66"/>
      <c r="B792" s="66"/>
      <c r="C792" s="67"/>
      <c r="D792" s="67"/>
      <c r="E792" s="67"/>
      <c r="F792" s="67"/>
      <c r="G792" s="67"/>
      <c r="H792" s="67"/>
      <c r="I792" s="67"/>
      <c r="J792" s="67"/>
      <c r="K792" s="67"/>
      <c r="L792" s="67"/>
      <c r="M792" s="67"/>
      <c r="N792" s="67"/>
      <c r="Q792" s="67"/>
    </row>
    <row r="793" spans="1:17" s="68" customFormat="1" x14ac:dyDescent="0.35">
      <c r="A793" s="66"/>
      <c r="B793" s="66"/>
      <c r="C793" s="67"/>
      <c r="D793" s="67"/>
      <c r="E793" s="67"/>
      <c r="F793" s="67"/>
      <c r="G793" s="67"/>
      <c r="H793" s="67"/>
      <c r="I793" s="67"/>
      <c r="J793" s="67"/>
      <c r="K793" s="67"/>
      <c r="L793" s="67"/>
      <c r="M793" s="67"/>
      <c r="N793" s="67"/>
      <c r="Q793" s="67"/>
    </row>
    <row r="794" spans="1:17" s="68" customFormat="1" x14ac:dyDescent="0.35">
      <c r="A794" s="66"/>
      <c r="B794" s="66"/>
      <c r="C794" s="67"/>
      <c r="D794" s="67"/>
      <c r="E794" s="67"/>
      <c r="F794" s="67"/>
      <c r="G794" s="67"/>
      <c r="H794" s="67"/>
      <c r="I794" s="67"/>
      <c r="J794" s="67"/>
      <c r="K794" s="67"/>
      <c r="L794" s="67"/>
      <c r="M794" s="67"/>
      <c r="N794" s="67"/>
      <c r="Q794" s="67"/>
    </row>
    <row r="795" spans="1:17" s="68" customFormat="1" x14ac:dyDescent="0.35">
      <c r="A795" s="66"/>
      <c r="B795" s="66"/>
      <c r="C795" s="67"/>
      <c r="D795" s="67"/>
      <c r="E795" s="67"/>
      <c r="F795" s="67"/>
      <c r="G795" s="67"/>
      <c r="H795" s="67"/>
      <c r="I795" s="67"/>
      <c r="J795" s="67"/>
      <c r="K795" s="67"/>
      <c r="L795" s="67"/>
      <c r="M795" s="67"/>
      <c r="N795" s="67"/>
      <c r="Q795" s="67"/>
    </row>
    <row r="796" spans="1:17" s="68" customFormat="1" x14ac:dyDescent="0.35">
      <c r="A796" s="66"/>
      <c r="B796" s="66"/>
      <c r="C796" s="67"/>
      <c r="D796" s="67"/>
      <c r="E796" s="67"/>
      <c r="F796" s="67"/>
      <c r="G796" s="67"/>
      <c r="H796" s="67"/>
      <c r="I796" s="67"/>
      <c r="J796" s="67"/>
      <c r="K796" s="67"/>
      <c r="L796" s="67"/>
      <c r="M796" s="67"/>
      <c r="N796" s="67"/>
      <c r="Q796" s="67"/>
    </row>
    <row r="797" spans="1:17" s="68" customFormat="1" x14ac:dyDescent="0.35">
      <c r="A797" s="66"/>
      <c r="B797" s="66"/>
      <c r="C797" s="67"/>
      <c r="D797" s="67"/>
      <c r="E797" s="67"/>
      <c r="F797" s="67"/>
      <c r="G797" s="67"/>
      <c r="H797" s="67"/>
      <c r="I797" s="67"/>
      <c r="J797" s="67"/>
      <c r="K797" s="67"/>
      <c r="L797" s="67"/>
      <c r="M797" s="67"/>
      <c r="N797" s="67"/>
      <c r="Q797" s="67"/>
    </row>
    <row r="798" spans="1:17" s="68" customFormat="1" x14ac:dyDescent="0.35">
      <c r="A798" s="66"/>
      <c r="B798" s="66"/>
      <c r="C798" s="67"/>
      <c r="D798" s="67"/>
      <c r="E798" s="67"/>
      <c r="F798" s="67"/>
      <c r="G798" s="67"/>
      <c r="H798" s="67"/>
      <c r="I798" s="67"/>
      <c r="J798" s="67"/>
      <c r="K798" s="67"/>
      <c r="L798" s="67"/>
      <c r="M798" s="67"/>
      <c r="N798" s="67"/>
      <c r="Q798" s="67"/>
    </row>
    <row r="799" spans="1:17" s="68" customFormat="1" x14ac:dyDescent="0.35">
      <c r="A799" s="66"/>
      <c r="B799" s="66"/>
      <c r="C799" s="67"/>
      <c r="D799" s="67"/>
      <c r="E799" s="67"/>
      <c r="F799" s="67"/>
      <c r="G799" s="67"/>
      <c r="H799" s="67"/>
      <c r="I799" s="67"/>
      <c r="J799" s="67"/>
      <c r="K799" s="67"/>
      <c r="L799" s="67"/>
      <c r="M799" s="67"/>
      <c r="N799" s="67"/>
      <c r="Q799" s="67"/>
    </row>
    <row r="800" spans="1:17" s="68" customFormat="1" x14ac:dyDescent="0.35">
      <c r="A800" s="66"/>
      <c r="B800" s="66"/>
      <c r="C800" s="67"/>
      <c r="D800" s="67"/>
      <c r="E800" s="67"/>
      <c r="F800" s="67"/>
      <c r="G800" s="67"/>
      <c r="H800" s="67"/>
      <c r="I800" s="67"/>
      <c r="J800" s="67"/>
      <c r="K800" s="67"/>
      <c r="L800" s="67"/>
      <c r="M800" s="67"/>
      <c r="N800" s="67"/>
      <c r="Q800" s="67"/>
    </row>
    <row r="801" spans="1:17" s="68" customFormat="1" x14ac:dyDescent="0.35">
      <c r="A801" s="66"/>
      <c r="B801" s="66"/>
      <c r="C801" s="67"/>
      <c r="D801" s="67"/>
      <c r="E801" s="67"/>
      <c r="F801" s="67"/>
      <c r="G801" s="67"/>
      <c r="H801" s="67"/>
      <c r="I801" s="67"/>
      <c r="J801" s="67"/>
      <c r="K801" s="67"/>
      <c r="L801" s="67"/>
      <c r="M801" s="67"/>
      <c r="N801" s="67"/>
      <c r="Q801" s="67"/>
    </row>
    <row r="802" spans="1:17" s="68" customFormat="1" x14ac:dyDescent="0.35">
      <c r="A802" s="66"/>
      <c r="B802" s="66"/>
      <c r="C802" s="67"/>
      <c r="D802" s="67"/>
      <c r="E802" s="67"/>
      <c r="F802" s="67"/>
      <c r="G802" s="67"/>
      <c r="H802" s="67"/>
      <c r="I802" s="67"/>
      <c r="J802" s="67"/>
      <c r="K802" s="67"/>
      <c r="L802" s="67"/>
      <c r="M802" s="67"/>
      <c r="N802" s="67"/>
      <c r="Q802" s="67"/>
    </row>
    <row r="803" spans="1:17" s="68" customFormat="1" x14ac:dyDescent="0.35">
      <c r="A803" s="66"/>
      <c r="B803" s="66"/>
      <c r="C803" s="67"/>
      <c r="D803" s="67"/>
      <c r="E803" s="67"/>
      <c r="F803" s="67"/>
      <c r="G803" s="67"/>
      <c r="H803" s="67"/>
      <c r="I803" s="67"/>
      <c r="J803" s="67"/>
      <c r="K803" s="67"/>
      <c r="L803" s="67"/>
      <c r="M803" s="67"/>
      <c r="N803" s="67"/>
      <c r="Q803" s="67"/>
    </row>
    <row r="804" spans="1:17" s="68" customFormat="1" x14ac:dyDescent="0.35">
      <c r="A804" s="66"/>
      <c r="B804" s="66"/>
      <c r="C804" s="67"/>
      <c r="D804" s="67"/>
      <c r="E804" s="67"/>
      <c r="F804" s="67"/>
      <c r="G804" s="67"/>
      <c r="H804" s="67"/>
      <c r="I804" s="67"/>
      <c r="J804" s="67"/>
      <c r="K804" s="67"/>
      <c r="L804" s="67"/>
      <c r="M804" s="67"/>
      <c r="N804" s="67"/>
      <c r="Q804" s="67"/>
    </row>
    <row r="805" spans="1:17" s="68" customFormat="1" x14ac:dyDescent="0.35">
      <c r="A805" s="66"/>
      <c r="B805" s="66"/>
      <c r="C805" s="67"/>
      <c r="D805" s="67"/>
      <c r="E805" s="67"/>
      <c r="F805" s="67"/>
      <c r="G805" s="67"/>
      <c r="H805" s="67"/>
      <c r="I805" s="67"/>
      <c r="J805" s="67"/>
      <c r="K805" s="67"/>
      <c r="L805" s="67"/>
      <c r="M805" s="67"/>
      <c r="N805" s="67"/>
      <c r="Q805" s="67"/>
    </row>
    <row r="806" spans="1:17" s="68" customFormat="1" x14ac:dyDescent="0.35">
      <c r="A806" s="66"/>
      <c r="B806" s="66"/>
      <c r="C806" s="67"/>
      <c r="D806" s="67"/>
      <c r="E806" s="67"/>
      <c r="F806" s="67"/>
      <c r="G806" s="67"/>
      <c r="H806" s="67"/>
      <c r="I806" s="67"/>
      <c r="J806" s="67"/>
      <c r="K806" s="67"/>
      <c r="L806" s="67"/>
      <c r="M806" s="67"/>
      <c r="N806" s="67"/>
      <c r="Q806" s="67"/>
    </row>
    <row r="807" spans="1:17" s="68" customFormat="1" x14ac:dyDescent="0.35">
      <c r="A807" s="66"/>
      <c r="B807" s="66"/>
      <c r="C807" s="67"/>
      <c r="D807" s="67"/>
      <c r="E807" s="67"/>
      <c r="F807" s="67"/>
      <c r="G807" s="67"/>
      <c r="H807" s="67"/>
      <c r="I807" s="67"/>
      <c r="J807" s="67"/>
      <c r="K807" s="67"/>
      <c r="L807" s="67"/>
      <c r="M807" s="67"/>
      <c r="N807" s="67"/>
      <c r="Q807" s="67"/>
    </row>
    <row r="808" spans="1:17" s="68" customFormat="1" x14ac:dyDescent="0.35">
      <c r="A808" s="66"/>
      <c r="B808" s="66"/>
      <c r="C808" s="67"/>
      <c r="D808" s="67"/>
      <c r="E808" s="67"/>
      <c r="F808" s="67"/>
      <c r="G808" s="67"/>
      <c r="H808" s="67"/>
      <c r="I808" s="67"/>
      <c r="J808" s="67"/>
      <c r="K808" s="67"/>
      <c r="L808" s="67"/>
      <c r="M808" s="67"/>
      <c r="N808" s="67"/>
      <c r="Q808" s="67"/>
    </row>
    <row r="809" spans="1:17" s="68" customFormat="1" x14ac:dyDescent="0.35">
      <c r="A809" s="66"/>
      <c r="B809" s="66"/>
      <c r="C809" s="67"/>
      <c r="D809" s="67"/>
      <c r="E809" s="67"/>
      <c r="F809" s="67"/>
      <c r="G809" s="67"/>
      <c r="H809" s="67"/>
      <c r="I809" s="67"/>
      <c r="J809" s="67"/>
      <c r="K809" s="67"/>
      <c r="L809" s="67"/>
      <c r="M809" s="67"/>
      <c r="N809" s="67"/>
      <c r="Q809" s="67"/>
    </row>
    <row r="810" spans="1:17" s="68" customFormat="1" x14ac:dyDescent="0.35">
      <c r="A810" s="66"/>
      <c r="B810" s="66"/>
      <c r="C810" s="67"/>
      <c r="D810" s="67"/>
      <c r="E810" s="67"/>
      <c r="F810" s="67"/>
      <c r="G810" s="67"/>
      <c r="H810" s="67"/>
      <c r="I810" s="67"/>
      <c r="J810" s="67"/>
      <c r="K810" s="67"/>
      <c r="L810" s="67"/>
      <c r="M810" s="67"/>
      <c r="N810" s="67"/>
      <c r="Q810" s="67"/>
    </row>
    <row r="811" spans="1:17" s="68" customFormat="1" x14ac:dyDescent="0.35">
      <c r="A811" s="66"/>
      <c r="B811" s="66"/>
      <c r="C811" s="67"/>
      <c r="D811" s="67"/>
      <c r="E811" s="67"/>
      <c r="F811" s="67"/>
      <c r="G811" s="67"/>
      <c r="H811" s="67"/>
      <c r="I811" s="67"/>
      <c r="J811" s="67"/>
      <c r="K811" s="67"/>
      <c r="L811" s="67"/>
      <c r="M811" s="67"/>
      <c r="N811" s="67"/>
      <c r="Q811" s="67"/>
    </row>
    <row r="812" spans="1:17" s="68" customFormat="1" x14ac:dyDescent="0.35">
      <c r="A812" s="66"/>
      <c r="B812" s="66"/>
      <c r="C812" s="67"/>
      <c r="D812" s="67"/>
      <c r="E812" s="67"/>
      <c r="F812" s="67"/>
      <c r="G812" s="67"/>
      <c r="H812" s="67"/>
      <c r="I812" s="67"/>
      <c r="J812" s="67"/>
      <c r="K812" s="67"/>
      <c r="L812" s="67"/>
      <c r="M812" s="67"/>
      <c r="N812" s="67"/>
      <c r="Q812" s="67"/>
    </row>
    <row r="813" spans="1:17" s="68" customFormat="1" x14ac:dyDescent="0.35">
      <c r="A813" s="66"/>
      <c r="B813" s="66"/>
      <c r="C813" s="67"/>
      <c r="D813" s="67"/>
      <c r="E813" s="67"/>
      <c r="F813" s="67"/>
      <c r="G813" s="67"/>
      <c r="H813" s="67"/>
      <c r="I813" s="67"/>
      <c r="J813" s="67"/>
      <c r="K813" s="67"/>
      <c r="L813" s="67"/>
      <c r="M813" s="67"/>
      <c r="N813" s="67"/>
      <c r="Q813" s="67"/>
    </row>
    <row r="814" spans="1:17" s="68" customFormat="1" x14ac:dyDescent="0.35">
      <c r="A814" s="66"/>
      <c r="B814" s="66"/>
      <c r="C814" s="67"/>
      <c r="D814" s="67"/>
      <c r="E814" s="67"/>
      <c r="F814" s="67"/>
      <c r="G814" s="67"/>
      <c r="H814" s="67"/>
      <c r="I814" s="67"/>
      <c r="J814" s="67"/>
      <c r="K814" s="67"/>
      <c r="L814" s="67"/>
      <c r="M814" s="67"/>
      <c r="N814" s="67"/>
      <c r="Q814" s="67"/>
    </row>
    <row r="815" spans="1:17" s="68" customFormat="1" x14ac:dyDescent="0.35">
      <c r="A815" s="66"/>
      <c r="B815" s="66"/>
      <c r="C815" s="67"/>
      <c r="D815" s="67"/>
      <c r="E815" s="67"/>
      <c r="F815" s="67"/>
      <c r="G815" s="67"/>
      <c r="H815" s="67"/>
      <c r="I815" s="67"/>
      <c r="J815" s="67"/>
      <c r="K815" s="67"/>
      <c r="L815" s="67"/>
      <c r="M815" s="67"/>
      <c r="N815" s="67"/>
      <c r="Q815" s="67"/>
    </row>
    <row r="816" spans="1:17" s="68" customFormat="1" x14ac:dyDescent="0.35">
      <c r="A816" s="66"/>
      <c r="B816" s="66"/>
      <c r="C816" s="67"/>
      <c r="D816" s="67"/>
      <c r="E816" s="67"/>
      <c r="F816" s="67"/>
      <c r="G816" s="67"/>
      <c r="H816" s="67"/>
      <c r="I816" s="67"/>
      <c r="J816" s="67"/>
      <c r="K816" s="67"/>
      <c r="L816" s="67"/>
      <c r="M816" s="67"/>
      <c r="N816" s="67"/>
      <c r="Q816" s="67"/>
    </row>
    <row r="817" spans="1:17" s="68" customFormat="1" x14ac:dyDescent="0.35">
      <c r="A817" s="66"/>
      <c r="B817" s="66"/>
      <c r="C817" s="67"/>
      <c r="D817" s="67"/>
      <c r="E817" s="67"/>
      <c r="F817" s="67"/>
      <c r="G817" s="67"/>
      <c r="H817" s="67"/>
      <c r="I817" s="67"/>
      <c r="J817" s="67"/>
      <c r="K817" s="67"/>
      <c r="L817" s="67"/>
      <c r="M817" s="67"/>
      <c r="N817" s="67"/>
      <c r="Q817" s="67"/>
    </row>
    <row r="818" spans="1:17" s="68" customFormat="1" x14ac:dyDescent="0.35">
      <c r="A818" s="66"/>
      <c r="B818" s="66"/>
      <c r="C818" s="67"/>
      <c r="D818" s="67"/>
      <c r="E818" s="67"/>
      <c r="F818" s="67"/>
      <c r="G818" s="67"/>
      <c r="H818" s="67"/>
      <c r="I818" s="67"/>
      <c r="J818" s="67"/>
      <c r="K818" s="67"/>
      <c r="L818" s="67"/>
      <c r="M818" s="67"/>
      <c r="N818" s="67"/>
      <c r="Q818" s="67"/>
    </row>
    <row r="819" spans="1:17" s="68" customFormat="1" x14ac:dyDescent="0.35">
      <c r="A819" s="66"/>
      <c r="B819" s="66"/>
      <c r="C819" s="67"/>
      <c r="D819" s="67"/>
      <c r="E819" s="67"/>
      <c r="F819" s="67"/>
      <c r="G819" s="67"/>
      <c r="H819" s="67"/>
      <c r="I819" s="67"/>
      <c r="J819" s="67"/>
      <c r="K819" s="67"/>
      <c r="L819" s="67"/>
      <c r="M819" s="67"/>
      <c r="N819" s="67"/>
      <c r="Q819" s="67"/>
    </row>
    <row r="820" spans="1:17" s="68" customFormat="1" x14ac:dyDescent="0.35">
      <c r="A820" s="66"/>
      <c r="B820" s="66"/>
      <c r="C820" s="67"/>
      <c r="D820" s="67"/>
      <c r="E820" s="67"/>
      <c r="F820" s="67"/>
      <c r="G820" s="67"/>
      <c r="H820" s="67"/>
      <c r="I820" s="67"/>
      <c r="J820" s="67"/>
      <c r="K820" s="67"/>
      <c r="L820" s="67"/>
      <c r="M820" s="67"/>
      <c r="N820" s="67"/>
      <c r="Q820" s="67"/>
    </row>
    <row r="821" spans="1:17" s="68" customFormat="1" x14ac:dyDescent="0.35">
      <c r="A821" s="66"/>
      <c r="B821" s="66"/>
      <c r="C821" s="67"/>
      <c r="D821" s="67"/>
      <c r="E821" s="67"/>
      <c r="F821" s="67"/>
      <c r="G821" s="67"/>
      <c r="H821" s="67"/>
      <c r="I821" s="67"/>
      <c r="J821" s="67"/>
      <c r="K821" s="67"/>
      <c r="L821" s="67"/>
      <c r="M821" s="67"/>
      <c r="N821" s="67"/>
      <c r="Q821" s="67"/>
    </row>
    <row r="822" spans="1:17" s="68" customFormat="1" x14ac:dyDescent="0.35">
      <c r="A822" s="66"/>
      <c r="B822" s="66"/>
      <c r="C822" s="67"/>
      <c r="D822" s="67"/>
      <c r="E822" s="67"/>
      <c r="F822" s="67"/>
      <c r="G822" s="67"/>
      <c r="H822" s="67"/>
      <c r="I822" s="67"/>
      <c r="J822" s="67"/>
      <c r="K822" s="67"/>
      <c r="L822" s="67"/>
      <c r="M822" s="67"/>
      <c r="N822" s="67"/>
      <c r="Q822" s="67"/>
    </row>
    <row r="823" spans="1:17" s="68" customFormat="1" x14ac:dyDescent="0.35">
      <c r="A823" s="66"/>
      <c r="B823" s="66"/>
      <c r="C823" s="67"/>
      <c r="D823" s="67"/>
      <c r="E823" s="67"/>
      <c r="F823" s="67"/>
      <c r="G823" s="67"/>
      <c r="H823" s="67"/>
      <c r="I823" s="67"/>
      <c r="J823" s="67"/>
      <c r="K823" s="67"/>
      <c r="L823" s="67"/>
      <c r="M823" s="67"/>
      <c r="N823" s="67"/>
      <c r="Q823" s="67"/>
    </row>
    <row r="824" spans="1:17" s="68" customFormat="1" x14ac:dyDescent="0.35">
      <c r="A824" s="66"/>
      <c r="B824" s="66"/>
      <c r="C824" s="67"/>
      <c r="D824" s="67"/>
      <c r="E824" s="67"/>
      <c r="F824" s="67"/>
      <c r="G824" s="67"/>
      <c r="H824" s="67"/>
      <c r="I824" s="67"/>
      <c r="J824" s="67"/>
      <c r="K824" s="67"/>
      <c r="L824" s="67"/>
      <c r="M824" s="67"/>
      <c r="N824" s="67"/>
      <c r="Q824" s="67"/>
    </row>
    <row r="825" spans="1:17" s="68" customFormat="1" x14ac:dyDescent="0.35">
      <c r="A825" s="66"/>
      <c r="B825" s="66"/>
      <c r="C825" s="67"/>
      <c r="D825" s="67"/>
      <c r="E825" s="67"/>
      <c r="F825" s="67"/>
      <c r="G825" s="67"/>
      <c r="H825" s="67"/>
      <c r="I825" s="67"/>
      <c r="J825" s="67"/>
      <c r="K825" s="67"/>
      <c r="L825" s="67"/>
      <c r="M825" s="67"/>
      <c r="N825" s="67"/>
      <c r="Q825" s="67"/>
    </row>
    <row r="826" spans="1:17" s="68" customFormat="1" x14ac:dyDescent="0.35">
      <c r="A826" s="66"/>
      <c r="B826" s="66"/>
      <c r="C826" s="67"/>
      <c r="D826" s="67"/>
      <c r="E826" s="67"/>
      <c r="F826" s="67"/>
      <c r="G826" s="67"/>
      <c r="H826" s="67"/>
      <c r="I826" s="67"/>
      <c r="J826" s="67"/>
      <c r="K826" s="67"/>
      <c r="L826" s="67"/>
      <c r="M826" s="67"/>
      <c r="N826" s="67"/>
      <c r="Q826" s="67"/>
    </row>
    <row r="827" spans="1:17" s="68" customFormat="1" x14ac:dyDescent="0.35">
      <c r="A827" s="66"/>
      <c r="B827" s="66"/>
      <c r="C827" s="67"/>
      <c r="D827" s="67"/>
      <c r="E827" s="67"/>
      <c r="F827" s="67"/>
      <c r="G827" s="67"/>
      <c r="H827" s="67"/>
      <c r="I827" s="67"/>
      <c r="J827" s="67"/>
      <c r="K827" s="67"/>
      <c r="L827" s="67"/>
      <c r="M827" s="67"/>
      <c r="N827" s="67"/>
      <c r="Q827" s="67"/>
    </row>
    <row r="828" spans="1:17" s="68" customFormat="1" x14ac:dyDescent="0.35">
      <c r="A828" s="66"/>
      <c r="B828" s="66"/>
      <c r="C828" s="67"/>
      <c r="D828" s="67"/>
      <c r="E828" s="67"/>
      <c r="F828" s="67"/>
      <c r="G828" s="67"/>
      <c r="H828" s="67"/>
      <c r="I828" s="67"/>
      <c r="J828" s="67"/>
      <c r="K828" s="67"/>
      <c r="L828" s="67"/>
      <c r="M828" s="67"/>
      <c r="N828" s="67"/>
      <c r="Q828" s="67"/>
    </row>
    <row r="829" spans="1:17" s="68" customFormat="1" x14ac:dyDescent="0.35">
      <c r="A829" s="66"/>
      <c r="B829" s="66"/>
      <c r="C829" s="67"/>
      <c r="D829" s="67"/>
      <c r="E829" s="67"/>
      <c r="F829" s="67"/>
      <c r="G829" s="67"/>
      <c r="H829" s="67"/>
      <c r="I829" s="67"/>
      <c r="J829" s="67"/>
      <c r="K829" s="67"/>
      <c r="L829" s="67"/>
      <c r="M829" s="67"/>
      <c r="N829" s="67"/>
      <c r="Q829" s="67"/>
    </row>
    <row r="830" spans="1:17" s="68" customFormat="1" x14ac:dyDescent="0.35">
      <c r="A830" s="66"/>
      <c r="B830" s="66"/>
      <c r="C830" s="67"/>
      <c r="D830" s="67"/>
      <c r="E830" s="67"/>
      <c r="F830" s="67"/>
      <c r="G830" s="67"/>
      <c r="H830" s="67"/>
      <c r="I830" s="67"/>
      <c r="J830" s="67"/>
      <c r="K830" s="67"/>
      <c r="L830" s="67"/>
      <c r="M830" s="67"/>
      <c r="N830" s="67"/>
      <c r="Q830" s="67"/>
    </row>
    <row r="831" spans="1:17" s="68" customFormat="1" x14ac:dyDescent="0.35">
      <c r="A831" s="66"/>
      <c r="B831" s="66"/>
      <c r="C831" s="67"/>
      <c r="D831" s="67"/>
      <c r="E831" s="67"/>
      <c r="F831" s="67"/>
      <c r="G831" s="67"/>
      <c r="H831" s="67"/>
      <c r="I831" s="67"/>
      <c r="J831" s="67"/>
      <c r="K831" s="67"/>
      <c r="L831" s="67"/>
      <c r="M831" s="67"/>
      <c r="N831" s="67"/>
      <c r="Q831" s="67"/>
    </row>
    <row r="832" spans="1:17" s="68" customFormat="1" x14ac:dyDescent="0.35">
      <c r="A832" s="66"/>
      <c r="B832" s="66"/>
      <c r="C832" s="67"/>
      <c r="D832" s="67"/>
      <c r="E832" s="67"/>
      <c r="F832" s="67"/>
      <c r="G832" s="67"/>
      <c r="H832" s="67"/>
      <c r="I832" s="67"/>
      <c r="J832" s="67"/>
      <c r="K832" s="67"/>
      <c r="L832" s="67"/>
      <c r="M832" s="67"/>
      <c r="N832" s="67"/>
      <c r="Q832" s="67"/>
    </row>
    <row r="833" spans="1:17" s="68" customFormat="1" x14ac:dyDescent="0.35">
      <c r="A833" s="66"/>
      <c r="B833" s="66"/>
      <c r="C833" s="67"/>
      <c r="D833" s="67"/>
      <c r="E833" s="67"/>
      <c r="F833" s="67"/>
      <c r="G833" s="67"/>
      <c r="H833" s="67"/>
      <c r="I833" s="67"/>
      <c r="J833" s="67"/>
      <c r="K833" s="67"/>
      <c r="L833" s="67"/>
      <c r="M833" s="67"/>
      <c r="N833" s="67"/>
      <c r="Q833" s="67"/>
    </row>
    <row r="834" spans="1:17" s="68" customFormat="1" x14ac:dyDescent="0.35">
      <c r="A834" s="66"/>
      <c r="B834" s="66"/>
      <c r="C834" s="67"/>
      <c r="D834" s="67"/>
      <c r="E834" s="67"/>
      <c r="F834" s="67"/>
      <c r="G834" s="67"/>
      <c r="H834" s="67"/>
      <c r="I834" s="67"/>
      <c r="J834" s="67"/>
      <c r="K834" s="67"/>
      <c r="L834" s="67"/>
      <c r="M834" s="67"/>
      <c r="N834" s="67"/>
      <c r="Q834" s="67"/>
    </row>
    <row r="835" spans="1:17" s="68" customFormat="1" x14ac:dyDescent="0.35">
      <c r="A835" s="66"/>
      <c r="B835" s="66"/>
      <c r="C835" s="67"/>
      <c r="D835" s="67"/>
      <c r="E835" s="67"/>
      <c r="F835" s="67"/>
      <c r="G835" s="67"/>
      <c r="H835" s="67"/>
      <c r="I835" s="67"/>
      <c r="J835" s="67"/>
      <c r="K835" s="67"/>
      <c r="L835" s="67"/>
      <c r="M835" s="67"/>
      <c r="N835" s="67"/>
      <c r="Q835" s="67"/>
    </row>
    <row r="836" spans="1:17" s="68" customFormat="1" x14ac:dyDescent="0.35">
      <c r="A836" s="66"/>
      <c r="B836" s="66"/>
      <c r="C836" s="67"/>
      <c r="D836" s="67"/>
      <c r="E836" s="67"/>
      <c r="F836" s="67"/>
      <c r="G836" s="67"/>
      <c r="H836" s="67"/>
      <c r="I836" s="67"/>
      <c r="J836" s="67"/>
      <c r="K836" s="67"/>
      <c r="L836" s="67"/>
      <c r="M836" s="67"/>
      <c r="N836" s="67"/>
      <c r="Q836" s="67"/>
    </row>
    <row r="837" spans="1:17" s="68" customFormat="1" x14ac:dyDescent="0.35">
      <c r="A837" s="66"/>
      <c r="B837" s="66"/>
      <c r="C837" s="67"/>
      <c r="D837" s="67"/>
      <c r="E837" s="67"/>
      <c r="F837" s="67"/>
      <c r="G837" s="67"/>
      <c r="H837" s="67"/>
      <c r="I837" s="67"/>
      <c r="J837" s="67"/>
      <c r="K837" s="67"/>
      <c r="L837" s="67"/>
      <c r="M837" s="67"/>
      <c r="N837" s="67"/>
      <c r="Q837" s="67"/>
    </row>
    <row r="838" spans="1:17" s="68" customFormat="1" x14ac:dyDescent="0.35">
      <c r="A838" s="66"/>
      <c r="B838" s="66"/>
      <c r="C838" s="67"/>
      <c r="D838" s="67"/>
      <c r="E838" s="67"/>
      <c r="F838" s="67"/>
      <c r="G838" s="67"/>
      <c r="H838" s="67"/>
      <c r="I838" s="67"/>
      <c r="J838" s="67"/>
      <c r="K838" s="67"/>
      <c r="L838" s="67"/>
      <c r="M838" s="67"/>
      <c r="N838" s="67"/>
      <c r="Q838" s="67"/>
    </row>
    <row r="839" spans="1:17" s="68" customFormat="1" x14ac:dyDescent="0.35">
      <c r="A839" s="66"/>
      <c r="B839" s="66"/>
      <c r="C839" s="67"/>
      <c r="D839" s="67"/>
      <c r="E839" s="67"/>
      <c r="F839" s="67"/>
      <c r="G839" s="67"/>
      <c r="H839" s="67"/>
      <c r="I839" s="67"/>
      <c r="J839" s="67"/>
      <c r="K839" s="67"/>
      <c r="L839" s="67"/>
      <c r="M839" s="67"/>
      <c r="N839" s="67"/>
      <c r="Q839" s="67"/>
    </row>
    <row r="840" spans="1:17" s="68" customFormat="1" x14ac:dyDescent="0.35">
      <c r="A840" s="66"/>
      <c r="B840" s="66"/>
      <c r="C840" s="67"/>
      <c r="D840" s="67"/>
      <c r="E840" s="67"/>
      <c r="F840" s="67"/>
      <c r="G840" s="67"/>
      <c r="H840" s="67"/>
      <c r="I840" s="67"/>
      <c r="J840" s="67"/>
      <c r="K840" s="67"/>
      <c r="L840" s="67"/>
      <c r="M840" s="67"/>
      <c r="N840" s="67"/>
      <c r="Q840" s="67"/>
    </row>
    <row r="841" spans="1:17" s="68" customFormat="1" x14ac:dyDescent="0.35">
      <c r="A841" s="66"/>
      <c r="B841" s="66"/>
      <c r="C841" s="67"/>
      <c r="D841" s="67"/>
      <c r="E841" s="67"/>
      <c r="F841" s="67"/>
      <c r="G841" s="67"/>
      <c r="H841" s="67"/>
      <c r="I841" s="67"/>
      <c r="J841" s="67"/>
      <c r="K841" s="67"/>
      <c r="L841" s="67"/>
      <c r="M841" s="67"/>
      <c r="N841" s="67"/>
      <c r="Q841" s="67"/>
    </row>
    <row r="842" spans="1:17" s="68" customFormat="1" x14ac:dyDescent="0.35">
      <c r="A842" s="66"/>
      <c r="B842" s="66"/>
      <c r="C842" s="67"/>
      <c r="D842" s="67"/>
      <c r="E842" s="67"/>
      <c r="F842" s="67"/>
      <c r="G842" s="67"/>
      <c r="H842" s="67"/>
      <c r="I842" s="67"/>
      <c r="J842" s="67"/>
      <c r="K842" s="67"/>
      <c r="L842" s="67"/>
      <c r="M842" s="67"/>
      <c r="N842" s="67"/>
      <c r="Q842" s="67"/>
    </row>
    <row r="843" spans="1:17" s="68" customFormat="1" x14ac:dyDescent="0.35">
      <c r="A843" s="66"/>
      <c r="B843" s="66"/>
      <c r="C843" s="67"/>
      <c r="D843" s="67"/>
      <c r="E843" s="67"/>
      <c r="F843" s="67"/>
      <c r="G843" s="67"/>
      <c r="H843" s="67"/>
      <c r="I843" s="67"/>
      <c r="J843" s="67"/>
      <c r="K843" s="67"/>
      <c r="L843" s="67"/>
      <c r="M843" s="67"/>
      <c r="N843" s="67"/>
      <c r="Q843" s="67"/>
    </row>
    <row r="844" spans="1:17" s="68" customFormat="1" x14ac:dyDescent="0.35">
      <c r="A844" s="66"/>
      <c r="B844" s="66"/>
      <c r="C844" s="67"/>
      <c r="D844" s="67"/>
      <c r="E844" s="67"/>
      <c r="F844" s="67"/>
      <c r="G844" s="67"/>
      <c r="H844" s="67"/>
      <c r="I844" s="67"/>
      <c r="J844" s="67"/>
      <c r="K844" s="67"/>
      <c r="L844" s="67"/>
      <c r="M844" s="67"/>
      <c r="N844" s="67"/>
      <c r="Q844" s="67"/>
    </row>
    <row r="845" spans="1:17" s="68" customFormat="1" x14ac:dyDescent="0.35">
      <c r="A845" s="66"/>
      <c r="B845" s="66"/>
      <c r="C845" s="67"/>
      <c r="D845" s="67"/>
      <c r="E845" s="67"/>
      <c r="F845" s="67"/>
      <c r="G845" s="67"/>
      <c r="H845" s="67"/>
      <c r="I845" s="67"/>
      <c r="J845" s="67"/>
      <c r="K845" s="67"/>
      <c r="L845" s="67"/>
      <c r="M845" s="67"/>
      <c r="N845" s="67"/>
      <c r="Q845" s="67"/>
    </row>
    <row r="846" spans="1:17" s="68" customFormat="1" x14ac:dyDescent="0.35">
      <c r="A846" s="66"/>
      <c r="B846" s="66"/>
      <c r="C846" s="67"/>
      <c r="D846" s="67"/>
      <c r="E846" s="67"/>
      <c r="F846" s="67"/>
      <c r="G846" s="67"/>
      <c r="H846" s="67"/>
      <c r="I846" s="67"/>
      <c r="J846" s="67"/>
      <c r="K846" s="67"/>
      <c r="L846" s="67"/>
      <c r="M846" s="67"/>
      <c r="N846" s="67"/>
      <c r="Q846" s="67"/>
    </row>
    <row r="847" spans="1:17" s="68" customFormat="1" x14ac:dyDescent="0.35">
      <c r="A847" s="66"/>
      <c r="B847" s="66"/>
      <c r="C847" s="67"/>
      <c r="D847" s="67"/>
      <c r="E847" s="67"/>
      <c r="F847" s="67"/>
      <c r="G847" s="67"/>
      <c r="H847" s="67"/>
      <c r="I847" s="67"/>
      <c r="J847" s="67"/>
      <c r="K847" s="67"/>
      <c r="L847" s="67"/>
      <c r="M847" s="67"/>
      <c r="N847" s="67"/>
      <c r="Q847" s="67"/>
    </row>
    <row r="848" spans="1:17" s="68" customFormat="1" x14ac:dyDescent="0.35">
      <c r="A848" s="66"/>
      <c r="B848" s="66"/>
      <c r="C848" s="67"/>
      <c r="D848" s="67"/>
      <c r="E848" s="67"/>
      <c r="F848" s="67"/>
      <c r="G848" s="67"/>
      <c r="H848" s="67"/>
      <c r="I848" s="67"/>
      <c r="J848" s="67"/>
      <c r="K848" s="67"/>
      <c r="L848" s="67"/>
      <c r="M848" s="67"/>
      <c r="N848" s="67"/>
      <c r="Q848" s="67"/>
    </row>
    <row r="849" spans="1:17" s="68" customFormat="1" x14ac:dyDescent="0.35">
      <c r="A849" s="66"/>
      <c r="B849" s="66"/>
      <c r="C849" s="67"/>
      <c r="D849" s="67"/>
      <c r="E849" s="67"/>
      <c r="F849" s="67"/>
      <c r="G849" s="67"/>
      <c r="H849" s="67"/>
      <c r="I849" s="67"/>
      <c r="J849" s="67"/>
      <c r="K849" s="67"/>
      <c r="L849" s="67"/>
      <c r="M849" s="67"/>
      <c r="N849" s="67"/>
      <c r="Q849" s="67"/>
    </row>
    <row r="850" spans="1:17" s="68" customFormat="1" x14ac:dyDescent="0.35">
      <c r="A850" s="66"/>
      <c r="B850" s="66"/>
      <c r="C850" s="67"/>
      <c r="D850" s="67"/>
      <c r="E850" s="67"/>
      <c r="F850" s="67"/>
      <c r="G850" s="67"/>
      <c r="H850" s="67"/>
      <c r="I850" s="67"/>
      <c r="J850" s="67"/>
      <c r="K850" s="67"/>
      <c r="L850" s="67"/>
      <c r="M850" s="67"/>
      <c r="N850" s="67"/>
      <c r="Q850" s="67"/>
    </row>
    <row r="851" spans="1:17" s="68" customFormat="1" x14ac:dyDescent="0.35">
      <c r="A851" s="66"/>
      <c r="B851" s="66"/>
      <c r="C851" s="67"/>
      <c r="D851" s="67"/>
      <c r="E851" s="67"/>
      <c r="F851" s="67"/>
      <c r="G851" s="67"/>
      <c r="H851" s="67"/>
      <c r="I851" s="67"/>
      <c r="J851" s="67"/>
      <c r="K851" s="67"/>
      <c r="L851" s="67"/>
      <c r="M851" s="67"/>
      <c r="N851" s="67"/>
      <c r="Q851" s="67"/>
    </row>
    <row r="852" spans="1:17" s="68" customFormat="1" x14ac:dyDescent="0.35">
      <c r="A852" s="66"/>
      <c r="B852" s="66"/>
      <c r="C852" s="67"/>
      <c r="D852" s="67"/>
      <c r="E852" s="67"/>
      <c r="F852" s="67"/>
      <c r="G852" s="67"/>
      <c r="H852" s="67"/>
      <c r="I852" s="67"/>
      <c r="J852" s="67"/>
      <c r="K852" s="67"/>
      <c r="L852" s="67"/>
      <c r="M852" s="67"/>
      <c r="N852" s="67"/>
      <c r="Q852" s="67"/>
    </row>
    <row r="853" spans="1:17" s="68" customFormat="1" x14ac:dyDescent="0.35">
      <c r="A853" s="66"/>
      <c r="B853" s="66"/>
      <c r="C853" s="67"/>
      <c r="D853" s="67"/>
      <c r="E853" s="67"/>
      <c r="F853" s="67"/>
      <c r="G853" s="67"/>
      <c r="H853" s="67"/>
      <c r="I853" s="67"/>
      <c r="J853" s="67"/>
      <c r="K853" s="67"/>
      <c r="L853" s="67"/>
      <c r="M853" s="67"/>
      <c r="N853" s="67"/>
      <c r="Q853" s="67"/>
    </row>
    <row r="854" spans="1:17" s="68" customFormat="1" x14ac:dyDescent="0.35">
      <c r="A854" s="66"/>
      <c r="B854" s="66"/>
      <c r="C854" s="67"/>
      <c r="D854" s="67"/>
      <c r="E854" s="67"/>
      <c r="F854" s="67"/>
      <c r="G854" s="67"/>
      <c r="H854" s="67"/>
      <c r="I854" s="67"/>
      <c r="J854" s="67"/>
      <c r="K854" s="67"/>
      <c r="L854" s="67"/>
      <c r="M854" s="67"/>
      <c r="N854" s="67"/>
      <c r="Q854" s="67"/>
    </row>
    <row r="855" spans="1:17" s="68" customFormat="1" x14ac:dyDescent="0.35">
      <c r="A855" s="66"/>
      <c r="B855" s="66"/>
      <c r="C855" s="67"/>
      <c r="D855" s="67"/>
      <c r="E855" s="67"/>
      <c r="F855" s="67"/>
      <c r="G855" s="67"/>
      <c r="H855" s="67"/>
      <c r="I855" s="67"/>
      <c r="J855" s="67"/>
      <c r="K855" s="67"/>
      <c r="L855" s="67"/>
      <c r="M855" s="67"/>
      <c r="N855" s="67"/>
      <c r="Q855" s="67"/>
    </row>
    <row r="856" spans="1:17" s="68" customFormat="1" x14ac:dyDescent="0.35">
      <c r="A856" s="66"/>
      <c r="B856" s="66"/>
      <c r="C856" s="67"/>
      <c r="D856" s="67"/>
      <c r="E856" s="67"/>
      <c r="F856" s="67"/>
      <c r="G856" s="67"/>
      <c r="H856" s="67"/>
      <c r="I856" s="67"/>
      <c r="J856" s="67"/>
      <c r="K856" s="67"/>
      <c r="L856" s="67"/>
      <c r="M856" s="67"/>
      <c r="N856" s="67"/>
      <c r="Q856" s="67"/>
    </row>
    <row r="857" spans="1:17" s="68" customFormat="1" x14ac:dyDescent="0.35">
      <c r="A857" s="66"/>
      <c r="B857" s="66"/>
      <c r="C857" s="67"/>
      <c r="D857" s="67"/>
      <c r="E857" s="67"/>
      <c r="F857" s="67"/>
      <c r="G857" s="67"/>
      <c r="H857" s="67"/>
      <c r="I857" s="67"/>
      <c r="J857" s="67"/>
      <c r="K857" s="67"/>
      <c r="L857" s="67"/>
      <c r="M857" s="67"/>
      <c r="N857" s="67"/>
      <c r="Q857" s="67"/>
    </row>
    <row r="858" spans="1:17" s="68" customFormat="1" x14ac:dyDescent="0.35">
      <c r="A858" s="66"/>
      <c r="B858" s="66"/>
      <c r="C858" s="67"/>
      <c r="D858" s="67"/>
      <c r="E858" s="67"/>
      <c r="F858" s="67"/>
      <c r="G858" s="67"/>
      <c r="H858" s="67"/>
      <c r="I858" s="67"/>
      <c r="J858" s="67"/>
      <c r="K858" s="67"/>
      <c r="L858" s="67"/>
      <c r="M858" s="67"/>
      <c r="N858" s="67"/>
      <c r="Q858" s="67"/>
    </row>
    <row r="859" spans="1:17" s="68" customFormat="1" x14ac:dyDescent="0.35">
      <c r="A859" s="66"/>
      <c r="B859" s="66"/>
      <c r="C859" s="67"/>
      <c r="D859" s="67"/>
      <c r="E859" s="67"/>
      <c r="F859" s="67"/>
      <c r="G859" s="67"/>
      <c r="H859" s="67"/>
      <c r="I859" s="67"/>
      <c r="J859" s="67"/>
      <c r="K859" s="67"/>
      <c r="L859" s="67"/>
      <c r="M859" s="67"/>
      <c r="N859" s="67"/>
      <c r="Q859" s="67"/>
    </row>
    <row r="860" spans="1:17" s="68" customFormat="1" x14ac:dyDescent="0.35">
      <c r="A860" s="66"/>
      <c r="B860" s="66"/>
      <c r="C860" s="67"/>
      <c r="D860" s="67"/>
      <c r="E860" s="67"/>
      <c r="F860" s="67"/>
      <c r="G860" s="67"/>
      <c r="H860" s="67"/>
      <c r="I860" s="67"/>
      <c r="J860" s="67"/>
      <c r="K860" s="67"/>
      <c r="L860" s="67"/>
      <c r="M860" s="67"/>
      <c r="N860" s="67"/>
      <c r="Q860" s="67"/>
    </row>
    <row r="861" spans="1:17" s="68" customFormat="1" x14ac:dyDescent="0.35">
      <c r="A861" s="66"/>
      <c r="B861" s="66"/>
      <c r="C861" s="67"/>
      <c r="D861" s="67"/>
      <c r="E861" s="67"/>
      <c r="F861" s="67"/>
      <c r="G861" s="67"/>
      <c r="H861" s="67"/>
      <c r="I861" s="67"/>
      <c r="J861" s="67"/>
      <c r="K861" s="67"/>
      <c r="L861" s="67"/>
      <c r="M861" s="67"/>
      <c r="N861" s="67"/>
      <c r="Q861" s="67"/>
    </row>
    <row r="862" spans="1:17" s="68" customFormat="1" x14ac:dyDescent="0.35">
      <c r="A862" s="66"/>
      <c r="B862" s="66"/>
      <c r="C862" s="67"/>
      <c r="D862" s="67"/>
      <c r="E862" s="67"/>
      <c r="F862" s="67"/>
      <c r="G862" s="67"/>
      <c r="H862" s="67"/>
      <c r="I862" s="67"/>
      <c r="J862" s="67"/>
      <c r="K862" s="67"/>
      <c r="L862" s="67"/>
      <c r="M862" s="67"/>
      <c r="N862" s="67"/>
      <c r="Q862" s="67"/>
    </row>
    <row r="863" spans="1:17" s="68" customFormat="1" x14ac:dyDescent="0.35">
      <c r="A863" s="66"/>
      <c r="B863" s="66"/>
      <c r="C863" s="67"/>
      <c r="D863" s="67"/>
      <c r="E863" s="67"/>
      <c r="F863" s="67"/>
      <c r="G863" s="67"/>
      <c r="H863" s="67"/>
      <c r="I863" s="67"/>
      <c r="J863" s="67"/>
      <c r="K863" s="67"/>
      <c r="L863" s="67"/>
      <c r="M863" s="67"/>
      <c r="N863" s="67"/>
      <c r="Q863" s="67"/>
    </row>
    <row r="864" spans="1:17" s="68" customFormat="1" x14ac:dyDescent="0.35">
      <c r="A864" s="66"/>
      <c r="B864" s="66"/>
      <c r="C864" s="67"/>
      <c r="D864" s="67"/>
      <c r="E864" s="67"/>
      <c r="F864" s="67"/>
      <c r="G864" s="67"/>
      <c r="H864" s="67"/>
      <c r="I864" s="67"/>
      <c r="J864" s="67"/>
      <c r="K864" s="67"/>
      <c r="L864" s="67"/>
      <c r="M864" s="67"/>
      <c r="N864" s="67"/>
      <c r="Q864" s="67"/>
    </row>
    <row r="865" spans="1:17" s="68" customFormat="1" x14ac:dyDescent="0.35">
      <c r="A865" s="66"/>
      <c r="B865" s="66"/>
      <c r="C865" s="67"/>
      <c r="D865" s="67"/>
      <c r="E865" s="67"/>
      <c r="F865" s="67"/>
      <c r="G865" s="67"/>
      <c r="H865" s="67"/>
      <c r="I865" s="67"/>
      <c r="J865" s="67"/>
      <c r="K865" s="67"/>
      <c r="L865" s="67"/>
      <c r="M865" s="67"/>
      <c r="N865" s="67"/>
      <c r="Q865" s="67"/>
    </row>
    <row r="866" spans="1:17" s="68" customFormat="1" x14ac:dyDescent="0.35">
      <c r="A866" s="66"/>
      <c r="B866" s="66"/>
      <c r="C866" s="67"/>
      <c r="D866" s="67"/>
      <c r="E866" s="67"/>
      <c r="F866" s="67"/>
      <c r="G866" s="67"/>
      <c r="H866" s="67"/>
      <c r="I866" s="67"/>
      <c r="J866" s="67"/>
      <c r="K866" s="67"/>
      <c r="L866" s="67"/>
      <c r="M866" s="67"/>
      <c r="N866" s="67"/>
      <c r="Q866" s="67"/>
    </row>
    <row r="867" spans="1:17" s="68" customFormat="1" x14ac:dyDescent="0.35">
      <c r="A867" s="66"/>
      <c r="B867" s="66"/>
      <c r="C867" s="67"/>
      <c r="D867" s="67"/>
      <c r="E867" s="67"/>
      <c r="F867" s="67"/>
      <c r="G867" s="67"/>
      <c r="H867" s="67"/>
      <c r="I867" s="67"/>
      <c r="J867" s="67"/>
      <c r="K867" s="67"/>
      <c r="L867" s="67"/>
      <c r="M867" s="67"/>
      <c r="N867" s="67"/>
      <c r="Q867" s="67"/>
    </row>
    <row r="868" spans="1:17" s="68" customFormat="1" x14ac:dyDescent="0.35">
      <c r="A868" s="66"/>
      <c r="B868" s="66"/>
      <c r="C868" s="67"/>
      <c r="D868" s="67"/>
      <c r="E868" s="67"/>
      <c r="F868" s="67"/>
      <c r="G868" s="67"/>
      <c r="H868" s="67"/>
      <c r="I868" s="67"/>
      <c r="J868" s="67"/>
      <c r="K868" s="67"/>
      <c r="L868" s="67"/>
      <c r="M868" s="67"/>
      <c r="N868" s="67"/>
      <c r="Q868" s="67"/>
    </row>
    <row r="869" spans="1:17" s="68" customFormat="1" x14ac:dyDescent="0.35">
      <c r="A869" s="66"/>
      <c r="B869" s="66"/>
      <c r="C869" s="67"/>
      <c r="D869" s="67"/>
      <c r="E869" s="67"/>
      <c r="F869" s="67"/>
      <c r="G869" s="67"/>
      <c r="H869" s="67"/>
      <c r="I869" s="67"/>
      <c r="J869" s="67"/>
      <c r="K869" s="67"/>
      <c r="L869" s="67"/>
      <c r="M869" s="67"/>
      <c r="N869" s="67"/>
      <c r="Q869" s="67"/>
    </row>
    <row r="870" spans="1:17" s="68" customFormat="1" x14ac:dyDescent="0.35">
      <c r="A870" s="66"/>
      <c r="B870" s="66"/>
      <c r="C870" s="67"/>
      <c r="D870" s="67"/>
      <c r="E870" s="67"/>
      <c r="F870" s="67"/>
      <c r="G870" s="67"/>
      <c r="H870" s="67"/>
      <c r="I870" s="67"/>
      <c r="J870" s="67"/>
      <c r="K870" s="67"/>
      <c r="L870" s="67"/>
      <c r="M870" s="67"/>
      <c r="N870" s="67"/>
      <c r="Q870" s="67"/>
    </row>
    <row r="871" spans="1:17" s="68" customFormat="1" x14ac:dyDescent="0.35">
      <c r="A871" s="66"/>
      <c r="B871" s="66"/>
      <c r="C871" s="67"/>
      <c r="D871" s="67"/>
      <c r="E871" s="67"/>
      <c r="F871" s="67"/>
      <c r="G871" s="67"/>
      <c r="H871" s="67"/>
      <c r="I871" s="67"/>
      <c r="J871" s="67"/>
      <c r="K871" s="67"/>
      <c r="L871" s="67"/>
      <c r="M871" s="67"/>
      <c r="N871" s="67"/>
      <c r="Q871" s="67"/>
    </row>
    <row r="872" spans="1:17" s="68" customFormat="1" x14ac:dyDescent="0.35">
      <c r="A872" s="66"/>
      <c r="B872" s="66"/>
      <c r="C872" s="67"/>
      <c r="D872" s="67"/>
      <c r="E872" s="67"/>
      <c r="F872" s="67"/>
      <c r="G872" s="67"/>
      <c r="H872" s="67"/>
      <c r="I872" s="67"/>
      <c r="J872" s="67"/>
      <c r="K872" s="67"/>
      <c r="L872" s="67"/>
      <c r="M872" s="67"/>
      <c r="N872" s="67"/>
      <c r="Q872" s="67"/>
    </row>
    <row r="873" spans="1:17" s="68" customFormat="1" x14ac:dyDescent="0.35">
      <c r="A873" s="66"/>
      <c r="B873" s="66"/>
      <c r="C873" s="67"/>
      <c r="D873" s="67"/>
      <c r="E873" s="67"/>
      <c r="F873" s="67"/>
      <c r="G873" s="67"/>
      <c r="H873" s="67"/>
      <c r="I873" s="67"/>
      <c r="J873" s="67"/>
      <c r="K873" s="67"/>
      <c r="L873" s="67"/>
      <c r="M873" s="67"/>
      <c r="N873" s="67"/>
      <c r="Q873" s="67"/>
    </row>
    <row r="874" spans="1:17" s="68" customFormat="1" x14ac:dyDescent="0.35">
      <c r="A874" s="66"/>
      <c r="B874" s="66"/>
      <c r="C874" s="67"/>
      <c r="D874" s="67"/>
      <c r="E874" s="67"/>
      <c r="F874" s="67"/>
      <c r="G874" s="67"/>
      <c r="H874" s="67"/>
      <c r="I874" s="67"/>
      <c r="J874" s="67"/>
      <c r="K874" s="67"/>
      <c r="L874" s="67"/>
      <c r="M874" s="67"/>
      <c r="N874" s="67"/>
      <c r="Q874" s="67"/>
    </row>
    <row r="875" spans="1:17" s="68" customFormat="1" x14ac:dyDescent="0.35">
      <c r="A875" s="66"/>
      <c r="B875" s="66"/>
      <c r="C875" s="67"/>
      <c r="D875" s="67"/>
      <c r="E875" s="67"/>
      <c r="F875" s="67"/>
      <c r="G875" s="67"/>
      <c r="H875" s="67"/>
      <c r="I875" s="67"/>
      <c r="J875" s="67"/>
      <c r="K875" s="67"/>
      <c r="L875" s="67"/>
      <c r="M875" s="67"/>
      <c r="N875" s="67"/>
      <c r="Q875" s="67"/>
    </row>
    <row r="876" spans="1:17" s="68" customFormat="1" x14ac:dyDescent="0.35">
      <c r="A876" s="66"/>
      <c r="B876" s="66"/>
      <c r="C876" s="67"/>
      <c r="D876" s="67"/>
      <c r="E876" s="67"/>
      <c r="F876" s="67"/>
      <c r="G876" s="67"/>
      <c r="H876" s="67"/>
      <c r="I876" s="67"/>
      <c r="J876" s="67"/>
      <c r="K876" s="67"/>
      <c r="L876" s="67"/>
      <c r="M876" s="67"/>
      <c r="N876" s="67"/>
      <c r="Q876" s="67"/>
    </row>
    <row r="877" spans="1:17" s="68" customFormat="1" x14ac:dyDescent="0.35">
      <c r="A877" s="66"/>
      <c r="B877" s="66"/>
      <c r="C877" s="67"/>
      <c r="D877" s="67"/>
      <c r="E877" s="67"/>
      <c r="F877" s="67"/>
      <c r="G877" s="67"/>
      <c r="H877" s="67"/>
      <c r="I877" s="67"/>
      <c r="J877" s="67"/>
      <c r="K877" s="67"/>
      <c r="L877" s="67"/>
      <c r="M877" s="67"/>
      <c r="N877" s="67"/>
      <c r="Q877" s="67"/>
    </row>
    <row r="878" spans="1:17" s="68" customFormat="1" x14ac:dyDescent="0.35">
      <c r="A878" s="66"/>
      <c r="B878" s="66"/>
      <c r="C878" s="67"/>
      <c r="D878" s="67"/>
      <c r="E878" s="67"/>
      <c r="F878" s="67"/>
      <c r="G878" s="67"/>
      <c r="H878" s="67"/>
      <c r="I878" s="67"/>
      <c r="J878" s="67"/>
      <c r="K878" s="67"/>
      <c r="L878" s="67"/>
      <c r="M878" s="67"/>
      <c r="N878" s="67"/>
      <c r="Q878" s="67"/>
    </row>
    <row r="879" spans="1:17" s="68" customFormat="1" x14ac:dyDescent="0.35">
      <c r="A879" s="66"/>
      <c r="B879" s="66"/>
      <c r="C879" s="67"/>
      <c r="D879" s="67"/>
      <c r="E879" s="67"/>
      <c r="F879" s="67"/>
      <c r="G879" s="67"/>
      <c r="H879" s="67"/>
      <c r="I879" s="67"/>
      <c r="J879" s="67"/>
      <c r="K879" s="67"/>
      <c r="L879" s="67"/>
      <c r="M879" s="67"/>
      <c r="N879" s="67"/>
      <c r="Q879" s="67"/>
    </row>
    <row r="880" spans="1:17" s="68" customFormat="1" x14ac:dyDescent="0.35">
      <c r="A880" s="66"/>
      <c r="B880" s="66"/>
      <c r="C880" s="67"/>
      <c r="D880" s="67"/>
      <c r="E880" s="67"/>
      <c r="F880" s="67"/>
      <c r="G880" s="67"/>
      <c r="H880" s="67"/>
      <c r="I880" s="67"/>
      <c r="J880" s="67"/>
      <c r="K880" s="67"/>
      <c r="L880" s="67"/>
      <c r="M880" s="67"/>
      <c r="N880" s="67"/>
      <c r="Q880" s="67"/>
    </row>
    <row r="881" spans="1:17" s="68" customFormat="1" x14ac:dyDescent="0.35">
      <c r="A881" s="66"/>
      <c r="B881" s="66"/>
      <c r="C881" s="67"/>
      <c r="D881" s="67"/>
      <c r="E881" s="67"/>
      <c r="F881" s="67"/>
      <c r="G881" s="67"/>
      <c r="H881" s="67"/>
      <c r="I881" s="67"/>
      <c r="J881" s="67"/>
      <c r="K881" s="67"/>
      <c r="L881" s="67"/>
      <c r="M881" s="67"/>
      <c r="N881" s="67"/>
      <c r="Q881" s="67"/>
    </row>
    <row r="882" spans="1:17" s="68" customFormat="1" x14ac:dyDescent="0.35">
      <c r="A882" s="66"/>
      <c r="B882" s="66"/>
      <c r="C882" s="67"/>
      <c r="D882" s="67"/>
      <c r="E882" s="67"/>
      <c r="F882" s="67"/>
      <c r="G882" s="67"/>
      <c r="H882" s="67"/>
      <c r="I882" s="67"/>
      <c r="J882" s="67"/>
      <c r="K882" s="67"/>
      <c r="L882" s="67"/>
      <c r="M882" s="67"/>
      <c r="N882" s="67"/>
      <c r="Q882" s="67"/>
    </row>
    <row r="883" spans="1:17" s="68" customFormat="1" x14ac:dyDescent="0.35">
      <c r="A883" s="66"/>
      <c r="B883" s="66"/>
      <c r="C883" s="67"/>
      <c r="D883" s="67"/>
      <c r="E883" s="67"/>
      <c r="F883" s="67"/>
      <c r="G883" s="67"/>
      <c r="H883" s="67"/>
      <c r="I883" s="67"/>
      <c r="J883" s="67"/>
      <c r="K883" s="67"/>
      <c r="L883" s="67"/>
      <c r="M883" s="67"/>
      <c r="N883" s="67"/>
      <c r="Q883" s="67"/>
    </row>
    <row r="884" spans="1:17" s="68" customFormat="1" x14ac:dyDescent="0.35">
      <c r="A884" s="66"/>
      <c r="B884" s="66"/>
      <c r="C884" s="67"/>
      <c r="D884" s="67"/>
      <c r="E884" s="67"/>
      <c r="F884" s="67"/>
      <c r="G884" s="67"/>
      <c r="H884" s="67"/>
      <c r="I884" s="67"/>
      <c r="J884" s="67"/>
      <c r="K884" s="67"/>
      <c r="L884" s="67"/>
      <c r="M884" s="67"/>
      <c r="N884" s="67"/>
      <c r="Q884" s="67"/>
    </row>
    <row r="885" spans="1:17" s="68" customFormat="1" x14ac:dyDescent="0.35">
      <c r="A885" s="66"/>
      <c r="B885" s="66"/>
      <c r="C885" s="67"/>
      <c r="D885" s="67"/>
      <c r="E885" s="67"/>
      <c r="F885" s="67"/>
      <c r="G885" s="67"/>
      <c r="H885" s="67"/>
      <c r="I885" s="67"/>
      <c r="J885" s="67"/>
      <c r="K885" s="67"/>
      <c r="L885" s="67"/>
      <c r="M885" s="67"/>
      <c r="N885" s="67"/>
      <c r="Q885" s="67"/>
    </row>
    <row r="886" spans="1:17" s="68" customFormat="1" x14ac:dyDescent="0.35">
      <c r="A886" s="66"/>
      <c r="B886" s="66"/>
      <c r="C886" s="67"/>
      <c r="D886" s="67"/>
      <c r="E886" s="67"/>
      <c r="F886" s="67"/>
      <c r="G886" s="67"/>
      <c r="H886" s="67"/>
      <c r="I886" s="67"/>
      <c r="J886" s="67"/>
      <c r="K886" s="67"/>
      <c r="L886" s="67"/>
      <c r="M886" s="67"/>
      <c r="N886" s="67"/>
      <c r="Q886" s="67"/>
    </row>
    <row r="887" spans="1:17" s="68" customFormat="1" x14ac:dyDescent="0.35">
      <c r="A887" s="66"/>
      <c r="B887" s="66"/>
      <c r="C887" s="67"/>
      <c r="D887" s="67"/>
      <c r="E887" s="67"/>
      <c r="F887" s="67"/>
      <c r="G887" s="67"/>
      <c r="H887" s="67"/>
      <c r="I887" s="67"/>
      <c r="J887" s="67"/>
      <c r="K887" s="67"/>
      <c r="L887" s="67"/>
      <c r="M887" s="67"/>
      <c r="N887" s="67"/>
      <c r="Q887" s="67"/>
    </row>
    <row r="888" spans="1:17" s="68" customFormat="1" x14ac:dyDescent="0.35">
      <c r="A888" s="66"/>
      <c r="B888" s="66"/>
      <c r="C888" s="67"/>
      <c r="D888" s="67"/>
      <c r="E888" s="67"/>
      <c r="F888" s="67"/>
      <c r="G888" s="67"/>
      <c r="H888" s="67"/>
      <c r="I888" s="67"/>
      <c r="J888" s="67"/>
      <c r="K888" s="67"/>
      <c r="L888" s="67"/>
      <c r="M888" s="67"/>
      <c r="N888" s="67"/>
      <c r="Q888" s="67"/>
    </row>
    <row r="889" spans="1:17" s="68" customFormat="1" x14ac:dyDescent="0.35">
      <c r="A889" s="66"/>
      <c r="B889" s="66"/>
      <c r="C889" s="67"/>
      <c r="D889" s="67"/>
      <c r="E889" s="67"/>
      <c r="F889" s="67"/>
      <c r="G889" s="67"/>
      <c r="H889" s="67"/>
      <c r="I889" s="67"/>
      <c r="J889" s="67"/>
      <c r="K889" s="67"/>
      <c r="L889" s="67"/>
      <c r="M889" s="67"/>
      <c r="N889" s="67"/>
      <c r="Q889" s="67"/>
    </row>
    <row r="890" spans="1:17" s="68" customFormat="1" x14ac:dyDescent="0.35">
      <c r="A890" s="66"/>
      <c r="B890" s="66"/>
      <c r="C890" s="67"/>
      <c r="D890" s="67"/>
      <c r="E890" s="67"/>
      <c r="F890" s="67"/>
      <c r="G890" s="67"/>
      <c r="H890" s="67"/>
      <c r="I890" s="67"/>
      <c r="J890" s="67"/>
      <c r="K890" s="67"/>
      <c r="L890" s="67"/>
      <c r="M890" s="67"/>
      <c r="N890" s="67"/>
      <c r="Q890" s="67"/>
    </row>
    <row r="891" spans="1:17" s="68" customFormat="1" x14ac:dyDescent="0.35">
      <c r="A891" s="66"/>
      <c r="B891" s="66"/>
      <c r="C891" s="67"/>
      <c r="D891" s="67"/>
      <c r="E891" s="67"/>
      <c r="F891" s="67"/>
      <c r="G891" s="67"/>
      <c r="H891" s="67"/>
      <c r="I891" s="67"/>
      <c r="J891" s="67"/>
      <c r="K891" s="67"/>
      <c r="L891" s="67"/>
      <c r="M891" s="67"/>
      <c r="N891" s="67"/>
      <c r="Q891" s="67"/>
    </row>
    <row r="892" spans="1:17" s="68" customFormat="1" x14ac:dyDescent="0.35">
      <c r="A892" s="66"/>
      <c r="B892" s="66"/>
      <c r="C892" s="67"/>
      <c r="D892" s="67"/>
      <c r="E892" s="67"/>
      <c r="F892" s="67"/>
      <c r="G892" s="67"/>
      <c r="H892" s="67"/>
      <c r="I892" s="67"/>
      <c r="J892" s="67"/>
      <c r="K892" s="67"/>
      <c r="L892" s="67"/>
      <c r="M892" s="67"/>
      <c r="N892" s="67"/>
      <c r="Q892" s="67"/>
    </row>
    <row r="893" spans="1:17" s="68" customFormat="1" x14ac:dyDescent="0.35">
      <c r="A893" s="66"/>
      <c r="B893" s="66"/>
      <c r="C893" s="67"/>
      <c r="D893" s="67"/>
      <c r="E893" s="67"/>
      <c r="F893" s="67"/>
      <c r="G893" s="67"/>
      <c r="H893" s="67"/>
      <c r="I893" s="67"/>
      <c r="J893" s="67"/>
      <c r="K893" s="67"/>
      <c r="L893" s="67"/>
      <c r="M893" s="67"/>
      <c r="N893" s="67"/>
      <c r="Q893" s="67"/>
    </row>
    <row r="894" spans="1:17" s="68" customFormat="1" x14ac:dyDescent="0.35">
      <c r="A894" s="66"/>
      <c r="B894" s="66"/>
      <c r="C894" s="67"/>
      <c r="D894" s="67"/>
      <c r="E894" s="67"/>
      <c r="F894" s="67"/>
      <c r="G894" s="67"/>
      <c r="H894" s="67"/>
      <c r="I894" s="67"/>
      <c r="J894" s="67"/>
      <c r="K894" s="67"/>
      <c r="L894" s="67"/>
      <c r="M894" s="67"/>
      <c r="N894" s="67"/>
      <c r="Q894" s="67"/>
    </row>
    <row r="895" spans="1:17" s="68" customFormat="1" x14ac:dyDescent="0.35">
      <c r="A895" s="66"/>
      <c r="B895" s="66"/>
      <c r="C895" s="67"/>
      <c r="D895" s="67"/>
      <c r="E895" s="67"/>
      <c r="F895" s="67"/>
      <c r="G895" s="67"/>
      <c r="H895" s="67"/>
      <c r="I895" s="67"/>
      <c r="J895" s="67"/>
      <c r="K895" s="67"/>
      <c r="L895" s="67"/>
      <c r="M895" s="67"/>
      <c r="N895" s="67"/>
      <c r="Q895" s="67"/>
    </row>
    <row r="896" spans="1:17" s="68" customFormat="1" x14ac:dyDescent="0.35">
      <c r="A896" s="66"/>
      <c r="B896" s="66"/>
      <c r="C896" s="67"/>
      <c r="D896" s="67"/>
      <c r="E896" s="67"/>
      <c r="F896" s="67"/>
      <c r="G896" s="67"/>
      <c r="H896" s="67"/>
      <c r="I896" s="67"/>
      <c r="J896" s="67"/>
      <c r="K896" s="67"/>
      <c r="L896" s="67"/>
      <c r="M896" s="67"/>
      <c r="N896" s="67"/>
      <c r="Q896" s="67"/>
    </row>
    <row r="897" spans="1:17" s="68" customFormat="1" x14ac:dyDescent="0.35">
      <c r="A897" s="66"/>
      <c r="B897" s="66"/>
      <c r="C897" s="67"/>
      <c r="D897" s="67"/>
      <c r="E897" s="67"/>
      <c r="F897" s="67"/>
      <c r="G897" s="67"/>
      <c r="H897" s="67"/>
      <c r="I897" s="67"/>
      <c r="J897" s="67"/>
      <c r="K897" s="67"/>
      <c r="L897" s="67"/>
      <c r="M897" s="67"/>
      <c r="N897" s="67"/>
      <c r="Q897" s="67"/>
    </row>
    <row r="898" spans="1:17" s="68" customFormat="1" x14ac:dyDescent="0.35">
      <c r="A898" s="66"/>
      <c r="B898" s="66"/>
      <c r="C898" s="67"/>
      <c r="D898" s="67"/>
      <c r="E898" s="67"/>
      <c r="F898" s="67"/>
      <c r="G898" s="67"/>
      <c r="H898" s="67"/>
      <c r="I898" s="67"/>
      <c r="J898" s="67"/>
      <c r="K898" s="67"/>
      <c r="L898" s="67"/>
      <c r="M898" s="67"/>
      <c r="N898" s="67"/>
      <c r="Q898" s="67"/>
    </row>
    <row r="899" spans="1:17" s="68" customFormat="1" x14ac:dyDescent="0.35">
      <c r="A899" s="66"/>
      <c r="B899" s="66"/>
      <c r="C899" s="67"/>
      <c r="D899" s="67"/>
      <c r="E899" s="67"/>
      <c r="F899" s="67"/>
      <c r="G899" s="67"/>
      <c r="H899" s="67"/>
      <c r="I899" s="67"/>
      <c r="J899" s="67"/>
      <c r="K899" s="67"/>
      <c r="L899" s="67"/>
      <c r="M899" s="67"/>
      <c r="N899" s="67"/>
      <c r="Q899" s="67"/>
    </row>
    <row r="900" spans="1:17" s="68" customFormat="1" x14ac:dyDescent="0.35">
      <c r="A900" s="66"/>
      <c r="B900" s="66"/>
      <c r="C900" s="67"/>
      <c r="D900" s="67"/>
      <c r="E900" s="67"/>
      <c r="F900" s="67"/>
      <c r="G900" s="67"/>
      <c r="H900" s="67"/>
      <c r="I900" s="67"/>
      <c r="J900" s="67"/>
      <c r="K900" s="67"/>
      <c r="L900" s="67"/>
      <c r="M900" s="67"/>
      <c r="N900" s="67"/>
      <c r="Q900" s="67"/>
    </row>
    <row r="901" spans="1:17" s="68" customFormat="1" x14ac:dyDescent="0.35">
      <c r="A901" s="66"/>
      <c r="B901" s="66"/>
      <c r="C901" s="67"/>
      <c r="D901" s="67"/>
      <c r="E901" s="67"/>
      <c r="F901" s="67"/>
      <c r="G901" s="67"/>
      <c r="H901" s="67"/>
      <c r="I901" s="67"/>
      <c r="J901" s="67"/>
      <c r="K901" s="67"/>
      <c r="L901" s="67"/>
      <c r="M901" s="67"/>
      <c r="N901" s="67"/>
      <c r="Q901" s="67"/>
    </row>
    <row r="902" spans="1:17" s="68" customFormat="1" x14ac:dyDescent="0.35">
      <c r="A902" s="66"/>
      <c r="B902" s="66"/>
      <c r="C902" s="67"/>
      <c r="D902" s="67"/>
      <c r="E902" s="67"/>
      <c r="F902" s="67"/>
      <c r="G902" s="67"/>
      <c r="H902" s="67"/>
      <c r="I902" s="67"/>
      <c r="J902" s="67"/>
      <c r="K902" s="67"/>
      <c r="L902" s="67"/>
      <c r="M902" s="67"/>
      <c r="N902" s="67"/>
      <c r="Q902" s="67"/>
    </row>
    <row r="903" spans="1:17" s="68" customFormat="1" x14ac:dyDescent="0.35">
      <c r="A903" s="66"/>
      <c r="B903" s="66"/>
      <c r="C903" s="67"/>
      <c r="D903" s="67"/>
      <c r="E903" s="67"/>
      <c r="F903" s="67"/>
      <c r="G903" s="67"/>
      <c r="H903" s="67"/>
      <c r="I903" s="67"/>
      <c r="J903" s="67"/>
      <c r="K903" s="67"/>
      <c r="L903" s="67"/>
      <c r="M903" s="67"/>
      <c r="N903" s="67"/>
      <c r="Q903" s="67"/>
    </row>
    <row r="904" spans="1:17" s="68" customFormat="1" x14ac:dyDescent="0.35">
      <c r="A904" s="66"/>
      <c r="B904" s="66"/>
      <c r="C904" s="67"/>
      <c r="D904" s="67"/>
      <c r="E904" s="67"/>
      <c r="F904" s="67"/>
      <c r="G904" s="67"/>
      <c r="H904" s="67"/>
      <c r="I904" s="67"/>
      <c r="J904" s="67"/>
      <c r="K904" s="67"/>
      <c r="L904" s="67"/>
      <c r="M904" s="67"/>
      <c r="N904" s="67"/>
      <c r="Q904" s="67"/>
    </row>
    <row r="905" spans="1:17" s="68" customFormat="1" x14ac:dyDescent="0.35">
      <c r="A905" s="66"/>
      <c r="B905" s="66"/>
      <c r="C905" s="67"/>
      <c r="D905" s="67"/>
      <c r="E905" s="67"/>
      <c r="F905" s="67"/>
      <c r="G905" s="67"/>
      <c r="H905" s="67"/>
      <c r="I905" s="67"/>
      <c r="J905" s="67"/>
      <c r="K905" s="67"/>
      <c r="L905" s="67"/>
      <c r="M905" s="67"/>
      <c r="N905" s="67"/>
      <c r="Q905" s="67"/>
    </row>
    <row r="906" spans="1:17" s="68" customFormat="1" x14ac:dyDescent="0.35">
      <c r="A906" s="66"/>
      <c r="B906" s="66"/>
      <c r="C906" s="67"/>
      <c r="D906" s="67"/>
      <c r="E906" s="67"/>
      <c r="F906" s="67"/>
      <c r="G906" s="67"/>
      <c r="H906" s="67"/>
      <c r="I906" s="67"/>
      <c r="J906" s="67"/>
      <c r="K906" s="67"/>
      <c r="L906" s="67"/>
      <c r="M906" s="67"/>
      <c r="N906" s="67"/>
      <c r="Q906" s="67"/>
    </row>
    <row r="907" spans="1:17" s="68" customFormat="1" x14ac:dyDescent="0.35">
      <c r="A907" s="66"/>
      <c r="B907" s="66"/>
      <c r="C907" s="67"/>
      <c r="D907" s="67"/>
      <c r="E907" s="67"/>
      <c r="F907" s="67"/>
      <c r="G907" s="67"/>
      <c r="H907" s="67"/>
      <c r="I907" s="67"/>
      <c r="J907" s="67"/>
      <c r="K907" s="67"/>
      <c r="L907" s="67"/>
      <c r="M907" s="67"/>
      <c r="N907" s="67"/>
      <c r="Q907" s="67"/>
    </row>
    <row r="908" spans="1:17" s="68" customFormat="1" x14ac:dyDescent="0.35">
      <c r="A908" s="66"/>
      <c r="B908" s="66"/>
      <c r="C908" s="67"/>
      <c r="D908" s="67"/>
      <c r="E908" s="67"/>
      <c r="F908" s="67"/>
      <c r="G908" s="67"/>
      <c r="H908" s="67"/>
      <c r="I908" s="67"/>
      <c r="J908" s="67"/>
      <c r="K908" s="67"/>
      <c r="L908" s="67"/>
      <c r="M908" s="67"/>
      <c r="N908" s="67"/>
      <c r="Q908" s="67"/>
    </row>
    <row r="909" spans="1:17" s="68" customFormat="1" x14ac:dyDescent="0.35">
      <c r="A909" s="66"/>
      <c r="B909" s="66"/>
      <c r="C909" s="67"/>
      <c r="D909" s="67"/>
      <c r="E909" s="67"/>
      <c r="F909" s="67"/>
      <c r="G909" s="67"/>
      <c r="H909" s="67"/>
      <c r="I909" s="67"/>
      <c r="J909" s="67"/>
      <c r="K909" s="67"/>
      <c r="L909" s="67"/>
      <c r="M909" s="67"/>
      <c r="N909" s="67"/>
      <c r="Q909" s="67"/>
    </row>
    <row r="910" spans="1:17" s="68" customFormat="1" x14ac:dyDescent="0.35">
      <c r="A910" s="66"/>
      <c r="B910" s="66"/>
      <c r="C910" s="67"/>
      <c r="D910" s="67"/>
      <c r="E910" s="67"/>
      <c r="F910" s="67"/>
      <c r="G910" s="67"/>
      <c r="H910" s="67"/>
      <c r="I910" s="67"/>
      <c r="J910" s="67"/>
      <c r="K910" s="67"/>
      <c r="L910" s="67"/>
      <c r="M910" s="67"/>
      <c r="N910" s="67"/>
      <c r="Q910" s="67"/>
    </row>
    <row r="911" spans="1:17" s="68" customFormat="1" x14ac:dyDescent="0.35">
      <c r="A911" s="66"/>
      <c r="B911" s="66"/>
      <c r="C911" s="67"/>
      <c r="D911" s="67"/>
      <c r="E911" s="67"/>
      <c r="F911" s="67"/>
      <c r="G911" s="67"/>
      <c r="H911" s="67"/>
      <c r="I911" s="67"/>
      <c r="J911" s="67"/>
      <c r="K911" s="67"/>
      <c r="L911" s="67"/>
      <c r="M911" s="67"/>
      <c r="N911" s="67"/>
      <c r="Q911" s="67"/>
    </row>
    <row r="912" spans="1:17" s="68" customFormat="1" x14ac:dyDescent="0.35">
      <c r="A912" s="66"/>
      <c r="B912" s="66"/>
      <c r="C912" s="67"/>
      <c r="D912" s="67"/>
      <c r="E912" s="67"/>
      <c r="F912" s="67"/>
      <c r="G912" s="67"/>
      <c r="H912" s="67"/>
      <c r="I912" s="67"/>
      <c r="J912" s="67"/>
      <c r="K912" s="67"/>
      <c r="L912" s="67"/>
      <c r="M912" s="67"/>
      <c r="N912" s="67"/>
      <c r="Q912" s="67"/>
    </row>
    <row r="913" spans="1:17" s="68" customFormat="1" x14ac:dyDescent="0.35">
      <c r="A913" s="66"/>
      <c r="B913" s="66"/>
      <c r="C913" s="67"/>
      <c r="D913" s="67"/>
      <c r="E913" s="67"/>
      <c r="F913" s="67"/>
      <c r="G913" s="67"/>
      <c r="H913" s="67"/>
      <c r="I913" s="67"/>
      <c r="J913" s="67"/>
      <c r="K913" s="67"/>
      <c r="L913" s="67"/>
      <c r="M913" s="67"/>
      <c r="N913" s="67"/>
      <c r="Q913" s="67"/>
    </row>
    <row r="914" spans="1:17" s="68" customFormat="1" x14ac:dyDescent="0.35">
      <c r="A914" s="66"/>
      <c r="B914" s="66"/>
      <c r="C914" s="67"/>
      <c r="D914" s="67"/>
      <c r="E914" s="67"/>
      <c r="F914" s="67"/>
      <c r="G914" s="67"/>
      <c r="H914" s="67"/>
      <c r="I914" s="67"/>
      <c r="J914" s="67"/>
      <c r="K914" s="67"/>
      <c r="L914" s="67"/>
      <c r="M914" s="67"/>
      <c r="N914" s="67"/>
      <c r="Q914" s="67"/>
    </row>
    <row r="915" spans="1:17" s="68" customFormat="1" x14ac:dyDescent="0.35">
      <c r="A915" s="66"/>
      <c r="B915" s="66"/>
      <c r="C915" s="67"/>
      <c r="D915" s="67"/>
      <c r="E915" s="67"/>
      <c r="F915" s="67"/>
      <c r="G915" s="67"/>
      <c r="H915" s="67"/>
      <c r="I915" s="67"/>
      <c r="J915" s="67"/>
      <c r="K915" s="67"/>
      <c r="L915" s="67"/>
      <c r="M915" s="67"/>
      <c r="N915" s="67"/>
      <c r="Q915" s="67"/>
    </row>
    <row r="916" spans="1:17" s="68" customFormat="1" x14ac:dyDescent="0.35">
      <c r="A916" s="66"/>
      <c r="B916" s="66"/>
      <c r="C916" s="67"/>
      <c r="D916" s="67"/>
      <c r="E916" s="67"/>
      <c r="F916" s="67"/>
      <c r="G916" s="67"/>
      <c r="H916" s="67"/>
      <c r="I916" s="67"/>
      <c r="J916" s="67"/>
      <c r="K916" s="67"/>
      <c r="L916" s="67"/>
      <c r="M916" s="67"/>
      <c r="N916" s="67"/>
      <c r="Q916" s="67"/>
    </row>
    <row r="917" spans="1:17" s="68" customFormat="1" x14ac:dyDescent="0.35">
      <c r="A917" s="66"/>
      <c r="B917" s="66"/>
      <c r="C917" s="67"/>
      <c r="D917" s="67"/>
      <c r="E917" s="67"/>
      <c r="F917" s="67"/>
      <c r="G917" s="67"/>
      <c r="H917" s="67"/>
      <c r="I917" s="67"/>
      <c r="J917" s="67"/>
      <c r="K917" s="67"/>
      <c r="L917" s="67"/>
      <c r="M917" s="67"/>
      <c r="N917" s="67"/>
      <c r="Q917" s="67"/>
    </row>
    <row r="918" spans="1:17" s="68" customFormat="1" x14ac:dyDescent="0.35">
      <c r="A918" s="66"/>
      <c r="B918" s="66"/>
      <c r="C918" s="67"/>
      <c r="D918" s="67"/>
      <c r="E918" s="67"/>
      <c r="F918" s="67"/>
      <c r="G918" s="67"/>
      <c r="H918" s="67"/>
      <c r="I918" s="67"/>
      <c r="J918" s="67"/>
      <c r="K918" s="67"/>
      <c r="L918" s="67"/>
      <c r="M918" s="67"/>
      <c r="N918" s="67"/>
      <c r="Q918" s="67"/>
    </row>
    <row r="919" spans="1:17" s="68" customFormat="1" x14ac:dyDescent="0.35">
      <c r="A919" s="66"/>
      <c r="B919" s="66"/>
      <c r="C919" s="67"/>
      <c r="D919" s="67"/>
      <c r="E919" s="67"/>
      <c r="F919" s="67"/>
      <c r="G919" s="67"/>
      <c r="H919" s="67"/>
      <c r="I919" s="67"/>
      <c r="J919" s="67"/>
      <c r="K919" s="67"/>
      <c r="L919" s="67"/>
      <c r="M919" s="67"/>
      <c r="N919" s="67"/>
      <c r="Q919" s="67"/>
    </row>
    <row r="920" spans="1:17" s="68" customFormat="1" x14ac:dyDescent="0.35">
      <c r="A920" s="66"/>
      <c r="B920" s="66"/>
      <c r="C920" s="67"/>
      <c r="D920" s="67"/>
      <c r="E920" s="67"/>
      <c r="F920" s="67"/>
      <c r="G920" s="67"/>
      <c r="H920" s="67"/>
      <c r="I920" s="67"/>
      <c r="J920" s="67"/>
      <c r="K920" s="67"/>
      <c r="L920" s="67"/>
      <c r="M920" s="67"/>
      <c r="N920" s="67"/>
      <c r="Q920" s="67"/>
    </row>
    <row r="921" spans="1:17" s="68" customFormat="1" x14ac:dyDescent="0.35">
      <c r="A921" s="66"/>
      <c r="B921" s="66"/>
      <c r="C921" s="67"/>
      <c r="D921" s="67"/>
      <c r="E921" s="67"/>
      <c r="F921" s="67"/>
      <c r="G921" s="67"/>
      <c r="H921" s="67"/>
      <c r="I921" s="67"/>
      <c r="J921" s="67"/>
      <c r="K921" s="67"/>
      <c r="L921" s="67"/>
      <c r="M921" s="67"/>
      <c r="N921" s="67"/>
      <c r="Q921" s="67"/>
    </row>
    <row r="922" spans="1:17" s="68" customFormat="1" x14ac:dyDescent="0.35">
      <c r="A922" s="66"/>
      <c r="B922" s="66"/>
      <c r="C922" s="67"/>
      <c r="D922" s="67"/>
      <c r="E922" s="67"/>
      <c r="F922" s="67"/>
      <c r="G922" s="67"/>
      <c r="H922" s="67"/>
      <c r="I922" s="67"/>
      <c r="J922" s="67"/>
      <c r="K922" s="67"/>
      <c r="L922" s="67"/>
      <c r="M922" s="67"/>
      <c r="N922" s="67"/>
      <c r="Q922" s="67"/>
    </row>
    <row r="923" spans="1:17" s="68" customFormat="1" x14ac:dyDescent="0.35">
      <c r="A923" s="66"/>
      <c r="B923" s="66"/>
      <c r="C923" s="67"/>
      <c r="D923" s="67"/>
      <c r="E923" s="67"/>
      <c r="F923" s="67"/>
      <c r="G923" s="67"/>
      <c r="H923" s="67"/>
      <c r="I923" s="67"/>
      <c r="J923" s="67"/>
      <c r="K923" s="67"/>
      <c r="L923" s="67"/>
      <c r="M923" s="67"/>
      <c r="N923" s="67"/>
      <c r="Q923" s="67"/>
    </row>
    <row r="924" spans="1:17" s="68" customFormat="1" x14ac:dyDescent="0.35">
      <c r="A924" s="66"/>
      <c r="B924" s="66"/>
      <c r="C924" s="67"/>
      <c r="D924" s="67"/>
      <c r="E924" s="67"/>
      <c r="F924" s="67"/>
      <c r="G924" s="67"/>
      <c r="H924" s="67"/>
      <c r="I924" s="67"/>
      <c r="J924" s="67"/>
      <c r="K924" s="67"/>
      <c r="L924" s="67"/>
      <c r="M924" s="67"/>
      <c r="N924" s="67"/>
      <c r="Q924" s="67"/>
    </row>
    <row r="925" spans="1:17" s="68" customFormat="1" x14ac:dyDescent="0.35">
      <c r="A925" s="66"/>
      <c r="B925" s="66"/>
      <c r="C925" s="67"/>
      <c r="D925" s="67"/>
      <c r="E925" s="67"/>
      <c r="F925" s="67"/>
      <c r="G925" s="67"/>
      <c r="H925" s="67"/>
      <c r="I925" s="67"/>
      <c r="J925" s="67"/>
      <c r="K925" s="67"/>
      <c r="L925" s="67"/>
      <c r="M925" s="67"/>
      <c r="N925" s="67"/>
      <c r="Q925" s="67"/>
    </row>
    <row r="926" spans="1:17" s="68" customFormat="1" x14ac:dyDescent="0.35">
      <c r="A926" s="66"/>
      <c r="B926" s="66"/>
      <c r="C926" s="67"/>
      <c r="D926" s="67"/>
      <c r="E926" s="67"/>
      <c r="F926" s="67"/>
      <c r="G926" s="67"/>
      <c r="H926" s="67"/>
      <c r="I926" s="67"/>
      <c r="J926" s="67"/>
      <c r="K926" s="67"/>
      <c r="L926" s="67"/>
      <c r="M926" s="67"/>
      <c r="N926" s="67"/>
      <c r="Q926" s="67"/>
    </row>
    <row r="927" spans="1:17" s="68" customFormat="1" x14ac:dyDescent="0.35">
      <c r="A927" s="66"/>
      <c r="B927" s="66"/>
      <c r="C927" s="67"/>
      <c r="D927" s="67"/>
      <c r="E927" s="67"/>
      <c r="F927" s="67"/>
      <c r="G927" s="67"/>
      <c r="H927" s="67"/>
      <c r="I927" s="67"/>
      <c r="J927" s="67"/>
      <c r="K927" s="67"/>
      <c r="L927" s="67"/>
      <c r="M927" s="67"/>
      <c r="N927" s="67"/>
      <c r="Q927" s="67"/>
    </row>
    <row r="928" spans="1:17" s="68" customFormat="1" x14ac:dyDescent="0.35">
      <c r="A928" s="66"/>
      <c r="B928" s="66"/>
      <c r="C928" s="67"/>
      <c r="D928" s="67"/>
      <c r="E928" s="67"/>
      <c r="F928" s="67"/>
      <c r="G928" s="67"/>
      <c r="H928" s="67"/>
      <c r="I928" s="67"/>
      <c r="J928" s="67"/>
      <c r="K928" s="67"/>
      <c r="L928" s="67"/>
      <c r="M928" s="67"/>
      <c r="N928" s="67"/>
      <c r="Q928" s="67"/>
    </row>
    <row r="929" spans="1:17" s="68" customFormat="1" x14ac:dyDescent="0.35">
      <c r="A929" s="66"/>
      <c r="B929" s="66"/>
      <c r="C929" s="67"/>
      <c r="D929" s="67"/>
      <c r="E929" s="67"/>
      <c r="F929" s="67"/>
      <c r="G929" s="67"/>
      <c r="H929" s="67"/>
      <c r="I929" s="67"/>
      <c r="J929" s="67"/>
      <c r="K929" s="67"/>
      <c r="L929" s="67"/>
      <c r="M929" s="67"/>
      <c r="N929" s="67"/>
      <c r="Q929" s="67"/>
    </row>
    <row r="930" spans="1:17" s="68" customFormat="1" x14ac:dyDescent="0.35">
      <c r="A930" s="66"/>
      <c r="B930" s="66"/>
      <c r="C930" s="67"/>
      <c r="D930" s="67"/>
      <c r="E930" s="67"/>
      <c r="F930" s="67"/>
      <c r="G930" s="67"/>
      <c r="H930" s="67"/>
      <c r="I930" s="67"/>
      <c r="J930" s="67"/>
      <c r="K930" s="67"/>
      <c r="L930" s="67"/>
      <c r="M930" s="67"/>
      <c r="N930" s="67"/>
      <c r="Q930" s="67"/>
    </row>
    <row r="931" spans="1:17" s="68" customFormat="1" x14ac:dyDescent="0.35">
      <c r="A931" s="66"/>
      <c r="B931" s="66"/>
      <c r="C931" s="67"/>
      <c r="D931" s="67"/>
      <c r="E931" s="67"/>
      <c r="F931" s="67"/>
      <c r="G931" s="67"/>
      <c r="H931" s="67"/>
      <c r="I931" s="67"/>
      <c r="J931" s="67"/>
      <c r="K931" s="67"/>
      <c r="L931" s="67"/>
      <c r="M931" s="67"/>
      <c r="N931" s="67"/>
      <c r="Q931" s="67"/>
    </row>
    <row r="932" spans="1:17" s="68" customFormat="1" x14ac:dyDescent="0.35">
      <c r="A932" s="66"/>
      <c r="B932" s="66"/>
      <c r="C932" s="67"/>
      <c r="D932" s="67"/>
      <c r="E932" s="67"/>
      <c r="F932" s="67"/>
      <c r="G932" s="67"/>
      <c r="H932" s="67"/>
      <c r="I932" s="67"/>
      <c r="J932" s="67"/>
      <c r="K932" s="67"/>
      <c r="L932" s="67"/>
      <c r="M932" s="67"/>
      <c r="N932" s="67"/>
      <c r="Q932" s="67"/>
    </row>
    <row r="933" spans="1:17" s="68" customFormat="1" x14ac:dyDescent="0.35">
      <c r="A933" s="66"/>
      <c r="B933" s="66"/>
      <c r="C933" s="67"/>
      <c r="D933" s="67"/>
      <c r="E933" s="67"/>
      <c r="F933" s="67"/>
      <c r="G933" s="67"/>
      <c r="H933" s="67"/>
      <c r="I933" s="67"/>
      <c r="J933" s="67"/>
      <c r="K933" s="67"/>
      <c r="L933" s="67"/>
      <c r="M933" s="67"/>
      <c r="N933" s="67"/>
      <c r="Q933" s="67"/>
    </row>
    <row r="934" spans="1:17" s="68" customFormat="1" x14ac:dyDescent="0.35">
      <c r="A934" s="66"/>
      <c r="B934" s="66"/>
      <c r="C934" s="67"/>
      <c r="D934" s="67"/>
      <c r="E934" s="67"/>
      <c r="F934" s="67"/>
      <c r="G934" s="67"/>
      <c r="H934" s="67"/>
      <c r="I934" s="67"/>
      <c r="J934" s="67"/>
      <c r="K934" s="67"/>
      <c r="L934" s="67"/>
      <c r="M934" s="67"/>
      <c r="N934" s="67"/>
      <c r="Q934" s="67"/>
    </row>
    <row r="935" spans="1:17" s="68" customFormat="1" x14ac:dyDescent="0.35">
      <c r="A935" s="66"/>
      <c r="B935" s="66"/>
      <c r="C935" s="67"/>
      <c r="D935" s="67"/>
      <c r="E935" s="67"/>
      <c r="F935" s="67"/>
      <c r="G935" s="67"/>
      <c r="H935" s="67"/>
      <c r="I935" s="67"/>
      <c r="J935" s="67"/>
      <c r="K935" s="67"/>
      <c r="L935" s="67"/>
      <c r="M935" s="67"/>
      <c r="N935" s="67"/>
      <c r="Q935" s="67"/>
    </row>
    <row r="936" spans="1:17" s="68" customFormat="1" x14ac:dyDescent="0.35">
      <c r="A936" s="66"/>
      <c r="B936" s="66"/>
      <c r="C936" s="67"/>
      <c r="D936" s="67"/>
      <c r="E936" s="67"/>
      <c r="F936" s="67"/>
      <c r="G936" s="67"/>
      <c r="H936" s="67"/>
      <c r="I936" s="67"/>
      <c r="J936" s="67"/>
      <c r="K936" s="67"/>
      <c r="L936" s="67"/>
      <c r="M936" s="67"/>
      <c r="N936" s="67"/>
      <c r="Q936" s="67"/>
    </row>
    <row r="937" spans="1:17" s="68" customFormat="1" x14ac:dyDescent="0.35">
      <c r="A937" s="66"/>
      <c r="B937" s="66"/>
      <c r="C937" s="67"/>
      <c r="D937" s="67"/>
      <c r="E937" s="67"/>
      <c r="F937" s="67"/>
      <c r="G937" s="67"/>
      <c r="H937" s="67"/>
      <c r="I937" s="67"/>
      <c r="J937" s="67"/>
      <c r="K937" s="67"/>
      <c r="L937" s="67"/>
      <c r="M937" s="67"/>
      <c r="N937" s="67"/>
      <c r="Q937" s="67"/>
    </row>
    <row r="938" spans="1:17" s="68" customFormat="1" x14ac:dyDescent="0.35">
      <c r="A938" s="66"/>
      <c r="B938" s="66"/>
      <c r="C938" s="67"/>
      <c r="D938" s="67"/>
      <c r="E938" s="67"/>
      <c r="F938" s="67"/>
      <c r="G938" s="67"/>
      <c r="H938" s="67"/>
      <c r="I938" s="67"/>
      <c r="J938" s="67"/>
      <c r="K938" s="67"/>
      <c r="L938" s="67"/>
      <c r="M938" s="67"/>
      <c r="N938" s="67"/>
      <c r="Q938" s="67"/>
    </row>
    <row r="939" spans="1:17" s="68" customFormat="1" x14ac:dyDescent="0.35">
      <c r="A939" s="66"/>
      <c r="B939" s="66"/>
      <c r="C939" s="67"/>
      <c r="D939" s="67"/>
      <c r="E939" s="67"/>
      <c r="F939" s="67"/>
      <c r="G939" s="67"/>
      <c r="H939" s="67"/>
      <c r="I939" s="67"/>
      <c r="J939" s="67"/>
      <c r="K939" s="67"/>
      <c r="L939" s="67"/>
      <c r="M939" s="67"/>
      <c r="N939" s="67"/>
      <c r="Q939" s="67"/>
    </row>
    <row r="940" spans="1:17" s="68" customFormat="1" x14ac:dyDescent="0.35">
      <c r="A940" s="66"/>
      <c r="B940" s="66"/>
      <c r="C940" s="67"/>
      <c r="D940" s="67"/>
      <c r="E940" s="67"/>
      <c r="F940" s="67"/>
      <c r="G940" s="67"/>
      <c r="H940" s="67"/>
      <c r="I940" s="67"/>
      <c r="J940" s="67"/>
      <c r="K940" s="67"/>
      <c r="L940" s="67"/>
      <c r="M940" s="67"/>
      <c r="N940" s="67"/>
      <c r="Q940" s="67"/>
    </row>
    <row r="941" spans="1:17" s="68" customFormat="1" x14ac:dyDescent="0.35">
      <c r="A941" s="66"/>
      <c r="B941" s="66"/>
      <c r="C941" s="67"/>
      <c r="D941" s="67"/>
      <c r="E941" s="67"/>
      <c r="F941" s="67"/>
      <c r="G941" s="67"/>
      <c r="H941" s="67"/>
      <c r="I941" s="67"/>
      <c r="J941" s="67"/>
      <c r="K941" s="67"/>
      <c r="L941" s="67"/>
      <c r="M941" s="67"/>
      <c r="N941" s="67"/>
      <c r="Q941" s="67"/>
    </row>
    <row r="942" spans="1:17" s="68" customFormat="1" x14ac:dyDescent="0.35">
      <c r="A942" s="66"/>
      <c r="B942" s="66"/>
      <c r="C942" s="67"/>
      <c r="D942" s="67"/>
      <c r="E942" s="67"/>
      <c r="F942" s="67"/>
      <c r="G942" s="67"/>
      <c r="H942" s="67"/>
      <c r="I942" s="67"/>
      <c r="J942" s="67"/>
      <c r="K942" s="67"/>
      <c r="L942" s="67"/>
      <c r="M942" s="67"/>
      <c r="N942" s="67"/>
      <c r="Q942" s="67"/>
    </row>
    <row r="943" spans="1:17" s="68" customFormat="1" x14ac:dyDescent="0.35">
      <c r="A943" s="66"/>
      <c r="B943" s="66"/>
      <c r="C943" s="67"/>
      <c r="D943" s="67"/>
      <c r="E943" s="67"/>
      <c r="F943" s="67"/>
      <c r="G943" s="67"/>
      <c r="H943" s="67"/>
      <c r="I943" s="67"/>
      <c r="J943" s="67"/>
      <c r="K943" s="67"/>
      <c r="L943" s="67"/>
      <c r="M943" s="67"/>
      <c r="N943" s="67"/>
      <c r="Q943" s="67"/>
    </row>
    <row r="944" spans="1:17" s="68" customFormat="1" x14ac:dyDescent="0.35">
      <c r="A944" s="66"/>
      <c r="B944" s="66"/>
      <c r="C944" s="67"/>
      <c r="D944" s="67"/>
      <c r="E944" s="67"/>
      <c r="F944" s="67"/>
      <c r="G944" s="67"/>
      <c r="H944" s="67"/>
      <c r="I944" s="67"/>
      <c r="J944" s="67"/>
      <c r="K944" s="67"/>
      <c r="L944" s="67"/>
      <c r="M944" s="67"/>
      <c r="N944" s="67"/>
      <c r="Q944" s="67"/>
    </row>
    <row r="945" spans="1:17" s="68" customFormat="1" x14ac:dyDescent="0.35">
      <c r="A945" s="66"/>
      <c r="B945" s="66"/>
      <c r="C945" s="67"/>
      <c r="D945" s="67"/>
      <c r="E945" s="67"/>
      <c r="F945" s="67"/>
      <c r="G945" s="67"/>
      <c r="H945" s="67"/>
      <c r="I945" s="67"/>
      <c r="J945" s="67"/>
      <c r="K945" s="67"/>
      <c r="L945" s="67"/>
      <c r="M945" s="67"/>
      <c r="N945" s="67"/>
      <c r="Q945" s="67"/>
    </row>
    <row r="946" spans="1:17" s="68" customFormat="1" x14ac:dyDescent="0.35">
      <c r="A946" s="66"/>
      <c r="B946" s="66"/>
      <c r="C946" s="67"/>
      <c r="D946" s="67"/>
      <c r="E946" s="67"/>
      <c r="F946" s="67"/>
      <c r="G946" s="67"/>
      <c r="H946" s="67"/>
      <c r="I946" s="67"/>
      <c r="J946" s="67"/>
      <c r="K946" s="67"/>
      <c r="L946" s="67"/>
      <c r="M946" s="67"/>
      <c r="N946" s="67"/>
      <c r="Q946" s="67"/>
    </row>
    <row r="947" spans="1:17" s="68" customFormat="1" x14ac:dyDescent="0.35">
      <c r="A947" s="66"/>
      <c r="B947" s="66"/>
      <c r="C947" s="67"/>
      <c r="D947" s="67"/>
      <c r="E947" s="67"/>
      <c r="F947" s="67"/>
      <c r="G947" s="67"/>
      <c r="H947" s="67"/>
      <c r="I947" s="67"/>
      <c r="J947" s="67"/>
      <c r="K947" s="67"/>
      <c r="L947" s="67"/>
      <c r="M947" s="67"/>
      <c r="N947" s="67"/>
      <c r="Q947" s="67"/>
    </row>
    <row r="948" spans="1:17" s="68" customFormat="1" x14ac:dyDescent="0.35">
      <c r="A948" s="66"/>
      <c r="B948" s="66"/>
      <c r="C948" s="67"/>
      <c r="D948" s="67"/>
      <c r="E948" s="67"/>
      <c r="F948" s="67"/>
      <c r="G948" s="67"/>
      <c r="H948" s="67"/>
      <c r="I948" s="67"/>
      <c r="J948" s="67"/>
      <c r="K948" s="67"/>
      <c r="L948" s="67"/>
      <c r="M948" s="67"/>
      <c r="N948" s="67"/>
      <c r="Q948" s="67"/>
    </row>
    <row r="949" spans="1:17" s="68" customFormat="1" x14ac:dyDescent="0.35">
      <c r="A949" s="66"/>
      <c r="B949" s="66"/>
      <c r="C949" s="67"/>
      <c r="D949" s="67"/>
      <c r="E949" s="67"/>
      <c r="F949" s="67"/>
      <c r="G949" s="67"/>
      <c r="H949" s="67"/>
      <c r="I949" s="67"/>
      <c r="J949" s="67"/>
      <c r="K949" s="67"/>
      <c r="L949" s="67"/>
      <c r="M949" s="67"/>
      <c r="N949" s="67"/>
      <c r="Q949" s="67"/>
    </row>
    <row r="950" spans="1:17" s="68" customFormat="1" x14ac:dyDescent="0.35">
      <c r="A950" s="66"/>
      <c r="B950" s="66"/>
      <c r="C950" s="67"/>
      <c r="D950" s="67"/>
      <c r="E950" s="67"/>
      <c r="F950" s="67"/>
      <c r="G950" s="67"/>
      <c r="H950" s="67"/>
      <c r="I950" s="67"/>
      <c r="J950" s="67"/>
      <c r="K950" s="67"/>
      <c r="L950" s="67"/>
      <c r="M950" s="67"/>
      <c r="N950" s="67"/>
      <c r="Q950" s="67"/>
    </row>
    <row r="951" spans="1:17" s="68" customFormat="1" x14ac:dyDescent="0.35">
      <c r="A951" s="66"/>
      <c r="B951" s="66"/>
      <c r="C951" s="67"/>
      <c r="D951" s="67"/>
      <c r="E951" s="67"/>
      <c r="F951" s="67"/>
      <c r="G951" s="67"/>
      <c r="H951" s="67"/>
      <c r="I951" s="67"/>
      <c r="J951" s="67"/>
      <c r="K951" s="67"/>
      <c r="L951" s="67"/>
      <c r="M951" s="67"/>
      <c r="N951" s="67"/>
      <c r="Q951" s="67"/>
    </row>
    <row r="952" spans="1:17" s="68" customFormat="1" x14ac:dyDescent="0.35">
      <c r="A952" s="66"/>
      <c r="B952" s="66"/>
      <c r="C952" s="67"/>
      <c r="D952" s="67"/>
      <c r="E952" s="67"/>
      <c r="F952" s="67"/>
      <c r="G952" s="67"/>
      <c r="H952" s="67"/>
      <c r="I952" s="67"/>
      <c r="J952" s="67"/>
      <c r="K952" s="67"/>
      <c r="L952" s="67"/>
      <c r="M952" s="67"/>
      <c r="N952" s="67"/>
      <c r="Q952" s="67"/>
    </row>
    <row r="953" spans="1:17" s="68" customFormat="1" x14ac:dyDescent="0.35">
      <c r="A953" s="66"/>
      <c r="B953" s="66"/>
      <c r="C953" s="67"/>
      <c r="D953" s="67"/>
      <c r="E953" s="67"/>
      <c r="F953" s="67"/>
      <c r="G953" s="67"/>
      <c r="H953" s="67"/>
      <c r="I953" s="67"/>
      <c r="J953" s="67"/>
      <c r="K953" s="67"/>
      <c r="L953" s="67"/>
      <c r="M953" s="67"/>
      <c r="N953" s="67"/>
      <c r="Q953" s="67"/>
    </row>
    <row r="954" spans="1:17" s="68" customFormat="1" x14ac:dyDescent="0.35">
      <c r="A954" s="66"/>
      <c r="B954" s="66"/>
      <c r="C954" s="67"/>
      <c r="D954" s="67"/>
      <c r="E954" s="67"/>
      <c r="F954" s="67"/>
      <c r="G954" s="67"/>
      <c r="H954" s="67"/>
      <c r="I954" s="67"/>
      <c r="J954" s="67"/>
      <c r="K954" s="67"/>
      <c r="L954" s="67"/>
      <c r="M954" s="67"/>
      <c r="N954" s="67"/>
      <c r="Q954" s="67"/>
    </row>
    <row r="955" spans="1:17" s="68" customFormat="1" x14ac:dyDescent="0.35">
      <c r="A955" s="66"/>
      <c r="B955" s="66"/>
      <c r="C955" s="67"/>
      <c r="D955" s="67"/>
      <c r="E955" s="67"/>
      <c r="F955" s="67"/>
      <c r="G955" s="67"/>
      <c r="H955" s="67"/>
      <c r="I955" s="67"/>
      <c r="J955" s="67"/>
      <c r="K955" s="67"/>
      <c r="L955" s="67"/>
      <c r="M955" s="67"/>
      <c r="N955" s="67"/>
      <c r="Q955" s="67"/>
    </row>
    <row r="956" spans="1:17" s="68" customFormat="1" x14ac:dyDescent="0.35">
      <c r="A956" s="66"/>
      <c r="B956" s="66"/>
      <c r="C956" s="67"/>
      <c r="D956" s="67"/>
      <c r="E956" s="67"/>
      <c r="F956" s="67"/>
      <c r="G956" s="67"/>
      <c r="H956" s="67"/>
      <c r="I956" s="67"/>
      <c r="J956" s="67"/>
      <c r="K956" s="67"/>
      <c r="L956" s="67"/>
      <c r="M956" s="67"/>
      <c r="N956" s="67"/>
      <c r="Q956" s="67"/>
    </row>
    <row r="957" spans="1:17" s="68" customFormat="1" x14ac:dyDescent="0.35">
      <c r="A957" s="66"/>
      <c r="B957" s="66"/>
      <c r="C957" s="67"/>
      <c r="D957" s="67"/>
      <c r="E957" s="67"/>
      <c r="F957" s="67"/>
      <c r="G957" s="67"/>
      <c r="H957" s="67"/>
      <c r="I957" s="67"/>
      <c r="J957" s="67"/>
      <c r="K957" s="67"/>
      <c r="L957" s="67"/>
      <c r="M957" s="67"/>
      <c r="N957" s="67"/>
      <c r="Q957" s="67"/>
    </row>
    <row r="958" spans="1:17" s="68" customFormat="1" x14ac:dyDescent="0.35">
      <c r="A958" s="66"/>
      <c r="B958" s="66"/>
      <c r="C958" s="67"/>
      <c r="D958" s="67"/>
      <c r="E958" s="67"/>
      <c r="F958" s="67"/>
      <c r="G958" s="67"/>
      <c r="H958" s="67"/>
      <c r="I958" s="67"/>
      <c r="J958" s="67"/>
      <c r="K958" s="67"/>
      <c r="L958" s="67"/>
      <c r="M958" s="67"/>
      <c r="N958" s="67"/>
      <c r="Q958" s="67"/>
    </row>
    <row r="959" spans="1:17" s="68" customFormat="1" x14ac:dyDescent="0.35">
      <c r="A959" s="66"/>
      <c r="B959" s="66"/>
      <c r="C959" s="67"/>
      <c r="D959" s="67"/>
      <c r="E959" s="67"/>
      <c r="F959" s="67"/>
      <c r="G959" s="67"/>
      <c r="H959" s="67"/>
      <c r="I959" s="67"/>
      <c r="J959" s="67"/>
      <c r="K959" s="67"/>
      <c r="L959" s="67"/>
      <c r="M959" s="67"/>
      <c r="N959" s="67"/>
      <c r="Q959" s="67"/>
    </row>
    <row r="960" spans="1:17" s="68" customFormat="1" x14ac:dyDescent="0.35">
      <c r="A960" s="66"/>
      <c r="B960" s="66"/>
      <c r="C960" s="67"/>
      <c r="D960" s="67"/>
      <c r="E960" s="67"/>
      <c r="F960" s="67"/>
      <c r="G960" s="67"/>
      <c r="H960" s="67"/>
      <c r="I960" s="67"/>
      <c r="J960" s="67"/>
      <c r="K960" s="67"/>
      <c r="L960" s="67"/>
      <c r="M960" s="67"/>
      <c r="N960" s="67"/>
      <c r="Q960" s="67"/>
    </row>
    <row r="961" spans="1:17" s="68" customFormat="1" x14ac:dyDescent="0.35">
      <c r="A961" s="66"/>
      <c r="B961" s="66"/>
      <c r="C961" s="67"/>
      <c r="D961" s="67"/>
      <c r="E961" s="67"/>
      <c r="F961" s="67"/>
      <c r="G961" s="67"/>
      <c r="H961" s="67"/>
      <c r="I961" s="67"/>
      <c r="J961" s="67"/>
      <c r="K961" s="67"/>
      <c r="L961" s="67"/>
      <c r="M961" s="67"/>
      <c r="N961" s="67"/>
      <c r="Q961" s="67"/>
    </row>
    <row r="962" spans="1:17" s="68" customFormat="1" x14ac:dyDescent="0.35">
      <c r="A962" s="66"/>
      <c r="B962" s="66"/>
      <c r="C962" s="67"/>
      <c r="D962" s="67"/>
      <c r="E962" s="67"/>
      <c r="F962" s="67"/>
      <c r="G962" s="67"/>
      <c r="H962" s="67"/>
      <c r="I962" s="67"/>
      <c r="J962" s="67"/>
      <c r="K962" s="67"/>
      <c r="L962" s="67"/>
      <c r="M962" s="67"/>
      <c r="N962" s="67"/>
      <c r="Q962" s="67"/>
    </row>
    <row r="963" spans="1:17" s="68" customFormat="1" x14ac:dyDescent="0.35">
      <c r="A963" s="66"/>
      <c r="B963" s="66"/>
      <c r="C963" s="67"/>
      <c r="D963" s="67"/>
      <c r="E963" s="67"/>
      <c r="F963" s="67"/>
      <c r="G963" s="67"/>
      <c r="H963" s="67"/>
      <c r="I963" s="67"/>
      <c r="J963" s="67"/>
      <c r="K963" s="67"/>
      <c r="L963" s="67"/>
      <c r="M963" s="67"/>
      <c r="N963" s="67"/>
      <c r="Q963" s="67"/>
    </row>
    <row r="964" spans="1:17" s="68" customFormat="1" x14ac:dyDescent="0.35">
      <c r="A964" s="66"/>
      <c r="B964" s="66"/>
      <c r="C964" s="67"/>
      <c r="D964" s="67"/>
      <c r="E964" s="67"/>
      <c r="F964" s="67"/>
      <c r="G964" s="67"/>
      <c r="H964" s="67"/>
      <c r="I964" s="67"/>
      <c r="J964" s="67"/>
      <c r="K964" s="67"/>
      <c r="L964" s="67"/>
      <c r="M964" s="67"/>
      <c r="N964" s="67"/>
      <c r="Q964" s="67"/>
    </row>
    <row r="965" spans="1:17" s="68" customFormat="1" x14ac:dyDescent="0.35">
      <c r="A965" s="66"/>
      <c r="B965" s="66"/>
      <c r="C965" s="67"/>
      <c r="D965" s="67"/>
      <c r="E965" s="67"/>
      <c r="F965" s="67"/>
      <c r="G965" s="67"/>
      <c r="H965" s="67"/>
      <c r="I965" s="67"/>
      <c r="J965" s="67"/>
      <c r="K965" s="67"/>
      <c r="L965" s="67"/>
      <c r="M965" s="67"/>
      <c r="N965" s="67"/>
      <c r="Q965" s="67"/>
    </row>
    <row r="966" spans="1:17" s="68" customFormat="1" x14ac:dyDescent="0.35">
      <c r="A966" s="66"/>
      <c r="B966" s="66"/>
      <c r="C966" s="67"/>
      <c r="D966" s="67"/>
      <c r="E966" s="67"/>
      <c r="F966" s="67"/>
      <c r="G966" s="67"/>
      <c r="H966" s="67"/>
      <c r="I966" s="67"/>
      <c r="J966" s="67"/>
      <c r="K966" s="67"/>
      <c r="L966" s="67"/>
      <c r="M966" s="67"/>
      <c r="N966" s="67"/>
      <c r="Q966" s="67"/>
    </row>
    <row r="967" spans="1:17" s="68" customFormat="1" x14ac:dyDescent="0.35">
      <c r="A967" s="66"/>
      <c r="B967" s="66"/>
      <c r="C967" s="67"/>
      <c r="D967" s="67"/>
      <c r="E967" s="67"/>
      <c r="F967" s="67"/>
      <c r="G967" s="67"/>
      <c r="H967" s="67"/>
      <c r="I967" s="67"/>
      <c r="J967" s="67"/>
      <c r="K967" s="67"/>
      <c r="L967" s="67"/>
      <c r="M967" s="67"/>
      <c r="N967" s="67"/>
      <c r="Q967" s="67"/>
    </row>
    <row r="968" spans="1:17" s="68" customFormat="1" x14ac:dyDescent="0.35">
      <c r="A968" s="66"/>
      <c r="B968" s="66"/>
      <c r="C968" s="67"/>
      <c r="D968" s="67"/>
      <c r="E968" s="67"/>
      <c r="F968" s="67"/>
      <c r="G968" s="67"/>
      <c r="H968" s="67"/>
      <c r="I968" s="67"/>
      <c r="J968" s="67"/>
      <c r="K968" s="67"/>
      <c r="L968" s="67"/>
      <c r="M968" s="67"/>
      <c r="N968" s="67"/>
      <c r="Q968" s="67"/>
    </row>
    <row r="969" spans="1:17" s="68" customFormat="1" x14ac:dyDescent="0.35">
      <c r="A969" s="66"/>
      <c r="B969" s="66"/>
      <c r="C969" s="67"/>
      <c r="D969" s="67"/>
      <c r="E969" s="67"/>
      <c r="F969" s="67"/>
      <c r="G969" s="67"/>
      <c r="H969" s="67"/>
      <c r="I969" s="67"/>
      <c r="J969" s="67"/>
      <c r="K969" s="67"/>
      <c r="L969" s="67"/>
      <c r="M969" s="67"/>
      <c r="N969" s="67"/>
      <c r="Q969" s="67"/>
    </row>
    <row r="970" spans="1:17" s="68" customFormat="1" x14ac:dyDescent="0.35">
      <c r="A970" s="66"/>
      <c r="B970" s="66"/>
      <c r="C970" s="67"/>
      <c r="D970" s="67"/>
      <c r="E970" s="67"/>
      <c r="F970" s="67"/>
      <c r="G970" s="67"/>
      <c r="H970" s="67"/>
      <c r="I970" s="67"/>
      <c r="J970" s="67"/>
      <c r="K970" s="67"/>
      <c r="L970" s="67"/>
      <c r="M970" s="67"/>
      <c r="N970" s="67"/>
      <c r="Q970" s="67"/>
    </row>
    <row r="971" spans="1:17" s="68" customFormat="1" x14ac:dyDescent="0.35">
      <c r="A971" s="66"/>
      <c r="B971" s="66"/>
      <c r="C971" s="67"/>
      <c r="D971" s="67"/>
      <c r="E971" s="67"/>
      <c r="F971" s="67"/>
      <c r="G971" s="67"/>
      <c r="H971" s="67"/>
      <c r="I971" s="67"/>
      <c r="J971" s="67"/>
      <c r="K971" s="67"/>
      <c r="L971" s="67"/>
      <c r="M971" s="67"/>
      <c r="N971" s="67"/>
      <c r="Q971" s="67"/>
    </row>
    <row r="972" spans="1:17" s="68" customFormat="1" x14ac:dyDescent="0.35">
      <c r="A972" s="66"/>
      <c r="B972" s="66"/>
      <c r="C972" s="67"/>
      <c r="D972" s="67"/>
      <c r="E972" s="67"/>
      <c r="F972" s="67"/>
      <c r="G972" s="67"/>
      <c r="H972" s="67"/>
      <c r="I972" s="67"/>
      <c r="J972" s="67"/>
      <c r="K972" s="67"/>
      <c r="L972" s="67"/>
      <c r="M972" s="67"/>
      <c r="N972" s="67"/>
      <c r="Q972" s="67"/>
    </row>
    <row r="973" spans="1:17" s="68" customFormat="1" x14ac:dyDescent="0.35">
      <c r="A973" s="66"/>
      <c r="B973" s="66"/>
      <c r="C973" s="67"/>
      <c r="D973" s="67"/>
      <c r="E973" s="67"/>
      <c r="F973" s="67"/>
      <c r="G973" s="67"/>
      <c r="H973" s="67"/>
      <c r="I973" s="67"/>
      <c r="J973" s="67"/>
      <c r="K973" s="67"/>
      <c r="L973" s="67"/>
      <c r="M973" s="67"/>
      <c r="N973" s="67"/>
      <c r="Q973" s="67"/>
    </row>
    <row r="974" spans="1:17" s="68" customFormat="1" x14ac:dyDescent="0.35">
      <c r="A974" s="66"/>
      <c r="B974" s="66"/>
      <c r="C974" s="67"/>
      <c r="D974" s="67"/>
      <c r="E974" s="67"/>
      <c r="F974" s="67"/>
      <c r="G974" s="67"/>
      <c r="H974" s="67"/>
      <c r="I974" s="67"/>
      <c r="J974" s="67"/>
      <c r="K974" s="67"/>
      <c r="L974" s="67"/>
      <c r="M974" s="67"/>
      <c r="N974" s="67"/>
      <c r="Q974" s="67"/>
    </row>
    <row r="975" spans="1:17" s="68" customFormat="1" x14ac:dyDescent="0.35">
      <c r="A975" s="66"/>
      <c r="B975" s="66"/>
      <c r="C975" s="67"/>
      <c r="D975" s="67"/>
      <c r="E975" s="67"/>
      <c r="F975" s="67"/>
      <c r="G975" s="67"/>
      <c r="H975" s="67"/>
      <c r="I975" s="67"/>
      <c r="J975" s="67"/>
      <c r="K975" s="67"/>
      <c r="L975" s="67"/>
      <c r="M975" s="67"/>
      <c r="N975" s="67"/>
      <c r="Q975" s="67"/>
    </row>
    <row r="976" spans="1:17" s="68" customFormat="1" x14ac:dyDescent="0.35">
      <c r="A976" s="66"/>
      <c r="B976" s="66"/>
      <c r="C976" s="67"/>
      <c r="D976" s="67"/>
      <c r="E976" s="67"/>
      <c r="F976" s="67"/>
      <c r="G976" s="67"/>
      <c r="H976" s="67"/>
      <c r="I976" s="67"/>
      <c r="J976" s="67"/>
      <c r="K976" s="67"/>
      <c r="L976" s="67"/>
      <c r="M976" s="67"/>
      <c r="N976" s="67"/>
      <c r="Q976" s="67"/>
    </row>
    <row r="977" spans="1:17" s="68" customFormat="1" x14ac:dyDescent="0.35">
      <c r="A977" s="66"/>
      <c r="B977" s="66"/>
      <c r="C977" s="67"/>
      <c r="D977" s="67"/>
      <c r="E977" s="67"/>
      <c r="F977" s="67"/>
      <c r="G977" s="67"/>
      <c r="H977" s="67"/>
      <c r="I977" s="67"/>
      <c r="J977" s="67"/>
      <c r="K977" s="67"/>
      <c r="L977" s="67"/>
      <c r="M977" s="67"/>
      <c r="N977" s="67"/>
      <c r="Q977" s="67"/>
    </row>
    <row r="978" spans="1:17" s="68" customFormat="1" x14ac:dyDescent="0.35">
      <c r="A978" s="66"/>
      <c r="B978" s="66"/>
      <c r="C978" s="67"/>
      <c r="D978" s="67"/>
      <c r="E978" s="67"/>
      <c r="F978" s="67"/>
      <c r="G978" s="67"/>
      <c r="H978" s="67"/>
      <c r="I978" s="67"/>
      <c r="J978" s="67"/>
      <c r="K978" s="67"/>
      <c r="L978" s="67"/>
      <c r="M978" s="67"/>
      <c r="N978" s="67"/>
      <c r="Q978" s="67"/>
    </row>
    <row r="979" spans="1:17" s="68" customFormat="1" x14ac:dyDescent="0.35">
      <c r="A979" s="66"/>
      <c r="B979" s="66"/>
      <c r="C979" s="67"/>
      <c r="D979" s="67"/>
      <c r="E979" s="67"/>
      <c r="F979" s="67"/>
      <c r="G979" s="67"/>
      <c r="H979" s="67"/>
      <c r="I979" s="67"/>
      <c r="J979" s="67"/>
      <c r="K979" s="67"/>
      <c r="L979" s="67"/>
      <c r="M979" s="67"/>
      <c r="N979" s="67"/>
      <c r="Q979" s="67"/>
    </row>
    <row r="980" spans="1:17" s="68" customFormat="1" x14ac:dyDescent="0.35">
      <c r="A980" s="66"/>
      <c r="B980" s="66"/>
      <c r="C980" s="67"/>
      <c r="D980" s="67"/>
      <c r="E980" s="67"/>
      <c r="F980" s="67"/>
      <c r="G980" s="67"/>
      <c r="H980" s="67"/>
      <c r="I980" s="67"/>
      <c r="J980" s="67"/>
      <c r="K980" s="67"/>
      <c r="L980" s="67"/>
      <c r="M980" s="67"/>
      <c r="N980" s="67"/>
      <c r="Q980" s="67"/>
    </row>
    <row r="981" spans="1:17" s="68" customFormat="1" x14ac:dyDescent="0.35">
      <c r="A981" s="66"/>
      <c r="B981" s="66"/>
      <c r="C981" s="67"/>
      <c r="D981" s="67"/>
      <c r="E981" s="67"/>
      <c r="F981" s="67"/>
      <c r="G981" s="67"/>
      <c r="H981" s="67"/>
      <c r="I981" s="67"/>
      <c r="J981" s="67"/>
      <c r="K981" s="67"/>
      <c r="L981" s="67"/>
      <c r="M981" s="67"/>
      <c r="N981" s="67"/>
      <c r="Q981" s="67"/>
    </row>
    <row r="982" spans="1:17" s="68" customFormat="1" x14ac:dyDescent="0.35">
      <c r="A982" s="66"/>
      <c r="B982" s="66"/>
      <c r="C982" s="67"/>
      <c r="D982" s="67"/>
      <c r="E982" s="67"/>
      <c r="F982" s="67"/>
      <c r="G982" s="67"/>
      <c r="H982" s="67"/>
      <c r="I982" s="67"/>
      <c r="J982" s="67"/>
      <c r="K982" s="67"/>
      <c r="L982" s="67"/>
      <c r="M982" s="67"/>
      <c r="N982" s="67"/>
      <c r="Q982" s="67"/>
    </row>
    <row r="983" spans="1:17" s="68" customFormat="1" x14ac:dyDescent="0.35">
      <c r="A983" s="66"/>
      <c r="B983" s="66"/>
      <c r="C983" s="67"/>
      <c r="D983" s="67"/>
      <c r="E983" s="67"/>
      <c r="F983" s="67"/>
      <c r="G983" s="67"/>
      <c r="H983" s="67"/>
      <c r="I983" s="67"/>
      <c r="J983" s="67"/>
      <c r="K983" s="67"/>
      <c r="L983" s="67"/>
      <c r="M983" s="67"/>
      <c r="N983" s="67"/>
      <c r="Q983" s="67"/>
    </row>
    <row r="984" spans="1:17" s="68" customFormat="1" x14ac:dyDescent="0.35">
      <c r="A984" s="66"/>
      <c r="B984" s="66"/>
      <c r="C984" s="67"/>
      <c r="D984" s="67"/>
      <c r="E984" s="67"/>
      <c r="F984" s="67"/>
      <c r="G984" s="67"/>
      <c r="H984" s="67"/>
      <c r="I984" s="67"/>
      <c r="J984" s="67"/>
      <c r="K984" s="67"/>
      <c r="L984" s="67"/>
      <c r="M984" s="67"/>
      <c r="N984" s="67"/>
      <c r="Q984" s="67"/>
    </row>
    <row r="985" spans="1:17" s="68" customFormat="1" x14ac:dyDescent="0.35">
      <c r="A985" s="66"/>
      <c r="B985" s="66"/>
      <c r="C985" s="67"/>
      <c r="D985" s="67"/>
      <c r="E985" s="67"/>
      <c r="F985" s="67"/>
      <c r="G985" s="67"/>
      <c r="H985" s="67"/>
      <c r="I985" s="67"/>
      <c r="J985" s="67"/>
      <c r="K985" s="67"/>
      <c r="L985" s="67"/>
      <c r="M985" s="67"/>
      <c r="N985" s="67"/>
      <c r="Q985" s="67"/>
    </row>
    <row r="986" spans="1:17" s="68" customFormat="1" x14ac:dyDescent="0.35">
      <c r="A986" s="66"/>
      <c r="B986" s="66"/>
      <c r="C986" s="67"/>
      <c r="D986" s="67"/>
      <c r="E986" s="67"/>
      <c r="F986" s="67"/>
      <c r="G986" s="67"/>
      <c r="H986" s="67"/>
      <c r="I986" s="67"/>
      <c r="J986" s="67"/>
      <c r="K986" s="67"/>
      <c r="L986" s="67"/>
      <c r="M986" s="67"/>
      <c r="N986" s="67"/>
      <c r="Q986" s="67"/>
    </row>
    <row r="987" spans="1:17" s="68" customFormat="1" x14ac:dyDescent="0.35">
      <c r="A987" s="66"/>
      <c r="B987" s="66"/>
      <c r="C987" s="67"/>
      <c r="D987" s="67"/>
      <c r="E987" s="67"/>
      <c r="F987" s="67"/>
      <c r="G987" s="67"/>
      <c r="H987" s="67"/>
      <c r="I987" s="67"/>
      <c r="J987" s="67"/>
      <c r="K987" s="67"/>
      <c r="L987" s="67"/>
      <c r="M987" s="67"/>
      <c r="N987" s="67"/>
      <c r="Q987" s="67"/>
    </row>
    <row r="988" spans="1:17" s="68" customFormat="1" x14ac:dyDescent="0.35">
      <c r="A988" s="66"/>
      <c r="B988" s="66"/>
      <c r="C988" s="67"/>
      <c r="D988" s="67"/>
      <c r="E988" s="67"/>
      <c r="F988" s="67"/>
      <c r="G988" s="67"/>
      <c r="H988" s="67"/>
      <c r="I988" s="67"/>
      <c r="J988" s="67"/>
      <c r="K988" s="67"/>
      <c r="L988" s="67"/>
      <c r="M988" s="67"/>
      <c r="N988" s="67"/>
      <c r="Q988" s="67"/>
    </row>
    <row r="989" spans="1:17" s="68" customFormat="1" x14ac:dyDescent="0.35">
      <c r="A989" s="66"/>
      <c r="B989" s="66"/>
      <c r="C989" s="67"/>
      <c r="D989" s="67"/>
      <c r="E989" s="67"/>
      <c r="F989" s="67"/>
      <c r="G989" s="67"/>
      <c r="H989" s="67"/>
      <c r="I989" s="67"/>
      <c r="J989" s="67"/>
      <c r="K989" s="67"/>
      <c r="L989" s="67"/>
      <c r="M989" s="67"/>
      <c r="N989" s="67"/>
      <c r="Q989" s="67"/>
    </row>
    <row r="990" spans="1:17" s="68" customFormat="1" x14ac:dyDescent="0.35">
      <c r="A990" s="66"/>
      <c r="B990" s="66"/>
      <c r="C990" s="67"/>
      <c r="D990" s="67"/>
      <c r="E990" s="67"/>
      <c r="F990" s="67"/>
      <c r="G990" s="67"/>
      <c r="H990" s="67"/>
      <c r="I990" s="67"/>
      <c r="J990" s="67"/>
      <c r="K990" s="67"/>
      <c r="L990" s="67"/>
      <c r="M990" s="67"/>
      <c r="N990" s="67"/>
      <c r="Q990" s="67"/>
    </row>
    <row r="991" spans="1:17" s="68" customFormat="1" x14ac:dyDescent="0.35">
      <c r="A991" s="66"/>
      <c r="B991" s="66"/>
      <c r="C991" s="67"/>
      <c r="D991" s="67"/>
      <c r="E991" s="67"/>
      <c r="F991" s="67"/>
      <c r="G991" s="67"/>
      <c r="H991" s="67"/>
      <c r="I991" s="67"/>
      <c r="J991" s="67"/>
      <c r="K991" s="67"/>
      <c r="L991" s="67"/>
      <c r="M991" s="67"/>
      <c r="N991" s="67"/>
      <c r="Q991" s="67"/>
    </row>
    <row r="992" spans="1:17" s="68" customFormat="1" x14ac:dyDescent="0.35">
      <c r="A992" s="66"/>
      <c r="B992" s="66"/>
      <c r="C992" s="67"/>
      <c r="D992" s="67"/>
      <c r="E992" s="67"/>
      <c r="F992" s="67"/>
      <c r="G992" s="67"/>
      <c r="H992" s="67"/>
      <c r="I992" s="67"/>
      <c r="J992" s="67"/>
      <c r="K992" s="67"/>
      <c r="L992" s="67"/>
      <c r="M992" s="67"/>
      <c r="N992" s="67"/>
      <c r="Q992" s="67"/>
    </row>
    <row r="993" spans="1:17" s="68" customFormat="1" x14ac:dyDescent="0.35">
      <c r="A993" s="66"/>
      <c r="B993" s="66"/>
      <c r="C993" s="67"/>
      <c r="D993" s="67"/>
      <c r="E993" s="67"/>
      <c r="F993" s="67"/>
      <c r="G993" s="67"/>
      <c r="H993" s="67"/>
      <c r="I993" s="67"/>
      <c r="J993" s="67"/>
      <c r="K993" s="67"/>
      <c r="L993" s="67"/>
      <c r="M993" s="67"/>
      <c r="N993" s="67"/>
      <c r="Q993" s="67"/>
    </row>
    <row r="994" spans="1:17" s="68" customFormat="1" x14ac:dyDescent="0.35">
      <c r="A994" s="66"/>
      <c r="B994" s="66"/>
      <c r="C994" s="67"/>
      <c r="D994" s="67"/>
      <c r="E994" s="67"/>
      <c r="F994" s="67"/>
      <c r="G994" s="67"/>
      <c r="H994" s="67"/>
      <c r="I994" s="67"/>
      <c r="J994" s="67"/>
      <c r="K994" s="67"/>
      <c r="L994" s="67"/>
      <c r="M994" s="67"/>
      <c r="N994" s="67"/>
      <c r="Q994" s="67"/>
    </row>
    <row r="995" spans="1:17" s="68" customFormat="1" x14ac:dyDescent="0.35">
      <c r="A995" s="66"/>
      <c r="B995" s="66"/>
      <c r="C995" s="67"/>
      <c r="D995" s="67"/>
      <c r="E995" s="67"/>
      <c r="F995" s="67"/>
      <c r="G995" s="67"/>
      <c r="H995" s="67"/>
      <c r="I995" s="67"/>
      <c r="J995" s="67"/>
      <c r="K995" s="67"/>
      <c r="L995" s="67"/>
      <c r="M995" s="67"/>
      <c r="N995" s="67"/>
      <c r="Q995" s="67"/>
    </row>
    <row r="996" spans="1:17" s="68" customFormat="1" x14ac:dyDescent="0.35">
      <c r="A996" s="66"/>
      <c r="B996" s="66"/>
      <c r="C996" s="67"/>
      <c r="D996" s="67"/>
      <c r="E996" s="67"/>
      <c r="F996" s="67"/>
      <c r="G996" s="67"/>
      <c r="H996" s="67"/>
      <c r="I996" s="67"/>
      <c r="J996" s="67"/>
      <c r="K996" s="67"/>
      <c r="L996" s="67"/>
      <c r="M996" s="67"/>
      <c r="N996" s="67"/>
      <c r="Q996" s="67"/>
    </row>
    <row r="997" spans="1:17" s="68" customFormat="1" x14ac:dyDescent="0.35">
      <c r="A997" s="66"/>
      <c r="B997" s="66"/>
      <c r="C997" s="67"/>
      <c r="D997" s="67"/>
      <c r="E997" s="67"/>
      <c r="F997" s="67"/>
      <c r="G997" s="67"/>
      <c r="H997" s="67"/>
      <c r="I997" s="67"/>
      <c r="J997" s="67"/>
      <c r="K997" s="67"/>
      <c r="L997" s="67"/>
      <c r="M997" s="67"/>
      <c r="N997" s="67"/>
      <c r="Q997" s="67"/>
    </row>
    <row r="998" spans="1:17" s="68" customFormat="1" x14ac:dyDescent="0.35">
      <c r="A998" s="66"/>
      <c r="B998" s="66"/>
      <c r="C998" s="67"/>
      <c r="D998" s="67"/>
      <c r="E998" s="67"/>
      <c r="F998" s="67"/>
      <c r="G998" s="67"/>
      <c r="H998" s="67"/>
      <c r="I998" s="67"/>
      <c r="J998" s="67"/>
      <c r="K998" s="67"/>
      <c r="L998" s="67"/>
      <c r="M998" s="67"/>
      <c r="N998" s="67"/>
      <c r="Q998" s="67"/>
    </row>
    <row r="999" spans="1:17" s="68" customFormat="1" x14ac:dyDescent="0.35">
      <c r="A999" s="66"/>
      <c r="B999" s="66"/>
      <c r="C999" s="67"/>
      <c r="D999" s="67"/>
      <c r="E999" s="67"/>
      <c r="F999" s="67"/>
      <c r="G999" s="67"/>
      <c r="H999" s="67"/>
      <c r="I999" s="67"/>
      <c r="J999" s="67"/>
      <c r="K999" s="67"/>
      <c r="L999" s="67"/>
      <c r="M999" s="67"/>
      <c r="N999" s="67"/>
      <c r="Q999" s="67"/>
    </row>
    <row r="1000" spans="1:17" s="68" customFormat="1" x14ac:dyDescent="0.35">
      <c r="A1000" s="66"/>
      <c r="B1000" s="66"/>
      <c r="C1000" s="67"/>
      <c r="D1000" s="67"/>
      <c r="E1000" s="67"/>
      <c r="F1000" s="67"/>
      <c r="G1000" s="67"/>
      <c r="H1000" s="67"/>
      <c r="I1000" s="67"/>
      <c r="J1000" s="67"/>
      <c r="K1000" s="67"/>
      <c r="L1000" s="67"/>
      <c r="M1000" s="67"/>
      <c r="N1000" s="67"/>
      <c r="Q1000" s="67"/>
    </row>
    <row r="1001" spans="1:17" s="68" customFormat="1" x14ac:dyDescent="0.35">
      <c r="A1001" s="66"/>
      <c r="B1001" s="66"/>
      <c r="C1001" s="67"/>
      <c r="D1001" s="67"/>
      <c r="E1001" s="67"/>
      <c r="F1001" s="67"/>
      <c r="G1001" s="67"/>
      <c r="H1001" s="67"/>
      <c r="I1001" s="67"/>
      <c r="J1001" s="67"/>
      <c r="K1001" s="67"/>
      <c r="L1001" s="67"/>
      <c r="M1001" s="67"/>
      <c r="N1001" s="67"/>
      <c r="Q1001" s="67"/>
    </row>
    <row r="1002" spans="1:17" s="68" customFormat="1" x14ac:dyDescent="0.35">
      <c r="A1002" s="66"/>
      <c r="B1002" s="66"/>
      <c r="C1002" s="67"/>
      <c r="D1002" s="67"/>
      <c r="E1002" s="67"/>
      <c r="F1002" s="67"/>
      <c r="G1002" s="67"/>
      <c r="H1002" s="67"/>
      <c r="I1002" s="67"/>
      <c r="J1002" s="67"/>
      <c r="K1002" s="67"/>
      <c r="L1002" s="67"/>
      <c r="M1002" s="67"/>
      <c r="N1002" s="67"/>
      <c r="Q1002" s="67"/>
    </row>
    <row r="1003" spans="1:17" s="68" customFormat="1" x14ac:dyDescent="0.35">
      <c r="A1003" s="66"/>
      <c r="B1003" s="66"/>
      <c r="C1003" s="67"/>
      <c r="D1003" s="67"/>
      <c r="E1003" s="67"/>
      <c r="F1003" s="67"/>
      <c r="G1003" s="67"/>
      <c r="H1003" s="67"/>
      <c r="I1003" s="67"/>
      <c r="J1003" s="67"/>
      <c r="K1003" s="67"/>
      <c r="L1003" s="67"/>
      <c r="M1003" s="67"/>
      <c r="N1003" s="67"/>
      <c r="Q1003" s="67"/>
    </row>
    <row r="1004" spans="1:17" s="68" customFormat="1" x14ac:dyDescent="0.35">
      <c r="A1004" s="66"/>
      <c r="B1004" s="66"/>
      <c r="C1004" s="67"/>
      <c r="D1004" s="67"/>
      <c r="E1004" s="67"/>
      <c r="F1004" s="67"/>
      <c r="G1004" s="67"/>
      <c r="H1004" s="67"/>
      <c r="I1004" s="67"/>
      <c r="J1004" s="67"/>
      <c r="K1004" s="67"/>
      <c r="L1004" s="67"/>
      <c r="M1004" s="67"/>
      <c r="N1004" s="67"/>
      <c r="Q1004" s="67"/>
    </row>
    <row r="1005" spans="1:17" s="68" customFormat="1" x14ac:dyDescent="0.35">
      <c r="A1005" s="66"/>
      <c r="B1005" s="66"/>
      <c r="C1005" s="67"/>
      <c r="D1005" s="67"/>
      <c r="E1005" s="67"/>
      <c r="F1005" s="67"/>
      <c r="G1005" s="67"/>
      <c r="H1005" s="67"/>
      <c r="I1005" s="67"/>
      <c r="J1005" s="67"/>
      <c r="K1005" s="67"/>
      <c r="L1005" s="67"/>
      <c r="M1005" s="67"/>
      <c r="N1005" s="67"/>
      <c r="Q1005" s="67"/>
    </row>
    <row r="1006" spans="1:17" s="68" customFormat="1" x14ac:dyDescent="0.35">
      <c r="A1006" s="66"/>
      <c r="B1006" s="66"/>
      <c r="C1006" s="67"/>
      <c r="D1006" s="67"/>
      <c r="E1006" s="67"/>
      <c r="F1006" s="67"/>
      <c r="G1006" s="67"/>
      <c r="H1006" s="67"/>
      <c r="I1006" s="67"/>
      <c r="J1006" s="67"/>
      <c r="K1006" s="67"/>
      <c r="L1006" s="67"/>
      <c r="M1006" s="67"/>
      <c r="N1006" s="67"/>
      <c r="Q1006" s="67"/>
    </row>
    <row r="1007" spans="1:17" s="68" customFormat="1" x14ac:dyDescent="0.35">
      <c r="A1007" s="66"/>
      <c r="B1007" s="66"/>
      <c r="C1007" s="67"/>
      <c r="D1007" s="67"/>
      <c r="E1007" s="67"/>
      <c r="F1007" s="67"/>
      <c r="G1007" s="67"/>
      <c r="H1007" s="67"/>
      <c r="I1007" s="67"/>
      <c r="J1007" s="67"/>
      <c r="K1007" s="67"/>
      <c r="L1007" s="67"/>
      <c r="M1007" s="67"/>
      <c r="N1007" s="67"/>
      <c r="Q1007" s="67"/>
    </row>
    <row r="1008" spans="1:17" s="68" customFormat="1" x14ac:dyDescent="0.35">
      <c r="A1008" s="66"/>
      <c r="B1008" s="66"/>
      <c r="C1008" s="67"/>
      <c r="D1008" s="67"/>
      <c r="E1008" s="67"/>
      <c r="F1008" s="67"/>
      <c r="G1008" s="67"/>
      <c r="H1008" s="67"/>
      <c r="I1008" s="67"/>
      <c r="J1008" s="67"/>
      <c r="K1008" s="67"/>
      <c r="L1008" s="67"/>
      <c r="M1008" s="67"/>
      <c r="N1008" s="67"/>
      <c r="Q1008" s="67"/>
    </row>
    <row r="1009" spans="1:17" s="68" customFormat="1" x14ac:dyDescent="0.35">
      <c r="A1009" s="66"/>
      <c r="B1009" s="66"/>
      <c r="C1009" s="67"/>
      <c r="D1009" s="67"/>
      <c r="E1009" s="67"/>
      <c r="F1009" s="67"/>
      <c r="G1009" s="67"/>
      <c r="H1009" s="67"/>
      <c r="I1009" s="67"/>
      <c r="J1009" s="67"/>
      <c r="K1009" s="67"/>
      <c r="L1009" s="67"/>
      <c r="M1009" s="67"/>
      <c r="N1009" s="67"/>
      <c r="Q1009" s="67"/>
    </row>
    <row r="1010" spans="1:17" s="68" customFormat="1" x14ac:dyDescent="0.35">
      <c r="A1010" s="66"/>
      <c r="B1010" s="66"/>
      <c r="C1010" s="67"/>
      <c r="D1010" s="67"/>
      <c r="E1010" s="67"/>
      <c r="F1010" s="67"/>
      <c r="G1010" s="67"/>
      <c r="H1010" s="67"/>
      <c r="I1010" s="67"/>
      <c r="J1010" s="67"/>
      <c r="K1010" s="67"/>
      <c r="L1010" s="67"/>
      <c r="M1010" s="67"/>
      <c r="N1010" s="67"/>
      <c r="Q1010" s="67"/>
    </row>
    <row r="1011" spans="1:17" s="68" customFormat="1" x14ac:dyDescent="0.35">
      <c r="A1011" s="66"/>
      <c r="B1011" s="66"/>
      <c r="C1011" s="67"/>
      <c r="D1011" s="67"/>
      <c r="E1011" s="67"/>
      <c r="F1011" s="67"/>
      <c r="G1011" s="67"/>
      <c r="H1011" s="67"/>
      <c r="I1011" s="67"/>
      <c r="J1011" s="67"/>
      <c r="K1011" s="67"/>
      <c r="L1011" s="67"/>
      <c r="M1011" s="67"/>
      <c r="N1011" s="67"/>
      <c r="Q1011" s="67"/>
    </row>
    <row r="1012" spans="1:17" s="68" customFormat="1" x14ac:dyDescent="0.35">
      <c r="A1012" s="66"/>
      <c r="B1012" s="66"/>
      <c r="C1012" s="67"/>
      <c r="D1012" s="67"/>
      <c r="E1012" s="67"/>
      <c r="F1012" s="67"/>
      <c r="G1012" s="67"/>
      <c r="H1012" s="67"/>
      <c r="I1012" s="67"/>
      <c r="J1012" s="67"/>
      <c r="K1012" s="67"/>
      <c r="L1012" s="67"/>
      <c r="M1012" s="67"/>
      <c r="N1012" s="67"/>
      <c r="Q1012" s="67"/>
    </row>
    <row r="1013" spans="1:17" s="68" customFormat="1" x14ac:dyDescent="0.35">
      <c r="A1013" s="66"/>
      <c r="B1013" s="66"/>
      <c r="C1013" s="67"/>
      <c r="D1013" s="67"/>
      <c r="E1013" s="67"/>
      <c r="F1013" s="67"/>
      <c r="G1013" s="67"/>
      <c r="H1013" s="67"/>
      <c r="I1013" s="67"/>
      <c r="J1013" s="67"/>
      <c r="K1013" s="67"/>
      <c r="L1013" s="67"/>
      <c r="M1013" s="67"/>
      <c r="N1013" s="67"/>
      <c r="Q1013" s="67"/>
    </row>
    <row r="1014" spans="1:17" s="68" customFormat="1" x14ac:dyDescent="0.35">
      <c r="A1014" s="66"/>
      <c r="B1014" s="66"/>
      <c r="C1014" s="67"/>
      <c r="D1014" s="67"/>
      <c r="E1014" s="67"/>
      <c r="F1014" s="67"/>
      <c r="G1014" s="67"/>
      <c r="H1014" s="67"/>
      <c r="I1014" s="67"/>
      <c r="J1014" s="67"/>
      <c r="K1014" s="67"/>
      <c r="L1014" s="67"/>
      <c r="M1014" s="67"/>
      <c r="N1014" s="67"/>
      <c r="Q1014" s="67"/>
    </row>
    <row r="1015" spans="1:17" s="68" customFormat="1" x14ac:dyDescent="0.35">
      <c r="A1015" s="66"/>
      <c r="B1015" s="66"/>
      <c r="C1015" s="67"/>
      <c r="D1015" s="67"/>
      <c r="E1015" s="67"/>
      <c r="F1015" s="67"/>
      <c r="G1015" s="67"/>
      <c r="H1015" s="67"/>
      <c r="I1015" s="67"/>
      <c r="J1015" s="67"/>
      <c r="K1015" s="67"/>
      <c r="L1015" s="67"/>
      <c r="M1015" s="67"/>
      <c r="N1015" s="67"/>
      <c r="Q1015" s="67"/>
    </row>
    <row r="1016" spans="1:17" s="68" customFormat="1" x14ac:dyDescent="0.35">
      <c r="A1016" s="66"/>
      <c r="B1016" s="66"/>
      <c r="C1016" s="67"/>
      <c r="D1016" s="67"/>
      <c r="E1016" s="67"/>
      <c r="F1016" s="67"/>
      <c r="G1016" s="67"/>
      <c r="H1016" s="67"/>
      <c r="I1016" s="67"/>
      <c r="J1016" s="67"/>
      <c r="K1016" s="67"/>
      <c r="L1016" s="67"/>
      <c r="M1016" s="67"/>
      <c r="N1016" s="67"/>
      <c r="Q1016" s="67"/>
    </row>
    <row r="1017" spans="1:17" s="68" customFormat="1" x14ac:dyDescent="0.35">
      <c r="A1017" s="66"/>
      <c r="B1017" s="66"/>
      <c r="C1017" s="67"/>
      <c r="D1017" s="67"/>
      <c r="E1017" s="67"/>
      <c r="F1017" s="67"/>
      <c r="G1017" s="67"/>
      <c r="H1017" s="67"/>
      <c r="I1017" s="67"/>
      <c r="J1017" s="67"/>
      <c r="K1017" s="67"/>
      <c r="L1017" s="67"/>
      <c r="M1017" s="67"/>
      <c r="N1017" s="67"/>
      <c r="Q1017" s="67"/>
    </row>
    <row r="1018" spans="1:17" s="68" customFormat="1" x14ac:dyDescent="0.35">
      <c r="A1018" s="66"/>
      <c r="B1018" s="66"/>
      <c r="C1018" s="67"/>
      <c r="D1018" s="67"/>
      <c r="E1018" s="67"/>
      <c r="F1018" s="67"/>
      <c r="G1018" s="67"/>
      <c r="H1018" s="67"/>
      <c r="I1018" s="67"/>
      <c r="J1018" s="67"/>
      <c r="K1018" s="67"/>
      <c r="L1018" s="67"/>
      <c r="M1018" s="67"/>
      <c r="N1018" s="67"/>
      <c r="Q1018" s="67"/>
    </row>
    <row r="1019" spans="1:17" s="68" customFormat="1" x14ac:dyDescent="0.35">
      <c r="A1019" s="66"/>
      <c r="B1019" s="66"/>
      <c r="C1019" s="67"/>
      <c r="D1019" s="67"/>
      <c r="E1019" s="67"/>
      <c r="F1019" s="67"/>
      <c r="G1019" s="67"/>
      <c r="H1019" s="67"/>
      <c r="I1019" s="67"/>
      <c r="J1019" s="67"/>
      <c r="K1019" s="67"/>
      <c r="L1019" s="67"/>
      <c r="M1019" s="67"/>
      <c r="N1019" s="67"/>
      <c r="Q1019" s="67"/>
    </row>
    <row r="1020" spans="1:17" s="68" customFormat="1" x14ac:dyDescent="0.35">
      <c r="A1020" s="66"/>
      <c r="B1020" s="66"/>
      <c r="C1020" s="67"/>
      <c r="D1020" s="67"/>
      <c r="E1020" s="67"/>
      <c r="F1020" s="67"/>
      <c r="G1020" s="67"/>
      <c r="H1020" s="67"/>
      <c r="I1020" s="67"/>
      <c r="J1020" s="67"/>
      <c r="K1020" s="67"/>
      <c r="L1020" s="67"/>
      <c r="M1020" s="67"/>
      <c r="N1020" s="67"/>
      <c r="Q1020" s="67"/>
    </row>
    <row r="1021" spans="1:17" s="68" customFormat="1" x14ac:dyDescent="0.35">
      <c r="A1021" s="66"/>
      <c r="B1021" s="66"/>
      <c r="C1021" s="67"/>
      <c r="D1021" s="67"/>
      <c r="E1021" s="67"/>
      <c r="F1021" s="67"/>
      <c r="G1021" s="67"/>
      <c r="H1021" s="67"/>
      <c r="I1021" s="67"/>
      <c r="J1021" s="67"/>
      <c r="K1021" s="67"/>
      <c r="L1021" s="67"/>
      <c r="M1021" s="67"/>
      <c r="N1021" s="67"/>
      <c r="Q1021" s="67"/>
    </row>
    <row r="1022" spans="1:17" s="68" customFormat="1" x14ac:dyDescent="0.35">
      <c r="A1022" s="66"/>
      <c r="B1022" s="66"/>
      <c r="C1022" s="67"/>
      <c r="D1022" s="67"/>
      <c r="E1022" s="67"/>
      <c r="F1022" s="67"/>
      <c r="G1022" s="67"/>
      <c r="H1022" s="67"/>
      <c r="I1022" s="67"/>
      <c r="J1022" s="67"/>
      <c r="K1022" s="67"/>
      <c r="L1022" s="67"/>
      <c r="M1022" s="67"/>
      <c r="N1022" s="67"/>
      <c r="Q1022" s="67"/>
    </row>
    <row r="1023" spans="1:17" s="68" customFormat="1" x14ac:dyDescent="0.35">
      <c r="A1023" s="66"/>
      <c r="B1023" s="66"/>
      <c r="C1023" s="67"/>
      <c r="D1023" s="67"/>
      <c r="E1023" s="67"/>
      <c r="F1023" s="67"/>
      <c r="G1023" s="67"/>
      <c r="H1023" s="67"/>
      <c r="I1023" s="67"/>
      <c r="J1023" s="67"/>
      <c r="K1023" s="67"/>
      <c r="L1023" s="67"/>
      <c r="M1023" s="67"/>
      <c r="N1023" s="67"/>
      <c r="Q1023" s="67"/>
    </row>
    <row r="1024" spans="1:17" s="68" customFormat="1" x14ac:dyDescent="0.35">
      <c r="A1024" s="66"/>
      <c r="B1024" s="66"/>
      <c r="C1024" s="67"/>
      <c r="D1024" s="67"/>
      <c r="E1024" s="67"/>
      <c r="F1024" s="67"/>
      <c r="G1024" s="67"/>
      <c r="H1024" s="67"/>
      <c r="I1024" s="67"/>
      <c r="J1024" s="67"/>
      <c r="K1024" s="67"/>
      <c r="L1024" s="67"/>
      <c r="M1024" s="67"/>
      <c r="N1024" s="67"/>
      <c r="Q1024" s="67"/>
    </row>
    <row r="1025" spans="1:17" s="68" customFormat="1" x14ac:dyDescent="0.35">
      <c r="A1025" s="66"/>
      <c r="B1025" s="66"/>
      <c r="C1025" s="67"/>
      <c r="D1025" s="67"/>
      <c r="E1025" s="67"/>
      <c r="F1025" s="67"/>
      <c r="G1025" s="67"/>
      <c r="H1025" s="67"/>
      <c r="I1025" s="67"/>
      <c r="J1025" s="67"/>
      <c r="K1025" s="67"/>
      <c r="L1025" s="67"/>
      <c r="M1025" s="67"/>
      <c r="N1025" s="67"/>
      <c r="Q1025" s="67"/>
    </row>
    <row r="1026" spans="1:17" s="68" customFormat="1" x14ac:dyDescent="0.35">
      <c r="A1026" s="66"/>
      <c r="B1026" s="66"/>
      <c r="C1026" s="67"/>
      <c r="D1026" s="67"/>
      <c r="E1026" s="67"/>
      <c r="F1026" s="67"/>
      <c r="G1026" s="67"/>
      <c r="H1026" s="67"/>
      <c r="I1026" s="67"/>
      <c r="J1026" s="67"/>
      <c r="K1026" s="67"/>
      <c r="L1026" s="67"/>
      <c r="M1026" s="67"/>
      <c r="N1026" s="67"/>
      <c r="Q1026" s="67"/>
    </row>
    <row r="1027" spans="1:17" s="68" customFormat="1" x14ac:dyDescent="0.35">
      <c r="A1027" s="66"/>
      <c r="B1027" s="66"/>
      <c r="C1027" s="67"/>
      <c r="D1027" s="67"/>
      <c r="E1027" s="67"/>
      <c r="F1027" s="67"/>
      <c r="G1027" s="67"/>
      <c r="H1027" s="67"/>
      <c r="I1027" s="67"/>
      <c r="J1027" s="67"/>
      <c r="K1027" s="67"/>
      <c r="L1027" s="67"/>
      <c r="M1027" s="67"/>
      <c r="N1027" s="67"/>
      <c r="Q1027" s="67"/>
    </row>
    <row r="1028" spans="1:17" s="68" customFormat="1" x14ac:dyDescent="0.35">
      <c r="A1028" s="66"/>
      <c r="B1028" s="66"/>
      <c r="C1028" s="67"/>
      <c r="D1028" s="67"/>
      <c r="E1028" s="67"/>
      <c r="F1028" s="67"/>
      <c r="G1028" s="67"/>
      <c r="H1028" s="67"/>
      <c r="I1028" s="67"/>
      <c r="J1028" s="67"/>
      <c r="K1028" s="67"/>
      <c r="L1028" s="67"/>
      <c r="M1028" s="67"/>
      <c r="N1028" s="67"/>
      <c r="Q1028" s="67"/>
    </row>
    <row r="1029" spans="1:17" s="68" customFormat="1" x14ac:dyDescent="0.35">
      <c r="A1029" s="66"/>
      <c r="B1029" s="66"/>
      <c r="C1029" s="67"/>
      <c r="D1029" s="67"/>
      <c r="E1029" s="67"/>
      <c r="F1029" s="67"/>
      <c r="G1029" s="67"/>
      <c r="H1029" s="67"/>
      <c r="I1029" s="67"/>
      <c r="J1029" s="67"/>
      <c r="K1029" s="67"/>
      <c r="L1029" s="67"/>
      <c r="M1029" s="67"/>
      <c r="N1029" s="67"/>
      <c r="Q1029" s="67"/>
    </row>
    <row r="1030" spans="1:17" s="68" customFormat="1" x14ac:dyDescent="0.35">
      <c r="A1030" s="66"/>
      <c r="B1030" s="66"/>
      <c r="C1030" s="67"/>
      <c r="D1030" s="67"/>
      <c r="E1030" s="67"/>
      <c r="F1030" s="67"/>
      <c r="G1030" s="67"/>
      <c r="H1030" s="67"/>
      <c r="I1030" s="67"/>
      <c r="J1030" s="67"/>
      <c r="K1030" s="67"/>
      <c r="L1030" s="67"/>
      <c r="M1030" s="67"/>
      <c r="N1030" s="67"/>
      <c r="Q1030" s="67"/>
    </row>
    <row r="1031" spans="1:17" s="68" customFormat="1" x14ac:dyDescent="0.35">
      <c r="A1031" s="66"/>
      <c r="B1031" s="66"/>
      <c r="C1031" s="67"/>
      <c r="D1031" s="67"/>
      <c r="E1031" s="67"/>
      <c r="F1031" s="67"/>
      <c r="G1031" s="67"/>
      <c r="H1031" s="67"/>
      <c r="I1031" s="67"/>
      <c r="J1031" s="67"/>
      <c r="K1031" s="67"/>
      <c r="L1031" s="67"/>
      <c r="M1031" s="67"/>
      <c r="N1031" s="67"/>
      <c r="Q1031" s="67"/>
    </row>
    <row r="1032" spans="1:17" s="68" customFormat="1" x14ac:dyDescent="0.35">
      <c r="A1032" s="66"/>
      <c r="B1032" s="66"/>
      <c r="C1032" s="67"/>
      <c r="D1032" s="67"/>
      <c r="E1032" s="67"/>
      <c r="F1032" s="67"/>
      <c r="G1032" s="67"/>
      <c r="H1032" s="67"/>
      <c r="I1032" s="67"/>
      <c r="J1032" s="67"/>
      <c r="K1032" s="67"/>
      <c r="L1032" s="67"/>
      <c r="M1032" s="67"/>
      <c r="N1032" s="67"/>
      <c r="Q1032" s="67"/>
    </row>
    <row r="1033" spans="1:17" s="68" customFormat="1" x14ac:dyDescent="0.35">
      <c r="A1033" s="66"/>
      <c r="B1033" s="66"/>
      <c r="C1033" s="67"/>
      <c r="D1033" s="67"/>
      <c r="E1033" s="67"/>
      <c r="F1033" s="67"/>
      <c r="G1033" s="67"/>
      <c r="H1033" s="67"/>
      <c r="I1033" s="67"/>
      <c r="J1033" s="67"/>
      <c r="K1033" s="67"/>
      <c r="L1033" s="67"/>
      <c r="M1033" s="67"/>
      <c r="N1033" s="67"/>
      <c r="Q1033" s="67"/>
    </row>
    <row r="1034" spans="1:17" s="68" customFormat="1" x14ac:dyDescent="0.35">
      <c r="A1034" s="66"/>
      <c r="B1034" s="66"/>
      <c r="C1034" s="67"/>
      <c r="D1034" s="67"/>
      <c r="E1034" s="67"/>
      <c r="F1034" s="67"/>
      <c r="G1034" s="67"/>
      <c r="H1034" s="67"/>
      <c r="I1034" s="67"/>
      <c r="J1034" s="67"/>
      <c r="K1034" s="67"/>
      <c r="L1034" s="67"/>
      <c r="M1034" s="67"/>
      <c r="N1034" s="67"/>
      <c r="Q1034" s="67"/>
    </row>
    <row r="1035" spans="1:17" s="68" customFormat="1" x14ac:dyDescent="0.35">
      <c r="A1035" s="66"/>
      <c r="B1035" s="66"/>
      <c r="C1035" s="67"/>
      <c r="D1035" s="67"/>
      <c r="E1035" s="67"/>
      <c r="F1035" s="67"/>
      <c r="G1035" s="67"/>
      <c r="H1035" s="67"/>
      <c r="I1035" s="67"/>
      <c r="J1035" s="67"/>
      <c r="K1035" s="67"/>
      <c r="L1035" s="67"/>
      <c r="M1035" s="67"/>
      <c r="N1035" s="67"/>
      <c r="Q1035" s="67"/>
    </row>
  </sheetData>
  <mergeCells count="2">
    <mergeCell ref="A7:A8"/>
    <mergeCell ref="B7:B8"/>
  </mergeCells>
  <phoneticPr fontId="1" type="noConversion"/>
  <pageMargins left="0.7" right="0.7" top="0.75" bottom="0.75" header="0.3" footer="0.3"/>
  <pageSetup paperSize="9" orientation="portrait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74E0A1C-D99F-47C0-A6FC-D8E587573323}">
          <x14:formula1>
            <xm:f>Données!$M$5:$M$9</xm:f>
          </x14:formula1>
          <xm:sqref>B9:B30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404E14-E353-4BF0-BBD8-39176ED37206}">
  <sheetPr codeName="Feuil8"/>
  <dimension ref="B2:BP38"/>
  <sheetViews>
    <sheetView showGridLines="0" zoomScale="50" zoomScaleNormal="50" workbookViewId="0">
      <selection activeCell="X45" sqref="X45"/>
    </sheetView>
  </sheetViews>
  <sheetFormatPr baseColWidth="10" defaultRowHeight="14.5" x14ac:dyDescent="0.35"/>
  <cols>
    <col min="1" max="1" width="2.6328125" customWidth="1"/>
    <col min="2" max="2" width="47.81640625" bestFit="1" customWidth="1"/>
    <col min="3" max="3" width="32.90625" customWidth="1"/>
    <col min="4" max="4" width="29.36328125" bestFit="1" customWidth="1"/>
    <col min="5" max="5" width="24.81640625" bestFit="1" customWidth="1"/>
    <col min="6" max="6" width="19.7265625" customWidth="1"/>
    <col min="7" max="7" width="22.90625" customWidth="1"/>
    <col min="8" max="8" width="22.26953125" customWidth="1"/>
    <col min="11" max="11" width="13.6328125" style="1" customWidth="1"/>
    <col min="15" max="15" width="20.26953125" bestFit="1" customWidth="1"/>
    <col min="18" max="18" width="39.90625" bestFit="1" customWidth="1"/>
    <col min="19" max="19" width="55.7265625" bestFit="1" customWidth="1"/>
    <col min="20" max="20" width="18" bestFit="1" customWidth="1"/>
    <col min="23" max="23" width="47" bestFit="1" customWidth="1"/>
    <col min="24" max="24" width="18.81640625" bestFit="1" customWidth="1"/>
    <col min="25" max="25" width="18.26953125" bestFit="1" customWidth="1"/>
    <col min="26" max="26" width="16.08984375" bestFit="1" customWidth="1"/>
    <col min="27" max="27" width="15.90625" customWidth="1"/>
    <col min="28" max="28" width="14.6328125" bestFit="1" customWidth="1"/>
    <col min="29" max="29" width="15.54296875" customWidth="1"/>
    <col min="30" max="30" width="17.54296875" bestFit="1" customWidth="1"/>
    <col min="31" max="31" width="15.36328125" bestFit="1" customWidth="1"/>
    <col min="32" max="32" width="22.6328125" bestFit="1" customWidth="1"/>
    <col min="33" max="33" width="19.36328125" bestFit="1" customWidth="1"/>
    <col min="34" max="34" width="21.7265625" customWidth="1"/>
    <col min="35" max="35" width="21.54296875" bestFit="1" customWidth="1"/>
    <col min="36" max="36" width="23.36328125" bestFit="1" customWidth="1"/>
    <col min="37" max="37" width="21.7265625" bestFit="1" customWidth="1"/>
    <col min="38" max="38" width="20.08984375" bestFit="1" customWidth="1"/>
    <col min="39" max="39" width="19.54296875" bestFit="1" customWidth="1"/>
    <col min="40" max="40" width="17.36328125" bestFit="1" customWidth="1"/>
    <col min="41" max="41" width="17.1796875" bestFit="1" customWidth="1"/>
    <col min="42" max="42" width="15.90625" bestFit="1" customWidth="1"/>
    <col min="43" max="43" width="16.81640625" bestFit="1" customWidth="1"/>
    <col min="44" max="44" width="18.81640625" bestFit="1" customWidth="1"/>
    <col min="45" max="45" width="17.54296875" bestFit="1" customWidth="1"/>
    <col min="46" max="46" width="24.453125" bestFit="1" customWidth="1"/>
    <col min="47" max="47" width="21.54296875" bestFit="1" customWidth="1"/>
    <col min="48" max="48" width="23.90625" bestFit="1" customWidth="1"/>
    <col min="49" max="49" width="23.7265625" bestFit="1" customWidth="1"/>
    <col min="50" max="50" width="32.453125" bestFit="1" customWidth="1"/>
    <col min="51" max="51" width="20.6328125" bestFit="1" customWidth="1"/>
    <col min="52" max="52" width="20.08984375" bestFit="1" customWidth="1"/>
    <col min="53" max="53" width="19.54296875" bestFit="1" customWidth="1"/>
    <col min="54" max="54" width="17.36328125" bestFit="1" customWidth="1"/>
    <col min="55" max="55" width="17.1796875" bestFit="1" customWidth="1"/>
    <col min="56" max="56" width="15.90625" bestFit="1" customWidth="1"/>
    <col min="57" max="57" width="16.81640625" bestFit="1" customWidth="1"/>
    <col min="58" max="58" width="18.81640625" bestFit="1" customWidth="1"/>
    <col min="59" max="59" width="16.6328125" bestFit="1" customWidth="1"/>
    <col min="60" max="60" width="24.81640625" bestFit="1" customWidth="1"/>
    <col min="61" max="61" width="21.1796875" bestFit="1" customWidth="1"/>
    <col min="62" max="62" width="23.90625" bestFit="1" customWidth="1"/>
    <col min="63" max="63" width="23.7265625" bestFit="1" customWidth="1"/>
    <col min="64" max="64" width="38.26953125" bestFit="1" customWidth="1"/>
    <col min="65" max="65" width="38.453125" bestFit="1" customWidth="1"/>
    <col min="66" max="66" width="42.08984375" bestFit="1" customWidth="1"/>
    <col min="67" max="67" width="36.26953125" bestFit="1" customWidth="1"/>
    <col min="68" max="68" width="48.08984375" bestFit="1" customWidth="1"/>
  </cols>
  <sheetData>
    <row r="2" spans="2:68" ht="15" thickBot="1" x14ac:dyDescent="0.4"/>
    <row r="3" spans="2:68" ht="16.5" thickTop="1" thickBot="1" x14ac:dyDescent="0.4">
      <c r="X3" s="152" t="s">
        <v>110</v>
      </c>
      <c r="Y3" s="152"/>
      <c r="Z3" s="152"/>
      <c r="AA3" s="152"/>
      <c r="AB3" s="152"/>
      <c r="AC3" s="152"/>
      <c r="AD3" s="152"/>
      <c r="AE3" s="152"/>
      <c r="AF3" s="153"/>
      <c r="AG3" s="153"/>
      <c r="AH3" s="153"/>
      <c r="AI3" s="153"/>
      <c r="AJ3" s="152"/>
      <c r="AK3" s="152"/>
      <c r="AL3" s="152" t="s">
        <v>109</v>
      </c>
      <c r="AM3" s="152"/>
      <c r="AN3" s="152"/>
      <c r="AO3" s="152"/>
      <c r="AP3" s="152"/>
      <c r="AQ3" s="152"/>
      <c r="AR3" s="152"/>
      <c r="AS3" s="152"/>
      <c r="AT3" s="152"/>
      <c r="AU3" s="152"/>
      <c r="AV3" s="152"/>
      <c r="AW3" s="152"/>
      <c r="AX3" s="152"/>
      <c r="AY3" s="152"/>
      <c r="AZ3" s="149" t="s">
        <v>111</v>
      </c>
      <c r="BA3" s="150"/>
      <c r="BB3" s="150"/>
      <c r="BC3" s="150"/>
      <c r="BD3" s="150"/>
      <c r="BE3" s="150"/>
      <c r="BF3" s="150"/>
      <c r="BG3" s="150"/>
      <c r="BH3" s="150"/>
      <c r="BI3" s="150"/>
      <c r="BJ3" s="150"/>
      <c r="BK3" s="150"/>
      <c r="BL3" s="150"/>
      <c r="BM3" s="151"/>
      <c r="BN3" s="149" t="s">
        <v>112</v>
      </c>
      <c r="BO3" s="150"/>
      <c r="BP3" s="151"/>
    </row>
    <row r="4" spans="2:68" ht="17.5" thickTop="1" thickBot="1" x14ac:dyDescent="0.4">
      <c r="B4" s="87" t="s">
        <v>13</v>
      </c>
      <c r="C4" s="100" t="s">
        <v>113</v>
      </c>
      <c r="D4" s="100" t="s">
        <v>114</v>
      </c>
      <c r="E4" s="17" t="s">
        <v>94</v>
      </c>
      <c r="F4" s="27" t="s">
        <v>93</v>
      </c>
      <c r="G4" s="27" t="s">
        <v>95</v>
      </c>
      <c r="H4" s="88" t="s">
        <v>20</v>
      </c>
      <c r="K4" s="5" t="s">
        <v>12</v>
      </c>
      <c r="M4" s="5" t="s">
        <v>15</v>
      </c>
      <c r="Q4" s="17" t="s">
        <v>46</v>
      </c>
      <c r="R4" s="2" t="s">
        <v>47</v>
      </c>
      <c r="S4" s="44" t="s">
        <v>62</v>
      </c>
      <c r="T4" s="43">
        <f>SUM('Forecast-Volumes annuels import'!P10:P40)</f>
        <v>6047.7</v>
      </c>
      <c r="W4" s="115" t="s">
        <v>13</v>
      </c>
      <c r="X4" s="116" t="s">
        <v>0</v>
      </c>
      <c r="Y4" s="116" t="s">
        <v>1</v>
      </c>
      <c r="Z4" s="116" t="s">
        <v>2</v>
      </c>
      <c r="AA4" s="116" t="s">
        <v>3</v>
      </c>
      <c r="AB4" s="116" t="s">
        <v>4</v>
      </c>
      <c r="AC4" s="116" t="s">
        <v>5</v>
      </c>
      <c r="AD4" s="116" t="s">
        <v>6</v>
      </c>
      <c r="AE4" s="116" t="s">
        <v>7</v>
      </c>
      <c r="AF4" s="116" t="s">
        <v>8</v>
      </c>
      <c r="AG4" s="116" t="s">
        <v>9</v>
      </c>
      <c r="AH4" s="116" t="s">
        <v>10</v>
      </c>
      <c r="AI4" s="116" t="s">
        <v>11</v>
      </c>
      <c r="AJ4" s="80" t="s">
        <v>65</v>
      </c>
      <c r="AK4" s="80" t="s">
        <v>22</v>
      </c>
      <c r="AL4" s="116" t="s">
        <v>97</v>
      </c>
      <c r="AM4" s="116" t="s">
        <v>98</v>
      </c>
      <c r="AN4" s="116" t="s">
        <v>99</v>
      </c>
      <c r="AO4" s="116" t="s">
        <v>100</v>
      </c>
      <c r="AP4" s="116" t="s">
        <v>101</v>
      </c>
      <c r="AQ4" s="116" t="s">
        <v>102</v>
      </c>
      <c r="AR4" s="116" t="s">
        <v>103</v>
      </c>
      <c r="AS4" s="116" t="s">
        <v>104</v>
      </c>
      <c r="AT4" s="116" t="s">
        <v>105</v>
      </c>
      <c r="AU4" s="116" t="s">
        <v>106</v>
      </c>
      <c r="AV4" s="116" t="s">
        <v>107</v>
      </c>
      <c r="AW4" s="116" t="s">
        <v>108</v>
      </c>
      <c r="AX4" s="80" t="s">
        <v>67</v>
      </c>
      <c r="AY4" s="80" t="s">
        <v>68</v>
      </c>
      <c r="AZ4" s="116" t="s">
        <v>71</v>
      </c>
      <c r="BA4" s="116" t="s">
        <v>72</v>
      </c>
      <c r="BB4" s="116" t="s">
        <v>73</v>
      </c>
      <c r="BC4" s="116" t="s">
        <v>74</v>
      </c>
      <c r="BD4" s="116" t="s">
        <v>75</v>
      </c>
      <c r="BE4" s="116" t="s">
        <v>76</v>
      </c>
      <c r="BF4" s="116" t="s">
        <v>77</v>
      </c>
      <c r="BG4" s="116" t="s">
        <v>78</v>
      </c>
      <c r="BH4" s="116" t="s">
        <v>79</v>
      </c>
      <c r="BI4" s="116" t="s">
        <v>80</v>
      </c>
      <c r="BJ4" s="116" t="s">
        <v>81</v>
      </c>
      <c r="BK4" s="116" t="s">
        <v>82</v>
      </c>
      <c r="BL4" s="116" t="s">
        <v>26</v>
      </c>
      <c r="BM4" s="116" t="s">
        <v>27</v>
      </c>
      <c r="BN4" s="116" t="s">
        <v>70</v>
      </c>
      <c r="BO4" s="116" t="s">
        <v>84</v>
      </c>
      <c r="BP4" s="127" t="s">
        <v>85</v>
      </c>
    </row>
    <row r="5" spans="2:68" ht="15.5" thickTop="1" x14ac:dyDescent="0.35">
      <c r="B5" s="84" t="s">
        <v>119</v>
      </c>
      <c r="C5" s="85">
        <v>6.81</v>
      </c>
      <c r="D5" s="85">
        <f t="shared" ref="D5:D30" si="0">C5*(1+10%)</f>
        <v>7.4910000000000005</v>
      </c>
      <c r="E5" s="85">
        <f t="shared" ref="E5:E20" si="1">D5*1000</f>
        <v>7491.0000000000009</v>
      </c>
      <c r="F5" s="85">
        <f t="shared" ref="F5:F20" si="2">+D5*100</f>
        <v>749.1</v>
      </c>
      <c r="G5" s="85">
        <f t="shared" ref="G5:G20" si="3">D5*145*1.19*1.15*1.9</f>
        <v>2824.2699292500001</v>
      </c>
      <c r="H5" s="74"/>
      <c r="K5" s="3">
        <v>1180</v>
      </c>
      <c r="M5" s="3" t="s">
        <v>17</v>
      </c>
      <c r="Q5" s="17" t="s">
        <v>49</v>
      </c>
      <c r="R5" s="2" t="s">
        <v>57</v>
      </c>
      <c r="S5" s="44" t="s">
        <v>63</v>
      </c>
      <c r="T5" s="43">
        <f>SUM('Previsionnels Importations'!$AC$10:$AC$42)</f>
        <v>6058.7</v>
      </c>
      <c r="W5" s="84" t="s">
        <v>119</v>
      </c>
      <c r="X5" s="89">
        <f>_xlfn.XLOOKUP(Données!$W5,'Forecast-Volumes annuels import'!A10:A42,'Forecast-Volumes annuels import'!C10:C42)</f>
        <v>2600</v>
      </c>
      <c r="Y5" s="89">
        <f>_xlfn.XLOOKUP(Données!$W5,'Forecast-Volumes annuels import'!A10:A42,'Forecast-Volumes annuels import'!D10:D42)</f>
        <v>0</v>
      </c>
      <c r="Z5" s="89">
        <f>_xlfn.XLOOKUP(Données!$W5,'Forecast-Volumes annuels import'!A10:A42,'Forecast-Volumes annuels import'!E10:E42)</f>
        <v>2000</v>
      </c>
      <c r="AA5" s="89">
        <f>_xlfn.XLOOKUP(Données!$W5,'Forecast-Volumes annuels import'!A10:A42,'Forecast-Volumes annuels import'!F10:F42)</f>
        <v>0</v>
      </c>
      <c r="AB5" s="89">
        <f>_xlfn.XLOOKUP(Données!$W5,'Forecast-Volumes annuels import'!A10:A42,'Forecast-Volumes annuels import'!G10:G42)</f>
        <v>0</v>
      </c>
      <c r="AC5" s="89">
        <f>_xlfn.XLOOKUP(Données!$W5,'Forecast-Volumes annuels import'!A10:A42,'Forecast-Volumes annuels import'!H10:H42)</f>
        <v>3200</v>
      </c>
      <c r="AD5" s="89">
        <f>_xlfn.XLOOKUP(Données!$W5,'Forecast-Volumes annuels import'!A10:A42,'Forecast-Volumes annuels import'!I10:I42)</f>
        <v>0</v>
      </c>
      <c r="AE5" s="89">
        <f>_xlfn.XLOOKUP(Données!$W5,'Forecast-Volumes annuels import'!A10:A42,'Forecast-Volumes annuels import'!J10:J42)</f>
        <v>0</v>
      </c>
      <c r="AF5" s="89">
        <f>_xlfn.XLOOKUP(Données!$W5,'Forecast-Volumes annuels import'!A10:A42,'Forecast-Volumes annuels import'!K10:K42)</f>
        <v>5000</v>
      </c>
      <c r="AG5" s="89">
        <f>_xlfn.XLOOKUP(Données!$W5,'Forecast-Volumes annuels import'!A10:A42,'Forecast-Volumes annuels import'!L10:L42)</f>
        <v>0</v>
      </c>
      <c r="AH5" s="89">
        <f>_xlfn.XLOOKUP(Données!$W5,'Forecast-Volumes annuels import'!A10:A42,'Forecast-Volumes annuels import'!M10:M42)</f>
        <v>3000</v>
      </c>
      <c r="AI5" s="89">
        <f>_xlfn.XLOOKUP(Données!$W5,'Forecast-Volumes annuels import'!A10:A42,'Forecast-Volumes annuels import'!N10:N42)</f>
        <v>0</v>
      </c>
      <c r="AJ5" s="104">
        <f>SUM(X5:AI5)</f>
        <v>15800</v>
      </c>
      <c r="AK5" s="104">
        <f>AJ5/1000</f>
        <v>15.8</v>
      </c>
      <c r="AL5" s="105">
        <f>_xlfn.XLOOKUP(W5,'Previsionnels Importations'!A10:A42,'Previsionnels Importations'!D10:D42)</f>
        <v>3864790.4295000006</v>
      </c>
      <c r="AM5" s="92">
        <f>_xlfn.XLOOKUP(W5,'Previsionnels Importations'!A10:A42,'Previsionnels Importations'!F10:F42)</f>
        <v>0</v>
      </c>
      <c r="AN5" s="92">
        <f>_xlfn.XLOOKUP(W5,'Previsionnels Importations'!A10:A42,'Previsionnels Importations'!H10:H42)</f>
        <v>2972915.7150000003</v>
      </c>
      <c r="AO5" s="92">
        <f>_xlfn.XLOOKUP(W5,'Previsionnels Importations'!A10:A42,'Previsionnels Importations'!J10:J42)</f>
        <v>0</v>
      </c>
      <c r="AP5" s="92">
        <f>_xlfn.XLOOKUP(W5,'Previsionnels Importations'!A10:A42,'Previsionnels Importations'!L10:L42)</f>
        <v>0</v>
      </c>
      <c r="AQ5" s="92">
        <f>_xlfn.XLOOKUP(W5,'Previsionnels Importations'!A10:A42,'Previsionnels Importations'!N10:N42)</f>
        <v>4756665.1439999994</v>
      </c>
      <c r="AR5" s="92">
        <f>_xlfn.XLOOKUP(W5,'Previsionnels Importations'!A10:A42,'Previsionnels Importations'!P10:P42)</f>
        <v>0</v>
      </c>
      <c r="AS5" s="92">
        <f>_xlfn.XLOOKUP(W5,'Previsionnels Importations'!A10:A42,'Previsionnels Importations'!R10:R42)</f>
        <v>0</v>
      </c>
      <c r="AT5" s="92">
        <f>_xlfn.XLOOKUP(W5,'Previsionnels Importations'!A10:A42,'Previsionnels Importations'!T10:T42)</f>
        <v>7432289.2874999996</v>
      </c>
      <c r="AU5" s="92">
        <f>_xlfn.XLOOKUP(W5,'Previsionnels Importations'!A10:A42,'Previsionnels Importations'!V10:V42)</f>
        <v>0</v>
      </c>
      <c r="AV5" s="92">
        <f>_xlfn.XLOOKUP(W5,'Previsionnels Importations'!A10:A42,'Previsionnels Importations'!X10:X42)</f>
        <v>4459373.5724999998</v>
      </c>
      <c r="AW5" s="92">
        <f>_xlfn.XLOOKUP(W5,'Previsionnels Importations'!A10:A42,'Previsionnels Importations'!Z10:Z42)</f>
        <v>0</v>
      </c>
      <c r="AX5" s="106">
        <f>SUM(AL5:AW5)</f>
        <v>23486034.148499995</v>
      </c>
      <c r="AY5" s="106">
        <f>'CA prévisionnel annuel'!C9*'CA prévisionnel annuel'!D9</f>
        <v>118357.8</v>
      </c>
      <c r="AZ5" s="107">
        <f>_xlfn.XLOOKUP(W5,Ventes!A9:A41,Ventes!C9:C41)</f>
        <v>1000</v>
      </c>
      <c r="BA5" s="94">
        <f>_xlfn.XLOOKUP(W5,Ventes!A9:A41,Ventes!D9:D41)</f>
        <v>0</v>
      </c>
      <c r="BB5" s="94">
        <f>_xlfn.XLOOKUP(W5,Ventes!A9:A41,Ventes!E9:E41)</f>
        <v>0</v>
      </c>
      <c r="BC5" s="94">
        <f>_xlfn.XLOOKUP(W5,Ventes!A9:A41,Ventes!F9:F41)</f>
        <v>500</v>
      </c>
      <c r="BD5" s="94">
        <f>_xlfn.XLOOKUP(W5,Ventes!A9:A41,Ventes!G9:G41)</f>
        <v>50</v>
      </c>
      <c r="BE5" s="94">
        <f>_xlfn.XLOOKUP(W5,Ventes!A9:A41,Ventes!H9:H41)</f>
        <v>0</v>
      </c>
      <c r="BF5" s="94">
        <f>_xlfn.XLOOKUP(W5,Ventes!A9:A41,Ventes!I9:I41)</f>
        <v>100</v>
      </c>
      <c r="BG5" s="94">
        <f>_xlfn.XLOOKUP(W5,Ventes!A9:A41,Ventes!J9:J41)</f>
        <v>0</v>
      </c>
      <c r="BH5" s="94">
        <f>_xlfn.XLOOKUP(W5,Ventes!A9:A41,Ventes!K9:K41)</f>
        <v>1000</v>
      </c>
      <c r="BI5" s="94">
        <f>_xlfn.XLOOKUP(W5,Ventes!A9:A41,Ventes!L9:L41)</f>
        <v>0</v>
      </c>
      <c r="BJ5" s="94">
        <f>_xlfn.XLOOKUP(W5,Ventes!A9:A41,Ventes!M9:M41)</f>
        <v>2000</v>
      </c>
      <c r="BK5" s="94">
        <f>_xlfn.XLOOKUP(W5,Ventes!A9:A41,Ventes!N9:N41)</f>
        <v>500</v>
      </c>
      <c r="BL5" s="94">
        <f>SUM(AZ5:BK5)</f>
        <v>5150</v>
      </c>
      <c r="BM5" s="108">
        <f>BL5*_xlfn.XLOOKUP(W5,Tableau12[Produits],Tableau12[Prix unitaire € 2026])*145*1.19*1.15*1.9</f>
        <v>14544990.135637498</v>
      </c>
      <c r="BN5" s="109">
        <f>'Forecast-Volumes annuels import'!O10-Données!BL5</f>
        <v>10650</v>
      </c>
      <c r="BO5" s="96">
        <f>Ventes!R9</f>
        <v>5.15</v>
      </c>
      <c r="BP5" s="97">
        <f>Données!$BN5/1000</f>
        <v>10.65</v>
      </c>
    </row>
    <row r="6" spans="2:68" ht="15" x14ac:dyDescent="0.35">
      <c r="B6" s="84" t="s">
        <v>120</v>
      </c>
      <c r="C6" s="85">
        <v>5.0999999999999996</v>
      </c>
      <c r="D6" s="85">
        <f t="shared" si="0"/>
        <v>5.61</v>
      </c>
      <c r="E6" s="85">
        <f t="shared" si="1"/>
        <v>5610</v>
      </c>
      <c r="F6" s="85">
        <f t="shared" si="2"/>
        <v>561</v>
      </c>
      <c r="G6" s="85">
        <f t="shared" si="3"/>
        <v>2115.0920174999997</v>
      </c>
      <c r="H6" s="74"/>
      <c r="K6" s="3">
        <v>504</v>
      </c>
      <c r="M6" s="3" t="s">
        <v>16</v>
      </c>
      <c r="Q6" s="17" t="s">
        <v>49</v>
      </c>
      <c r="R6" s="2" t="s">
        <v>57</v>
      </c>
      <c r="S6" s="44" t="s">
        <v>64</v>
      </c>
      <c r="T6" s="43">
        <f>SUM('Previsionnels Importations'!$AB$10:$AB$42)</f>
        <v>1412494980.7097499</v>
      </c>
      <c r="W6" s="84" t="s">
        <v>120</v>
      </c>
      <c r="X6" s="90">
        <f>_xlfn.XLOOKUP(Données!$W6,'Forecast-Volumes annuels import'!A11:A43,'Forecast-Volumes annuels import'!C11:C43)</f>
        <v>3900</v>
      </c>
      <c r="Y6" s="90">
        <f>_xlfn.XLOOKUP(Données!$W6,'Forecast-Volumes annuels import'!A11:A43,'Forecast-Volumes annuels import'!D11:D43)</f>
        <v>0</v>
      </c>
      <c r="Z6" s="90">
        <f>_xlfn.XLOOKUP(Données!$W6,'Forecast-Volumes annuels import'!A11:A43,'Forecast-Volumes annuels import'!E11:E43)</f>
        <v>2000</v>
      </c>
      <c r="AA6" s="90">
        <f>_xlfn.XLOOKUP(Données!$W6,'Forecast-Volumes annuels import'!A11:A43,'Forecast-Volumes annuels import'!F11:F43)</f>
        <v>0</v>
      </c>
      <c r="AB6" s="90">
        <f>_xlfn.XLOOKUP(Données!$W6,'Forecast-Volumes annuels import'!A11:A43,'Forecast-Volumes annuels import'!G11:G43)</f>
        <v>0</v>
      </c>
      <c r="AC6" s="90">
        <f>_xlfn.XLOOKUP(Données!$W6,'Forecast-Volumes annuels import'!A11:A43,'Forecast-Volumes annuels import'!H11:H43)</f>
        <v>2000</v>
      </c>
      <c r="AD6" s="90">
        <f>_xlfn.XLOOKUP(Données!$W6,'Forecast-Volumes annuels import'!A11:A43,'Forecast-Volumes annuels import'!I11:I43)</f>
        <v>0</v>
      </c>
      <c r="AE6" s="90">
        <f>_xlfn.XLOOKUP(Données!$W6,'Forecast-Volumes annuels import'!A11:A43,'Forecast-Volumes annuels import'!J11:J43)</f>
        <v>0</v>
      </c>
      <c r="AF6" s="90">
        <f>_xlfn.XLOOKUP(Données!$W6,'Forecast-Volumes annuels import'!A11:A43,'Forecast-Volumes annuels import'!K11:K43)</f>
        <v>2000</v>
      </c>
      <c r="AG6" s="90">
        <f>_xlfn.XLOOKUP(Données!$W6,'Forecast-Volumes annuels import'!A11:A43,'Forecast-Volumes annuels import'!L11:L43)</f>
        <v>0</v>
      </c>
      <c r="AH6" s="90">
        <f>_xlfn.XLOOKUP(Données!$W6,'Forecast-Volumes annuels import'!A11:A43,'Forecast-Volumes annuels import'!M11:M43)</f>
        <v>2200</v>
      </c>
      <c r="AI6" s="90">
        <f>_xlfn.XLOOKUP(Données!$W6,'Forecast-Volumes annuels import'!A11:A43,'Forecast-Volumes annuels import'!N11:N43)</f>
        <v>0</v>
      </c>
      <c r="AJ6" s="91">
        <f t="shared" ref="AJ6:AJ30" si="4">SUM(X6:AI6)</f>
        <v>12100</v>
      </c>
      <c r="AK6" s="91">
        <f t="shared" ref="AK6:AK20" si="5">AJ6/1000</f>
        <v>12.1</v>
      </c>
      <c r="AL6" s="110">
        <f>_xlfn.XLOOKUP(W6,'Previsionnels Importations'!A11:A43,'Previsionnels Importations'!D11:D43)</f>
        <v>4341504.6674999995</v>
      </c>
      <c r="AM6" s="93">
        <f>_xlfn.XLOOKUP(W6,'Previsionnels Importations'!A11:A43,'Previsionnels Importations'!F11:F43)</f>
        <v>0</v>
      </c>
      <c r="AN6" s="93">
        <f>_xlfn.XLOOKUP(W6,'Previsionnels Importations'!A11:A43,'Previsionnels Importations'!H11:H43)</f>
        <v>2226412.65</v>
      </c>
      <c r="AO6" s="93">
        <f>_xlfn.XLOOKUP(W6,'Previsionnels Importations'!A11:A43,'Previsionnels Importations'!J11:J43)</f>
        <v>0</v>
      </c>
      <c r="AP6" s="93">
        <f>_xlfn.XLOOKUP(W6,'Previsionnels Importations'!A11:A43,'Previsionnels Importations'!L11:L43)</f>
        <v>0</v>
      </c>
      <c r="AQ6" s="93">
        <f>_xlfn.XLOOKUP(W6,'Previsionnels Importations'!A11:A43,'Previsionnels Importations'!N11:N43)</f>
        <v>2226412.65</v>
      </c>
      <c r="AR6" s="93">
        <f>_xlfn.XLOOKUP(W6,'Previsionnels Importations'!A11:A43,'Previsionnels Importations'!P11:P43)</f>
        <v>0</v>
      </c>
      <c r="AS6" s="93">
        <f>_xlfn.XLOOKUP(W6,'Previsionnels Importations'!A11:A43,'Previsionnels Importations'!R11:R43)</f>
        <v>0</v>
      </c>
      <c r="AT6" s="93">
        <f>_xlfn.XLOOKUP(W6,'Previsionnels Importations'!A11:A43,'Previsionnels Importations'!T11:T43)</f>
        <v>2226412.65</v>
      </c>
      <c r="AU6" s="93">
        <f>_xlfn.XLOOKUP(W6,'Previsionnels Importations'!A11:A43,'Previsionnels Importations'!V11:V43)</f>
        <v>0</v>
      </c>
      <c r="AV6" s="93">
        <f>_xlfn.XLOOKUP(W6,'Previsionnels Importations'!A11:A43,'Previsionnels Importations'!X11:X43)</f>
        <v>2449053.915</v>
      </c>
      <c r="AW6" s="93">
        <f>_xlfn.XLOOKUP(W6,'Previsionnels Importations'!A11:A43,'Previsionnels Importations'!Z11:Z43)</f>
        <v>0</v>
      </c>
      <c r="AX6" s="85">
        <f t="shared" ref="AX6:AX37" si="6">SUM(AL6:AW6)</f>
        <v>13469796.532499999</v>
      </c>
      <c r="AY6" s="85">
        <f>'CA prévisionnel annuel'!C10*'CA prévisionnel annuel'!D10</f>
        <v>67881</v>
      </c>
      <c r="AZ6" s="111">
        <f>_xlfn.XLOOKUP(W6,Ventes!A10:A42,Ventes!C10:C42)</f>
        <v>700</v>
      </c>
      <c r="BA6" s="95">
        <f>_xlfn.XLOOKUP(W6,Ventes!A10:A42,Ventes!D10:D42)</f>
        <v>0</v>
      </c>
      <c r="BB6" s="95">
        <f>_xlfn.XLOOKUP(W6,Ventes!A10:A42,Ventes!E10:E42)</f>
        <v>0</v>
      </c>
      <c r="BC6" s="95">
        <f>_xlfn.XLOOKUP(W6,Ventes!A10:A42,Ventes!F10:F42)</f>
        <v>500</v>
      </c>
      <c r="BD6" s="95">
        <f>_xlfn.XLOOKUP(W6,Ventes!A10:A42,Ventes!G10:G42)</f>
        <v>200</v>
      </c>
      <c r="BE6" s="95">
        <f>_xlfn.XLOOKUP(W6,Ventes!A10:A42,Ventes!H10:H42)</f>
        <v>0</v>
      </c>
      <c r="BF6" s="95">
        <f>_xlfn.XLOOKUP(W6,Ventes!A10:A42,Ventes!I10:I42)</f>
        <v>500</v>
      </c>
      <c r="BG6" s="95">
        <f>_xlfn.XLOOKUP(W6,Ventes!A10:A42,Ventes!J10:J42)</f>
        <v>0</v>
      </c>
      <c r="BH6" s="95">
        <f>_xlfn.XLOOKUP(W6,Ventes!A10:A42,Ventes!K10:K42)</f>
        <v>500</v>
      </c>
      <c r="BI6" s="95">
        <f>_xlfn.XLOOKUP(W6,Ventes!A10:A42,Ventes!L10:L42)</f>
        <v>1000</v>
      </c>
      <c r="BJ6" s="95">
        <f>_xlfn.XLOOKUP(W6,Ventes!A10:A42,Ventes!M10:M42)</f>
        <v>2000</v>
      </c>
      <c r="BK6" s="95">
        <f>_xlfn.XLOOKUP(W6,Ventes!A10:A42,Ventes!N10:N42)</f>
        <v>1000</v>
      </c>
      <c r="BL6" s="95">
        <f t="shared" ref="BL6:BL37" si="7">SUM(AZ6:BK6)</f>
        <v>6400</v>
      </c>
      <c r="BM6" s="112">
        <f>BL6*_xlfn.XLOOKUP(W6,Tableau12[Produits],Tableau12[Prix unitaire € 2026])*145*1.19*1.15*1.9</f>
        <v>13536588.911999999</v>
      </c>
      <c r="BN6" s="113">
        <f>'Forecast-Volumes annuels import'!O11-Données!BL6</f>
        <v>5700</v>
      </c>
      <c r="BO6" s="98">
        <f>Ventes!R10</f>
        <v>6.4</v>
      </c>
      <c r="BP6" s="99">
        <f>Données!$BN6/1000</f>
        <v>5.7</v>
      </c>
    </row>
    <row r="7" spans="2:68" ht="15" x14ac:dyDescent="0.35">
      <c r="B7" s="84" t="s">
        <v>121</v>
      </c>
      <c r="C7" s="85">
        <v>12.97</v>
      </c>
      <c r="D7" s="85">
        <f t="shared" si="0"/>
        <v>14.267000000000001</v>
      </c>
      <c r="E7" s="85">
        <f t="shared" si="1"/>
        <v>14267.000000000002</v>
      </c>
      <c r="F7" s="85">
        <f t="shared" si="2"/>
        <v>1426.7</v>
      </c>
      <c r="G7" s="85">
        <f t="shared" si="3"/>
        <v>5378.9693072499995</v>
      </c>
      <c r="H7" s="74"/>
      <c r="K7" s="3">
        <v>740</v>
      </c>
      <c r="M7" s="3" t="s">
        <v>18</v>
      </c>
      <c r="Q7" s="17" t="s">
        <v>49</v>
      </c>
      <c r="R7" s="2" t="s">
        <v>57</v>
      </c>
      <c r="S7" s="44" t="s">
        <v>44</v>
      </c>
      <c r="T7" s="43">
        <f>SUM('CA prévisionnel annuel'!I43:I44)</f>
        <v>1843652861.1310248</v>
      </c>
      <c r="W7" s="84" t="s">
        <v>121</v>
      </c>
      <c r="X7" s="90">
        <f>_xlfn.XLOOKUP(Données!$W7,'Forecast-Volumes annuels import'!A12:A44,'Forecast-Volumes annuels import'!C12:C44)</f>
        <v>3000</v>
      </c>
      <c r="Y7" s="90">
        <f>_xlfn.XLOOKUP(Données!$W7,'Forecast-Volumes annuels import'!A12:A44,'Forecast-Volumes annuels import'!D12:D44)</f>
        <v>0</v>
      </c>
      <c r="Z7" s="90">
        <f>_xlfn.XLOOKUP(Données!$W7,'Forecast-Volumes annuels import'!A12:A44,'Forecast-Volumes annuels import'!E12:E44)</f>
        <v>500</v>
      </c>
      <c r="AA7" s="90">
        <f>_xlfn.XLOOKUP(Données!$W7,'Forecast-Volumes annuels import'!A12:A44,'Forecast-Volumes annuels import'!F12:F44)</f>
        <v>0</v>
      </c>
      <c r="AB7" s="90">
        <f>_xlfn.XLOOKUP(Données!$W7,'Forecast-Volumes annuels import'!A12:A44,'Forecast-Volumes annuels import'!G12:G44)</f>
        <v>0</v>
      </c>
      <c r="AC7" s="90">
        <f>_xlfn.XLOOKUP(Données!$W7,'Forecast-Volumes annuels import'!A12:A44,'Forecast-Volumes annuels import'!H12:H44)</f>
        <v>3000</v>
      </c>
      <c r="AD7" s="90">
        <f>_xlfn.XLOOKUP(Données!$W7,'Forecast-Volumes annuels import'!A12:A44,'Forecast-Volumes annuels import'!I12:I44)</f>
        <v>0</v>
      </c>
      <c r="AE7" s="90">
        <f>_xlfn.XLOOKUP(Données!$W7,'Forecast-Volumes annuels import'!A12:A44,'Forecast-Volumes annuels import'!J12:J44)</f>
        <v>0</v>
      </c>
      <c r="AF7" s="90">
        <f>_xlfn.XLOOKUP(Données!$W7,'Forecast-Volumes annuels import'!A12:A44,'Forecast-Volumes annuels import'!K12:K44)</f>
        <v>1000</v>
      </c>
      <c r="AG7" s="90">
        <f>_xlfn.XLOOKUP(Données!$W7,'Forecast-Volumes annuels import'!A12:A44,'Forecast-Volumes annuels import'!L12:L44)</f>
        <v>0</v>
      </c>
      <c r="AH7" s="90">
        <f>_xlfn.XLOOKUP(Données!$W7,'Forecast-Volumes annuels import'!A12:A44,'Forecast-Volumes annuels import'!M12:M44)</f>
        <v>3000</v>
      </c>
      <c r="AI7" s="90">
        <f>_xlfn.XLOOKUP(Données!$W7,'Forecast-Volumes annuels import'!A12:A44,'Forecast-Volumes annuels import'!N12:N44)</f>
        <v>0</v>
      </c>
      <c r="AJ7" s="91">
        <f t="shared" si="4"/>
        <v>10500</v>
      </c>
      <c r="AK7" s="91">
        <f t="shared" si="5"/>
        <v>10.5</v>
      </c>
      <c r="AL7" s="110">
        <f>_xlfn.XLOOKUP(W7,'Previsionnels Importations'!A12:A43,'Previsionnels Importations'!D12:D43)</f>
        <v>8493109.432500001</v>
      </c>
      <c r="AM7" s="93">
        <f>_xlfn.XLOOKUP(W7,'Previsionnels Importations'!A12:A43,'Previsionnels Importations'!F12:F43)</f>
        <v>0</v>
      </c>
      <c r="AN7" s="93">
        <f>_xlfn.XLOOKUP(W7,'Previsionnels Importations'!A12:A43,'Previsionnels Importations'!H12:H43)</f>
        <v>1415518.23875</v>
      </c>
      <c r="AO7" s="93">
        <f>_xlfn.XLOOKUP(W7,'Previsionnels Importations'!A12:A43,'Previsionnels Importations'!J12:J43)</f>
        <v>0</v>
      </c>
      <c r="AP7" s="93">
        <f>_xlfn.XLOOKUP(W7,'Previsionnels Importations'!A12:A43,'Previsionnels Importations'!L12:L43)</f>
        <v>0</v>
      </c>
      <c r="AQ7" s="93">
        <f>_xlfn.XLOOKUP(W7,'Previsionnels Importations'!A12:A43,'Previsionnels Importations'!N12:N43)</f>
        <v>8493109.432500001</v>
      </c>
      <c r="AR7" s="93">
        <f>_xlfn.XLOOKUP(W7,'Previsionnels Importations'!A12:A43,'Previsionnels Importations'!P12:P43)</f>
        <v>0</v>
      </c>
      <c r="AS7" s="93">
        <f>_xlfn.XLOOKUP(W7,'Previsionnels Importations'!A12:A43,'Previsionnels Importations'!R12:R43)</f>
        <v>0</v>
      </c>
      <c r="AT7" s="93">
        <f>_xlfn.XLOOKUP(W7,'Previsionnels Importations'!A12:A43,'Previsionnels Importations'!T12:T43)</f>
        <v>2831036.4775</v>
      </c>
      <c r="AU7" s="93">
        <f>_xlfn.XLOOKUP(W7,'Previsionnels Importations'!A12:A43,'Previsionnels Importations'!V12:V43)</f>
        <v>0</v>
      </c>
      <c r="AV7" s="93">
        <f>_xlfn.XLOOKUP(W7,'Previsionnels Importations'!A12:A43,'Previsionnels Importations'!X12:X43)</f>
        <v>8493109.432500001</v>
      </c>
      <c r="AW7" s="93">
        <f>_xlfn.XLOOKUP(W7,'Previsionnels Importations'!A12:A43,'Previsionnels Importations'!Z12:Z43)</f>
        <v>0</v>
      </c>
      <c r="AX7" s="85">
        <f t="shared" si="6"/>
        <v>29725883.013750002</v>
      </c>
      <c r="AY7" s="85">
        <f>'CA prévisionnel annuel'!C11*'CA prévisionnel annuel'!D11</f>
        <v>149803.5</v>
      </c>
      <c r="AZ7" s="111">
        <f>_xlfn.XLOOKUP(W7,Ventes!A11:A43,Ventes!C11:C43)</f>
        <v>650</v>
      </c>
      <c r="BA7" s="95">
        <f>_xlfn.XLOOKUP(W7,Ventes!A11:A43,Ventes!D11:D43)</f>
        <v>0</v>
      </c>
      <c r="BB7" s="95">
        <f>_xlfn.XLOOKUP(W7,Ventes!A11:A43,Ventes!E11:E43)</f>
        <v>0</v>
      </c>
      <c r="BC7" s="95">
        <f>_xlfn.XLOOKUP(W7,Ventes!A11:A43,Ventes!F11:F43)</f>
        <v>100</v>
      </c>
      <c r="BD7" s="95">
        <f>_xlfn.XLOOKUP(W7,Ventes!A11:A43,Ventes!G11:G43)</f>
        <v>50</v>
      </c>
      <c r="BE7" s="95">
        <f>_xlfn.XLOOKUP(W7,Ventes!A11:A43,Ventes!H11:H43)</f>
        <v>0</v>
      </c>
      <c r="BF7" s="95">
        <f>_xlfn.XLOOKUP(W7,Ventes!A11:A43,Ventes!I11:I43)</f>
        <v>100</v>
      </c>
      <c r="BG7" s="95">
        <f>_xlfn.XLOOKUP(W7,Ventes!A11:A43,Ventes!J11:J43)</f>
        <v>1000</v>
      </c>
      <c r="BH7" s="95">
        <f>_xlfn.XLOOKUP(W7,Ventes!A11:A43,Ventes!K11:K43)</f>
        <v>500</v>
      </c>
      <c r="BI7" s="95">
        <f>_xlfn.XLOOKUP(W7,Ventes!A11:A43,Ventes!L11:L43)</f>
        <v>0</v>
      </c>
      <c r="BJ7" s="95">
        <f>_xlfn.XLOOKUP(W7,Ventes!A11:A43,Ventes!M11:M43)</f>
        <v>500</v>
      </c>
      <c r="BK7" s="95">
        <f>_xlfn.XLOOKUP(W7,Ventes!A11:A43,Ventes!N11:N43)</f>
        <v>2000</v>
      </c>
      <c r="BL7" s="95">
        <f t="shared" si="7"/>
        <v>4900</v>
      </c>
      <c r="BM7" s="112">
        <f>BL7*_xlfn.XLOOKUP(W7,Tableau12[Produits],Tableau12[Prix unitaire € 2026])*145*1.19*1.15*1.9</f>
        <v>26356949.605524994</v>
      </c>
      <c r="BN7" s="113">
        <f>'Forecast-Volumes annuels import'!O12-Données!BL7</f>
        <v>5600</v>
      </c>
      <c r="BO7" s="98">
        <f>Ventes!R11</f>
        <v>4.9000000000000004</v>
      </c>
      <c r="BP7" s="99">
        <f>Données!$BN7/1000</f>
        <v>5.6</v>
      </c>
    </row>
    <row r="8" spans="2:68" ht="15" x14ac:dyDescent="0.35">
      <c r="B8" s="84" t="s">
        <v>122</v>
      </c>
      <c r="C8" s="85">
        <v>10.64</v>
      </c>
      <c r="D8" s="85">
        <f t="shared" si="0"/>
        <v>11.704000000000002</v>
      </c>
      <c r="E8" s="85">
        <f t="shared" si="1"/>
        <v>11704.000000000002</v>
      </c>
      <c r="F8" s="85">
        <f t="shared" si="2"/>
        <v>1170.4000000000003</v>
      </c>
      <c r="G8" s="85">
        <f t="shared" si="3"/>
        <v>4412.6625620000004</v>
      </c>
      <c r="H8" s="74"/>
      <c r="K8" s="3">
        <v>115</v>
      </c>
      <c r="M8" s="3" t="s">
        <v>19</v>
      </c>
      <c r="Q8" s="17" t="s">
        <v>50</v>
      </c>
      <c r="R8" s="2" t="s">
        <v>58</v>
      </c>
      <c r="S8" s="44"/>
      <c r="T8" s="43"/>
      <c r="W8" s="84" t="s">
        <v>122</v>
      </c>
      <c r="X8" s="90">
        <f>_xlfn.XLOOKUP(Données!$W8,'Forecast-Volumes annuels import'!A13:A45,'Forecast-Volumes annuels import'!C13:C45)</f>
        <v>1000</v>
      </c>
      <c r="Y8" s="90">
        <f>_xlfn.XLOOKUP(Données!$W8,'Forecast-Volumes annuels import'!A13:A45,'Forecast-Volumes annuels import'!D13:D45)</f>
        <v>0</v>
      </c>
      <c r="Z8" s="90">
        <f>_xlfn.XLOOKUP(Données!$W8,'Forecast-Volumes annuels import'!A13:A45,'Forecast-Volumes annuels import'!E13:E45)</f>
        <v>1200</v>
      </c>
      <c r="AA8" s="90">
        <f>_xlfn.XLOOKUP(Données!$W8,'Forecast-Volumes annuels import'!A13:A45,'Forecast-Volumes annuels import'!F13:F45)</f>
        <v>0</v>
      </c>
      <c r="AB8" s="90">
        <f>_xlfn.XLOOKUP(Données!$W8,'Forecast-Volumes annuels import'!A13:A45,'Forecast-Volumes annuels import'!G13:G45)</f>
        <v>0</v>
      </c>
      <c r="AC8" s="90">
        <f>_xlfn.XLOOKUP(Données!$W8,'Forecast-Volumes annuels import'!A13:A45,'Forecast-Volumes annuels import'!H13:H45)</f>
        <v>2000</v>
      </c>
      <c r="AD8" s="90">
        <f>_xlfn.XLOOKUP(Données!$W8,'Forecast-Volumes annuels import'!A13:A45,'Forecast-Volumes annuels import'!I13:I45)</f>
        <v>0</v>
      </c>
      <c r="AE8" s="90">
        <f>_xlfn.XLOOKUP(Données!$W8,'Forecast-Volumes annuels import'!A13:A45,'Forecast-Volumes annuels import'!J13:J45)</f>
        <v>0</v>
      </c>
      <c r="AF8" s="90">
        <f>_xlfn.XLOOKUP(Données!$W8,'Forecast-Volumes annuels import'!A13:A45,'Forecast-Volumes annuels import'!K13:K45)</f>
        <v>1000</v>
      </c>
      <c r="AG8" s="90">
        <f>_xlfn.XLOOKUP(Données!$W8,'Forecast-Volumes annuels import'!A13:A45,'Forecast-Volumes annuels import'!L13:L45)</f>
        <v>0</v>
      </c>
      <c r="AH8" s="90">
        <f>_xlfn.XLOOKUP(Données!$W8,'Forecast-Volumes annuels import'!A13:A45,'Forecast-Volumes annuels import'!M13:M45)</f>
        <v>2000</v>
      </c>
      <c r="AI8" s="90">
        <f>_xlfn.XLOOKUP(Données!$W8,'Forecast-Volumes annuels import'!A13:A45,'Forecast-Volumes annuels import'!N13:N45)</f>
        <v>0</v>
      </c>
      <c r="AJ8" s="91">
        <f t="shared" si="4"/>
        <v>7200</v>
      </c>
      <c r="AK8" s="91">
        <f t="shared" si="5"/>
        <v>7.2</v>
      </c>
      <c r="AL8" s="110">
        <f>_xlfn.XLOOKUP(W8,'Previsionnels Importations'!A13:A43,'Previsionnels Importations'!D13:D43)</f>
        <v>2322453.98</v>
      </c>
      <c r="AM8" s="93">
        <f>_xlfn.XLOOKUP(W8,'Previsionnels Importations'!A13:A43,'Previsionnels Importations'!F13:F43)</f>
        <v>0</v>
      </c>
      <c r="AN8" s="93">
        <f>_xlfn.XLOOKUP(W8,'Previsionnels Importations'!A13:A43,'Previsionnels Importations'!H13:H43)</f>
        <v>2786944.7760000001</v>
      </c>
      <c r="AO8" s="93">
        <f>_xlfn.XLOOKUP(W8,'Previsionnels Importations'!A13:A43,'Previsionnels Importations'!J13:J43)</f>
        <v>0</v>
      </c>
      <c r="AP8" s="93">
        <f>_xlfn.XLOOKUP(W8,'Previsionnels Importations'!A13:A43,'Previsionnels Importations'!L13:L43)</f>
        <v>0</v>
      </c>
      <c r="AQ8" s="93">
        <f>_xlfn.XLOOKUP(W8,'Previsionnels Importations'!A13:A43,'Previsionnels Importations'!N13:N43)</f>
        <v>4644907.96</v>
      </c>
      <c r="AR8" s="93">
        <f>_xlfn.XLOOKUP(W8,'Previsionnels Importations'!A13:A43,'Previsionnels Importations'!P13:P43)</f>
        <v>0</v>
      </c>
      <c r="AS8" s="93">
        <f>_xlfn.XLOOKUP(W8,'Previsionnels Importations'!A13:A43,'Previsionnels Importations'!R13:R43)</f>
        <v>0</v>
      </c>
      <c r="AT8" s="93">
        <f>_xlfn.XLOOKUP(W8,'Previsionnels Importations'!A13:A43,'Previsionnels Importations'!T13:T43)</f>
        <v>2322453.98</v>
      </c>
      <c r="AU8" s="93">
        <f>_xlfn.XLOOKUP(W8,'Previsionnels Importations'!A13:A43,'Previsionnels Importations'!V13:V43)</f>
        <v>0</v>
      </c>
      <c r="AV8" s="93">
        <f>_xlfn.XLOOKUP(W8,'Previsionnels Importations'!A13:A43,'Previsionnels Importations'!X13:X43)</f>
        <v>4644907.96</v>
      </c>
      <c r="AW8" s="93">
        <f>_xlfn.XLOOKUP(W8,'Previsionnels Importations'!A13:A43,'Previsionnels Importations'!Z13:Z43)</f>
        <v>0</v>
      </c>
      <c r="AX8" s="85">
        <f t="shared" si="6"/>
        <v>16721668.655999999</v>
      </c>
      <c r="AY8" s="85">
        <f>'CA prévisionnel annuel'!C12*'CA prévisionnel annuel'!D12</f>
        <v>84268.800000000017</v>
      </c>
      <c r="AZ8" s="111">
        <f>_xlfn.XLOOKUP(W8,Ventes!A12:A44,Ventes!C12:C44)</f>
        <v>700</v>
      </c>
      <c r="BA8" s="95">
        <f>_xlfn.XLOOKUP(W8,Ventes!A12:A44,Ventes!D12:D44)</f>
        <v>0</v>
      </c>
      <c r="BB8" s="95">
        <f>_xlfn.XLOOKUP(W8,Ventes!A12:A44,Ventes!E12:E44)</f>
        <v>0</v>
      </c>
      <c r="BC8" s="95">
        <f>_xlfn.XLOOKUP(W8,Ventes!A12:A44,Ventes!F12:F44)</f>
        <v>450</v>
      </c>
      <c r="BD8" s="95">
        <f>_xlfn.XLOOKUP(W8,Ventes!A12:A44,Ventes!G12:G44)</f>
        <v>100</v>
      </c>
      <c r="BE8" s="95">
        <f>_xlfn.XLOOKUP(W8,Ventes!A12:A44,Ventes!H12:H44)</f>
        <v>0</v>
      </c>
      <c r="BF8" s="95">
        <f>_xlfn.XLOOKUP(W8,Ventes!A12:A44,Ventes!I12:I44)</f>
        <v>300</v>
      </c>
      <c r="BG8" s="95">
        <f>_xlfn.XLOOKUP(W8,Ventes!A12:A44,Ventes!J12:J44)</f>
        <v>1000</v>
      </c>
      <c r="BH8" s="95">
        <f>_xlfn.XLOOKUP(W8,Ventes!A12:A44,Ventes!K12:K44)</f>
        <v>800</v>
      </c>
      <c r="BI8" s="95">
        <f>_xlfn.XLOOKUP(W8,Ventes!A12:A44,Ventes!L12:L44)</f>
        <v>0</v>
      </c>
      <c r="BJ8" s="95">
        <f>_xlfn.XLOOKUP(W8,Ventes!A12:A44,Ventes!M12:M44)</f>
        <v>400</v>
      </c>
      <c r="BK8" s="95">
        <f>_xlfn.XLOOKUP(W8,Ventes!A12:A44,Ventes!N12:N44)</f>
        <v>1000</v>
      </c>
      <c r="BL8" s="95">
        <f t="shared" si="7"/>
        <v>4750</v>
      </c>
      <c r="BM8" s="112">
        <f>BL8*_xlfn.XLOOKUP(W8,Tableau12[Produits],Tableau12[Prix unitaire € 2026])*145*1.19*1.15*1.9</f>
        <v>20960147.169500001</v>
      </c>
      <c r="BN8" s="113">
        <f>'Forecast-Volumes annuels import'!O13-Données!BL8</f>
        <v>2450</v>
      </c>
      <c r="BO8" s="98">
        <f>Ventes!R12</f>
        <v>4.75</v>
      </c>
      <c r="BP8" s="99">
        <f>Données!$BN8/1000</f>
        <v>2.4500000000000002</v>
      </c>
    </row>
    <row r="9" spans="2:68" ht="15" x14ac:dyDescent="0.35">
      <c r="B9" s="84" t="s">
        <v>123</v>
      </c>
      <c r="C9" s="85">
        <v>3.8</v>
      </c>
      <c r="D9" s="85">
        <f t="shared" si="0"/>
        <v>4.18</v>
      </c>
      <c r="E9" s="85">
        <f t="shared" si="1"/>
        <v>4180</v>
      </c>
      <c r="F9" s="85">
        <f t="shared" si="2"/>
        <v>418</v>
      </c>
      <c r="G9" s="85">
        <f t="shared" si="3"/>
        <v>1575.9509149999994</v>
      </c>
      <c r="H9" s="74"/>
      <c r="K9" s="3">
        <v>1520</v>
      </c>
      <c r="M9" s="3"/>
      <c r="Q9" s="17" t="s">
        <v>51</v>
      </c>
      <c r="R9" s="2" t="s">
        <v>59</v>
      </c>
      <c r="S9" s="44" t="s">
        <v>22</v>
      </c>
      <c r="T9" s="43">
        <f>SUM(Récape!C46)</f>
        <v>6058.7</v>
      </c>
      <c r="W9" s="84" t="s">
        <v>123</v>
      </c>
      <c r="X9" s="90">
        <f>_xlfn.XLOOKUP(Données!$W9,'Forecast-Volumes annuels import'!A14:A46,'Forecast-Volumes annuels import'!C14:C46)</f>
        <v>2000</v>
      </c>
      <c r="Y9" s="90">
        <f>_xlfn.XLOOKUP(Données!$W9,'Forecast-Volumes annuels import'!A14:A46,'Forecast-Volumes annuels import'!D14:D46)</f>
        <v>0</v>
      </c>
      <c r="Z9" s="90">
        <f>_xlfn.XLOOKUP(Données!$W9,'Forecast-Volumes annuels import'!A14:A46,'Forecast-Volumes annuels import'!E14:E46)</f>
        <v>2200</v>
      </c>
      <c r="AA9" s="90">
        <f>_xlfn.XLOOKUP(Données!$W9,'Forecast-Volumes annuels import'!A14:A46,'Forecast-Volumes annuels import'!F14:F46)</f>
        <v>0</v>
      </c>
      <c r="AB9" s="90">
        <f>_xlfn.XLOOKUP(Données!$W9,'Forecast-Volumes annuels import'!A14:A46,'Forecast-Volumes annuels import'!G14:G46)</f>
        <v>0</v>
      </c>
      <c r="AC9" s="90">
        <f>_xlfn.XLOOKUP(Données!$W9,'Forecast-Volumes annuels import'!A14:A46,'Forecast-Volumes annuels import'!H14:H46)</f>
        <v>4000</v>
      </c>
      <c r="AD9" s="90">
        <f>_xlfn.XLOOKUP(Données!$W9,'Forecast-Volumes annuels import'!A14:A46,'Forecast-Volumes annuels import'!I14:I46)</f>
        <v>0</v>
      </c>
      <c r="AE9" s="90">
        <f>_xlfn.XLOOKUP(Données!$W9,'Forecast-Volumes annuels import'!A14:A46,'Forecast-Volumes annuels import'!J14:J46)</f>
        <v>0</v>
      </c>
      <c r="AF9" s="90">
        <f>_xlfn.XLOOKUP(Données!$W9,'Forecast-Volumes annuels import'!A14:A46,'Forecast-Volumes annuels import'!K14:K46)</f>
        <v>1800</v>
      </c>
      <c r="AG9" s="90">
        <f>_xlfn.XLOOKUP(Données!$W9,'Forecast-Volumes annuels import'!A14:A46,'Forecast-Volumes annuels import'!L14:L46)</f>
        <v>0</v>
      </c>
      <c r="AH9" s="90">
        <f>_xlfn.XLOOKUP(Données!$W9,'Forecast-Volumes annuels import'!A14:A46,'Forecast-Volumes annuels import'!M14:M46)</f>
        <v>4000</v>
      </c>
      <c r="AI9" s="90">
        <f>_xlfn.XLOOKUP(Données!$W9,'Forecast-Volumes annuels import'!A14:A46,'Forecast-Volumes annuels import'!N14:N46)</f>
        <v>0</v>
      </c>
      <c r="AJ9" s="91">
        <f t="shared" si="4"/>
        <v>14000</v>
      </c>
      <c r="AK9" s="91">
        <f t="shared" si="5"/>
        <v>14</v>
      </c>
      <c r="AL9" s="110">
        <f>_xlfn.XLOOKUP(W9,'Previsionnels Importations'!A14:A43,'Previsionnels Importations'!D14:D43)</f>
        <v>1658895.7</v>
      </c>
      <c r="AM9" s="93">
        <f>_xlfn.XLOOKUP(W9,'Previsionnels Importations'!A14:A43,'Previsionnels Importations'!F14:F43)</f>
        <v>0</v>
      </c>
      <c r="AN9" s="93">
        <f>_xlfn.XLOOKUP(W9,'Previsionnels Importations'!A14:A43,'Previsionnels Importations'!H14:H43)</f>
        <v>1824785.2699999996</v>
      </c>
      <c r="AO9" s="93">
        <f>_xlfn.XLOOKUP(W9,'Previsionnels Importations'!A14:A43,'Previsionnels Importations'!J14:J43)</f>
        <v>0</v>
      </c>
      <c r="AP9" s="93">
        <f>_xlfn.XLOOKUP(W9,'Previsionnels Importations'!A14:A43,'Previsionnels Importations'!L14:L43)</f>
        <v>0</v>
      </c>
      <c r="AQ9" s="93">
        <f>_xlfn.XLOOKUP(W9,'Previsionnels Importations'!A14:A43,'Previsionnels Importations'!N14:N43)</f>
        <v>3317791.4</v>
      </c>
      <c r="AR9" s="93">
        <f>_xlfn.XLOOKUP(W9,'Previsionnels Importations'!A14:A43,'Previsionnels Importations'!P14:P43)</f>
        <v>0</v>
      </c>
      <c r="AS9" s="93">
        <f>_xlfn.XLOOKUP(W9,'Previsionnels Importations'!A14:A43,'Previsionnels Importations'!R14:R43)</f>
        <v>0</v>
      </c>
      <c r="AT9" s="93">
        <f>_xlfn.XLOOKUP(W9,'Previsionnels Importations'!A14:A43,'Previsionnels Importations'!T14:T43)</f>
        <v>1493006.1299999997</v>
      </c>
      <c r="AU9" s="93">
        <f>_xlfn.XLOOKUP(W9,'Previsionnels Importations'!A14:A43,'Previsionnels Importations'!V14:V43)</f>
        <v>0</v>
      </c>
      <c r="AV9" s="93">
        <f>_xlfn.XLOOKUP(W9,'Previsionnels Importations'!A14:A43,'Previsionnels Importations'!X14:X43)</f>
        <v>3317791.4</v>
      </c>
      <c r="AW9" s="93">
        <f>_xlfn.XLOOKUP(W9,'Previsionnels Importations'!A14:A43,'Previsionnels Importations'!Z14:Z43)</f>
        <v>0</v>
      </c>
      <c r="AX9" s="85">
        <f t="shared" si="6"/>
        <v>11612269.899999999</v>
      </c>
      <c r="AY9" s="85">
        <f>'CA prévisionnel annuel'!C13*'CA prévisionnel annuel'!D13</f>
        <v>58519.999999999993</v>
      </c>
      <c r="AZ9" s="111">
        <f>_xlfn.XLOOKUP(W9,Ventes!A13:A45,Ventes!C13:C45)</f>
        <v>0</v>
      </c>
      <c r="BA9" s="95">
        <f>_xlfn.XLOOKUP(W9,Ventes!A13:A45,Ventes!D13:D45)</f>
        <v>0</v>
      </c>
      <c r="BB9" s="95">
        <f>_xlfn.XLOOKUP(W9,Ventes!A13:A45,Ventes!E13:E45)</f>
        <v>0</v>
      </c>
      <c r="BC9" s="95">
        <f>_xlfn.XLOOKUP(W9,Ventes!A13:A45,Ventes!F13:F45)</f>
        <v>0</v>
      </c>
      <c r="BD9" s="95">
        <f>_xlfn.XLOOKUP(W9,Ventes!A13:A45,Ventes!G13:G45)</f>
        <v>1000</v>
      </c>
      <c r="BE9" s="95">
        <f>_xlfn.XLOOKUP(W9,Ventes!A13:A45,Ventes!H13:H45)</f>
        <v>2000</v>
      </c>
      <c r="BF9" s="95">
        <f>_xlfn.XLOOKUP(W9,Ventes!A13:A45,Ventes!I13:I45)</f>
        <v>0</v>
      </c>
      <c r="BG9" s="95">
        <f>_xlfn.XLOOKUP(W9,Ventes!A13:A45,Ventes!J13:J45)</f>
        <v>1000</v>
      </c>
      <c r="BH9" s="95">
        <f>_xlfn.XLOOKUP(W9,Ventes!A13:A45,Ventes!K13:K45)</f>
        <v>1000</v>
      </c>
      <c r="BI9" s="95">
        <f>_xlfn.XLOOKUP(W9,Ventes!A13:A45,Ventes!L13:L45)</f>
        <v>0</v>
      </c>
      <c r="BJ9" s="95">
        <f>_xlfn.XLOOKUP(W9,Ventes!A13:A45,Ventes!M13:M45)</f>
        <v>2000</v>
      </c>
      <c r="BK9" s="95">
        <f>_xlfn.XLOOKUP(W9,Ventes!A13:A45,Ventes!N13:N45)</f>
        <v>1500</v>
      </c>
      <c r="BL9" s="95">
        <f t="shared" si="7"/>
        <v>8500</v>
      </c>
      <c r="BM9" s="112">
        <f>BL9*_xlfn.XLOOKUP(W9,Tableau12[Produits],Tableau12[Prix unitaire € 2026])*145*1.19*1.15*1.9</f>
        <v>13395582.777499998</v>
      </c>
      <c r="BN9" s="113">
        <f>'Forecast-Volumes annuels import'!O14-Données!BL9</f>
        <v>5500</v>
      </c>
      <c r="BO9" s="98">
        <f>Ventes!R13</f>
        <v>8.5</v>
      </c>
      <c r="BP9" s="99">
        <f>Données!$BN9/1000</f>
        <v>5.5</v>
      </c>
    </row>
    <row r="10" spans="2:68" ht="15" x14ac:dyDescent="0.35">
      <c r="B10" s="84" t="s">
        <v>124</v>
      </c>
      <c r="C10" s="85">
        <v>5.5</v>
      </c>
      <c r="D10" s="85">
        <f t="shared" si="0"/>
        <v>6.0500000000000007</v>
      </c>
      <c r="E10" s="85">
        <f t="shared" si="1"/>
        <v>6050.0000000000009</v>
      </c>
      <c r="F10" s="85">
        <f t="shared" si="2"/>
        <v>605.00000000000011</v>
      </c>
      <c r="G10" s="85">
        <f t="shared" si="3"/>
        <v>2280.9815874999999</v>
      </c>
      <c r="H10" s="74"/>
      <c r="K10" s="3">
        <v>1332</v>
      </c>
      <c r="M10" s="3"/>
      <c r="Q10" s="17" t="s">
        <v>51</v>
      </c>
      <c r="R10" s="2" t="s">
        <v>59</v>
      </c>
      <c r="S10" s="44" t="s">
        <v>45</v>
      </c>
      <c r="T10" s="43">
        <f>SUM(Récape!D46)</f>
        <v>7118264.3000000007</v>
      </c>
      <c r="W10" s="84" t="s">
        <v>124</v>
      </c>
      <c r="X10" s="90">
        <f>_xlfn.XLOOKUP(Données!$W10,'Forecast-Volumes annuels import'!A15:A47,'Forecast-Volumes annuels import'!C15:C47)</f>
        <v>2000</v>
      </c>
      <c r="Y10" s="90">
        <f>_xlfn.XLOOKUP(Données!$W10,'Forecast-Volumes annuels import'!A15:A47,'Forecast-Volumes annuels import'!D15:D47)</f>
        <v>0</v>
      </c>
      <c r="Z10" s="90">
        <f>_xlfn.XLOOKUP(Données!$W10,'Forecast-Volumes annuels import'!A15:A47,'Forecast-Volumes annuels import'!E15:E47)</f>
        <v>2500</v>
      </c>
      <c r="AA10" s="90">
        <f>_xlfn.XLOOKUP(Données!$W10,'Forecast-Volumes annuels import'!A15:A47,'Forecast-Volumes annuels import'!F15:F47)</f>
        <v>0</v>
      </c>
      <c r="AB10" s="90">
        <f>_xlfn.XLOOKUP(Données!$W10,'Forecast-Volumes annuels import'!A15:A47,'Forecast-Volumes annuels import'!G15:G47)</f>
        <v>0</v>
      </c>
      <c r="AC10" s="90">
        <f>_xlfn.XLOOKUP(Données!$W10,'Forecast-Volumes annuels import'!A15:A47,'Forecast-Volumes annuels import'!H15:H47)</f>
        <v>0</v>
      </c>
      <c r="AD10" s="90">
        <f>_xlfn.XLOOKUP(Données!$W10,'Forecast-Volumes annuels import'!A15:A47,'Forecast-Volumes annuels import'!I15:I47)</f>
        <v>0</v>
      </c>
      <c r="AE10" s="90">
        <f>_xlfn.XLOOKUP(Données!$W10,'Forecast-Volumes annuels import'!A15:A47,'Forecast-Volumes annuels import'!J15:J47)</f>
        <v>0</v>
      </c>
      <c r="AF10" s="90">
        <f>_xlfn.XLOOKUP(Données!$W10,'Forecast-Volumes annuels import'!A15:A47,'Forecast-Volumes annuels import'!K15:K47)</f>
        <v>5000</v>
      </c>
      <c r="AG10" s="90">
        <f>_xlfn.XLOOKUP(Données!$W10,'Forecast-Volumes annuels import'!A15:A47,'Forecast-Volumes annuels import'!L15:L47)</f>
        <v>0</v>
      </c>
      <c r="AH10" s="90">
        <f>_xlfn.XLOOKUP(Données!$W10,'Forecast-Volumes annuels import'!A15:A47,'Forecast-Volumes annuels import'!M15:M47)</f>
        <v>0</v>
      </c>
      <c r="AI10" s="90">
        <f>_xlfn.XLOOKUP(Données!$W10,'Forecast-Volumes annuels import'!A15:A47,'Forecast-Volumes annuels import'!N15:N47)</f>
        <v>0</v>
      </c>
      <c r="AJ10" s="91">
        <f t="shared" si="4"/>
        <v>9500</v>
      </c>
      <c r="AK10" s="91">
        <f t="shared" si="5"/>
        <v>9.5</v>
      </c>
      <c r="AL10" s="110">
        <f>_xlfn.XLOOKUP(W10,'Previsionnels Importations'!A15:A43,'Previsionnels Importations'!D15:D43)</f>
        <v>2401033.25</v>
      </c>
      <c r="AM10" s="93">
        <f>_xlfn.XLOOKUP(W10,'Previsionnels Importations'!A15:A43,'Previsionnels Importations'!F15:F43)</f>
        <v>0</v>
      </c>
      <c r="AN10" s="93">
        <f>_xlfn.XLOOKUP(W10,'Previsionnels Importations'!A15:A43,'Previsionnels Importations'!H15:H43)</f>
        <v>3001291.5625000005</v>
      </c>
      <c r="AO10" s="93">
        <f>_xlfn.XLOOKUP(W10,'Previsionnels Importations'!A15:A43,'Previsionnels Importations'!J15:J43)</f>
        <v>0</v>
      </c>
      <c r="AP10" s="93">
        <f>_xlfn.XLOOKUP(W10,'Previsionnels Importations'!A15:A43,'Previsionnels Importations'!L15:L43)</f>
        <v>0</v>
      </c>
      <c r="AQ10" s="93">
        <f>_xlfn.XLOOKUP(W10,'Previsionnels Importations'!A15:A43,'Previsionnels Importations'!N15:N43)</f>
        <v>0</v>
      </c>
      <c r="AR10" s="93">
        <f>_xlfn.XLOOKUP(W10,'Previsionnels Importations'!A15:A43,'Previsionnels Importations'!P15:P43)</f>
        <v>0</v>
      </c>
      <c r="AS10" s="93">
        <f>_xlfn.XLOOKUP(W10,'Previsionnels Importations'!A15:A43,'Previsionnels Importations'!R15:R43)</f>
        <v>0</v>
      </c>
      <c r="AT10" s="93">
        <f>_xlfn.XLOOKUP(W10,'Previsionnels Importations'!A15:A43,'Previsionnels Importations'!T15:T43)</f>
        <v>6002583.1250000009</v>
      </c>
      <c r="AU10" s="93">
        <f>_xlfn.XLOOKUP(W10,'Previsionnels Importations'!A15:A43,'Previsionnels Importations'!V15:V43)</f>
        <v>0</v>
      </c>
      <c r="AV10" s="93">
        <f>_xlfn.XLOOKUP(W10,'Previsionnels Importations'!A15:A43,'Previsionnels Importations'!X15:X43)</f>
        <v>0</v>
      </c>
      <c r="AW10" s="93">
        <f>_xlfn.XLOOKUP(W10,'Previsionnels Importations'!A15:A43,'Previsionnels Importations'!Z15:Z43)</f>
        <v>0</v>
      </c>
      <c r="AX10" s="85">
        <f t="shared" si="6"/>
        <v>11404907.9375</v>
      </c>
      <c r="AY10" s="85">
        <f>'CA prévisionnel annuel'!C14*'CA prévisionnel annuel'!D14</f>
        <v>57475.000000000007</v>
      </c>
      <c r="AZ10" s="111">
        <f>_xlfn.XLOOKUP(W10,Ventes!A14:A46,Ventes!C14:C46)</f>
        <v>0</v>
      </c>
      <c r="BA10" s="95">
        <f>_xlfn.XLOOKUP(W10,Ventes!A14:A46,Ventes!D14:D46)</f>
        <v>0</v>
      </c>
      <c r="BB10" s="95">
        <f>_xlfn.XLOOKUP(W10,Ventes!A14:A46,Ventes!E14:E46)</f>
        <v>0</v>
      </c>
      <c r="BC10" s="95">
        <f>_xlfn.XLOOKUP(W10,Ventes!A14:A46,Ventes!F14:F46)</f>
        <v>0</v>
      </c>
      <c r="BD10" s="95">
        <f>_xlfn.XLOOKUP(W10,Ventes!A14:A46,Ventes!G14:G46)</f>
        <v>1000</v>
      </c>
      <c r="BE10" s="95">
        <f>_xlfn.XLOOKUP(W10,Ventes!A14:A46,Ventes!H14:H46)</f>
        <v>1000</v>
      </c>
      <c r="BF10" s="95">
        <f>_xlfn.XLOOKUP(W10,Ventes!A14:A46,Ventes!I14:I46)</f>
        <v>2000</v>
      </c>
      <c r="BG10" s="95">
        <f>_xlfn.XLOOKUP(W10,Ventes!A14:A46,Ventes!J14:J46)</f>
        <v>0</v>
      </c>
      <c r="BH10" s="95">
        <f>_xlfn.XLOOKUP(W10,Ventes!A14:A46,Ventes!K14:K46)</f>
        <v>100</v>
      </c>
      <c r="BI10" s="95">
        <f>_xlfn.XLOOKUP(W10,Ventes!A14:A46,Ventes!L14:L46)</f>
        <v>0</v>
      </c>
      <c r="BJ10" s="95">
        <f>_xlfn.XLOOKUP(W10,Ventes!A14:A46,Ventes!M14:M46)</f>
        <v>1000</v>
      </c>
      <c r="BK10" s="95">
        <f>_xlfn.XLOOKUP(W10,Ventes!A14:A46,Ventes!N14:N46)</f>
        <v>800</v>
      </c>
      <c r="BL10" s="95">
        <f t="shared" si="7"/>
        <v>5900</v>
      </c>
      <c r="BM10" s="112">
        <f>BL10*_xlfn.XLOOKUP(W10,Tableau12[Produits],Tableau12[Prix unitaire € 2026])*145*1.19*1.15*1.9</f>
        <v>13457791.366250001</v>
      </c>
      <c r="BN10" s="113">
        <f>'Forecast-Volumes annuels import'!O15-Données!BL10</f>
        <v>3600</v>
      </c>
      <c r="BO10" s="98">
        <f>Ventes!R14</f>
        <v>5.9</v>
      </c>
      <c r="BP10" s="99">
        <f>Données!$BN10/1000</f>
        <v>3.6</v>
      </c>
    </row>
    <row r="11" spans="2:68" ht="15" x14ac:dyDescent="0.35">
      <c r="B11" s="84" t="s">
        <v>125</v>
      </c>
      <c r="C11" s="85">
        <v>5.7</v>
      </c>
      <c r="D11" s="85">
        <f t="shared" si="0"/>
        <v>6.2700000000000005</v>
      </c>
      <c r="E11" s="85">
        <f t="shared" si="1"/>
        <v>6270.0000000000009</v>
      </c>
      <c r="F11" s="85">
        <f t="shared" si="2"/>
        <v>627</v>
      </c>
      <c r="G11" s="85">
        <f t="shared" si="3"/>
        <v>2363.9263725000001</v>
      </c>
      <c r="H11" s="74"/>
      <c r="K11" s="3">
        <v>1910</v>
      </c>
      <c r="M11" s="3"/>
      <c r="Q11" s="17" t="s">
        <v>52</v>
      </c>
      <c r="R11" s="2" t="s">
        <v>60</v>
      </c>
      <c r="S11" s="44"/>
      <c r="T11" s="43"/>
      <c r="W11" s="84" t="s">
        <v>125</v>
      </c>
      <c r="X11" s="90">
        <f>_xlfn.XLOOKUP(Données!$W11,'Forecast-Volumes annuels import'!A16:A48,'Forecast-Volumes annuels import'!C16:C48)</f>
        <v>500</v>
      </c>
      <c r="Y11" s="90">
        <f>_xlfn.XLOOKUP(Données!$W11,'Forecast-Volumes annuels import'!A16:A48,'Forecast-Volumes annuels import'!D16:D48)</f>
        <v>0</v>
      </c>
      <c r="Z11" s="90">
        <f>_xlfn.XLOOKUP(Données!$W11,'Forecast-Volumes annuels import'!A16:A48,'Forecast-Volumes annuels import'!E16:E48)</f>
        <v>0</v>
      </c>
      <c r="AA11" s="90">
        <f>_xlfn.XLOOKUP(Données!$W11,'Forecast-Volumes annuels import'!A16:A48,'Forecast-Volumes annuels import'!F16:F48)</f>
        <v>0</v>
      </c>
      <c r="AB11" s="90">
        <f>_xlfn.XLOOKUP(Données!$W11,'Forecast-Volumes annuels import'!A16:A48,'Forecast-Volumes annuels import'!G16:G48)</f>
        <v>0</v>
      </c>
      <c r="AC11" s="90">
        <f>_xlfn.XLOOKUP(Données!$W11,'Forecast-Volumes annuels import'!A16:A48,'Forecast-Volumes annuels import'!H16:H48)</f>
        <v>1500</v>
      </c>
      <c r="AD11" s="90">
        <f>_xlfn.XLOOKUP(Données!$W11,'Forecast-Volumes annuels import'!A16:A48,'Forecast-Volumes annuels import'!I16:I48)</f>
        <v>0</v>
      </c>
      <c r="AE11" s="90">
        <f>_xlfn.XLOOKUP(Données!$W11,'Forecast-Volumes annuels import'!A16:A48,'Forecast-Volumes annuels import'!J16:J48)</f>
        <v>0</v>
      </c>
      <c r="AF11" s="90">
        <f>_xlfn.XLOOKUP(Données!$W11,'Forecast-Volumes annuels import'!A16:A48,'Forecast-Volumes annuels import'!K16:K48)</f>
        <v>0</v>
      </c>
      <c r="AG11" s="90">
        <f>_xlfn.XLOOKUP(Données!$W11,'Forecast-Volumes annuels import'!A16:A48,'Forecast-Volumes annuels import'!L16:L48)</f>
        <v>0</v>
      </c>
      <c r="AH11" s="90">
        <f>_xlfn.XLOOKUP(Données!$W11,'Forecast-Volumes annuels import'!A16:A48,'Forecast-Volumes annuels import'!M16:M48)</f>
        <v>5500</v>
      </c>
      <c r="AI11" s="90">
        <f>_xlfn.XLOOKUP(Données!$W11,'Forecast-Volumes annuels import'!A16:A48,'Forecast-Volumes annuels import'!N16:N48)</f>
        <v>0</v>
      </c>
      <c r="AJ11" s="91">
        <f t="shared" si="4"/>
        <v>7500</v>
      </c>
      <c r="AK11" s="91">
        <f t="shared" si="5"/>
        <v>7.5</v>
      </c>
      <c r="AL11" s="110">
        <f>_xlfn.XLOOKUP(W11,'Previsionnels Importations'!A16:A43,'Previsionnels Importations'!D16:D43)</f>
        <v>622085.88749999995</v>
      </c>
      <c r="AM11" s="93">
        <f>_xlfn.XLOOKUP(W11,'Previsionnels Importations'!A16:A43,'Previsionnels Importations'!F16:F43)</f>
        <v>0</v>
      </c>
      <c r="AN11" s="93">
        <f>_xlfn.XLOOKUP(W11,'Previsionnels Importations'!A16:A43,'Previsionnels Importations'!H16:H43)</f>
        <v>0</v>
      </c>
      <c r="AO11" s="93">
        <f>_xlfn.XLOOKUP(W11,'Previsionnels Importations'!A16:A43,'Previsionnels Importations'!J16:J43)</f>
        <v>0</v>
      </c>
      <c r="AP11" s="93">
        <f>_xlfn.XLOOKUP(W11,'Previsionnels Importations'!A16:A43,'Previsionnels Importations'!L16:L43)</f>
        <v>0</v>
      </c>
      <c r="AQ11" s="93">
        <f>_xlfn.XLOOKUP(W11,'Previsionnels Importations'!A16:A43,'Previsionnels Importations'!N16:N43)</f>
        <v>1866257.6624999999</v>
      </c>
      <c r="AR11" s="93">
        <f>_xlfn.XLOOKUP(W11,'Previsionnels Importations'!A16:A43,'Previsionnels Importations'!P16:P43)</f>
        <v>0</v>
      </c>
      <c r="AS11" s="93">
        <f>_xlfn.XLOOKUP(W11,'Previsionnels Importations'!A16:A43,'Previsionnels Importations'!R16:R43)</f>
        <v>0</v>
      </c>
      <c r="AT11" s="93">
        <f>_xlfn.XLOOKUP(W11,'Previsionnels Importations'!A16:A43,'Previsionnels Importations'!T16:T43)</f>
        <v>0</v>
      </c>
      <c r="AU11" s="93">
        <f>_xlfn.XLOOKUP(W11,'Previsionnels Importations'!A16:A43,'Previsionnels Importations'!V16:V43)</f>
        <v>0</v>
      </c>
      <c r="AV11" s="93">
        <f>_xlfn.XLOOKUP(W11,'Previsionnels Importations'!A16:A43,'Previsionnels Importations'!X16:X43)</f>
        <v>6842944.7624999993</v>
      </c>
      <c r="AW11" s="93">
        <f>_xlfn.XLOOKUP(W11,'Previsionnels Importations'!A16:A43,'Previsionnels Importations'!Z16:Z43)</f>
        <v>0</v>
      </c>
      <c r="AX11" s="85">
        <f t="shared" si="6"/>
        <v>9331288.3125</v>
      </c>
      <c r="AY11" s="85">
        <f>'CA prévisionnel annuel'!C15*'CA prévisionnel annuel'!D15</f>
        <v>47025</v>
      </c>
      <c r="AZ11" s="111">
        <f>_xlfn.XLOOKUP(W11,Ventes!A15:A47,Ventes!C15:C47)</f>
        <v>0</v>
      </c>
      <c r="BA11" s="95">
        <f>_xlfn.XLOOKUP(W11,Ventes!A15:A47,Ventes!D15:D47)</f>
        <v>0</v>
      </c>
      <c r="BB11" s="95">
        <f>_xlfn.XLOOKUP(W11,Ventes!A15:A47,Ventes!E15:E47)</f>
        <v>0</v>
      </c>
      <c r="BC11" s="95">
        <f>_xlfn.XLOOKUP(W11,Ventes!A15:A47,Ventes!F15:F47)</f>
        <v>0</v>
      </c>
      <c r="BD11" s="95">
        <f>_xlfn.XLOOKUP(W11,Ventes!A15:A47,Ventes!G15:G47)</f>
        <v>0</v>
      </c>
      <c r="BE11" s="95">
        <f>_xlfn.XLOOKUP(W11,Ventes!A15:A47,Ventes!H15:H47)</f>
        <v>0</v>
      </c>
      <c r="BF11" s="95">
        <f>_xlfn.XLOOKUP(W11,Ventes!A15:A47,Ventes!I15:I47)</f>
        <v>0</v>
      </c>
      <c r="BG11" s="95">
        <f>_xlfn.XLOOKUP(W11,Ventes!A15:A47,Ventes!J15:J47)</f>
        <v>0</v>
      </c>
      <c r="BH11" s="95">
        <f>_xlfn.XLOOKUP(W11,Ventes!A15:A47,Ventes!K15:K47)</f>
        <v>0</v>
      </c>
      <c r="BI11" s="95">
        <f>_xlfn.XLOOKUP(W11,Ventes!A15:A47,Ventes!L15:L47)</f>
        <v>2000</v>
      </c>
      <c r="BJ11" s="95">
        <f>_xlfn.XLOOKUP(W11,Ventes!A15:A47,Ventes!M15:M47)</f>
        <v>2000</v>
      </c>
      <c r="BK11" s="95">
        <f>_xlfn.XLOOKUP(W11,Ventes!A15:A47,Ventes!N15:N47)</f>
        <v>0</v>
      </c>
      <c r="BL11" s="95">
        <f t="shared" si="7"/>
        <v>4000</v>
      </c>
      <c r="BM11" s="112">
        <f>BL11*_xlfn.XLOOKUP(W11,Tableau12[Produits],Tableau12[Prix unitaire € 2026])*145*1.19*1.15*1.9</f>
        <v>9455705.4899999984</v>
      </c>
      <c r="BN11" s="113">
        <f>'Forecast-Volumes annuels import'!O16-Données!BL11</f>
        <v>3500</v>
      </c>
      <c r="BO11" s="98">
        <f>Ventes!R15</f>
        <v>4</v>
      </c>
      <c r="BP11" s="99">
        <f>Données!$BN11/1000</f>
        <v>3.5</v>
      </c>
    </row>
    <row r="12" spans="2:68" ht="15" x14ac:dyDescent="0.35">
      <c r="B12" s="84" t="s">
        <v>126</v>
      </c>
      <c r="C12" s="85">
        <v>3.6</v>
      </c>
      <c r="D12" s="85">
        <f t="shared" si="0"/>
        <v>3.9600000000000004</v>
      </c>
      <c r="E12" s="85">
        <f t="shared" si="1"/>
        <v>3960.0000000000005</v>
      </c>
      <c r="F12" s="85">
        <f t="shared" si="2"/>
        <v>396.00000000000006</v>
      </c>
      <c r="G12" s="85">
        <f t="shared" si="3"/>
        <v>1493.0061299999998</v>
      </c>
      <c r="H12" s="74"/>
      <c r="K12" s="3">
        <v>0</v>
      </c>
      <c r="M12" s="3"/>
      <c r="Q12" s="17" t="s">
        <v>53</v>
      </c>
      <c r="R12" s="2" t="s">
        <v>61</v>
      </c>
      <c r="S12" s="44"/>
      <c r="T12" s="43"/>
      <c r="W12" s="84" t="s">
        <v>126</v>
      </c>
      <c r="X12" s="90">
        <f>_xlfn.XLOOKUP(Données!$W12,'Forecast-Volumes annuels import'!A17:A49,'Forecast-Volumes annuels import'!C17:C49)</f>
        <v>1000</v>
      </c>
      <c r="Y12" s="90">
        <f>_xlfn.XLOOKUP(Données!$W12,'Forecast-Volumes annuels import'!A17:A49,'Forecast-Volumes annuels import'!D17:D49)</f>
        <v>0</v>
      </c>
      <c r="Z12" s="90">
        <f>_xlfn.XLOOKUP(Données!$W12,'Forecast-Volumes annuels import'!A17:A49,'Forecast-Volumes annuels import'!E17:E49)</f>
        <v>0</v>
      </c>
      <c r="AA12" s="90">
        <f>_xlfn.XLOOKUP(Données!$W12,'Forecast-Volumes annuels import'!A17:A49,'Forecast-Volumes annuels import'!F17:F49)</f>
        <v>0</v>
      </c>
      <c r="AB12" s="90">
        <f>_xlfn.XLOOKUP(Données!$W12,'Forecast-Volumes annuels import'!A17:A49,'Forecast-Volumes annuels import'!G17:G49)</f>
        <v>0</v>
      </c>
      <c r="AC12" s="90">
        <f>_xlfn.XLOOKUP(Données!$W12,'Forecast-Volumes annuels import'!A17:A49,'Forecast-Volumes annuels import'!H17:H49)</f>
        <v>0</v>
      </c>
      <c r="AD12" s="90">
        <f>_xlfn.XLOOKUP(Données!$W12,'Forecast-Volumes annuels import'!A17:A49,'Forecast-Volumes annuels import'!I17:I49)</f>
        <v>0</v>
      </c>
      <c r="AE12" s="90">
        <f>_xlfn.XLOOKUP(Données!$W12,'Forecast-Volumes annuels import'!A17:A49,'Forecast-Volumes annuels import'!J17:J49)</f>
        <v>0</v>
      </c>
      <c r="AF12" s="90">
        <f>_xlfn.XLOOKUP(Données!$W12,'Forecast-Volumes annuels import'!A17:A49,'Forecast-Volumes annuels import'!K17:K49)</f>
        <v>4000</v>
      </c>
      <c r="AG12" s="90">
        <f>_xlfn.XLOOKUP(Données!$W12,'Forecast-Volumes annuels import'!A17:A49,'Forecast-Volumes annuels import'!L17:L49)</f>
        <v>0</v>
      </c>
      <c r="AH12" s="90">
        <f>_xlfn.XLOOKUP(Données!$W12,'Forecast-Volumes annuels import'!A17:A49,'Forecast-Volumes annuels import'!M17:M49)</f>
        <v>1000</v>
      </c>
      <c r="AI12" s="90">
        <f>_xlfn.XLOOKUP(Données!$W12,'Forecast-Volumes annuels import'!A17:A49,'Forecast-Volumes annuels import'!N17:N49)</f>
        <v>0</v>
      </c>
      <c r="AJ12" s="91">
        <f t="shared" si="4"/>
        <v>6000</v>
      </c>
      <c r="AK12" s="91">
        <f t="shared" si="5"/>
        <v>6</v>
      </c>
      <c r="AL12" s="110">
        <f>_xlfn.XLOOKUP(W12,'Previsionnels Importations'!A17:A44,'Previsionnels Importations'!D17:D44)</f>
        <v>785792.70000000007</v>
      </c>
      <c r="AM12" s="93">
        <f>_xlfn.XLOOKUP(W12,'Previsionnels Importations'!A17:A44,'Previsionnels Importations'!F17:F44)</f>
        <v>0</v>
      </c>
      <c r="AN12" s="93">
        <f>_xlfn.XLOOKUP(W12,'Previsionnels Importations'!A17:A44,'Previsionnels Importations'!H17:H44)</f>
        <v>0</v>
      </c>
      <c r="AO12" s="93">
        <f>_xlfn.XLOOKUP(W12,'Previsionnels Importations'!A17:A44,'Previsionnels Importations'!J17:J44)</f>
        <v>0</v>
      </c>
      <c r="AP12" s="93">
        <f>_xlfn.XLOOKUP(W12,'Previsionnels Importations'!A17:A44,'Previsionnels Importations'!L17:L44)</f>
        <v>0</v>
      </c>
      <c r="AQ12" s="93">
        <f>_xlfn.XLOOKUP(W12,'Previsionnels Importations'!A17:A44,'Previsionnels Importations'!N17:N44)</f>
        <v>0</v>
      </c>
      <c r="AR12" s="93">
        <f>_xlfn.XLOOKUP(W12,'Previsionnels Importations'!A17:A44,'Previsionnels Importations'!P17:P44)</f>
        <v>0</v>
      </c>
      <c r="AS12" s="93">
        <f>_xlfn.XLOOKUP(W12,'Previsionnels Importations'!A17:A44,'Previsionnels Importations'!R17:R44)</f>
        <v>0</v>
      </c>
      <c r="AT12" s="93">
        <f>_xlfn.XLOOKUP(W12,'Previsionnels Importations'!A17:A44,'Previsionnels Importations'!T17:T44)</f>
        <v>3143170.8000000003</v>
      </c>
      <c r="AU12" s="93">
        <f>_xlfn.XLOOKUP(W12,'Previsionnels Importations'!A17:A44,'Previsionnels Importations'!V17:V44)</f>
        <v>0</v>
      </c>
      <c r="AV12" s="93">
        <f>_xlfn.XLOOKUP(W12,'Previsionnels Importations'!A17:A44,'Previsionnels Importations'!X17:X44)</f>
        <v>785792.70000000007</v>
      </c>
      <c r="AW12" s="93">
        <f>_xlfn.XLOOKUP(W12,'Previsionnels Importations'!A17:A44,'Previsionnels Importations'!Z17:Z44)</f>
        <v>0</v>
      </c>
      <c r="AX12" s="85">
        <f t="shared" si="6"/>
        <v>4714756.2</v>
      </c>
      <c r="AY12" s="85">
        <f>'CA prévisionnel annuel'!C16*'CA prévisionnel annuel'!D16</f>
        <v>23760.000000000004</v>
      </c>
      <c r="AZ12" s="111">
        <f>_xlfn.XLOOKUP(W12,Ventes!A16:A48,Ventes!C16:C48)</f>
        <v>0</v>
      </c>
      <c r="BA12" s="95">
        <f>_xlfn.XLOOKUP(W12,Ventes!A16:A48,Ventes!D16:D48)</f>
        <v>0</v>
      </c>
      <c r="BB12" s="95">
        <f>_xlfn.XLOOKUP(W12,Ventes!A16:A48,Ventes!E16:E48)</f>
        <v>0</v>
      </c>
      <c r="BC12" s="95">
        <f>_xlfn.XLOOKUP(W12,Ventes!A16:A48,Ventes!F16:F48)</f>
        <v>0</v>
      </c>
      <c r="BD12" s="95">
        <f>_xlfn.XLOOKUP(W12,Ventes!A16:A48,Ventes!G16:G48)</f>
        <v>0</v>
      </c>
      <c r="BE12" s="95">
        <f>_xlfn.XLOOKUP(W12,Ventes!A16:A48,Ventes!H16:H48)</f>
        <v>0</v>
      </c>
      <c r="BF12" s="95">
        <f>_xlfn.XLOOKUP(W12,Ventes!A16:A48,Ventes!I16:I48)</f>
        <v>0</v>
      </c>
      <c r="BG12" s="95">
        <f>_xlfn.XLOOKUP(W12,Ventes!A16:A48,Ventes!J16:J48)</f>
        <v>0</v>
      </c>
      <c r="BH12" s="95">
        <f>_xlfn.XLOOKUP(W12,Ventes!A16:A48,Ventes!K16:K48)</f>
        <v>2000</v>
      </c>
      <c r="BI12" s="95">
        <f>_xlfn.XLOOKUP(W12,Ventes!A16:A48,Ventes!L16:L48)</f>
        <v>0</v>
      </c>
      <c r="BJ12" s="95">
        <f>_xlfn.XLOOKUP(W12,Ventes!A16:A48,Ventes!M16:M48)</f>
        <v>0</v>
      </c>
      <c r="BK12" s="95">
        <f>_xlfn.XLOOKUP(W12,Ventes!A16:A48,Ventes!N16:N48)</f>
        <v>1000</v>
      </c>
      <c r="BL12" s="95">
        <f t="shared" si="7"/>
        <v>3000</v>
      </c>
      <c r="BM12" s="112">
        <f>BL12*_xlfn.XLOOKUP(W12,Tableau12[Produits],Tableau12[Prix unitaire € 2026])*145*1.19*1.15*1.9</f>
        <v>4479018.3899999997</v>
      </c>
      <c r="BN12" s="113">
        <f>'Forecast-Volumes annuels import'!O17-Données!BL12</f>
        <v>3000</v>
      </c>
      <c r="BO12" s="98">
        <f>Ventes!R16</f>
        <v>3</v>
      </c>
      <c r="BP12" s="99">
        <f>Données!$BN12/1000</f>
        <v>3</v>
      </c>
    </row>
    <row r="13" spans="2:68" ht="15" x14ac:dyDescent="0.35">
      <c r="B13" s="84" t="s">
        <v>127</v>
      </c>
      <c r="C13" s="85">
        <v>3.8</v>
      </c>
      <c r="D13" s="85">
        <f t="shared" si="0"/>
        <v>4.18</v>
      </c>
      <c r="E13" s="85">
        <f t="shared" si="1"/>
        <v>4180</v>
      </c>
      <c r="F13" s="85">
        <f t="shared" si="2"/>
        <v>418</v>
      </c>
      <c r="G13" s="85">
        <f t="shared" si="3"/>
        <v>1575.9509149999994</v>
      </c>
      <c r="H13" s="74"/>
      <c r="K13" s="3">
        <v>0</v>
      </c>
      <c r="M13" s="3"/>
      <c r="Q13" s="17" t="s">
        <v>54</v>
      </c>
      <c r="R13" s="2" t="s">
        <v>47</v>
      </c>
      <c r="S13" s="44"/>
      <c r="T13" s="43"/>
      <c r="W13" s="84" t="s">
        <v>127</v>
      </c>
      <c r="X13" s="90">
        <f>_xlfn.XLOOKUP(Données!$W13,'Forecast-Volumes annuels import'!A18:A50,'Forecast-Volumes annuels import'!C18:C50)</f>
        <v>0</v>
      </c>
      <c r="Y13" s="90">
        <f>_xlfn.XLOOKUP(Données!$W13,'Forecast-Volumes annuels import'!A18:A50,'Forecast-Volumes annuels import'!D18:D50)</f>
        <v>0</v>
      </c>
      <c r="Z13" s="90">
        <f>_xlfn.XLOOKUP(Données!$W13,'Forecast-Volumes annuels import'!A18:A50,'Forecast-Volumes annuels import'!E18:E50)</f>
        <v>2500</v>
      </c>
      <c r="AA13" s="90">
        <f>_xlfn.XLOOKUP(Données!$W13,'Forecast-Volumes annuels import'!A18:A50,'Forecast-Volumes annuels import'!F18:F50)</f>
        <v>0</v>
      </c>
      <c r="AB13" s="90">
        <f>_xlfn.XLOOKUP(Données!$W13,'Forecast-Volumes annuels import'!A18:A50,'Forecast-Volumes annuels import'!G18:G50)</f>
        <v>0</v>
      </c>
      <c r="AC13" s="90">
        <f>_xlfn.XLOOKUP(Données!$W13,'Forecast-Volumes annuels import'!A18:A50,'Forecast-Volumes annuels import'!H18:H50)</f>
        <v>0</v>
      </c>
      <c r="AD13" s="90">
        <f>_xlfn.XLOOKUP(Données!$W13,'Forecast-Volumes annuels import'!A18:A50,'Forecast-Volumes annuels import'!I18:I50)</f>
        <v>0</v>
      </c>
      <c r="AE13" s="90">
        <f>_xlfn.XLOOKUP(Données!$W13,'Forecast-Volumes annuels import'!A18:A50,'Forecast-Volumes annuels import'!J18:J50)</f>
        <v>0</v>
      </c>
      <c r="AF13" s="90">
        <f>_xlfn.XLOOKUP(Données!$W13,'Forecast-Volumes annuels import'!A18:A50,'Forecast-Volumes annuels import'!K18:K50)</f>
        <v>5000</v>
      </c>
      <c r="AG13" s="90">
        <f>_xlfn.XLOOKUP(Données!$W13,'Forecast-Volumes annuels import'!A18:A50,'Forecast-Volumes annuels import'!L18:L50)</f>
        <v>0</v>
      </c>
      <c r="AH13" s="90">
        <f>_xlfn.XLOOKUP(Données!$W13,'Forecast-Volumes annuels import'!A18:A50,'Forecast-Volumes annuels import'!M18:M50)</f>
        <v>0</v>
      </c>
      <c r="AI13" s="90">
        <f>_xlfn.XLOOKUP(Données!$W13,'Forecast-Volumes annuels import'!A18:A50,'Forecast-Volumes annuels import'!N18:N50)</f>
        <v>0</v>
      </c>
      <c r="AJ13" s="91">
        <f t="shared" si="4"/>
        <v>7500</v>
      </c>
      <c r="AK13" s="91">
        <f t="shared" si="5"/>
        <v>7.5</v>
      </c>
      <c r="AL13" s="110">
        <f>_xlfn.XLOOKUP(W13,'Previsionnels Importations'!A18:A45,'Previsionnels Importations'!D18:D45)</f>
        <v>0</v>
      </c>
      <c r="AM13" s="93">
        <f>_xlfn.XLOOKUP(W13,'Previsionnels Importations'!A18:A45,'Previsionnels Importations'!F18:F45)</f>
        <v>0</v>
      </c>
      <c r="AN13" s="93">
        <f>_xlfn.XLOOKUP(W13,'Previsionnels Importations'!A18:A45,'Previsionnels Importations'!H18:H45)</f>
        <v>2073619.6249999998</v>
      </c>
      <c r="AO13" s="93">
        <f>_xlfn.XLOOKUP(W13,'Previsionnels Importations'!A18:A45,'Previsionnels Importations'!J18:J45)</f>
        <v>0</v>
      </c>
      <c r="AP13" s="93">
        <f>_xlfn.XLOOKUP(W13,'Previsionnels Importations'!A18:A45,'Previsionnels Importations'!L18:L45)</f>
        <v>0</v>
      </c>
      <c r="AQ13" s="93">
        <f>_xlfn.XLOOKUP(W13,'Previsionnels Importations'!A18:A45,'Previsionnels Importations'!N18:N45)</f>
        <v>0</v>
      </c>
      <c r="AR13" s="93">
        <f>_xlfn.XLOOKUP(W13,'Previsionnels Importations'!A18:A45,'Previsionnels Importations'!P18:P45)</f>
        <v>0</v>
      </c>
      <c r="AS13" s="93">
        <f>_xlfn.XLOOKUP(W13,'Previsionnels Importations'!A18:A45,'Previsionnels Importations'!R18:R45)</f>
        <v>0</v>
      </c>
      <c r="AT13" s="93">
        <f>_xlfn.XLOOKUP(W13,'Previsionnels Importations'!A18:A45,'Previsionnels Importations'!T18:T45)</f>
        <v>4147239.2499999995</v>
      </c>
      <c r="AU13" s="93">
        <f>_xlfn.XLOOKUP(W13,'Previsionnels Importations'!A18:A45,'Previsionnels Importations'!V18:V45)</f>
        <v>0</v>
      </c>
      <c r="AV13" s="93">
        <f>_xlfn.XLOOKUP(W13,'Previsionnels Importations'!A18:A45,'Previsionnels Importations'!X18:X45)</f>
        <v>0</v>
      </c>
      <c r="AW13" s="93">
        <f>_xlfn.XLOOKUP(W13,'Previsionnels Importations'!A18:A45,'Previsionnels Importations'!Z18:Z45)</f>
        <v>0</v>
      </c>
      <c r="AX13" s="85">
        <f t="shared" si="6"/>
        <v>6220858.8749999991</v>
      </c>
      <c r="AY13" s="85">
        <f>'CA prévisionnel annuel'!C17*'CA prévisionnel annuel'!D17</f>
        <v>31349.999999999996</v>
      </c>
      <c r="AZ13" s="111">
        <f>_xlfn.XLOOKUP(W13,Ventes!A17:A49,Ventes!C17:C49)</f>
        <v>0</v>
      </c>
      <c r="BA13" s="95">
        <f>_xlfn.XLOOKUP(W13,Ventes!A17:A49,Ventes!D17:D49)</f>
        <v>0</v>
      </c>
      <c r="BB13" s="95">
        <f>_xlfn.XLOOKUP(W13,Ventes!A17:A49,Ventes!E17:E49)</f>
        <v>0</v>
      </c>
      <c r="BC13" s="95">
        <f>_xlfn.XLOOKUP(W13,Ventes!A17:A49,Ventes!F17:F49)</f>
        <v>0</v>
      </c>
      <c r="BD13" s="95">
        <f>_xlfn.XLOOKUP(W13,Ventes!A17:A49,Ventes!G17:G49)</f>
        <v>0</v>
      </c>
      <c r="BE13" s="95">
        <f>_xlfn.XLOOKUP(W13,Ventes!A17:A49,Ventes!H17:H49)</f>
        <v>0</v>
      </c>
      <c r="BF13" s="95">
        <f>_xlfn.XLOOKUP(W13,Ventes!A17:A49,Ventes!I17:I49)</f>
        <v>0</v>
      </c>
      <c r="BG13" s="95">
        <f>_xlfn.XLOOKUP(W13,Ventes!A17:A49,Ventes!J17:J49)</f>
        <v>1000</v>
      </c>
      <c r="BH13" s="95">
        <f>_xlfn.XLOOKUP(W13,Ventes!A17:A49,Ventes!K17:K49)</f>
        <v>1000</v>
      </c>
      <c r="BI13" s="95">
        <f>_xlfn.XLOOKUP(W13,Ventes!A17:A49,Ventes!L17:L49)</f>
        <v>0</v>
      </c>
      <c r="BJ13" s="95">
        <f>_xlfn.XLOOKUP(W13,Ventes!A17:A49,Ventes!M17:M49)</f>
        <v>1000</v>
      </c>
      <c r="BK13" s="95">
        <f>_xlfn.XLOOKUP(W13,Ventes!A17:A49,Ventes!N17:N49)</f>
        <v>1000</v>
      </c>
      <c r="BL13" s="95">
        <f t="shared" si="7"/>
        <v>4000</v>
      </c>
      <c r="BM13" s="112">
        <f>BL13*_xlfn.XLOOKUP(W13,Tableau12[Produits],Tableau12[Prix unitaire € 2026])*145*1.19*1.15*1.9</f>
        <v>6303803.6599999992</v>
      </c>
      <c r="BN13" s="113">
        <f>'Forecast-Volumes annuels import'!O18-Données!BL13</f>
        <v>3500</v>
      </c>
      <c r="BO13" s="98">
        <f>Ventes!R17</f>
        <v>4</v>
      </c>
      <c r="BP13" s="99">
        <f>Données!$BN13/1000</f>
        <v>3.5</v>
      </c>
    </row>
    <row r="14" spans="2:68" ht="15" x14ac:dyDescent="0.35">
      <c r="B14" s="84" t="s">
        <v>128</v>
      </c>
      <c r="C14" s="85">
        <v>3.8</v>
      </c>
      <c r="D14" s="85">
        <f t="shared" si="0"/>
        <v>4.18</v>
      </c>
      <c r="E14" s="85">
        <f t="shared" si="1"/>
        <v>4180</v>
      </c>
      <c r="F14" s="85">
        <f t="shared" si="2"/>
        <v>418</v>
      </c>
      <c r="G14" s="85">
        <f t="shared" si="3"/>
        <v>1575.9509149999994</v>
      </c>
      <c r="H14" s="74"/>
      <c r="K14" s="3">
        <v>0</v>
      </c>
      <c r="M14" s="3"/>
      <c r="Q14" s="17" t="s">
        <v>55</v>
      </c>
      <c r="R14" s="2" t="s">
        <v>47</v>
      </c>
      <c r="S14" s="44"/>
      <c r="T14" s="43"/>
      <c r="W14" s="84" t="s">
        <v>128</v>
      </c>
      <c r="X14" s="90">
        <f>_xlfn.XLOOKUP(Données!$W14,'Forecast-Volumes annuels import'!A19:A51,'Forecast-Volumes annuels import'!C19:C51)</f>
        <v>0</v>
      </c>
      <c r="Y14" s="90">
        <f>_xlfn.XLOOKUP(Données!$W14,'Forecast-Volumes annuels import'!A19:A51,'Forecast-Volumes annuels import'!D19:D51)</f>
        <v>0</v>
      </c>
      <c r="Z14" s="90">
        <f>_xlfn.XLOOKUP(Données!$W14,'Forecast-Volumes annuels import'!A19:A51,'Forecast-Volumes annuels import'!E19:E51)</f>
        <v>0</v>
      </c>
      <c r="AA14" s="90">
        <f>_xlfn.XLOOKUP(Données!$W14,'Forecast-Volumes annuels import'!A19:A51,'Forecast-Volumes annuels import'!F19:F51)</f>
        <v>0</v>
      </c>
      <c r="AB14" s="90">
        <f>_xlfn.XLOOKUP(Données!$W14,'Forecast-Volumes annuels import'!A19:A51,'Forecast-Volumes annuels import'!G19:G51)</f>
        <v>0</v>
      </c>
      <c r="AC14" s="90">
        <f>_xlfn.XLOOKUP(Données!$W14,'Forecast-Volumes annuels import'!A19:A51,'Forecast-Volumes annuels import'!H19:H51)</f>
        <v>0</v>
      </c>
      <c r="AD14" s="90">
        <f>_xlfn.XLOOKUP(Données!$W14,'Forecast-Volumes annuels import'!A19:A51,'Forecast-Volumes annuels import'!I19:I51)</f>
        <v>0</v>
      </c>
      <c r="AE14" s="90">
        <f>_xlfn.XLOOKUP(Données!$W14,'Forecast-Volumes annuels import'!A19:A51,'Forecast-Volumes annuels import'!J19:J51)</f>
        <v>0</v>
      </c>
      <c r="AF14" s="90">
        <f>_xlfn.XLOOKUP(Données!$W14,'Forecast-Volumes annuels import'!A19:A51,'Forecast-Volumes annuels import'!K19:K51)</f>
        <v>0</v>
      </c>
      <c r="AG14" s="90">
        <f>_xlfn.XLOOKUP(Données!$W14,'Forecast-Volumes annuels import'!A19:A51,'Forecast-Volumes annuels import'!L19:L51)</f>
        <v>0</v>
      </c>
      <c r="AH14" s="90">
        <f>_xlfn.XLOOKUP(Données!$W14,'Forecast-Volumes annuels import'!A19:A51,'Forecast-Volumes annuels import'!M19:M51)</f>
        <v>0</v>
      </c>
      <c r="AI14" s="90">
        <f>_xlfn.XLOOKUP(Données!$W14,'Forecast-Volumes annuels import'!A19:A51,'Forecast-Volumes annuels import'!N19:N51)</f>
        <v>0</v>
      </c>
      <c r="AJ14" s="91">
        <f t="shared" si="4"/>
        <v>0</v>
      </c>
      <c r="AK14" s="91">
        <f t="shared" si="5"/>
        <v>0</v>
      </c>
      <c r="AL14" s="110">
        <f>_xlfn.XLOOKUP(W14,'Previsionnels Importations'!A19:A46,'Previsionnels Importations'!D19:D46)</f>
        <v>0</v>
      </c>
      <c r="AM14" s="93">
        <f>_xlfn.XLOOKUP(W14,'Previsionnels Importations'!A19:A46,'Previsionnels Importations'!F19:F46)</f>
        <v>0</v>
      </c>
      <c r="AN14" s="93">
        <f>_xlfn.XLOOKUP(W14,'Previsionnels Importations'!A19:A46,'Previsionnels Importations'!H19:H46)</f>
        <v>0</v>
      </c>
      <c r="AO14" s="93">
        <f>_xlfn.XLOOKUP(W14,'Previsionnels Importations'!A19:A46,'Previsionnels Importations'!J19:J46)</f>
        <v>0</v>
      </c>
      <c r="AP14" s="93">
        <f>_xlfn.XLOOKUP(W14,'Previsionnels Importations'!A19:A46,'Previsionnels Importations'!L19:L46)</f>
        <v>0</v>
      </c>
      <c r="AQ14" s="93">
        <f>_xlfn.XLOOKUP(W14,'Previsionnels Importations'!A19:A46,'Previsionnels Importations'!N19:N46)</f>
        <v>0</v>
      </c>
      <c r="AR14" s="93">
        <f>_xlfn.XLOOKUP(W14,'Previsionnels Importations'!A19:A46,'Previsionnels Importations'!P19:P46)</f>
        <v>0</v>
      </c>
      <c r="AS14" s="93">
        <f>_xlfn.XLOOKUP(W14,'Previsionnels Importations'!A19:A46,'Previsionnels Importations'!R19:R46)</f>
        <v>0</v>
      </c>
      <c r="AT14" s="93">
        <f>_xlfn.XLOOKUP(W14,'Previsionnels Importations'!A19:A46,'Previsionnels Importations'!T19:T46)</f>
        <v>0</v>
      </c>
      <c r="AU14" s="93">
        <f>_xlfn.XLOOKUP(W14,'Previsionnels Importations'!A19:A46,'Previsionnels Importations'!V19:V46)</f>
        <v>0</v>
      </c>
      <c r="AV14" s="93">
        <f>_xlfn.XLOOKUP(W14,'Previsionnels Importations'!A19:A46,'Previsionnels Importations'!X19:X46)</f>
        <v>0</v>
      </c>
      <c r="AW14" s="93">
        <f>_xlfn.XLOOKUP(W14,'Previsionnels Importations'!A19:A46,'Previsionnels Importations'!Z19:Z46)</f>
        <v>0</v>
      </c>
      <c r="AX14" s="85">
        <f t="shared" si="6"/>
        <v>0</v>
      </c>
      <c r="AY14" s="85">
        <f>'CA prévisionnel annuel'!C18*'CA prévisionnel annuel'!D18</f>
        <v>0</v>
      </c>
      <c r="AZ14" s="111">
        <f>_xlfn.XLOOKUP(W14,Ventes!A18:A50,Ventes!C18:C50)</f>
        <v>0</v>
      </c>
      <c r="BA14" s="95">
        <f>_xlfn.XLOOKUP(W14,Ventes!A18:A50,Ventes!D18:D50)</f>
        <v>0</v>
      </c>
      <c r="BB14" s="95">
        <f>_xlfn.XLOOKUP(W14,Ventes!A18:A50,Ventes!E18:E50)</f>
        <v>0</v>
      </c>
      <c r="BC14" s="95">
        <f>_xlfn.XLOOKUP(W14,Ventes!A18:A50,Ventes!F18:F50)</f>
        <v>0</v>
      </c>
      <c r="BD14" s="95">
        <f>_xlfn.XLOOKUP(W14,Ventes!A18:A50,Ventes!G18:G50)</f>
        <v>0</v>
      </c>
      <c r="BE14" s="95">
        <f>_xlfn.XLOOKUP(W14,Ventes!A18:A50,Ventes!H18:H50)</f>
        <v>0</v>
      </c>
      <c r="BF14" s="95">
        <f>_xlfn.XLOOKUP(W14,Ventes!A18:A50,Ventes!I18:I50)</f>
        <v>0</v>
      </c>
      <c r="BG14" s="95">
        <f>_xlfn.XLOOKUP(W14,Ventes!A18:A50,Ventes!J18:J50)</f>
        <v>0</v>
      </c>
      <c r="BH14" s="95">
        <f>_xlfn.XLOOKUP(W14,Ventes!A18:A50,Ventes!K18:K50)</f>
        <v>0</v>
      </c>
      <c r="BI14" s="95">
        <f>_xlfn.XLOOKUP(W14,Ventes!A18:A50,Ventes!L18:L50)</f>
        <v>0</v>
      </c>
      <c r="BJ14" s="95">
        <f>_xlfn.XLOOKUP(W14,Ventes!A18:A50,Ventes!M18:M50)</f>
        <v>0</v>
      </c>
      <c r="BK14" s="95">
        <f>_xlfn.XLOOKUP(W14,Ventes!A18:A50,Ventes!N18:N50)</f>
        <v>0</v>
      </c>
      <c r="BL14" s="95">
        <f t="shared" si="7"/>
        <v>0</v>
      </c>
      <c r="BM14" s="112">
        <f>BL14*_xlfn.XLOOKUP(W14,Tableau12[Produits],Tableau12[Prix unitaire € 2026])*145*1.19*1.15*1.9</f>
        <v>0</v>
      </c>
      <c r="BN14" s="113">
        <f>'Forecast-Volumes annuels import'!O19-Données!BL14</f>
        <v>0</v>
      </c>
      <c r="BO14" s="98">
        <f>Ventes!R18</f>
        <v>0</v>
      </c>
      <c r="BP14" s="99">
        <f>Données!$BN14/1000</f>
        <v>0</v>
      </c>
    </row>
    <row r="15" spans="2:68" ht="15" x14ac:dyDescent="0.35">
      <c r="B15" s="84" t="s">
        <v>129</v>
      </c>
      <c r="C15" s="85">
        <v>15.2</v>
      </c>
      <c r="D15" s="85">
        <f t="shared" si="0"/>
        <v>16.72</v>
      </c>
      <c r="E15" s="85">
        <f t="shared" si="1"/>
        <v>16720</v>
      </c>
      <c r="F15" s="85">
        <f t="shared" si="2"/>
        <v>1672</v>
      </c>
      <c r="G15" s="85">
        <f t="shared" si="3"/>
        <v>6303.8036599999978</v>
      </c>
      <c r="H15" s="74"/>
      <c r="K15" s="3">
        <v>0</v>
      </c>
      <c r="M15" s="3"/>
      <c r="Q15" s="17" t="s">
        <v>56</v>
      </c>
      <c r="R15" s="2" t="s">
        <v>47</v>
      </c>
      <c r="S15" s="44"/>
      <c r="T15" s="43"/>
      <c r="W15" s="84" t="s">
        <v>129</v>
      </c>
      <c r="X15" s="90">
        <f>_xlfn.XLOOKUP(Données!$W15,'Forecast-Volumes annuels import'!A20:A52,'Forecast-Volumes annuels import'!C20:C52)</f>
        <v>0</v>
      </c>
      <c r="Y15" s="90">
        <f>_xlfn.XLOOKUP(Données!$W15,'Forecast-Volumes annuels import'!A20:A52,'Forecast-Volumes annuels import'!D20:D52)</f>
        <v>0</v>
      </c>
      <c r="Z15" s="90">
        <f>_xlfn.XLOOKUP(Données!$W15,'Forecast-Volumes annuels import'!A20:A52,'Forecast-Volumes annuels import'!E20:E52)</f>
        <v>1000</v>
      </c>
      <c r="AA15" s="90">
        <f>_xlfn.XLOOKUP(Données!$W15,'Forecast-Volumes annuels import'!A20:A52,'Forecast-Volumes annuels import'!F20:F52)</f>
        <v>0</v>
      </c>
      <c r="AB15" s="90">
        <f>_xlfn.XLOOKUP(Données!$W15,'Forecast-Volumes annuels import'!A20:A52,'Forecast-Volumes annuels import'!G20:G52)</f>
        <v>0</v>
      </c>
      <c r="AC15" s="90">
        <f>_xlfn.XLOOKUP(Données!$W15,'Forecast-Volumes annuels import'!A20:A52,'Forecast-Volumes annuels import'!H20:H52)</f>
        <v>1000</v>
      </c>
      <c r="AD15" s="90">
        <f>_xlfn.XLOOKUP(Données!$W15,'Forecast-Volumes annuels import'!A20:A52,'Forecast-Volumes annuels import'!I20:I52)</f>
        <v>0</v>
      </c>
      <c r="AE15" s="90">
        <f>_xlfn.XLOOKUP(Données!$W15,'Forecast-Volumes annuels import'!A20:A52,'Forecast-Volumes annuels import'!J20:J52)</f>
        <v>0</v>
      </c>
      <c r="AF15" s="90">
        <f>_xlfn.XLOOKUP(Données!$W15,'Forecast-Volumes annuels import'!A20:A52,'Forecast-Volumes annuels import'!K20:K52)</f>
        <v>4000</v>
      </c>
      <c r="AG15" s="90">
        <f>_xlfn.XLOOKUP(Données!$W15,'Forecast-Volumes annuels import'!A20:A52,'Forecast-Volumes annuels import'!L20:L52)</f>
        <v>0</v>
      </c>
      <c r="AH15" s="90">
        <f>_xlfn.XLOOKUP(Données!$W15,'Forecast-Volumes annuels import'!A20:A52,'Forecast-Volumes annuels import'!M20:M52)</f>
        <v>0</v>
      </c>
      <c r="AI15" s="90">
        <f>_xlfn.XLOOKUP(Données!$W15,'Forecast-Volumes annuels import'!A20:A52,'Forecast-Volumes annuels import'!N20:N52)</f>
        <v>0</v>
      </c>
      <c r="AJ15" s="91">
        <f t="shared" si="4"/>
        <v>6000</v>
      </c>
      <c r="AK15" s="91">
        <f t="shared" si="5"/>
        <v>6</v>
      </c>
      <c r="AL15" s="110">
        <f>_xlfn.XLOOKUP(W15,'Previsionnels Importations'!A20:A47,'Previsionnels Importations'!D20:D47)</f>
        <v>0</v>
      </c>
      <c r="AM15" s="93">
        <f>_xlfn.XLOOKUP(W15,'Previsionnels Importations'!A20:A47,'Previsionnels Importations'!F20:F47)</f>
        <v>0</v>
      </c>
      <c r="AN15" s="93">
        <f>_xlfn.XLOOKUP(W15,'Previsionnels Importations'!A20:A47,'Previsionnels Importations'!H20:H47)</f>
        <v>3317791.4</v>
      </c>
      <c r="AO15" s="93">
        <f>_xlfn.XLOOKUP(W15,'Previsionnels Importations'!A20:A47,'Previsionnels Importations'!J20:J47)</f>
        <v>0</v>
      </c>
      <c r="AP15" s="93">
        <f>_xlfn.XLOOKUP(W15,'Previsionnels Importations'!A20:A47,'Previsionnels Importations'!L20:L47)</f>
        <v>0</v>
      </c>
      <c r="AQ15" s="93">
        <f>_xlfn.XLOOKUP(W15,'Previsionnels Importations'!A20:A47,'Previsionnels Importations'!N20:N47)</f>
        <v>3317791.4</v>
      </c>
      <c r="AR15" s="93">
        <f>_xlfn.XLOOKUP(W15,'Previsionnels Importations'!A20:A47,'Previsionnels Importations'!P20:P47)</f>
        <v>0</v>
      </c>
      <c r="AS15" s="93">
        <f>_xlfn.XLOOKUP(W15,'Previsionnels Importations'!A20:A47,'Previsionnels Importations'!R20:R47)</f>
        <v>0</v>
      </c>
      <c r="AT15" s="93">
        <f>_xlfn.XLOOKUP(W15,'Previsionnels Importations'!A20:A47,'Previsionnels Importations'!T20:T47)</f>
        <v>13271165.6</v>
      </c>
      <c r="AU15" s="93">
        <f>_xlfn.XLOOKUP(W15,'Previsionnels Importations'!A20:A47,'Previsionnels Importations'!V20:V47)</f>
        <v>0</v>
      </c>
      <c r="AV15" s="93">
        <f>_xlfn.XLOOKUP(W15,'Previsionnels Importations'!A20:A47,'Previsionnels Importations'!X20:X47)</f>
        <v>0</v>
      </c>
      <c r="AW15" s="93">
        <f>_xlfn.XLOOKUP(W15,'Previsionnels Importations'!A20:A47,'Previsionnels Importations'!Z20:Z47)</f>
        <v>0</v>
      </c>
      <c r="AX15" s="85">
        <f t="shared" si="6"/>
        <v>19906748.399999999</v>
      </c>
      <c r="AY15" s="85">
        <f>'CA prévisionnel annuel'!C19*'CA prévisionnel annuel'!D19</f>
        <v>100320</v>
      </c>
      <c r="AZ15" s="111">
        <f>_xlfn.XLOOKUP(W15,Ventes!A19:A51,Ventes!C19:C51)</f>
        <v>0</v>
      </c>
      <c r="BA15" s="95">
        <f>_xlfn.XLOOKUP(W15,Ventes!A19:A51,Ventes!D19:D51)</f>
        <v>0</v>
      </c>
      <c r="BB15" s="95">
        <f>_xlfn.XLOOKUP(W15,Ventes!A19:A51,Ventes!E19:E51)</f>
        <v>0</v>
      </c>
      <c r="BC15" s="95">
        <f>_xlfn.XLOOKUP(W15,Ventes!A19:A51,Ventes!F19:F51)</f>
        <v>0</v>
      </c>
      <c r="BD15" s="95">
        <f>_xlfn.XLOOKUP(W15,Ventes!A19:A51,Ventes!G19:G51)</f>
        <v>0</v>
      </c>
      <c r="BE15" s="95">
        <f>_xlfn.XLOOKUP(W15,Ventes!A19:A51,Ventes!H19:H51)</f>
        <v>0</v>
      </c>
      <c r="BF15" s="95">
        <f>_xlfn.XLOOKUP(W15,Ventes!A19:A51,Ventes!I19:I51)</f>
        <v>0</v>
      </c>
      <c r="BG15" s="95">
        <f>_xlfn.XLOOKUP(W15,Ventes!A19:A51,Ventes!J19:J51)</f>
        <v>0</v>
      </c>
      <c r="BH15" s="95">
        <f>_xlfn.XLOOKUP(W15,Ventes!A19:A51,Ventes!K19:K51)</f>
        <v>0</v>
      </c>
      <c r="BI15" s="95">
        <f>_xlfn.XLOOKUP(W15,Ventes!A19:A51,Ventes!L19:L51)</f>
        <v>1000</v>
      </c>
      <c r="BJ15" s="95">
        <f>_xlfn.XLOOKUP(W15,Ventes!A19:A51,Ventes!M19:M51)</f>
        <v>2000</v>
      </c>
      <c r="BK15" s="95">
        <f>_xlfn.XLOOKUP(W15,Ventes!A19:A51,Ventes!N19:N51)</f>
        <v>0</v>
      </c>
      <c r="BL15" s="95">
        <f t="shared" si="7"/>
        <v>3000</v>
      </c>
      <c r="BM15" s="112">
        <f>BL15*_xlfn.XLOOKUP(W15,Tableau12[Produits],Tableau12[Prix unitaire € 2026])*145*1.19*1.15*1.9</f>
        <v>18911410.979999997</v>
      </c>
      <c r="BN15" s="113">
        <f>'Forecast-Volumes annuels import'!O20-Données!BL15</f>
        <v>3000</v>
      </c>
      <c r="BO15" s="98">
        <f>Ventes!R19</f>
        <v>3</v>
      </c>
      <c r="BP15" s="99">
        <f>Données!$BN15/1000</f>
        <v>3</v>
      </c>
    </row>
    <row r="16" spans="2:68" x14ac:dyDescent="0.35">
      <c r="B16" s="84" t="s">
        <v>130</v>
      </c>
      <c r="C16" s="85">
        <v>6.09</v>
      </c>
      <c r="D16" s="85">
        <f t="shared" si="0"/>
        <v>6.6990000000000007</v>
      </c>
      <c r="E16" s="85">
        <f t="shared" si="1"/>
        <v>6699.0000000000009</v>
      </c>
      <c r="F16" s="85">
        <f t="shared" si="2"/>
        <v>669.90000000000009</v>
      </c>
      <c r="G16" s="85">
        <f t="shared" si="3"/>
        <v>2525.6687032499999</v>
      </c>
      <c r="H16" s="74"/>
      <c r="K16" s="3">
        <v>0</v>
      </c>
      <c r="M16" s="3"/>
      <c r="W16" s="84" t="s">
        <v>130</v>
      </c>
      <c r="X16" s="90">
        <f>_xlfn.XLOOKUP(Données!$W16,'Forecast-Volumes annuels import'!A21:A53,'Forecast-Volumes annuels import'!C21:C53)</f>
        <v>13600</v>
      </c>
      <c r="Y16" s="90">
        <f>_xlfn.XLOOKUP(Données!$W16,'Forecast-Volumes annuels import'!A21:A53,'Forecast-Volumes annuels import'!D21:D53)</f>
        <v>0</v>
      </c>
      <c r="Z16" s="90">
        <f>_xlfn.XLOOKUP(Données!$W16,'Forecast-Volumes annuels import'!A21:A53,'Forecast-Volumes annuels import'!E21:E53)</f>
        <v>13600</v>
      </c>
      <c r="AA16" s="90">
        <f>_xlfn.XLOOKUP(Données!$W16,'Forecast-Volumes annuels import'!A21:A53,'Forecast-Volumes annuels import'!F21:F53)</f>
        <v>0</v>
      </c>
      <c r="AB16" s="90">
        <f>_xlfn.XLOOKUP(Données!$W16,'Forecast-Volumes annuels import'!A21:A53,'Forecast-Volumes annuels import'!G21:G53)</f>
        <v>0</v>
      </c>
      <c r="AC16" s="90">
        <f>_xlfn.XLOOKUP(Données!$W16,'Forecast-Volumes annuels import'!A21:A53,'Forecast-Volumes annuels import'!H21:H53)</f>
        <v>13600</v>
      </c>
      <c r="AD16" s="90">
        <f>_xlfn.XLOOKUP(Données!$W16,'Forecast-Volumes annuels import'!A21:A53,'Forecast-Volumes annuels import'!I21:I53)</f>
        <v>0</v>
      </c>
      <c r="AE16" s="90">
        <f>_xlfn.XLOOKUP(Données!$W16,'Forecast-Volumes annuels import'!A21:A53,'Forecast-Volumes annuels import'!J21:J53)</f>
        <v>0</v>
      </c>
      <c r="AF16" s="90">
        <f>_xlfn.XLOOKUP(Données!$W16,'Forecast-Volumes annuels import'!A21:A53,'Forecast-Volumes annuels import'!K21:K53)</f>
        <v>3000</v>
      </c>
      <c r="AG16" s="90">
        <f>_xlfn.XLOOKUP(Données!$W16,'Forecast-Volumes annuels import'!A21:A53,'Forecast-Volumes annuels import'!L21:L53)</f>
        <v>0</v>
      </c>
      <c r="AH16" s="90">
        <f>_xlfn.XLOOKUP(Données!$W16,'Forecast-Volumes annuels import'!A21:A53,'Forecast-Volumes annuels import'!M21:M53)</f>
        <v>6000</v>
      </c>
      <c r="AI16" s="90">
        <f>_xlfn.XLOOKUP(Données!$W16,'Forecast-Volumes annuels import'!A21:A53,'Forecast-Volumes annuels import'!N21:N53)</f>
        <v>0</v>
      </c>
      <c r="AJ16" s="91">
        <f t="shared" si="4"/>
        <v>49800</v>
      </c>
      <c r="AK16" s="91">
        <f t="shared" si="5"/>
        <v>49.8</v>
      </c>
      <c r="AL16" s="110">
        <f>_xlfn.XLOOKUP(W16,'Previsionnels Importations'!A21:A48,'Previsionnels Importations'!D21:D48)</f>
        <v>18078470.718000002</v>
      </c>
      <c r="AM16" s="93">
        <f>_xlfn.XLOOKUP(W16,'Previsionnels Importations'!A21:A48,'Previsionnels Importations'!F21:F48)</f>
        <v>0</v>
      </c>
      <c r="AN16" s="93">
        <f>_xlfn.XLOOKUP(W16,'Previsionnels Importations'!A21:A48,'Previsionnels Importations'!H21:H48)</f>
        <v>18078470.718000002</v>
      </c>
      <c r="AO16" s="93">
        <f>_xlfn.XLOOKUP(W16,'Previsionnels Importations'!A21:A48,'Previsionnels Importations'!J21:J48)</f>
        <v>0</v>
      </c>
      <c r="AP16" s="93">
        <f>_xlfn.XLOOKUP(W16,'Previsionnels Importations'!A21:A48,'Previsionnels Importations'!L21:L48)</f>
        <v>0</v>
      </c>
      <c r="AQ16" s="93">
        <f>_xlfn.XLOOKUP(W16,'Previsionnels Importations'!A21:A48,'Previsionnels Importations'!N21:N48)</f>
        <v>18078470.718000002</v>
      </c>
      <c r="AR16" s="93">
        <f>_xlfn.XLOOKUP(W16,'Previsionnels Importations'!A21:A48,'Previsionnels Importations'!P21:P48)</f>
        <v>0</v>
      </c>
      <c r="AS16" s="93">
        <f>_xlfn.XLOOKUP(W16,'Previsionnels Importations'!A21:A48,'Previsionnels Importations'!R21:R48)</f>
        <v>0</v>
      </c>
      <c r="AT16" s="93">
        <f>_xlfn.XLOOKUP(W16,'Previsionnels Importations'!A21:A48,'Previsionnels Importations'!T21:T48)</f>
        <v>3987897.9525000001</v>
      </c>
      <c r="AU16" s="93">
        <f>_xlfn.XLOOKUP(W16,'Previsionnels Importations'!A21:A48,'Previsionnels Importations'!V21:V48)</f>
        <v>0</v>
      </c>
      <c r="AV16" s="93">
        <f>_xlfn.XLOOKUP(W16,'Previsionnels Importations'!A21:A48,'Previsionnels Importations'!X21:X48)</f>
        <v>7975795.9050000003</v>
      </c>
      <c r="AW16" s="93">
        <f>_xlfn.XLOOKUP(W16,'Previsionnels Importations'!A21:A48,'Previsionnels Importations'!Z21:Z48)</f>
        <v>0</v>
      </c>
      <c r="AX16" s="85">
        <f t="shared" si="6"/>
        <v>66199106.011500008</v>
      </c>
      <c r="AY16" s="85">
        <f>'CA prévisionnel annuel'!C20*'CA prévisionnel annuel'!D20</f>
        <v>333610.2</v>
      </c>
      <c r="AZ16" s="111">
        <f>_xlfn.XLOOKUP(W16,Ventes!A20:A52,Ventes!C20:C52)</f>
        <v>280</v>
      </c>
      <c r="BA16" s="95">
        <f>_xlfn.XLOOKUP(W16,Ventes!A20:A52,Ventes!D20:D52)</f>
        <v>0</v>
      </c>
      <c r="BB16" s="95">
        <f>_xlfn.XLOOKUP(W16,Ventes!A20:A52,Ventes!E20:E52)</f>
        <v>0</v>
      </c>
      <c r="BC16" s="95">
        <f>_xlfn.XLOOKUP(W16,Ventes!A20:A52,Ventes!F20:F52)</f>
        <v>200</v>
      </c>
      <c r="BD16" s="95">
        <f>_xlfn.XLOOKUP(W16,Ventes!A20:A52,Ventes!G20:G52)</f>
        <v>1000</v>
      </c>
      <c r="BE16" s="95">
        <f>_xlfn.XLOOKUP(W16,Ventes!A20:A52,Ventes!H20:H52)</f>
        <v>3000</v>
      </c>
      <c r="BF16" s="95">
        <f>_xlfn.XLOOKUP(W16,Ventes!A20:A52,Ventes!I20:I52)</f>
        <v>2000</v>
      </c>
      <c r="BG16" s="95">
        <f>_xlfn.XLOOKUP(W16,Ventes!A20:A52,Ventes!J20:J52)</f>
        <v>3000</v>
      </c>
      <c r="BH16" s="95">
        <f>_xlfn.XLOOKUP(W16,Ventes!A20:A52,Ventes!K20:K52)</f>
        <v>5000</v>
      </c>
      <c r="BI16" s="95">
        <f>_xlfn.XLOOKUP(W16,Ventes!A20:A52,Ventes!L20:L52)</f>
        <v>5000</v>
      </c>
      <c r="BJ16" s="95">
        <f>_xlfn.XLOOKUP(W16,Ventes!A20:A52,Ventes!M20:M52)</f>
        <v>5000</v>
      </c>
      <c r="BK16" s="95">
        <f>_xlfn.XLOOKUP(W16,Ventes!A20:A52,Ventes!N20:N52)</f>
        <v>8000</v>
      </c>
      <c r="BL16" s="95">
        <f t="shared" si="7"/>
        <v>32480</v>
      </c>
      <c r="BM16" s="112">
        <f>BL16*_xlfn.XLOOKUP(W16,Tableau12[Produits],Tableau12[Prix unitaire € 2026])*145*1.19*1.15*1.9</f>
        <v>82033719.481559992</v>
      </c>
      <c r="BN16" s="113">
        <f>'Forecast-Volumes annuels import'!O21-Données!BL16</f>
        <v>17320</v>
      </c>
      <c r="BO16" s="98">
        <f>Ventes!R20</f>
        <v>32.479999999999997</v>
      </c>
      <c r="BP16" s="99">
        <f>Données!$BN16/1000</f>
        <v>17.32</v>
      </c>
    </row>
    <row r="17" spans="2:68" x14ac:dyDescent="0.35">
      <c r="B17" s="84" t="s">
        <v>131</v>
      </c>
      <c r="C17" s="85">
        <v>4.8499999999999996</v>
      </c>
      <c r="D17" s="85">
        <f t="shared" si="0"/>
        <v>5.335</v>
      </c>
      <c r="E17" s="85">
        <f t="shared" si="1"/>
        <v>5335</v>
      </c>
      <c r="F17" s="85">
        <f t="shared" si="2"/>
        <v>533.5</v>
      </c>
      <c r="G17" s="85">
        <f t="shared" si="3"/>
        <v>2011.4110362499998</v>
      </c>
      <c r="H17" s="74"/>
      <c r="K17" s="3">
        <v>0</v>
      </c>
      <c r="M17" s="3"/>
      <c r="W17" s="84" t="s">
        <v>131</v>
      </c>
      <c r="X17" s="90">
        <f>_xlfn.XLOOKUP(Données!$W17,'Forecast-Volumes annuels import'!A22:A54,'Forecast-Volumes annuels import'!C22:C54)</f>
        <v>1800</v>
      </c>
      <c r="Y17" s="90">
        <f>_xlfn.XLOOKUP(Données!$W17,'Forecast-Volumes annuels import'!A22:A54,'Forecast-Volumes annuels import'!D22:D54)</f>
        <v>0</v>
      </c>
      <c r="Z17" s="90">
        <f>_xlfn.XLOOKUP(Données!$W17,'Forecast-Volumes annuels import'!A22:A54,'Forecast-Volumes annuels import'!E22:E54)</f>
        <v>1000</v>
      </c>
      <c r="AA17" s="90">
        <f>_xlfn.XLOOKUP(Données!$W17,'Forecast-Volumes annuels import'!A22:A54,'Forecast-Volumes annuels import'!F22:F54)</f>
        <v>0</v>
      </c>
      <c r="AB17" s="90">
        <f>_xlfn.XLOOKUP(Données!$W17,'Forecast-Volumes annuels import'!A22:A54,'Forecast-Volumes annuels import'!G22:G54)</f>
        <v>0</v>
      </c>
      <c r="AC17" s="90">
        <f>_xlfn.XLOOKUP(Données!$W17,'Forecast-Volumes annuels import'!A22:A54,'Forecast-Volumes annuels import'!H22:H54)</f>
        <v>5000</v>
      </c>
      <c r="AD17" s="90">
        <f>_xlfn.XLOOKUP(Données!$W17,'Forecast-Volumes annuels import'!A22:A54,'Forecast-Volumes annuels import'!I22:I54)</f>
        <v>0</v>
      </c>
      <c r="AE17" s="90">
        <f>_xlfn.XLOOKUP(Données!$W17,'Forecast-Volumes annuels import'!A22:A54,'Forecast-Volumes annuels import'!J22:J54)</f>
        <v>0</v>
      </c>
      <c r="AF17" s="90">
        <f>_xlfn.XLOOKUP(Données!$W17,'Forecast-Volumes annuels import'!A22:A54,'Forecast-Volumes annuels import'!K22:K54)</f>
        <v>5000</v>
      </c>
      <c r="AG17" s="90">
        <f>_xlfn.XLOOKUP(Données!$W17,'Forecast-Volumes annuels import'!A22:A54,'Forecast-Volumes annuels import'!L22:L54)</f>
        <v>0</v>
      </c>
      <c r="AH17" s="90">
        <f>_xlfn.XLOOKUP(Données!$W17,'Forecast-Volumes annuels import'!A22:A54,'Forecast-Volumes annuels import'!M22:M54)</f>
        <v>4000</v>
      </c>
      <c r="AI17" s="90">
        <f>_xlfn.XLOOKUP(Données!$W17,'Forecast-Volumes annuels import'!A22:A54,'Forecast-Volumes annuels import'!N22:N54)</f>
        <v>0</v>
      </c>
      <c r="AJ17" s="91">
        <f t="shared" si="4"/>
        <v>16800</v>
      </c>
      <c r="AK17" s="91">
        <f t="shared" si="5"/>
        <v>16.8</v>
      </c>
      <c r="AL17" s="110">
        <f>_xlfn.XLOOKUP(W17,'Previsionnels Importations'!A22:A49,'Previsionnels Importations'!D22:D49)</f>
        <v>1905547.2974999996</v>
      </c>
      <c r="AM17" s="93">
        <f>_xlfn.XLOOKUP(W17,'Previsionnels Importations'!A22:A49,'Previsionnels Importations'!F22:F49)</f>
        <v>0</v>
      </c>
      <c r="AN17" s="93">
        <f>_xlfn.XLOOKUP(W17,'Previsionnels Importations'!A22:A49,'Previsionnels Importations'!H22:H49)</f>
        <v>1058637.3875</v>
      </c>
      <c r="AO17" s="93">
        <f>_xlfn.XLOOKUP(W17,'Previsionnels Importations'!A22:A49,'Previsionnels Importations'!J22:J49)</f>
        <v>0</v>
      </c>
      <c r="AP17" s="93">
        <f>_xlfn.XLOOKUP(W17,'Previsionnels Importations'!A22:A49,'Previsionnels Importations'!L22:L49)</f>
        <v>0</v>
      </c>
      <c r="AQ17" s="93">
        <f>_xlfn.XLOOKUP(W17,'Previsionnels Importations'!A22:A49,'Previsionnels Importations'!N22:N49)</f>
        <v>5293186.9375</v>
      </c>
      <c r="AR17" s="93">
        <f>_xlfn.XLOOKUP(W17,'Previsionnels Importations'!A22:A49,'Previsionnels Importations'!P22:P49)</f>
        <v>0</v>
      </c>
      <c r="AS17" s="93">
        <f>_xlfn.XLOOKUP(W17,'Previsionnels Importations'!A22:A49,'Previsionnels Importations'!R22:R49)</f>
        <v>0</v>
      </c>
      <c r="AT17" s="93">
        <f>_xlfn.XLOOKUP(W17,'Previsionnels Importations'!A22:A49,'Previsionnels Importations'!T22:T49)</f>
        <v>5293186.9375</v>
      </c>
      <c r="AU17" s="93">
        <f>_xlfn.XLOOKUP(W17,'Previsionnels Importations'!A22:A49,'Previsionnels Importations'!V22:V49)</f>
        <v>0</v>
      </c>
      <c r="AV17" s="93">
        <f>_xlfn.XLOOKUP(W17,'Previsionnels Importations'!A22:A49,'Previsionnels Importations'!X22:X49)</f>
        <v>4234549.55</v>
      </c>
      <c r="AW17" s="93">
        <f>_xlfn.XLOOKUP(W17,'Previsionnels Importations'!A22:A49,'Previsionnels Importations'!Z22:Z49)</f>
        <v>0</v>
      </c>
      <c r="AX17" s="85">
        <f t="shared" si="6"/>
        <v>17785108.109999999</v>
      </c>
      <c r="AY17" s="85">
        <f>'CA prévisionnel annuel'!C21*'CA prévisionnel annuel'!D21</f>
        <v>89628</v>
      </c>
      <c r="AZ17" s="111">
        <f>_xlfn.XLOOKUP(W17,Ventes!A21:A53,Ventes!C21:C53)</f>
        <v>400</v>
      </c>
      <c r="BA17" s="95">
        <f>_xlfn.XLOOKUP(W17,Ventes!A21:A53,Ventes!D21:D53)</f>
        <v>0</v>
      </c>
      <c r="BB17" s="95">
        <f>_xlfn.XLOOKUP(W17,Ventes!A21:A53,Ventes!E21:E53)</f>
        <v>0</v>
      </c>
      <c r="BC17" s="95">
        <f>_xlfn.XLOOKUP(W17,Ventes!A21:A53,Ventes!F21:F53)</f>
        <v>500</v>
      </c>
      <c r="BD17" s="95">
        <f>_xlfn.XLOOKUP(W17,Ventes!A21:A53,Ventes!G21:G53)</f>
        <v>250</v>
      </c>
      <c r="BE17" s="95">
        <f>_xlfn.XLOOKUP(W17,Ventes!A21:A53,Ventes!H21:H53)</f>
        <v>0</v>
      </c>
      <c r="BF17" s="95">
        <f>_xlfn.XLOOKUP(W17,Ventes!A21:A53,Ventes!I21:I53)</f>
        <v>500</v>
      </c>
      <c r="BG17" s="95">
        <f>_xlfn.XLOOKUP(W17,Ventes!A21:A53,Ventes!J21:J53)</f>
        <v>0</v>
      </c>
      <c r="BH17" s="95">
        <f>_xlfn.XLOOKUP(W17,Ventes!A21:A53,Ventes!K21:K53)</f>
        <v>1000</v>
      </c>
      <c r="BI17" s="95">
        <f>_xlfn.XLOOKUP(W17,Ventes!A21:A53,Ventes!L21:L53)</f>
        <v>5000</v>
      </c>
      <c r="BJ17" s="95">
        <f>_xlfn.XLOOKUP(W17,Ventes!A21:A53,Ventes!M21:M53)</f>
        <v>2000</v>
      </c>
      <c r="BK17" s="95">
        <f>_xlfn.XLOOKUP(W17,Ventes!A21:A53,Ventes!N21:N53)</f>
        <v>300</v>
      </c>
      <c r="BL17" s="95">
        <f t="shared" si="7"/>
        <v>9950</v>
      </c>
      <c r="BM17" s="112">
        <f>BL17*_xlfn.XLOOKUP(W17,Tableau12[Produits],Tableau12[Prix unitaire € 2026])*145*1.19*1.15*1.9</f>
        <v>20013539.810687497</v>
      </c>
      <c r="BN17" s="113">
        <f>'Forecast-Volumes annuels import'!O22-Données!BL17</f>
        <v>6850</v>
      </c>
      <c r="BO17" s="98">
        <f>Ventes!R21</f>
        <v>9.9499999999999993</v>
      </c>
      <c r="BP17" s="99">
        <f>Données!$BN17/1000</f>
        <v>6.85</v>
      </c>
    </row>
    <row r="18" spans="2:68" x14ac:dyDescent="0.35">
      <c r="B18" s="84" t="s">
        <v>132</v>
      </c>
      <c r="C18" s="85">
        <v>2.33</v>
      </c>
      <c r="D18" s="85">
        <f t="shared" si="0"/>
        <v>2.5630000000000002</v>
      </c>
      <c r="E18" s="85">
        <f t="shared" si="1"/>
        <v>2563</v>
      </c>
      <c r="F18" s="85">
        <f t="shared" si="2"/>
        <v>256.3</v>
      </c>
      <c r="G18" s="85">
        <f t="shared" si="3"/>
        <v>966.30674524999995</v>
      </c>
      <c r="H18" s="74"/>
      <c r="K18" s="3">
        <v>0</v>
      </c>
      <c r="M18" s="3"/>
      <c r="W18" s="84" t="s">
        <v>132</v>
      </c>
      <c r="X18" s="90">
        <f>_xlfn.XLOOKUP(Données!$W18,'Forecast-Volumes annuels import'!A23:A55,'Forecast-Volumes annuels import'!C23:C55)</f>
        <v>0</v>
      </c>
      <c r="Y18" s="90">
        <f>_xlfn.XLOOKUP(Données!$W18,'Forecast-Volumes annuels import'!A23:A55,'Forecast-Volumes annuels import'!D23:D55)</f>
        <v>0</v>
      </c>
      <c r="Z18" s="90">
        <f>_xlfn.XLOOKUP(Données!$W18,'Forecast-Volumes annuels import'!A23:A55,'Forecast-Volumes annuels import'!E23:E55)</f>
        <v>0</v>
      </c>
      <c r="AA18" s="90">
        <f>_xlfn.XLOOKUP(Données!$W18,'Forecast-Volumes annuels import'!A23:A55,'Forecast-Volumes annuels import'!F23:F55)</f>
        <v>0</v>
      </c>
      <c r="AB18" s="90">
        <f>_xlfn.XLOOKUP(Données!$W18,'Forecast-Volumes annuels import'!A23:A55,'Forecast-Volumes annuels import'!G23:G55)</f>
        <v>0</v>
      </c>
      <c r="AC18" s="90">
        <f>_xlfn.XLOOKUP(Données!$W18,'Forecast-Volumes annuels import'!A23:A55,'Forecast-Volumes annuels import'!H23:H55)</f>
        <v>5000</v>
      </c>
      <c r="AD18" s="90">
        <f>_xlfn.XLOOKUP(Données!$W18,'Forecast-Volumes annuels import'!A23:A55,'Forecast-Volumes annuels import'!I23:I55)</f>
        <v>0</v>
      </c>
      <c r="AE18" s="90">
        <f>_xlfn.XLOOKUP(Données!$W18,'Forecast-Volumes annuels import'!A23:A55,'Forecast-Volumes annuels import'!J23:J55)</f>
        <v>0</v>
      </c>
      <c r="AF18" s="90">
        <f>_xlfn.XLOOKUP(Données!$W18,'Forecast-Volumes annuels import'!A23:A55,'Forecast-Volumes annuels import'!K23:K55)</f>
        <v>7000</v>
      </c>
      <c r="AG18" s="90">
        <f>_xlfn.XLOOKUP(Données!$W18,'Forecast-Volumes annuels import'!A23:A55,'Forecast-Volumes annuels import'!L23:L55)</f>
        <v>0</v>
      </c>
      <c r="AH18" s="90">
        <f>_xlfn.XLOOKUP(Données!$W18,'Forecast-Volumes annuels import'!A23:A55,'Forecast-Volumes annuels import'!M23:M55)</f>
        <v>3000</v>
      </c>
      <c r="AI18" s="90">
        <f>_xlfn.XLOOKUP(Données!$W18,'Forecast-Volumes annuels import'!A23:A55,'Forecast-Volumes annuels import'!N23:N55)</f>
        <v>0</v>
      </c>
      <c r="AJ18" s="91">
        <f t="shared" si="4"/>
        <v>15000</v>
      </c>
      <c r="AK18" s="91">
        <f t="shared" si="5"/>
        <v>15</v>
      </c>
      <c r="AL18" s="110">
        <f>_xlfn.XLOOKUP(W18,'Previsionnels Importations'!A23:A50,'Previsionnels Importations'!D23:D50)</f>
        <v>0</v>
      </c>
      <c r="AM18" s="93">
        <f>_xlfn.XLOOKUP(W18,'Previsionnels Importations'!A23:A50,'Previsionnels Importations'!F23:F50)</f>
        <v>0</v>
      </c>
      <c r="AN18" s="93">
        <f>_xlfn.XLOOKUP(W18,'Previsionnels Importations'!A23:A50,'Previsionnels Importations'!H23:H50)</f>
        <v>0</v>
      </c>
      <c r="AO18" s="93">
        <f>_xlfn.XLOOKUP(W18,'Previsionnels Importations'!A23:A50,'Previsionnels Importations'!J23:J50)</f>
        <v>0</v>
      </c>
      <c r="AP18" s="93">
        <f>_xlfn.XLOOKUP(W18,'Previsionnels Importations'!A23:A50,'Previsionnels Importations'!L23:L50)</f>
        <v>0</v>
      </c>
      <c r="AQ18" s="93">
        <f>_xlfn.XLOOKUP(W18,'Previsionnels Importations'!A23:A50,'Previsionnels Importations'!N23:N50)</f>
        <v>2542912.4874999998</v>
      </c>
      <c r="AR18" s="93">
        <f>_xlfn.XLOOKUP(W18,'Previsionnels Importations'!A23:A50,'Previsionnels Importations'!P23:P50)</f>
        <v>0</v>
      </c>
      <c r="AS18" s="93">
        <f>_xlfn.XLOOKUP(W18,'Previsionnels Importations'!A23:A50,'Previsionnels Importations'!R23:R50)</f>
        <v>0</v>
      </c>
      <c r="AT18" s="93">
        <f>_xlfn.XLOOKUP(W18,'Previsionnels Importations'!A23:A50,'Previsionnels Importations'!T23:T50)</f>
        <v>3560077.4824999995</v>
      </c>
      <c r="AU18" s="93">
        <f>_xlfn.XLOOKUP(W18,'Previsionnels Importations'!A23:A50,'Previsionnels Importations'!V23:V50)</f>
        <v>0</v>
      </c>
      <c r="AV18" s="93">
        <f>_xlfn.XLOOKUP(W18,'Previsionnels Importations'!A23:A50,'Previsionnels Importations'!X23:X50)</f>
        <v>1525747.4925000002</v>
      </c>
      <c r="AW18" s="93">
        <f>_xlfn.XLOOKUP(W18,'Previsionnels Importations'!A23:A50,'Previsionnels Importations'!Z23:Z50)</f>
        <v>0</v>
      </c>
      <c r="AX18" s="85">
        <f t="shared" si="6"/>
        <v>7628737.4624999985</v>
      </c>
      <c r="AY18" s="85">
        <f>'CA prévisionnel annuel'!C22*'CA prévisionnel annuel'!D22</f>
        <v>38445</v>
      </c>
      <c r="AZ18" s="111">
        <f>_xlfn.XLOOKUP(W18,Ventes!A22:A54,Ventes!C22:C54)</f>
        <v>640</v>
      </c>
      <c r="BA18" s="95">
        <f>_xlfn.XLOOKUP(W18,Ventes!A22:A54,Ventes!D22:D54)</f>
        <v>0</v>
      </c>
      <c r="BB18" s="95">
        <f>_xlfn.XLOOKUP(W18,Ventes!A22:A54,Ventes!E22:E54)</f>
        <v>0</v>
      </c>
      <c r="BC18" s="95">
        <f>_xlfn.XLOOKUP(W18,Ventes!A22:A54,Ventes!F22:F54)</f>
        <v>500</v>
      </c>
      <c r="BD18" s="95">
        <f>_xlfn.XLOOKUP(W18,Ventes!A22:A54,Ventes!G22:G54)</f>
        <v>300</v>
      </c>
      <c r="BE18" s="95">
        <f>_xlfn.XLOOKUP(W18,Ventes!A22:A54,Ventes!H22:H54)</f>
        <v>0</v>
      </c>
      <c r="BF18" s="95">
        <f>_xlfn.XLOOKUP(W18,Ventes!A22:A54,Ventes!I22:I54)</f>
        <v>0</v>
      </c>
      <c r="BG18" s="95">
        <f>_xlfn.XLOOKUP(W18,Ventes!A22:A54,Ventes!J22:J54)</f>
        <v>500</v>
      </c>
      <c r="BH18" s="95">
        <f>_xlfn.XLOOKUP(W18,Ventes!A22:A54,Ventes!K22:K54)</f>
        <v>500</v>
      </c>
      <c r="BI18" s="95">
        <f>_xlfn.XLOOKUP(W18,Ventes!A22:A54,Ventes!L22:L54)</f>
        <v>0</v>
      </c>
      <c r="BJ18" s="95">
        <f>_xlfn.XLOOKUP(W18,Ventes!A22:A54,Ventes!M22:M54)</f>
        <v>2000</v>
      </c>
      <c r="BK18" s="95">
        <f>_xlfn.XLOOKUP(W18,Ventes!A22:A54,Ventes!N22:N54)</f>
        <v>2000</v>
      </c>
      <c r="BL18" s="95">
        <f t="shared" si="7"/>
        <v>6440</v>
      </c>
      <c r="BM18" s="112">
        <f>BL18*_xlfn.XLOOKUP(W18,Tableau12[Produits],Tableau12[Prix unitaire € 2026])*145*1.19*1.15*1.9</f>
        <v>6223015.4394100001</v>
      </c>
      <c r="BN18" s="113">
        <f>'Forecast-Volumes annuels import'!O23-Données!BL18</f>
        <v>8560</v>
      </c>
      <c r="BO18" s="98">
        <f>Ventes!R22</f>
        <v>6.44</v>
      </c>
      <c r="BP18" s="99">
        <f>Données!$BN18/1000</f>
        <v>8.56</v>
      </c>
    </row>
    <row r="19" spans="2:68" x14ac:dyDescent="0.35">
      <c r="B19" s="84" t="s">
        <v>133</v>
      </c>
      <c r="C19" s="85">
        <v>2.5</v>
      </c>
      <c r="D19" s="85">
        <f t="shared" si="0"/>
        <v>2.75</v>
      </c>
      <c r="E19" s="85">
        <f t="shared" si="1"/>
        <v>2750</v>
      </c>
      <c r="F19" s="85">
        <f t="shared" si="2"/>
        <v>275</v>
      </c>
      <c r="G19" s="85">
        <f t="shared" si="3"/>
        <v>1036.8098124999999</v>
      </c>
      <c r="H19" s="74"/>
      <c r="K19" s="3">
        <v>0</v>
      </c>
      <c r="M19" s="3"/>
      <c r="W19" s="84" t="s">
        <v>133</v>
      </c>
      <c r="X19" s="90">
        <f>_xlfn.XLOOKUP(Données!$W19,'Forecast-Volumes annuels import'!A24:A56,'Forecast-Volumes annuels import'!C24:C56)</f>
        <v>0</v>
      </c>
      <c r="Y19" s="90">
        <f>_xlfn.XLOOKUP(Données!$W19,'Forecast-Volumes annuels import'!A24:A56,'Forecast-Volumes annuels import'!D24:D56)</f>
        <v>0</v>
      </c>
      <c r="Z19" s="90">
        <f>_xlfn.XLOOKUP(Données!$W19,'Forecast-Volumes annuels import'!A24:A56,'Forecast-Volumes annuels import'!E24:E56)</f>
        <v>0</v>
      </c>
      <c r="AA19" s="90">
        <f>_xlfn.XLOOKUP(Données!$W19,'Forecast-Volumes annuels import'!A24:A56,'Forecast-Volumes annuels import'!F24:F56)</f>
        <v>0</v>
      </c>
      <c r="AB19" s="90">
        <f>_xlfn.XLOOKUP(Données!$W19,'Forecast-Volumes annuels import'!A24:A56,'Forecast-Volumes annuels import'!G24:G56)</f>
        <v>0</v>
      </c>
      <c r="AC19" s="90">
        <f>_xlfn.XLOOKUP(Données!$W19,'Forecast-Volumes annuels import'!A24:A56,'Forecast-Volumes annuels import'!H24:H56)</f>
        <v>5000</v>
      </c>
      <c r="AD19" s="90">
        <f>_xlfn.XLOOKUP(Données!$W19,'Forecast-Volumes annuels import'!A24:A56,'Forecast-Volumes annuels import'!I24:I56)</f>
        <v>0</v>
      </c>
      <c r="AE19" s="90">
        <f>_xlfn.XLOOKUP(Données!$W19,'Forecast-Volumes annuels import'!A24:A56,'Forecast-Volumes annuels import'!J24:J56)</f>
        <v>0</v>
      </c>
      <c r="AF19" s="90">
        <f>_xlfn.XLOOKUP(Données!$W19,'Forecast-Volumes annuels import'!A24:A56,'Forecast-Volumes annuels import'!K24:K56)</f>
        <v>3000</v>
      </c>
      <c r="AG19" s="90">
        <f>_xlfn.XLOOKUP(Données!$W19,'Forecast-Volumes annuels import'!A24:A56,'Forecast-Volumes annuels import'!L24:L56)</f>
        <v>0</v>
      </c>
      <c r="AH19" s="90">
        <f>_xlfn.XLOOKUP(Données!$W19,'Forecast-Volumes annuels import'!A24:A56,'Forecast-Volumes annuels import'!M24:M56)</f>
        <v>7000</v>
      </c>
      <c r="AI19" s="90">
        <f>_xlfn.XLOOKUP(Données!$W19,'Forecast-Volumes annuels import'!A24:A56,'Forecast-Volumes annuels import'!N24:N56)</f>
        <v>0</v>
      </c>
      <c r="AJ19" s="91">
        <f t="shared" si="4"/>
        <v>15000</v>
      </c>
      <c r="AK19" s="91">
        <f t="shared" si="5"/>
        <v>15</v>
      </c>
      <c r="AL19" s="110">
        <f>_xlfn.XLOOKUP(W19,'Previsionnels Importations'!A24:A51,'Previsionnels Importations'!D24:D51)</f>
        <v>0</v>
      </c>
      <c r="AM19" s="93">
        <f>_xlfn.XLOOKUP(W19,'Previsionnels Importations'!A24:A51,'Previsionnels Importations'!F24:F51)</f>
        <v>0</v>
      </c>
      <c r="AN19" s="93">
        <f>_xlfn.XLOOKUP(W19,'Previsionnels Importations'!A24:A51,'Previsionnels Importations'!H24:H51)</f>
        <v>0</v>
      </c>
      <c r="AO19" s="93">
        <f>_xlfn.XLOOKUP(W19,'Previsionnels Importations'!A24:A51,'Previsionnels Importations'!J24:J51)</f>
        <v>0</v>
      </c>
      <c r="AP19" s="93">
        <f>_xlfn.XLOOKUP(W19,'Previsionnels Importations'!A24:A51,'Previsionnels Importations'!L24:L51)</f>
        <v>0</v>
      </c>
      <c r="AQ19" s="93">
        <f>_xlfn.XLOOKUP(W19,'Previsionnels Importations'!A24:A51,'Previsionnels Importations'!N24:N51)</f>
        <v>2728446.875</v>
      </c>
      <c r="AR19" s="93">
        <f>_xlfn.XLOOKUP(W19,'Previsionnels Importations'!A24:A51,'Previsionnels Importations'!P24:P51)</f>
        <v>0</v>
      </c>
      <c r="AS19" s="93">
        <f>_xlfn.XLOOKUP(W19,'Previsionnels Importations'!A24:A51,'Previsionnels Importations'!R24:R51)</f>
        <v>0</v>
      </c>
      <c r="AT19" s="93">
        <f>_xlfn.XLOOKUP(W19,'Previsionnels Importations'!A24:A51,'Previsionnels Importations'!T24:T51)</f>
        <v>1637068.1249999998</v>
      </c>
      <c r="AU19" s="93">
        <f>_xlfn.XLOOKUP(W19,'Previsionnels Importations'!A24:A51,'Previsionnels Importations'!V24:V51)</f>
        <v>0</v>
      </c>
      <c r="AV19" s="93">
        <f>_xlfn.XLOOKUP(W19,'Previsionnels Importations'!A24:A51,'Previsionnels Importations'!X24:X51)</f>
        <v>3819825.6249999995</v>
      </c>
      <c r="AW19" s="93">
        <f>_xlfn.XLOOKUP(W19,'Previsionnels Importations'!A24:A51,'Previsionnels Importations'!Z24:Z51)</f>
        <v>0</v>
      </c>
      <c r="AX19" s="85">
        <f t="shared" si="6"/>
        <v>8185340.625</v>
      </c>
      <c r="AY19" s="85">
        <f>'CA prévisionnel annuel'!C23*'CA prévisionnel annuel'!D23</f>
        <v>41250</v>
      </c>
      <c r="AZ19" s="111">
        <f>_xlfn.XLOOKUP(W19,Ventes!A23:A55,Ventes!C23:C55)</f>
        <v>0</v>
      </c>
      <c r="BA19" s="95">
        <f>_xlfn.XLOOKUP(W19,Ventes!A23:A55,Ventes!D23:D55)</f>
        <v>0</v>
      </c>
      <c r="BB19" s="95">
        <f>_xlfn.XLOOKUP(W19,Ventes!A23:A55,Ventes!E23:E55)</f>
        <v>0</v>
      </c>
      <c r="BC19" s="95">
        <f>_xlfn.XLOOKUP(W19,Ventes!A23:A55,Ventes!F23:F55)</f>
        <v>0</v>
      </c>
      <c r="BD19" s="95">
        <f>_xlfn.XLOOKUP(W19,Ventes!A23:A55,Ventes!G23:G55)</f>
        <v>0</v>
      </c>
      <c r="BE19" s="95">
        <f>_xlfn.XLOOKUP(W19,Ventes!A23:A55,Ventes!H23:H55)</f>
        <v>0</v>
      </c>
      <c r="BF19" s="95">
        <f>_xlfn.XLOOKUP(W19,Ventes!A23:A55,Ventes!I23:I55)</f>
        <v>3000</v>
      </c>
      <c r="BG19" s="95">
        <f>_xlfn.XLOOKUP(W19,Ventes!A23:A55,Ventes!J23:J55)</f>
        <v>3000</v>
      </c>
      <c r="BH19" s="95">
        <f>_xlfn.XLOOKUP(W19,Ventes!A23:A55,Ventes!K23:K55)</f>
        <v>2000</v>
      </c>
      <c r="BI19" s="95">
        <f>_xlfn.XLOOKUP(W19,Ventes!A23:A55,Ventes!L23:L55)</f>
        <v>0</v>
      </c>
      <c r="BJ19" s="95">
        <f>_xlfn.XLOOKUP(W19,Ventes!A23:A55,Ventes!M23:M55)</f>
        <v>0</v>
      </c>
      <c r="BK19" s="95">
        <f>_xlfn.XLOOKUP(W19,Ventes!A23:A55,Ventes!N23:N55)</f>
        <v>0</v>
      </c>
      <c r="BL19" s="95">
        <f t="shared" si="7"/>
        <v>8000</v>
      </c>
      <c r="BM19" s="112">
        <f>BL19*_xlfn.XLOOKUP(W19,Tableau12[Produits],Tableau12[Prix unitaire € 2026])*145*1.19*1.15*1.9</f>
        <v>8294478.5</v>
      </c>
      <c r="BN19" s="113">
        <f>'Forecast-Volumes annuels import'!O24-Données!BL19</f>
        <v>7000</v>
      </c>
      <c r="BO19" s="98">
        <f>Ventes!R23</f>
        <v>8</v>
      </c>
      <c r="BP19" s="99">
        <f>Données!$BN19/1000</f>
        <v>7</v>
      </c>
    </row>
    <row r="20" spans="2:68" x14ac:dyDescent="0.35">
      <c r="B20" s="84" t="s">
        <v>134</v>
      </c>
      <c r="C20" s="85">
        <v>2.7</v>
      </c>
      <c r="D20" s="85">
        <f t="shared" si="0"/>
        <v>2.9700000000000006</v>
      </c>
      <c r="E20" s="85">
        <f t="shared" si="1"/>
        <v>2970.0000000000005</v>
      </c>
      <c r="F20" s="85">
        <f t="shared" si="2"/>
        <v>297.00000000000006</v>
      </c>
      <c r="G20" s="85">
        <f t="shared" si="3"/>
        <v>1119.7545974999998</v>
      </c>
      <c r="H20" s="74"/>
      <c r="K20" s="3">
        <v>0</v>
      </c>
      <c r="M20" s="3"/>
      <c r="W20" s="84" t="s">
        <v>134</v>
      </c>
      <c r="X20" s="90">
        <f>_xlfn.XLOOKUP(Données!$W20,'Forecast-Volumes annuels import'!A25:A57,'Forecast-Volumes annuels import'!C25:C57)</f>
        <v>0</v>
      </c>
      <c r="Y20" s="90">
        <f>_xlfn.XLOOKUP(Données!$W20,'Forecast-Volumes annuels import'!A25:A57,'Forecast-Volumes annuels import'!D25:D57)</f>
        <v>0</v>
      </c>
      <c r="Z20" s="90">
        <f>_xlfn.XLOOKUP(Données!$W20,'Forecast-Volumes annuels import'!A25:A57,'Forecast-Volumes annuels import'!E25:E57)</f>
        <v>0</v>
      </c>
      <c r="AA20" s="90">
        <f>_xlfn.XLOOKUP(Données!$W20,'Forecast-Volumes annuels import'!A25:A57,'Forecast-Volumes annuels import'!F25:F57)</f>
        <v>0</v>
      </c>
      <c r="AB20" s="90">
        <f>_xlfn.XLOOKUP(Données!$W20,'Forecast-Volumes annuels import'!A25:A57,'Forecast-Volumes annuels import'!G25:G57)</f>
        <v>0</v>
      </c>
      <c r="AC20" s="90">
        <f>_xlfn.XLOOKUP(Données!$W20,'Forecast-Volumes annuels import'!A25:A57,'Forecast-Volumes annuels import'!H25:H57)</f>
        <v>5000</v>
      </c>
      <c r="AD20" s="90">
        <f>_xlfn.XLOOKUP(Données!$W20,'Forecast-Volumes annuels import'!A25:A57,'Forecast-Volumes annuels import'!I25:I57)</f>
        <v>0</v>
      </c>
      <c r="AE20" s="90">
        <f>_xlfn.XLOOKUP(Données!$W20,'Forecast-Volumes annuels import'!A25:A57,'Forecast-Volumes annuels import'!J25:J57)</f>
        <v>0</v>
      </c>
      <c r="AF20" s="90">
        <f>_xlfn.XLOOKUP(Données!$W20,'Forecast-Volumes annuels import'!A25:A57,'Forecast-Volumes annuels import'!K25:K57)</f>
        <v>3000</v>
      </c>
      <c r="AG20" s="90">
        <f>_xlfn.XLOOKUP(Données!$W20,'Forecast-Volumes annuels import'!A25:A57,'Forecast-Volumes annuels import'!L25:L57)</f>
        <v>0</v>
      </c>
      <c r="AH20" s="90">
        <f>_xlfn.XLOOKUP(Données!$W20,'Forecast-Volumes annuels import'!A25:A57,'Forecast-Volumes annuels import'!M25:M57)</f>
        <v>7000</v>
      </c>
      <c r="AI20" s="90">
        <f>_xlfn.XLOOKUP(Données!$W20,'Forecast-Volumes annuels import'!A25:A57,'Forecast-Volumes annuels import'!N25:N57)</f>
        <v>0</v>
      </c>
      <c r="AJ20" s="91">
        <f t="shared" si="4"/>
        <v>15000</v>
      </c>
      <c r="AK20" s="91">
        <f t="shared" si="5"/>
        <v>15</v>
      </c>
      <c r="AL20" s="110">
        <f>_xlfn.XLOOKUP(W20,'Previsionnels Importations'!A25:A52,'Previsionnels Importations'!D25:D52)</f>
        <v>0</v>
      </c>
      <c r="AM20" s="93">
        <f>_xlfn.XLOOKUP(W20,'Previsionnels Importations'!A25:A52,'Previsionnels Importations'!F25:F52)</f>
        <v>0</v>
      </c>
      <c r="AN20" s="93">
        <f>_xlfn.XLOOKUP(W20,'Previsionnels Importations'!A25:A52,'Previsionnels Importations'!H25:H52)</f>
        <v>0</v>
      </c>
      <c r="AO20" s="93">
        <f>_xlfn.XLOOKUP(W20,'Previsionnels Importations'!A25:A52,'Previsionnels Importations'!J25:J52)</f>
        <v>0</v>
      </c>
      <c r="AP20" s="93">
        <f>_xlfn.XLOOKUP(W20,'Previsionnels Importations'!A25:A52,'Previsionnels Importations'!L25:L52)</f>
        <v>0</v>
      </c>
      <c r="AQ20" s="93">
        <f>_xlfn.XLOOKUP(W20,'Previsionnels Importations'!A25:A52,'Previsionnels Importations'!N25:N52)</f>
        <v>2946722.6250000005</v>
      </c>
      <c r="AR20" s="93">
        <f>_xlfn.XLOOKUP(W20,'Previsionnels Importations'!A25:A52,'Previsionnels Importations'!P25:P52)</f>
        <v>0</v>
      </c>
      <c r="AS20" s="93">
        <f>_xlfn.XLOOKUP(W20,'Previsionnels Importations'!A25:A52,'Previsionnels Importations'!R25:R52)</f>
        <v>0</v>
      </c>
      <c r="AT20" s="93">
        <f>_xlfn.XLOOKUP(W20,'Previsionnels Importations'!A25:A52,'Previsionnels Importations'!T25:T52)</f>
        <v>1768033.5750000002</v>
      </c>
      <c r="AU20" s="93">
        <f>_xlfn.XLOOKUP(W20,'Previsionnels Importations'!A25:A52,'Previsionnels Importations'!V25:V52)</f>
        <v>0</v>
      </c>
      <c r="AV20" s="93">
        <f>_xlfn.XLOOKUP(W20,'Previsionnels Importations'!A25:A52,'Previsionnels Importations'!X25:X52)</f>
        <v>4125411.6750000003</v>
      </c>
      <c r="AW20" s="93">
        <f>_xlfn.XLOOKUP(W20,'Previsionnels Importations'!A25:A52,'Previsionnels Importations'!Z25:Z52)</f>
        <v>0</v>
      </c>
      <c r="AX20" s="85">
        <f t="shared" si="6"/>
        <v>8840167.8750000019</v>
      </c>
      <c r="AY20" s="85">
        <f>'CA prévisionnel annuel'!C24*'CA prévisionnel annuel'!D24</f>
        <v>44550.000000000007</v>
      </c>
      <c r="AZ20" s="111">
        <f>_xlfn.XLOOKUP(W20,Ventes!A24:A56,Ventes!C24:C56)</f>
        <v>0</v>
      </c>
      <c r="BA20" s="95">
        <f>_xlfn.XLOOKUP(W20,Ventes!A24:A56,Ventes!D24:D56)</f>
        <v>0</v>
      </c>
      <c r="BB20" s="95">
        <f>_xlfn.XLOOKUP(W20,Ventes!A24:A56,Ventes!E24:E56)</f>
        <v>0</v>
      </c>
      <c r="BC20" s="95">
        <f>_xlfn.XLOOKUP(W20,Ventes!A24:A56,Ventes!F24:F56)</f>
        <v>0</v>
      </c>
      <c r="BD20" s="95">
        <f>_xlfn.XLOOKUP(W20,Ventes!A24:A56,Ventes!G24:G56)</f>
        <v>0</v>
      </c>
      <c r="BE20" s="95">
        <f>_xlfn.XLOOKUP(W20,Ventes!A24:A56,Ventes!H24:H56)</f>
        <v>0</v>
      </c>
      <c r="BF20" s="95">
        <f>_xlfn.XLOOKUP(W20,Ventes!A24:A56,Ventes!I24:I56)</f>
        <v>0</v>
      </c>
      <c r="BG20" s="95">
        <f>_xlfn.XLOOKUP(W20,Ventes!A24:A56,Ventes!J24:J56)</f>
        <v>0</v>
      </c>
      <c r="BH20" s="95">
        <f>_xlfn.XLOOKUP(W20,Ventes!A24:A56,Ventes!K24:K56)</f>
        <v>4000</v>
      </c>
      <c r="BI20" s="95">
        <f>_xlfn.XLOOKUP(W20,Ventes!A24:A56,Ventes!L24:L56)</f>
        <v>2000</v>
      </c>
      <c r="BJ20" s="95">
        <f>_xlfn.XLOOKUP(W20,Ventes!A24:A56,Ventes!M24:M56)</f>
        <v>1000</v>
      </c>
      <c r="BK20" s="95">
        <f>_xlfn.XLOOKUP(W20,Ventes!A24:A56,Ventes!N24:N56)</f>
        <v>0</v>
      </c>
      <c r="BL20" s="95">
        <f t="shared" si="7"/>
        <v>7000</v>
      </c>
      <c r="BM20" s="112">
        <f>BL20*_xlfn.XLOOKUP(W20,Tableau12[Produits],Tableau12[Prix unitaire € 2026])*145*1.19*1.15*1.9</f>
        <v>7838282.1825000001</v>
      </c>
      <c r="BN20" s="113">
        <f>'Forecast-Volumes annuels import'!O25-Données!BL20</f>
        <v>8000</v>
      </c>
      <c r="BO20" s="98">
        <f>Ventes!R24</f>
        <v>7</v>
      </c>
      <c r="BP20" s="99">
        <f>Données!$BN20/1000</f>
        <v>8</v>
      </c>
    </row>
    <row r="21" spans="2:68" x14ac:dyDescent="0.35">
      <c r="B21" s="84" t="s">
        <v>135</v>
      </c>
      <c r="C21" s="85">
        <v>74</v>
      </c>
      <c r="D21" s="85">
        <f t="shared" si="0"/>
        <v>81.400000000000006</v>
      </c>
      <c r="E21" s="85">
        <f>D21*10</f>
        <v>814</v>
      </c>
      <c r="F21" s="85">
        <f>D21/10</f>
        <v>8.14</v>
      </c>
      <c r="G21" s="85">
        <f>D21*145*1.19*1.15*1.25</f>
        <v>20190.506874999999</v>
      </c>
      <c r="H21" s="74"/>
      <c r="K21" s="3">
        <v>0</v>
      </c>
      <c r="M21" s="3"/>
      <c r="W21" s="84" t="s">
        <v>135</v>
      </c>
      <c r="X21" s="90">
        <f>_xlfn.XLOOKUP(Données!$W21,'Forecast-Volumes annuels import'!A26:A58,'Forecast-Volumes annuels import'!C26:C58)</f>
        <v>0</v>
      </c>
      <c r="Y21" s="90">
        <f>_xlfn.XLOOKUP(Données!$W21,'Forecast-Volumes annuels import'!A26:A58,'Forecast-Volumes annuels import'!D26:D58)</f>
        <v>0</v>
      </c>
      <c r="Z21" s="90">
        <f>_xlfn.XLOOKUP(Données!$W21,'Forecast-Volumes annuels import'!A26:A58,'Forecast-Volumes annuels import'!E26:E58)</f>
        <v>0</v>
      </c>
      <c r="AA21" s="90">
        <f>_xlfn.XLOOKUP(Données!$W21,'Forecast-Volumes annuels import'!A26:A58,'Forecast-Volumes annuels import'!F26:F58)</f>
        <v>400</v>
      </c>
      <c r="AB21" s="90">
        <f>_xlfn.XLOOKUP(Données!$W21,'Forecast-Volumes annuels import'!A26:A58,'Forecast-Volumes annuels import'!G26:G58)</f>
        <v>400</v>
      </c>
      <c r="AC21" s="90">
        <f>_xlfn.XLOOKUP(Données!$W21,'Forecast-Volumes annuels import'!A26:A58,'Forecast-Volumes annuels import'!H26:H58)</f>
        <v>0</v>
      </c>
      <c r="AD21" s="90">
        <f>_xlfn.XLOOKUP(Données!$W21,'Forecast-Volumes annuels import'!A26:A58,'Forecast-Volumes annuels import'!I26:I58)</f>
        <v>0</v>
      </c>
      <c r="AE21" s="90">
        <f>_xlfn.XLOOKUP(Données!$W21,'Forecast-Volumes annuels import'!A26:A58,'Forecast-Volumes annuels import'!J26:J58)</f>
        <v>0</v>
      </c>
      <c r="AF21" s="90">
        <f>_xlfn.XLOOKUP(Données!$W21,'Forecast-Volumes annuels import'!A26:A58,'Forecast-Volumes annuels import'!K26:K58)</f>
        <v>0</v>
      </c>
      <c r="AG21" s="90">
        <f>_xlfn.XLOOKUP(Données!$W21,'Forecast-Volumes annuels import'!A26:A58,'Forecast-Volumes annuels import'!L26:L58)</f>
        <v>0</v>
      </c>
      <c r="AH21" s="90">
        <f>_xlfn.XLOOKUP(Données!$W21,'Forecast-Volumes annuels import'!A26:A58,'Forecast-Volumes annuels import'!M26:M58)</f>
        <v>0</v>
      </c>
      <c r="AI21" s="90">
        <f>_xlfn.XLOOKUP(Données!$W21,'Forecast-Volumes annuels import'!A26:A58,'Forecast-Volumes annuels import'!N26:N58)</f>
        <v>0</v>
      </c>
      <c r="AJ21" s="91">
        <f t="shared" si="4"/>
        <v>800</v>
      </c>
      <c r="AK21" s="91">
        <f>AJ21/10</f>
        <v>80</v>
      </c>
      <c r="AL21" s="110">
        <f>_xlfn.XLOOKUP(W21,'Previsionnels Importations'!A26:A53,'Previsionnels Importations'!D26:D53)</f>
        <v>0</v>
      </c>
      <c r="AM21" s="93">
        <f>_xlfn.XLOOKUP(W21,'Previsionnels Importations'!A26:A53,'Previsionnels Importations'!F26:F53)</f>
        <v>0</v>
      </c>
      <c r="AN21" s="93">
        <f>_xlfn.XLOOKUP(W21,'Previsionnels Importations'!A26:A53,'Previsionnels Importations'!H26:H53)</f>
        <v>0</v>
      </c>
      <c r="AO21" s="93">
        <f>_xlfn.XLOOKUP(W21,'Previsionnels Importations'!A26:A53,'Previsionnels Importations'!J26:J53)</f>
        <v>6460962.2000000002</v>
      </c>
      <c r="AP21" s="93">
        <f>_xlfn.XLOOKUP(W21,'Previsionnels Importations'!A26:A53,'Previsionnels Importations'!L26:L53)</f>
        <v>6460962.2000000002</v>
      </c>
      <c r="AQ21" s="93">
        <f>_xlfn.XLOOKUP(W21,'Previsionnels Importations'!A26:A53,'Previsionnels Importations'!N26:N53)</f>
        <v>0</v>
      </c>
      <c r="AR21" s="93">
        <f>_xlfn.XLOOKUP(W21,'Previsionnels Importations'!A26:A53,'Previsionnels Importations'!P26:P53)</f>
        <v>0</v>
      </c>
      <c r="AS21" s="93">
        <f>_xlfn.XLOOKUP(W21,'Previsionnels Importations'!A26:A53,'Previsionnels Importations'!R26:R53)</f>
        <v>0</v>
      </c>
      <c r="AT21" s="93">
        <f>_xlfn.XLOOKUP(W21,'Previsionnels Importations'!A26:A53,'Previsionnels Importations'!T26:T53)</f>
        <v>0</v>
      </c>
      <c r="AU21" s="93">
        <f>_xlfn.XLOOKUP(W21,'Previsionnels Importations'!A26:A53,'Previsionnels Importations'!V26:V53)</f>
        <v>0</v>
      </c>
      <c r="AV21" s="93">
        <f>_xlfn.XLOOKUP(W21,'Previsionnels Importations'!A26:A53,'Previsionnels Importations'!X26:X53)</f>
        <v>0</v>
      </c>
      <c r="AW21" s="93">
        <f>_xlfn.XLOOKUP(W21,'Previsionnels Importations'!A26:A53,'Previsionnels Importations'!Z26:Z53)</f>
        <v>0</v>
      </c>
      <c r="AX21" s="85">
        <f t="shared" si="6"/>
        <v>12921924.4</v>
      </c>
      <c r="AY21" s="85">
        <f>'CA prévisionnel annuel'!C25*'CA prévisionnel annuel'!D25</f>
        <v>65120.000000000007</v>
      </c>
      <c r="AZ21" s="111">
        <f>_xlfn.XLOOKUP(W21,Ventes!A25:A57,Ventes!C25:C57)</f>
        <v>0</v>
      </c>
      <c r="BA21" s="95">
        <f>_xlfn.XLOOKUP(W21,Ventes!A25:A57,Ventes!D25:D57)</f>
        <v>0</v>
      </c>
      <c r="BB21" s="95">
        <f>_xlfn.XLOOKUP(W21,Ventes!A25:A57,Ventes!E25:E57)</f>
        <v>0</v>
      </c>
      <c r="BC21" s="95">
        <f>_xlfn.XLOOKUP(W21,Ventes!A25:A57,Ventes!F25:F57)</f>
        <v>0</v>
      </c>
      <c r="BD21" s="95">
        <f>_xlfn.XLOOKUP(W21,Ventes!A25:A57,Ventes!G25:G57)</f>
        <v>0</v>
      </c>
      <c r="BE21" s="95">
        <f>_xlfn.XLOOKUP(W21,Ventes!A25:A57,Ventes!H25:H57)</f>
        <v>500</v>
      </c>
      <c r="BF21" s="95">
        <f>_xlfn.XLOOKUP(W21,Ventes!A25:A57,Ventes!I25:I57)</f>
        <v>0</v>
      </c>
      <c r="BG21" s="95">
        <f>_xlfn.XLOOKUP(W21,Ventes!A25:A57,Ventes!J25:J57)</f>
        <v>0</v>
      </c>
      <c r="BH21" s="95">
        <f>_xlfn.XLOOKUP(W21,Ventes!A25:A57,Ventes!K25:K57)</f>
        <v>0</v>
      </c>
      <c r="BI21" s="95">
        <f>_xlfn.XLOOKUP(W21,Ventes!A25:A57,Ventes!L25:L57)</f>
        <v>0</v>
      </c>
      <c r="BJ21" s="95">
        <f>_xlfn.XLOOKUP(W21,Ventes!A25:A57,Ventes!M25:M57)</f>
        <v>0</v>
      </c>
      <c r="BK21" s="95">
        <f>_xlfn.XLOOKUP(W21,Ventes!A25:A57,Ventes!N25:N57)</f>
        <v>0</v>
      </c>
      <c r="BL21" s="95">
        <f t="shared" si="7"/>
        <v>500</v>
      </c>
      <c r="BM21" s="112">
        <f>BL21*_xlfn.XLOOKUP(W21,Tableau12[Produits],Tableau12[Prix unitaire € 2026])*145*1.19*1.15*1.9</f>
        <v>15344785.224999998</v>
      </c>
      <c r="BN21" s="113">
        <f>'Forecast-Volumes annuels import'!O26-Données!BL21</f>
        <v>300</v>
      </c>
      <c r="BO21" s="98">
        <f>Ventes!R25</f>
        <v>50</v>
      </c>
      <c r="BP21" s="99">
        <f>Données!$BN21/1000</f>
        <v>0.3</v>
      </c>
    </row>
    <row r="22" spans="2:68" x14ac:dyDescent="0.35">
      <c r="B22" s="84" t="s">
        <v>136</v>
      </c>
      <c r="C22" s="85">
        <v>94</v>
      </c>
      <c r="D22" s="85">
        <f t="shared" si="0"/>
        <v>103.4</v>
      </c>
      <c r="E22" s="85">
        <f>D22*1</f>
        <v>103.4</v>
      </c>
      <c r="F22" s="85">
        <f>D22/10</f>
        <v>10.34</v>
      </c>
      <c r="G22" s="85">
        <f>D22*145*1.19*1.15*1.25</f>
        <v>25647.400624999995</v>
      </c>
      <c r="H22" s="74"/>
      <c r="K22" s="3"/>
      <c r="M22" s="3"/>
      <c r="W22" s="84" t="s">
        <v>136</v>
      </c>
      <c r="X22" s="90">
        <f>_xlfn.XLOOKUP(Données!$W22,'Forecast-Volumes annuels import'!A27:A59,'Forecast-Volumes annuels import'!C27:C59)</f>
        <v>0</v>
      </c>
      <c r="Y22" s="90">
        <f>_xlfn.XLOOKUP(Données!$W22,'Forecast-Volumes annuels import'!A27:A59,'Forecast-Volumes annuels import'!D27:D59)</f>
        <v>0</v>
      </c>
      <c r="Z22" s="90">
        <f>_xlfn.XLOOKUP(Données!$W22,'Forecast-Volumes annuels import'!A27:A59,'Forecast-Volumes annuels import'!E27:E59)</f>
        <v>0</v>
      </c>
      <c r="AA22" s="90">
        <f>_xlfn.XLOOKUP(Données!$W22,'Forecast-Volumes annuels import'!A27:A59,'Forecast-Volumes annuels import'!F27:F59)</f>
        <v>200</v>
      </c>
      <c r="AB22" s="90">
        <f>_xlfn.XLOOKUP(Données!$W22,'Forecast-Volumes annuels import'!A27:A59,'Forecast-Volumes annuels import'!G27:G59)</f>
        <v>400</v>
      </c>
      <c r="AC22" s="90">
        <f>_xlfn.XLOOKUP(Données!$W22,'Forecast-Volumes annuels import'!A27:A59,'Forecast-Volumes annuels import'!H27:H59)</f>
        <v>0</v>
      </c>
      <c r="AD22" s="90">
        <f>_xlfn.XLOOKUP(Données!$W22,'Forecast-Volumes annuels import'!A27:A59,'Forecast-Volumes annuels import'!I27:I59)</f>
        <v>0</v>
      </c>
      <c r="AE22" s="90">
        <f>_xlfn.XLOOKUP(Données!$W22,'Forecast-Volumes annuels import'!A27:A59,'Forecast-Volumes annuels import'!J27:J59)</f>
        <v>0</v>
      </c>
      <c r="AF22" s="90">
        <f>_xlfn.XLOOKUP(Données!$W22,'Forecast-Volumes annuels import'!A27:A59,'Forecast-Volumes annuels import'!K27:K59)</f>
        <v>0</v>
      </c>
      <c r="AG22" s="90">
        <f>_xlfn.XLOOKUP(Données!$W22,'Forecast-Volumes annuels import'!A27:A59,'Forecast-Volumes annuels import'!L27:L59)</f>
        <v>0</v>
      </c>
      <c r="AH22" s="90">
        <f>_xlfn.XLOOKUP(Données!$W22,'Forecast-Volumes annuels import'!A27:A59,'Forecast-Volumes annuels import'!M27:M59)</f>
        <v>0</v>
      </c>
      <c r="AI22" s="90">
        <f>_xlfn.XLOOKUP(Données!$W22,'Forecast-Volumes annuels import'!A27:A59,'Forecast-Volumes annuels import'!N27:N59)</f>
        <v>0</v>
      </c>
      <c r="AJ22" s="91">
        <f t="shared" si="4"/>
        <v>600</v>
      </c>
      <c r="AK22" s="91">
        <f t="shared" ref="AK22:AK27" si="8">AJ22/10</f>
        <v>60</v>
      </c>
      <c r="AL22" s="110">
        <f>_xlfn.XLOOKUP(W22,'Previsionnels Importations'!A27:A54,'Previsionnels Importations'!D27:D54)</f>
        <v>0</v>
      </c>
      <c r="AM22" s="93">
        <f>_xlfn.XLOOKUP(W22,'Previsionnels Importations'!A27:A54,'Previsionnels Importations'!F27:F54)</f>
        <v>0</v>
      </c>
      <c r="AN22" s="93">
        <f>_xlfn.XLOOKUP(W22,'Previsionnels Importations'!A27:A54,'Previsionnels Importations'!H27:H54)</f>
        <v>0</v>
      </c>
      <c r="AO22" s="93">
        <f>_xlfn.XLOOKUP(W22,'Previsionnels Importations'!A27:A54,'Previsionnels Importations'!J27:J54)</f>
        <v>4103584.0999999996</v>
      </c>
      <c r="AP22" s="93">
        <f>_xlfn.XLOOKUP(W22,'Previsionnels Importations'!A27:A54,'Previsionnels Importations'!L27:L54)</f>
        <v>8207168.1999999993</v>
      </c>
      <c r="AQ22" s="93">
        <f>_xlfn.XLOOKUP(W22,'Previsionnels Importations'!A27:A54,'Previsionnels Importations'!N27:N54)</f>
        <v>0</v>
      </c>
      <c r="AR22" s="93">
        <f>_xlfn.XLOOKUP(W22,'Previsionnels Importations'!A27:A54,'Previsionnels Importations'!P27:P54)</f>
        <v>0</v>
      </c>
      <c r="AS22" s="93">
        <f>_xlfn.XLOOKUP(W22,'Previsionnels Importations'!A27:A54,'Previsionnels Importations'!R27:R54)</f>
        <v>0</v>
      </c>
      <c r="AT22" s="93">
        <f>_xlfn.XLOOKUP(W22,'Previsionnels Importations'!A27:A54,'Previsionnels Importations'!T27:T54)</f>
        <v>0</v>
      </c>
      <c r="AU22" s="93">
        <f>_xlfn.XLOOKUP(W22,'Previsionnels Importations'!A27:A54,'Previsionnels Importations'!V27:V54)</f>
        <v>0</v>
      </c>
      <c r="AV22" s="93">
        <f>_xlfn.XLOOKUP(W22,'Previsionnels Importations'!A27:A54,'Previsionnels Importations'!X27:X54)</f>
        <v>0</v>
      </c>
      <c r="AW22" s="93">
        <f>_xlfn.XLOOKUP(W22,'Previsionnels Importations'!A27:A54,'Previsionnels Importations'!Z27:Z54)</f>
        <v>0</v>
      </c>
      <c r="AX22" s="85">
        <f t="shared" si="6"/>
        <v>12310752.299999999</v>
      </c>
      <c r="AY22" s="85">
        <f>'CA prévisionnel annuel'!C26*'CA prévisionnel annuel'!D26</f>
        <v>62040</v>
      </c>
      <c r="AZ22" s="111">
        <f>_xlfn.XLOOKUP(W22,Ventes!A26:A58,Ventes!C26:C58)</f>
        <v>0</v>
      </c>
      <c r="BA22" s="95">
        <f>_xlfn.XLOOKUP(W22,Ventes!A26:A58,Ventes!D26:D58)</f>
        <v>0</v>
      </c>
      <c r="BB22" s="95">
        <f>_xlfn.XLOOKUP(W22,Ventes!A26:A58,Ventes!E26:E58)</f>
        <v>0</v>
      </c>
      <c r="BC22" s="95">
        <f>_xlfn.XLOOKUP(W22,Ventes!A26:A58,Ventes!F26:F58)</f>
        <v>0</v>
      </c>
      <c r="BD22" s="95">
        <f>_xlfn.XLOOKUP(W22,Ventes!A26:A58,Ventes!G26:G58)</f>
        <v>0</v>
      </c>
      <c r="BE22" s="95">
        <f>_xlfn.XLOOKUP(W22,Ventes!A26:A58,Ventes!H26:H58)</f>
        <v>400</v>
      </c>
      <c r="BF22" s="95">
        <f>_xlfn.XLOOKUP(W22,Ventes!A26:A58,Ventes!I26:I58)</f>
        <v>0</v>
      </c>
      <c r="BG22" s="95">
        <f>_xlfn.XLOOKUP(W22,Ventes!A26:A58,Ventes!J26:J58)</f>
        <v>0</v>
      </c>
      <c r="BH22" s="95">
        <f>_xlfn.XLOOKUP(W22,Ventes!A26:A58,Ventes!K26:K58)</f>
        <v>0</v>
      </c>
      <c r="BI22" s="95">
        <f>_xlfn.XLOOKUP(W22,Ventes!A26:A58,Ventes!L26:L58)</f>
        <v>0</v>
      </c>
      <c r="BJ22" s="95">
        <f>_xlfn.XLOOKUP(W22,Ventes!A26:A58,Ventes!M26:M58)</f>
        <v>0</v>
      </c>
      <c r="BK22" s="95">
        <f>_xlfn.XLOOKUP(W22,Ventes!A26:A58,Ventes!N26:N58)</f>
        <v>0</v>
      </c>
      <c r="BL22" s="95">
        <f t="shared" si="7"/>
        <v>400</v>
      </c>
      <c r="BM22" s="112">
        <f>BL22*_xlfn.XLOOKUP(W22,Tableau12[Produits],Tableau12[Prix unitaire € 2026])*145*1.19*1.15*1.9</f>
        <v>15593619.579999998</v>
      </c>
      <c r="BN22" s="113">
        <f>'Forecast-Volumes annuels import'!O27-Données!BL22</f>
        <v>200</v>
      </c>
      <c r="BO22" s="98">
        <f>Ventes!R26</f>
        <v>40</v>
      </c>
      <c r="BP22" s="99">
        <f>Données!$BN22/1000</f>
        <v>0.2</v>
      </c>
    </row>
    <row r="23" spans="2:68" x14ac:dyDescent="0.35">
      <c r="B23" s="84" t="s">
        <v>137</v>
      </c>
      <c r="C23" s="85">
        <v>127.5</v>
      </c>
      <c r="D23" s="85">
        <f t="shared" si="0"/>
        <v>140.25</v>
      </c>
      <c r="E23" s="85">
        <f>D23*10</f>
        <v>1402.5</v>
      </c>
      <c r="F23" s="85">
        <f>E23/10</f>
        <v>140.25</v>
      </c>
      <c r="G23" s="85">
        <f t="shared" ref="G23:G30" si="9">D23*145*1.19*1.15*1.15</f>
        <v>32004.681843749997</v>
      </c>
      <c r="H23" s="74"/>
      <c r="K23" s="3"/>
      <c r="M23" s="3"/>
      <c r="W23" s="84" t="s">
        <v>137</v>
      </c>
      <c r="X23" s="90">
        <f>_xlfn.XLOOKUP(Données!$W23,'Forecast-Volumes annuels import'!A28:A60,'Forecast-Volumes annuels import'!C28:C60)</f>
        <v>400</v>
      </c>
      <c r="Y23" s="90">
        <f>_xlfn.XLOOKUP(Données!$W23,'Forecast-Volumes annuels import'!A28:A60,'Forecast-Volumes annuels import'!D28:D60)</f>
        <v>0</v>
      </c>
      <c r="Z23" s="90">
        <f>_xlfn.XLOOKUP(Données!$W23,'Forecast-Volumes annuels import'!A28:A60,'Forecast-Volumes annuels import'!E28:E60)</f>
        <v>0</v>
      </c>
      <c r="AA23" s="90">
        <f>_xlfn.XLOOKUP(Données!$W23,'Forecast-Volumes annuels import'!A28:A60,'Forecast-Volumes annuels import'!F28:F60)</f>
        <v>0</v>
      </c>
      <c r="AB23" s="90">
        <f>_xlfn.XLOOKUP(Données!$W23,'Forecast-Volumes annuels import'!A28:A60,'Forecast-Volumes annuels import'!G28:G60)</f>
        <v>600</v>
      </c>
      <c r="AC23" s="90">
        <f>_xlfn.XLOOKUP(Données!$W23,'Forecast-Volumes annuels import'!A28:A60,'Forecast-Volumes annuels import'!H28:H60)</f>
        <v>0</v>
      </c>
      <c r="AD23" s="90">
        <f>_xlfn.XLOOKUP(Données!$W23,'Forecast-Volumes annuels import'!A28:A60,'Forecast-Volumes annuels import'!I28:I60)</f>
        <v>0</v>
      </c>
      <c r="AE23" s="90">
        <f>_xlfn.XLOOKUP(Données!$W23,'Forecast-Volumes annuels import'!A28:A60,'Forecast-Volumes annuels import'!J28:J60)</f>
        <v>0</v>
      </c>
      <c r="AF23" s="90">
        <f>_xlfn.XLOOKUP(Données!$W23,'Forecast-Volumes annuels import'!A28:A60,'Forecast-Volumes annuels import'!K28:K60)</f>
        <v>0</v>
      </c>
      <c r="AG23" s="90">
        <f>_xlfn.XLOOKUP(Données!$W23,'Forecast-Volumes annuels import'!A28:A60,'Forecast-Volumes annuels import'!L28:L60)</f>
        <v>0</v>
      </c>
      <c r="AH23" s="90">
        <f>_xlfn.XLOOKUP(Données!$W23,'Forecast-Volumes annuels import'!A28:A60,'Forecast-Volumes annuels import'!M28:M60)</f>
        <v>200</v>
      </c>
      <c r="AI23" s="90">
        <f>_xlfn.XLOOKUP(Données!$W23,'Forecast-Volumes annuels import'!A28:A60,'Forecast-Volumes annuels import'!N28:N60)</f>
        <v>0</v>
      </c>
      <c r="AJ23" s="91">
        <f t="shared" si="4"/>
        <v>1200</v>
      </c>
      <c r="AK23" s="91">
        <f t="shared" si="8"/>
        <v>120</v>
      </c>
      <c r="AL23" s="110">
        <f>_xlfn.XLOOKUP(W23,'Previsionnels Importations'!A28:A55,'Previsionnels Importations'!D28:D55)</f>
        <v>11132063.25</v>
      </c>
      <c r="AM23" s="93">
        <f>_xlfn.XLOOKUP(W23,'Previsionnels Importations'!A28:A55,'Previsionnels Importations'!F28:F55)</f>
        <v>0</v>
      </c>
      <c r="AN23" s="93">
        <f>_xlfn.XLOOKUP(W23,'Previsionnels Importations'!A28:A55,'Previsionnels Importations'!H28:H55)</f>
        <v>0</v>
      </c>
      <c r="AO23" s="93">
        <f>_xlfn.XLOOKUP(W23,'Previsionnels Importations'!A28:A55,'Previsionnels Importations'!J28:J55)</f>
        <v>0</v>
      </c>
      <c r="AP23" s="93">
        <f>_xlfn.XLOOKUP(W23,'Previsionnels Importations'!A28:A55,'Previsionnels Importations'!L28:L55)</f>
        <v>16698094.874999998</v>
      </c>
      <c r="AQ23" s="93">
        <f>_xlfn.XLOOKUP(W23,'Previsionnels Importations'!A28:A55,'Previsionnels Importations'!N28:N55)</f>
        <v>0</v>
      </c>
      <c r="AR23" s="93">
        <f>_xlfn.XLOOKUP(W23,'Previsionnels Importations'!A28:A55,'Previsionnels Importations'!P28:P55)</f>
        <v>0</v>
      </c>
      <c r="AS23" s="93">
        <f>_xlfn.XLOOKUP(W23,'Previsionnels Importations'!A28:A55,'Previsionnels Importations'!R28:R55)</f>
        <v>0</v>
      </c>
      <c r="AT23" s="93">
        <f>_xlfn.XLOOKUP(W23,'Previsionnels Importations'!A28:A55,'Previsionnels Importations'!T28:T55)</f>
        <v>0</v>
      </c>
      <c r="AU23" s="93">
        <f>_xlfn.XLOOKUP(W23,'Previsionnels Importations'!A28:A55,'Previsionnels Importations'!V28:V55)</f>
        <v>0</v>
      </c>
      <c r="AV23" s="93">
        <f>_xlfn.XLOOKUP(W23,'Previsionnels Importations'!A28:A55,'Previsionnels Importations'!X28:X55)</f>
        <v>5566031.625</v>
      </c>
      <c r="AW23" s="93">
        <f>_xlfn.XLOOKUP(W23,'Previsionnels Importations'!A28:A55,'Previsionnels Importations'!Z28:Z55)</f>
        <v>0</v>
      </c>
      <c r="AX23" s="85">
        <f t="shared" si="6"/>
        <v>33396189.75</v>
      </c>
      <c r="AY23" s="85">
        <f>'CA prévisionnel annuel'!C27*'CA prévisionnel annuel'!D27</f>
        <v>168300</v>
      </c>
      <c r="AZ23" s="111">
        <f>_xlfn.XLOOKUP(W23,Ventes!A27:A59,Ventes!C27:C59)</f>
        <v>0</v>
      </c>
      <c r="BA23" s="95">
        <f>_xlfn.XLOOKUP(W23,Ventes!A27:A59,Ventes!D27:D59)</f>
        <v>0</v>
      </c>
      <c r="BB23" s="95">
        <f>_xlfn.XLOOKUP(W23,Ventes!A27:A59,Ventes!E27:E59)</f>
        <v>0</v>
      </c>
      <c r="BC23" s="95">
        <f>_xlfn.XLOOKUP(W23,Ventes!A27:A59,Ventes!F27:F59)</f>
        <v>0</v>
      </c>
      <c r="BD23" s="95">
        <f>_xlfn.XLOOKUP(W23,Ventes!A27:A59,Ventes!G27:G59)</f>
        <v>0</v>
      </c>
      <c r="BE23" s="95">
        <f>_xlfn.XLOOKUP(W23,Ventes!A27:A59,Ventes!H27:H59)</f>
        <v>0</v>
      </c>
      <c r="BF23" s="95">
        <f>_xlfn.XLOOKUP(W23,Ventes!A27:A59,Ventes!I27:I59)</f>
        <v>0</v>
      </c>
      <c r="BG23" s="95">
        <f>_xlfn.XLOOKUP(W23,Ventes!A27:A59,Ventes!J27:J59)</f>
        <v>0</v>
      </c>
      <c r="BH23" s="95">
        <f>_xlfn.XLOOKUP(W23,Ventes!A27:A59,Ventes!K27:K59)</f>
        <v>0</v>
      </c>
      <c r="BI23" s="95">
        <f>_xlfn.XLOOKUP(W23,Ventes!A27:A59,Ventes!L27:L59)</f>
        <v>0</v>
      </c>
      <c r="BJ23" s="95">
        <f>_xlfn.XLOOKUP(W23,Ventes!A27:A59,Ventes!M27:M59)</f>
        <v>0</v>
      </c>
      <c r="BK23" s="95">
        <f>_xlfn.XLOOKUP(W23,Ventes!A27:A59,Ventes!N27:N59)</f>
        <v>300</v>
      </c>
      <c r="BL23" s="95">
        <f t="shared" si="7"/>
        <v>300</v>
      </c>
      <c r="BM23" s="112">
        <f>BL23*_xlfn.XLOOKUP(W23,Tableau12[Produits],Tableau12[Prix unitaire € 2026])*145*1.19*1.15*1.9</f>
        <v>15863190.131249998</v>
      </c>
      <c r="BN23" s="113">
        <f>'Forecast-Volumes annuels import'!O28-Données!BL23</f>
        <v>900</v>
      </c>
      <c r="BO23" s="98">
        <f>Ventes!R27</f>
        <v>30</v>
      </c>
      <c r="BP23" s="99">
        <f>Données!$BN23/10</f>
        <v>90</v>
      </c>
    </row>
    <row r="24" spans="2:68" x14ac:dyDescent="0.35">
      <c r="B24" s="84" t="s">
        <v>138</v>
      </c>
      <c r="C24" s="85">
        <v>134</v>
      </c>
      <c r="D24" s="85">
        <f t="shared" si="0"/>
        <v>147.4</v>
      </c>
      <c r="E24" s="85">
        <f>D24*10</f>
        <v>1474</v>
      </c>
      <c r="F24" s="85">
        <f>E24/10</f>
        <v>147.4</v>
      </c>
      <c r="G24" s="85">
        <f t="shared" si="9"/>
        <v>33636.293074999994</v>
      </c>
      <c r="H24" s="74"/>
      <c r="K24" s="3"/>
      <c r="M24" s="3"/>
      <c r="W24" s="84" t="s">
        <v>138</v>
      </c>
      <c r="X24" s="90">
        <f>_xlfn.XLOOKUP(Données!$W24,'Forecast-Volumes annuels import'!A29:A61,'Forecast-Volumes annuels import'!C29:C61)</f>
        <v>0</v>
      </c>
      <c r="Y24" s="90">
        <f>_xlfn.XLOOKUP(Données!$W24,'Forecast-Volumes annuels import'!A29:A61,'Forecast-Volumes annuels import'!D29:D61)</f>
        <v>0</v>
      </c>
      <c r="Z24" s="90">
        <f>_xlfn.XLOOKUP(Données!$W24,'Forecast-Volumes annuels import'!A29:A61,'Forecast-Volumes annuels import'!E29:E61)</f>
        <v>0</v>
      </c>
      <c r="AA24" s="90">
        <f>_xlfn.XLOOKUP(Données!$W24,'Forecast-Volumes annuels import'!A29:A61,'Forecast-Volumes annuels import'!F29:F61)</f>
        <v>0</v>
      </c>
      <c r="AB24" s="90">
        <f>_xlfn.XLOOKUP(Données!$W24,'Forecast-Volumes annuels import'!A29:A61,'Forecast-Volumes annuels import'!G29:G61)</f>
        <v>0</v>
      </c>
      <c r="AC24" s="90">
        <f>_xlfn.XLOOKUP(Données!$W24,'Forecast-Volumes annuels import'!A29:A61,'Forecast-Volumes annuels import'!H29:H61)</f>
        <v>0</v>
      </c>
      <c r="AD24" s="90">
        <f>_xlfn.XLOOKUP(Données!$W24,'Forecast-Volumes annuels import'!A29:A61,'Forecast-Volumes annuels import'!I29:I61)</f>
        <v>0</v>
      </c>
      <c r="AE24" s="90">
        <f>_xlfn.XLOOKUP(Données!$W24,'Forecast-Volumes annuels import'!A29:A61,'Forecast-Volumes annuels import'!J29:J61)</f>
        <v>300</v>
      </c>
      <c r="AF24" s="90">
        <f>_xlfn.XLOOKUP(Données!$W24,'Forecast-Volumes annuels import'!A29:A61,'Forecast-Volumes annuels import'!K29:K61)</f>
        <v>0</v>
      </c>
      <c r="AG24" s="90">
        <f>_xlfn.XLOOKUP(Données!$W24,'Forecast-Volumes annuels import'!A29:A61,'Forecast-Volumes annuels import'!L29:L61)</f>
        <v>0</v>
      </c>
      <c r="AH24" s="90">
        <f>_xlfn.XLOOKUP(Données!$W24,'Forecast-Volumes annuels import'!A29:A61,'Forecast-Volumes annuels import'!M29:M61)</f>
        <v>0</v>
      </c>
      <c r="AI24" s="90">
        <f>_xlfn.XLOOKUP(Données!$W24,'Forecast-Volumes annuels import'!A29:A61,'Forecast-Volumes annuels import'!N29:N61)</f>
        <v>0</v>
      </c>
      <c r="AJ24" s="91">
        <f t="shared" si="4"/>
        <v>300</v>
      </c>
      <c r="AK24" s="91">
        <f t="shared" si="8"/>
        <v>30</v>
      </c>
      <c r="AL24" s="110">
        <f>_xlfn.XLOOKUP(W24,'Previsionnels Importations'!A29:A56,'Previsionnels Importations'!D29:D56)</f>
        <v>0</v>
      </c>
      <c r="AM24" s="93">
        <f>_xlfn.XLOOKUP(W24,'Previsionnels Importations'!A29:A56,'Previsionnels Importations'!F29:F56)</f>
        <v>0</v>
      </c>
      <c r="AN24" s="93">
        <f>_xlfn.XLOOKUP(W24,'Previsionnels Importations'!A29:A56,'Previsionnels Importations'!H29:H56)</f>
        <v>0</v>
      </c>
      <c r="AO24" s="93">
        <f>_xlfn.XLOOKUP(W24,'Previsionnels Importations'!A29:A56,'Previsionnels Importations'!J29:J56)</f>
        <v>0</v>
      </c>
      <c r="AP24" s="93">
        <f>_xlfn.XLOOKUP(W24,'Previsionnels Importations'!A29:A56,'Previsionnels Importations'!L29:L56)</f>
        <v>0</v>
      </c>
      <c r="AQ24" s="93">
        <f>_xlfn.XLOOKUP(W24,'Previsionnels Importations'!A29:A56,'Previsionnels Importations'!N29:N56)</f>
        <v>0</v>
      </c>
      <c r="AR24" s="93">
        <f>_xlfn.XLOOKUP(W24,'Previsionnels Importations'!A29:A56,'Previsionnels Importations'!P29:P56)</f>
        <v>0</v>
      </c>
      <c r="AS24" s="93">
        <f>_xlfn.XLOOKUP(W24,'Previsionnels Importations'!A29:A56,'Previsionnels Importations'!R29:R56)</f>
        <v>8774685.1499999985</v>
      </c>
      <c r="AT24" s="93">
        <f>_xlfn.XLOOKUP(W24,'Previsionnels Importations'!A29:A56,'Previsionnels Importations'!T29:T56)</f>
        <v>0</v>
      </c>
      <c r="AU24" s="93">
        <f>_xlfn.XLOOKUP(W24,'Previsionnels Importations'!A29:A56,'Previsionnels Importations'!V29:V56)</f>
        <v>0</v>
      </c>
      <c r="AV24" s="93">
        <f>_xlfn.XLOOKUP(W24,'Previsionnels Importations'!A29:A56,'Previsionnels Importations'!X29:X56)</f>
        <v>0</v>
      </c>
      <c r="AW24" s="93">
        <f>_xlfn.XLOOKUP(W24,'Previsionnels Importations'!A29:A56,'Previsionnels Importations'!Z29:Z56)</f>
        <v>0</v>
      </c>
      <c r="AX24" s="85">
        <f t="shared" si="6"/>
        <v>8774685.1499999985</v>
      </c>
      <c r="AY24" s="85">
        <f>'CA prévisionnel annuel'!C28*'CA prévisionnel annuel'!D28</f>
        <v>44220</v>
      </c>
      <c r="AZ24" s="111">
        <f>_xlfn.XLOOKUP(W24,Ventes!A28:A60,Ventes!C28:C60)</f>
        <v>0</v>
      </c>
      <c r="BA24" s="95">
        <f>_xlfn.XLOOKUP(W24,Ventes!A28:A60,Ventes!D28:D60)</f>
        <v>0</v>
      </c>
      <c r="BB24" s="95">
        <f>_xlfn.XLOOKUP(W24,Ventes!A28:A60,Ventes!E28:E60)</f>
        <v>0</v>
      </c>
      <c r="BC24" s="95">
        <f>_xlfn.XLOOKUP(W24,Ventes!A28:A60,Ventes!F28:F60)</f>
        <v>0</v>
      </c>
      <c r="BD24" s="95">
        <f>_xlfn.XLOOKUP(W24,Ventes!A28:A60,Ventes!G28:G60)</f>
        <v>0</v>
      </c>
      <c r="BE24" s="95">
        <f>_xlfn.XLOOKUP(W24,Ventes!A28:A60,Ventes!H28:H60)</f>
        <v>0</v>
      </c>
      <c r="BF24" s="95">
        <f>_xlfn.XLOOKUP(W24,Ventes!A28:A60,Ventes!I28:I60)</f>
        <v>0</v>
      </c>
      <c r="BG24" s="95">
        <f>_xlfn.XLOOKUP(W24,Ventes!A28:A60,Ventes!J28:J60)</f>
        <v>0</v>
      </c>
      <c r="BH24" s="95">
        <f>_xlfn.XLOOKUP(W24,Ventes!A28:A60,Ventes!K28:K60)</f>
        <v>0</v>
      </c>
      <c r="BI24" s="95">
        <f>_xlfn.XLOOKUP(W24,Ventes!A28:A60,Ventes!L28:L60)</f>
        <v>0</v>
      </c>
      <c r="BJ24" s="95">
        <f>_xlfn.XLOOKUP(W24,Ventes!A28:A60,Ventes!M28:M60)</f>
        <v>0</v>
      </c>
      <c r="BK24" s="95">
        <f>_xlfn.XLOOKUP(W24,Ventes!A28:A60,Ventes!N28:N60)</f>
        <v>100</v>
      </c>
      <c r="BL24" s="95">
        <f t="shared" si="7"/>
        <v>100</v>
      </c>
      <c r="BM24" s="112">
        <f>BL24*_xlfn.XLOOKUP(W24,Tableau12[Produits],Tableau12[Prix unitaire € 2026])*145*1.19*1.15*1.9</f>
        <v>5557300.5949999997</v>
      </c>
      <c r="BN24" s="113">
        <f>'Forecast-Volumes annuels import'!O29-Données!BL24</f>
        <v>200</v>
      </c>
      <c r="BO24" s="98">
        <f>Ventes!R28</f>
        <v>10</v>
      </c>
      <c r="BP24" s="99">
        <f>Données!$BN24/10</f>
        <v>20</v>
      </c>
    </row>
    <row r="25" spans="2:68" x14ac:dyDescent="0.35">
      <c r="B25" s="84" t="s">
        <v>139</v>
      </c>
      <c r="C25" s="85">
        <v>116.5</v>
      </c>
      <c r="D25" s="85">
        <f t="shared" si="0"/>
        <v>128.15</v>
      </c>
      <c r="E25" s="85">
        <f>D25*10</f>
        <v>1281.5</v>
      </c>
      <c r="F25" s="85">
        <f>E25/10</f>
        <v>128.15</v>
      </c>
      <c r="G25" s="85">
        <f t="shared" si="9"/>
        <v>29243.493606249991</v>
      </c>
      <c r="H25" s="74"/>
      <c r="K25" s="3"/>
      <c r="M25" s="3"/>
      <c r="W25" s="84" t="s">
        <v>139</v>
      </c>
      <c r="X25" s="90">
        <f>_xlfn.XLOOKUP(Données!$W25,'Forecast-Volumes annuels import'!A30:A62,'Forecast-Volumes annuels import'!C30:C62)</f>
        <v>0</v>
      </c>
      <c r="Y25" s="90">
        <f>_xlfn.XLOOKUP(Données!$W25,'Forecast-Volumes annuels import'!A30:A62,'Forecast-Volumes annuels import'!D30:D62)</f>
        <v>0</v>
      </c>
      <c r="Z25" s="90">
        <f>_xlfn.XLOOKUP(Données!$W25,'Forecast-Volumes annuels import'!A30:A62,'Forecast-Volumes annuels import'!E30:E62)</f>
        <v>0</v>
      </c>
      <c r="AA25" s="90">
        <f>_xlfn.XLOOKUP(Données!$W25,'Forecast-Volumes annuels import'!A30:A62,'Forecast-Volumes annuels import'!F30:F62)</f>
        <v>0</v>
      </c>
      <c r="AB25" s="90">
        <f>_xlfn.XLOOKUP(Données!$W25,'Forecast-Volumes annuels import'!A30:A62,'Forecast-Volumes annuels import'!G30:G62)</f>
        <v>0</v>
      </c>
      <c r="AC25" s="90">
        <f>_xlfn.XLOOKUP(Données!$W25,'Forecast-Volumes annuels import'!A30:A62,'Forecast-Volumes annuels import'!H30:H62)</f>
        <v>0</v>
      </c>
      <c r="AD25" s="90">
        <f>_xlfn.XLOOKUP(Données!$W25,'Forecast-Volumes annuels import'!A30:A62,'Forecast-Volumes annuels import'!I30:I62)</f>
        <v>0</v>
      </c>
      <c r="AE25" s="90">
        <f>_xlfn.XLOOKUP(Données!$W25,'Forecast-Volumes annuels import'!A30:A62,'Forecast-Volumes annuels import'!J30:J62)</f>
        <v>0</v>
      </c>
      <c r="AF25" s="90">
        <f>_xlfn.XLOOKUP(Données!$W25,'Forecast-Volumes annuels import'!A30:A62,'Forecast-Volumes annuels import'!K30:K62)</f>
        <v>0</v>
      </c>
      <c r="AG25" s="90">
        <f>_xlfn.XLOOKUP(Données!$W25,'Forecast-Volumes annuels import'!A30:A62,'Forecast-Volumes annuels import'!L30:L62)</f>
        <v>0</v>
      </c>
      <c r="AH25" s="90">
        <f>_xlfn.XLOOKUP(Données!$W25,'Forecast-Volumes annuels import'!A30:A62,'Forecast-Volumes annuels import'!M30:M62)</f>
        <v>600</v>
      </c>
      <c r="AI25" s="90">
        <f>_xlfn.XLOOKUP(Données!$W25,'Forecast-Volumes annuels import'!A30:A62,'Forecast-Volumes annuels import'!N30:N62)</f>
        <v>0</v>
      </c>
      <c r="AJ25" s="91">
        <f t="shared" si="4"/>
        <v>600</v>
      </c>
      <c r="AK25" s="91">
        <f t="shared" si="8"/>
        <v>60</v>
      </c>
      <c r="AL25" s="110">
        <f>_xlfn.XLOOKUP(W25,'Previsionnels Importations'!A30:A57,'Previsionnels Importations'!D30:D57)</f>
        <v>0</v>
      </c>
      <c r="AM25" s="93">
        <f>_xlfn.XLOOKUP(W25,'Previsionnels Importations'!A30:A57,'Previsionnels Importations'!F30:F57)</f>
        <v>0</v>
      </c>
      <c r="AN25" s="93">
        <f>_xlfn.XLOOKUP(W25,'Previsionnels Importations'!A30:A57,'Previsionnels Importations'!H30:H57)</f>
        <v>0</v>
      </c>
      <c r="AO25" s="93">
        <f>_xlfn.XLOOKUP(W25,'Previsionnels Importations'!A30:A57,'Previsionnels Importations'!J30:J57)</f>
        <v>0</v>
      </c>
      <c r="AP25" s="93">
        <f>_xlfn.XLOOKUP(W25,'Previsionnels Importations'!A30:A57,'Previsionnels Importations'!L30:L57)</f>
        <v>0</v>
      </c>
      <c r="AQ25" s="93">
        <f>_xlfn.XLOOKUP(W25,'Previsionnels Importations'!A30:A57,'Previsionnels Importations'!N30:N57)</f>
        <v>0</v>
      </c>
      <c r="AR25" s="93">
        <f>_xlfn.XLOOKUP(W25,'Previsionnels Importations'!A30:A57,'Previsionnels Importations'!P30:P57)</f>
        <v>0</v>
      </c>
      <c r="AS25" s="93">
        <f>_xlfn.XLOOKUP(W25,'Previsionnels Importations'!A30:A57,'Previsionnels Importations'!R30:R57)</f>
        <v>0</v>
      </c>
      <c r="AT25" s="93">
        <f>_xlfn.XLOOKUP(W25,'Previsionnels Importations'!A30:A57,'Previsionnels Importations'!T30:T57)</f>
        <v>0</v>
      </c>
      <c r="AU25" s="93">
        <f>_xlfn.XLOOKUP(W25,'Previsionnels Importations'!A30:A57,'Previsionnels Importations'!V30:V57)</f>
        <v>0</v>
      </c>
      <c r="AV25" s="93">
        <f>_xlfn.XLOOKUP(W25,'Previsionnels Importations'!A30:A57,'Previsionnels Importations'!X30:X57)</f>
        <v>15257474.924999999</v>
      </c>
      <c r="AW25" s="93">
        <f>_xlfn.XLOOKUP(W25,'Previsionnels Importations'!A30:A57,'Previsionnels Importations'!Z30:Z57)</f>
        <v>0</v>
      </c>
      <c r="AX25" s="85">
        <f t="shared" si="6"/>
        <v>15257474.924999999</v>
      </c>
      <c r="AY25" s="85">
        <f>'CA prévisionnel annuel'!C29*'CA prévisionnel annuel'!D29</f>
        <v>76890</v>
      </c>
      <c r="AZ25" s="111">
        <f>_xlfn.XLOOKUP(W25,Ventes!A29:A61,Ventes!C29:C61)</f>
        <v>0</v>
      </c>
      <c r="BA25" s="95">
        <f>_xlfn.XLOOKUP(W25,Ventes!A29:A61,Ventes!D29:D61)</f>
        <v>0</v>
      </c>
      <c r="BB25" s="95">
        <f>_xlfn.XLOOKUP(W25,Ventes!A29:A61,Ventes!E29:E61)</f>
        <v>0</v>
      </c>
      <c r="BC25" s="95">
        <f>_xlfn.XLOOKUP(W25,Ventes!A29:A61,Ventes!F29:F61)</f>
        <v>0</v>
      </c>
      <c r="BD25" s="95">
        <f>_xlfn.XLOOKUP(W25,Ventes!A29:A61,Ventes!G29:G61)</f>
        <v>0</v>
      </c>
      <c r="BE25" s="95">
        <f>_xlfn.XLOOKUP(W25,Ventes!A29:A61,Ventes!H29:H61)</f>
        <v>0</v>
      </c>
      <c r="BF25" s="95">
        <f>_xlfn.XLOOKUP(W25,Ventes!A29:A61,Ventes!I29:I61)</f>
        <v>0</v>
      </c>
      <c r="BG25" s="95">
        <f>_xlfn.XLOOKUP(W25,Ventes!A29:A61,Ventes!J29:J61)</f>
        <v>0</v>
      </c>
      <c r="BH25" s="95">
        <f>_xlfn.XLOOKUP(W25,Ventes!A29:A61,Ventes!K29:K61)</f>
        <v>0</v>
      </c>
      <c r="BI25" s="95">
        <f>_xlfn.XLOOKUP(W25,Ventes!A29:A61,Ventes!L29:L61)</f>
        <v>0</v>
      </c>
      <c r="BJ25" s="95">
        <f>_xlfn.XLOOKUP(W25,Ventes!A29:A61,Ventes!M29:M61)</f>
        <v>0</v>
      </c>
      <c r="BK25" s="95">
        <f>_xlfn.XLOOKUP(W25,Ventes!A29:A61,Ventes!N29:N61)</f>
        <v>200</v>
      </c>
      <c r="BL25" s="95">
        <f t="shared" si="7"/>
        <v>200</v>
      </c>
      <c r="BM25" s="112">
        <f>BL25*_xlfn.XLOOKUP(W25,Tableau12[Produits],Tableau12[Prix unitaire € 2026])*145*1.19*1.15*1.9</f>
        <v>9663067.4524999987</v>
      </c>
      <c r="BN25" s="113">
        <f>'Forecast-Volumes annuels import'!O30-Données!BL25</f>
        <v>400</v>
      </c>
      <c r="BO25" s="98">
        <f>Ventes!R29</f>
        <v>20</v>
      </c>
      <c r="BP25" s="99">
        <f>Données!$BN25/10</f>
        <v>40</v>
      </c>
    </row>
    <row r="26" spans="2:68" x14ac:dyDescent="0.35">
      <c r="B26" s="84" t="s">
        <v>140</v>
      </c>
      <c r="C26" s="85">
        <v>125</v>
      </c>
      <c r="D26" s="85">
        <f t="shared" si="0"/>
        <v>137.5</v>
      </c>
      <c r="E26" s="85">
        <f>D26*10</f>
        <v>1375</v>
      </c>
      <c r="F26" s="85">
        <f>E26/10</f>
        <v>137.5</v>
      </c>
      <c r="G26" s="85">
        <f t="shared" si="9"/>
        <v>31377.139062499995</v>
      </c>
      <c r="H26" s="74"/>
      <c r="K26" s="3"/>
      <c r="M26" s="3"/>
      <c r="W26" s="84" t="s">
        <v>140</v>
      </c>
      <c r="X26" s="90">
        <f>_xlfn.XLOOKUP(Données!$W26,'Forecast-Volumes annuels import'!A31:A63,'Forecast-Volumes annuels import'!C31:C63)</f>
        <v>0</v>
      </c>
      <c r="Y26" s="90">
        <f>_xlfn.XLOOKUP(Données!$W26,'Forecast-Volumes annuels import'!A31:A63,'Forecast-Volumes annuels import'!D31:D63)</f>
        <v>0</v>
      </c>
      <c r="Z26" s="90">
        <f>_xlfn.XLOOKUP(Données!$W26,'Forecast-Volumes annuels import'!A31:A63,'Forecast-Volumes annuels import'!E31:E63)</f>
        <v>0</v>
      </c>
      <c r="AA26" s="90">
        <f>_xlfn.XLOOKUP(Données!$W26,'Forecast-Volumes annuels import'!A31:A63,'Forecast-Volumes annuels import'!F31:F63)</f>
        <v>0</v>
      </c>
      <c r="AB26" s="90">
        <f>_xlfn.XLOOKUP(Données!$W26,'Forecast-Volumes annuels import'!A31:A63,'Forecast-Volumes annuels import'!G31:G63)</f>
        <v>0</v>
      </c>
      <c r="AC26" s="90">
        <f>_xlfn.XLOOKUP(Données!$W26,'Forecast-Volumes annuels import'!A31:A63,'Forecast-Volumes annuels import'!H31:H63)</f>
        <v>0</v>
      </c>
      <c r="AD26" s="90">
        <f>_xlfn.XLOOKUP(Données!$W26,'Forecast-Volumes annuels import'!A31:A63,'Forecast-Volumes annuels import'!I31:I63)</f>
        <v>0</v>
      </c>
      <c r="AE26" s="90">
        <f>_xlfn.XLOOKUP(Données!$W26,'Forecast-Volumes annuels import'!A31:A63,'Forecast-Volumes annuels import'!J31:J63)</f>
        <v>0</v>
      </c>
      <c r="AF26" s="90">
        <f>_xlfn.XLOOKUP(Données!$W26,'Forecast-Volumes annuels import'!A31:A63,'Forecast-Volumes annuels import'!K31:K63)</f>
        <v>0</v>
      </c>
      <c r="AG26" s="90">
        <f>_xlfn.XLOOKUP(Données!$W26,'Forecast-Volumes annuels import'!A31:A63,'Forecast-Volumes annuels import'!L31:L63)</f>
        <v>0</v>
      </c>
      <c r="AH26" s="90">
        <f>_xlfn.XLOOKUP(Données!$W26,'Forecast-Volumes annuels import'!A31:A63,'Forecast-Volumes annuels import'!M31:M63)</f>
        <v>0</v>
      </c>
      <c r="AI26" s="90">
        <f>_xlfn.XLOOKUP(Données!$W26,'Forecast-Volumes annuels import'!A31:A63,'Forecast-Volumes annuels import'!N31:N63)</f>
        <v>0</v>
      </c>
      <c r="AJ26" s="91">
        <f t="shared" si="4"/>
        <v>0</v>
      </c>
      <c r="AK26" s="91">
        <f t="shared" si="8"/>
        <v>0</v>
      </c>
      <c r="AL26" s="110">
        <f>_xlfn.XLOOKUP(W26,'Previsionnels Importations'!A31:A58,'Previsionnels Importations'!D31:D58)</f>
        <v>0</v>
      </c>
      <c r="AM26" s="93">
        <f>_xlfn.XLOOKUP(W26,'Previsionnels Importations'!A31:A58,'Previsionnels Importations'!F31:F58)</f>
        <v>0</v>
      </c>
      <c r="AN26" s="93">
        <f>_xlfn.XLOOKUP(W26,'Previsionnels Importations'!A31:A58,'Previsionnels Importations'!H31:H58)</f>
        <v>0</v>
      </c>
      <c r="AO26" s="93">
        <f>_xlfn.XLOOKUP(W26,'Previsionnels Importations'!A31:A58,'Previsionnels Importations'!J31:J58)</f>
        <v>0</v>
      </c>
      <c r="AP26" s="93">
        <f>_xlfn.XLOOKUP(W26,'Previsionnels Importations'!A31:A58,'Previsionnels Importations'!L31:L58)</f>
        <v>0</v>
      </c>
      <c r="AQ26" s="93">
        <f>_xlfn.XLOOKUP(W26,'Previsionnels Importations'!A31:A58,'Previsionnels Importations'!N31:N58)</f>
        <v>0</v>
      </c>
      <c r="AR26" s="93">
        <f>_xlfn.XLOOKUP(W26,'Previsionnels Importations'!A31:A58,'Previsionnels Importations'!P31:P58)</f>
        <v>0</v>
      </c>
      <c r="AS26" s="93">
        <f>_xlfn.XLOOKUP(W26,'Previsionnels Importations'!A31:A58,'Previsionnels Importations'!R31:R58)</f>
        <v>0</v>
      </c>
      <c r="AT26" s="93">
        <f>_xlfn.XLOOKUP(W26,'Previsionnels Importations'!A31:A58,'Previsionnels Importations'!T31:T58)</f>
        <v>0</v>
      </c>
      <c r="AU26" s="93">
        <f>_xlfn.XLOOKUP(W26,'Previsionnels Importations'!A31:A58,'Previsionnels Importations'!V31:V58)</f>
        <v>0</v>
      </c>
      <c r="AV26" s="93">
        <f>_xlfn.XLOOKUP(W26,'Previsionnels Importations'!A31:A58,'Previsionnels Importations'!X31:X58)</f>
        <v>0</v>
      </c>
      <c r="AW26" s="93">
        <f>_xlfn.XLOOKUP(W26,'Previsionnels Importations'!A31:A58,'Previsionnels Importations'!Z31:Z58)</f>
        <v>0</v>
      </c>
      <c r="AX26" s="85">
        <f t="shared" si="6"/>
        <v>0</v>
      </c>
      <c r="AY26" s="85">
        <f>'CA prévisionnel annuel'!C30*'CA prévisionnel annuel'!D30</f>
        <v>0</v>
      </c>
      <c r="AZ26" s="111">
        <f>_xlfn.XLOOKUP(W26,Ventes!A30:A62,Ventes!C30:C62)</f>
        <v>0</v>
      </c>
      <c r="BA26" s="95">
        <f>_xlfn.XLOOKUP(W26,Ventes!A30:A62,Ventes!D30:D62)</f>
        <v>0</v>
      </c>
      <c r="BB26" s="95">
        <f>_xlfn.XLOOKUP(W26,Ventes!A30:A62,Ventes!E30:E62)</f>
        <v>0</v>
      </c>
      <c r="BC26" s="95">
        <f>_xlfn.XLOOKUP(W26,Ventes!A30:A62,Ventes!F30:F62)</f>
        <v>0</v>
      </c>
      <c r="BD26" s="95">
        <f>_xlfn.XLOOKUP(W26,Ventes!A30:A62,Ventes!G30:G62)</f>
        <v>0</v>
      </c>
      <c r="BE26" s="95">
        <f>_xlfn.XLOOKUP(W26,Ventes!A30:A62,Ventes!H30:H62)</f>
        <v>0</v>
      </c>
      <c r="BF26" s="95">
        <f>_xlfn.XLOOKUP(W26,Ventes!A30:A62,Ventes!I30:I62)</f>
        <v>0</v>
      </c>
      <c r="BG26" s="95">
        <f>_xlfn.XLOOKUP(W26,Ventes!A30:A62,Ventes!J30:J62)</f>
        <v>0</v>
      </c>
      <c r="BH26" s="95">
        <f>_xlfn.XLOOKUP(W26,Ventes!A30:A62,Ventes!K30:K62)</f>
        <v>0</v>
      </c>
      <c r="BI26" s="95">
        <f>_xlfn.XLOOKUP(W26,Ventes!A30:A62,Ventes!L30:L62)</f>
        <v>0</v>
      </c>
      <c r="BJ26" s="95">
        <f>_xlfn.XLOOKUP(W26,Ventes!A30:A62,Ventes!M30:M62)</f>
        <v>0</v>
      </c>
      <c r="BK26" s="95">
        <f>_xlfn.XLOOKUP(W26,Ventes!A30:A62,Ventes!N30:N62)</f>
        <v>0</v>
      </c>
      <c r="BL26" s="95">
        <f t="shared" si="7"/>
        <v>0</v>
      </c>
      <c r="BM26" s="112">
        <f>BL26*_xlfn.XLOOKUP(W26,Tableau12[Produits],Tableau12[Prix unitaire € 2026])*145*1.19*1.15*1.9</f>
        <v>0</v>
      </c>
      <c r="BN26" s="113">
        <f>'Forecast-Volumes annuels import'!O31-Données!BL26</f>
        <v>0</v>
      </c>
      <c r="BO26" s="98">
        <f>Ventes!R30</f>
        <v>0</v>
      </c>
      <c r="BP26" s="99">
        <f>Données!$BN26/10</f>
        <v>0</v>
      </c>
    </row>
    <row r="27" spans="2:68" x14ac:dyDescent="0.35">
      <c r="B27" s="84" t="s">
        <v>141</v>
      </c>
      <c r="C27" s="85">
        <v>95</v>
      </c>
      <c r="D27" s="85">
        <f t="shared" si="0"/>
        <v>104.50000000000001</v>
      </c>
      <c r="E27" s="85">
        <f>D27*10</f>
        <v>1045.0000000000002</v>
      </c>
      <c r="F27" s="85">
        <f>E27/10</f>
        <v>104.50000000000003</v>
      </c>
      <c r="G27" s="85">
        <f t="shared" si="9"/>
        <v>23846.6256875</v>
      </c>
      <c r="H27" s="74"/>
      <c r="W27" s="84" t="s">
        <v>141</v>
      </c>
      <c r="X27" s="90">
        <f>_xlfn.XLOOKUP(Données!$W27,'Forecast-Volumes annuels import'!A32:A64,'Forecast-Volumes annuels import'!C32:C64)</f>
        <v>0</v>
      </c>
      <c r="Y27" s="90">
        <f>_xlfn.XLOOKUP(Données!$W27,'Forecast-Volumes annuels import'!A32:A64,'Forecast-Volumes annuels import'!D32:D64)</f>
        <v>0</v>
      </c>
      <c r="Z27" s="90">
        <f>_xlfn.XLOOKUP(Données!$W27,'Forecast-Volumes annuels import'!A32:A64,'Forecast-Volumes annuels import'!E32:E64)</f>
        <v>0</v>
      </c>
      <c r="AA27" s="90">
        <f>_xlfn.XLOOKUP(Données!$W27,'Forecast-Volumes annuels import'!A32:A64,'Forecast-Volumes annuels import'!F32:F64)</f>
        <v>0</v>
      </c>
      <c r="AB27" s="90">
        <f>_xlfn.XLOOKUP(Données!$W27,'Forecast-Volumes annuels import'!A32:A64,'Forecast-Volumes annuels import'!G32:G64)</f>
        <v>0</v>
      </c>
      <c r="AC27" s="90">
        <f>_xlfn.XLOOKUP(Données!$W27,'Forecast-Volumes annuels import'!A32:A64,'Forecast-Volumes annuels import'!H32:H64)</f>
        <v>0</v>
      </c>
      <c r="AD27" s="90">
        <f>_xlfn.XLOOKUP(Données!$W27,'Forecast-Volumes annuels import'!A32:A64,'Forecast-Volumes annuels import'!I32:I64)</f>
        <v>0</v>
      </c>
      <c r="AE27" s="90">
        <f>_xlfn.XLOOKUP(Données!$W27,'Forecast-Volumes annuels import'!A32:A64,'Forecast-Volumes annuels import'!J32:J64)</f>
        <v>600</v>
      </c>
      <c r="AF27" s="90">
        <f>_xlfn.XLOOKUP(Données!$W27,'Forecast-Volumes annuels import'!A32:A64,'Forecast-Volumes annuels import'!K32:K64)</f>
        <v>0</v>
      </c>
      <c r="AG27" s="90">
        <f>_xlfn.XLOOKUP(Données!$W27,'Forecast-Volumes annuels import'!A32:A64,'Forecast-Volumes annuels import'!L32:L64)</f>
        <v>0</v>
      </c>
      <c r="AH27" s="90">
        <f>_xlfn.XLOOKUP(Données!$W27,'Forecast-Volumes annuels import'!A32:A64,'Forecast-Volumes annuels import'!M32:M64)</f>
        <v>600</v>
      </c>
      <c r="AI27" s="90">
        <f>_xlfn.XLOOKUP(Données!$W27,'Forecast-Volumes annuels import'!A32:A64,'Forecast-Volumes annuels import'!N32:N64)</f>
        <v>0</v>
      </c>
      <c r="AJ27" s="91">
        <f t="shared" si="4"/>
        <v>1200</v>
      </c>
      <c r="AK27" s="91">
        <f t="shared" si="8"/>
        <v>120</v>
      </c>
      <c r="AL27" s="110">
        <f>_xlfn.XLOOKUP(W27,'Previsionnels Importations'!A32:A59,'Previsionnels Importations'!D32:D59)</f>
        <v>0</v>
      </c>
      <c r="AM27" s="93">
        <f>_xlfn.XLOOKUP(W27,'Previsionnels Importations'!A32:A59,'Previsionnels Importations'!F32:F59)</f>
        <v>0</v>
      </c>
      <c r="AN27" s="93">
        <f>_xlfn.XLOOKUP(W27,'Previsionnels Importations'!A32:A59,'Previsionnels Importations'!H32:H59)</f>
        <v>0</v>
      </c>
      <c r="AO27" s="93">
        <f>_xlfn.XLOOKUP(W27,'Previsionnels Importations'!A32:A59,'Previsionnels Importations'!J32:J59)</f>
        <v>0</v>
      </c>
      <c r="AP27" s="93">
        <f>_xlfn.XLOOKUP(W27,'Previsionnels Importations'!A32:A59,'Previsionnels Importations'!L32:L59)</f>
        <v>0</v>
      </c>
      <c r="AQ27" s="93">
        <f>_xlfn.XLOOKUP(W27,'Previsionnels Importations'!A32:A59,'Previsionnels Importations'!N32:N59)</f>
        <v>0</v>
      </c>
      <c r="AR27" s="93">
        <f>_xlfn.XLOOKUP(W27,'Previsionnels Importations'!A32:A59,'Previsionnels Importations'!P32:P59)</f>
        <v>0</v>
      </c>
      <c r="AS27" s="93">
        <f>_xlfn.XLOOKUP(W27,'Previsionnels Importations'!A32:A59,'Previsionnels Importations'!R32:R59)</f>
        <v>12441717.750000002</v>
      </c>
      <c r="AT27" s="93">
        <f>_xlfn.XLOOKUP(W27,'Previsionnels Importations'!A32:A59,'Previsionnels Importations'!T32:T59)</f>
        <v>0</v>
      </c>
      <c r="AU27" s="93">
        <f>_xlfn.XLOOKUP(W27,'Previsionnels Importations'!A32:A59,'Previsionnels Importations'!V32:V59)</f>
        <v>0</v>
      </c>
      <c r="AV27" s="93">
        <f>_xlfn.XLOOKUP(W27,'Previsionnels Importations'!A32:A59,'Previsionnels Importations'!X32:X59)</f>
        <v>12441717.750000002</v>
      </c>
      <c r="AW27" s="93">
        <f>_xlfn.XLOOKUP(W27,'Previsionnels Importations'!A32:A59,'Previsionnels Importations'!Z32:Z59)</f>
        <v>0</v>
      </c>
      <c r="AX27" s="85">
        <f t="shared" si="6"/>
        <v>24883435.500000004</v>
      </c>
      <c r="AY27" s="85">
        <f>'CA prévisionnel annuel'!C31*'CA prévisionnel annuel'!D31</f>
        <v>125400.00000000001</v>
      </c>
      <c r="AZ27" s="111">
        <f>_xlfn.XLOOKUP(W27,Ventes!A31:A63,Ventes!C31:C63)</f>
        <v>0</v>
      </c>
      <c r="BA27" s="95">
        <f>_xlfn.XLOOKUP(W27,Ventes!A31:A63,Ventes!D31:D63)</f>
        <v>0</v>
      </c>
      <c r="BB27" s="95">
        <f>_xlfn.XLOOKUP(W27,Ventes!A31:A63,Ventes!E31:E63)</f>
        <v>0</v>
      </c>
      <c r="BC27" s="95">
        <f>_xlfn.XLOOKUP(W27,Ventes!A31:A63,Ventes!F31:F63)</f>
        <v>0</v>
      </c>
      <c r="BD27" s="95">
        <f>_xlfn.XLOOKUP(W27,Ventes!A31:A63,Ventes!G31:G63)</f>
        <v>0</v>
      </c>
      <c r="BE27" s="95">
        <f>_xlfn.XLOOKUP(W27,Ventes!A31:A63,Ventes!H31:H63)</f>
        <v>0</v>
      </c>
      <c r="BF27" s="95">
        <f>_xlfn.XLOOKUP(W27,Ventes!A31:A63,Ventes!I31:I63)</f>
        <v>0</v>
      </c>
      <c r="BG27" s="95">
        <f>_xlfn.XLOOKUP(W27,Ventes!A31:A63,Ventes!J31:J63)</f>
        <v>0</v>
      </c>
      <c r="BH27" s="95">
        <f>_xlfn.XLOOKUP(W27,Ventes!A31:A63,Ventes!K31:K63)</f>
        <v>0</v>
      </c>
      <c r="BI27" s="95">
        <f>_xlfn.XLOOKUP(W27,Ventes!A31:A63,Ventes!L31:L63)</f>
        <v>0</v>
      </c>
      <c r="BJ27" s="95">
        <f>_xlfn.XLOOKUP(W27,Ventes!A31:A63,Ventes!M31:M63)</f>
        <v>0</v>
      </c>
      <c r="BK27" s="95">
        <f>_xlfn.XLOOKUP(W27,Ventes!A31:A63,Ventes!N31:N63)</f>
        <v>400</v>
      </c>
      <c r="BL27" s="95">
        <f t="shared" si="7"/>
        <v>400</v>
      </c>
      <c r="BM27" s="112">
        <f>BL27*_xlfn.XLOOKUP(W27,Tableau12[Produits],Tableau12[Prix unitaire € 2026])*145*1.19*1.15*1.9</f>
        <v>15759509.149999999</v>
      </c>
      <c r="BN27" s="113">
        <f>'Forecast-Volumes annuels import'!O32-Données!BL27</f>
        <v>800</v>
      </c>
      <c r="BO27" s="98">
        <f>Ventes!R31</f>
        <v>40</v>
      </c>
      <c r="BP27" s="99">
        <f>Données!$BN27/10</f>
        <v>80</v>
      </c>
    </row>
    <row r="28" spans="2:68" x14ac:dyDescent="0.35">
      <c r="B28" s="84" t="s">
        <v>142</v>
      </c>
      <c r="C28" s="85">
        <v>750</v>
      </c>
      <c r="D28" s="85">
        <f t="shared" si="0"/>
        <v>825.00000000000011</v>
      </c>
      <c r="E28" s="85">
        <f>D28*1</f>
        <v>825.00000000000011</v>
      </c>
      <c r="F28" s="85">
        <f>D28/10</f>
        <v>82.500000000000014</v>
      </c>
      <c r="G28" s="85">
        <f t="shared" si="9"/>
        <v>188262.83437499998</v>
      </c>
      <c r="H28" s="74"/>
      <c r="W28" s="84" t="s">
        <v>142</v>
      </c>
      <c r="X28" s="90">
        <f>_xlfn.XLOOKUP(Données!$W28,'Forecast-Volumes annuels import'!A33:A65,'Forecast-Volumes annuels import'!C33:C65)</f>
        <v>0</v>
      </c>
      <c r="Y28" s="90">
        <f>_xlfn.XLOOKUP(Données!$W28,'Forecast-Volumes annuels import'!A33:A65,'Forecast-Volumes annuels import'!D33:D65)</f>
        <v>0</v>
      </c>
      <c r="Z28" s="90">
        <f>_xlfn.XLOOKUP(Données!$W28,'Forecast-Volumes annuels import'!A33:A65,'Forecast-Volumes annuels import'!E33:E65)</f>
        <v>0</v>
      </c>
      <c r="AA28" s="90">
        <f>_xlfn.XLOOKUP(Données!$W28,'Forecast-Volumes annuels import'!A33:A65,'Forecast-Volumes annuels import'!F33:F65)</f>
        <v>0</v>
      </c>
      <c r="AB28" s="90">
        <f>_xlfn.XLOOKUP(Données!$W28,'Forecast-Volumes annuels import'!A33:A65,'Forecast-Volumes annuels import'!G33:G65)</f>
        <v>0</v>
      </c>
      <c r="AC28" s="90">
        <f>_xlfn.XLOOKUP(Données!$W28,'Forecast-Volumes annuels import'!A33:A65,'Forecast-Volumes annuels import'!H33:H65)</f>
        <v>0</v>
      </c>
      <c r="AD28" s="90">
        <f>_xlfn.XLOOKUP(Données!$W28,'Forecast-Volumes annuels import'!A33:A65,'Forecast-Volumes annuels import'!I33:I65)</f>
        <v>1000</v>
      </c>
      <c r="AE28" s="90">
        <f>_xlfn.XLOOKUP(Données!$W28,'Forecast-Volumes annuels import'!A33:A65,'Forecast-Volumes annuels import'!J33:J65)</f>
        <v>0</v>
      </c>
      <c r="AF28" s="90">
        <f>_xlfn.XLOOKUP(Données!$W28,'Forecast-Volumes annuels import'!A33:A65,'Forecast-Volumes annuels import'!K33:K65)</f>
        <v>0</v>
      </c>
      <c r="AG28" s="90">
        <f>_xlfn.XLOOKUP(Données!$W28,'Forecast-Volumes annuels import'!A33:A65,'Forecast-Volumes annuels import'!L33:L65)</f>
        <v>0</v>
      </c>
      <c r="AH28" s="90">
        <f>_xlfn.XLOOKUP(Données!$W28,'Forecast-Volumes annuels import'!A33:A65,'Forecast-Volumes annuels import'!M33:M65)</f>
        <v>0</v>
      </c>
      <c r="AI28" s="90">
        <f>_xlfn.XLOOKUP(Données!$W28,'Forecast-Volumes annuels import'!A33:A65,'Forecast-Volumes annuels import'!N33:N65)</f>
        <v>650</v>
      </c>
      <c r="AJ28" s="91">
        <f t="shared" si="4"/>
        <v>1650</v>
      </c>
      <c r="AK28" s="91">
        <f>AJ28</f>
        <v>1650</v>
      </c>
      <c r="AL28" s="110">
        <f>_xlfn.XLOOKUP(W28,'Previsionnels Importations'!A33:A60,'Previsionnels Importations'!D33:D60)</f>
        <v>0</v>
      </c>
      <c r="AM28" s="93">
        <f>_xlfn.XLOOKUP(W28,'Previsionnels Importations'!A33:A60,'Previsionnels Importations'!F33:F60)</f>
        <v>0</v>
      </c>
      <c r="AN28" s="93">
        <f>_xlfn.XLOOKUP(W28,'Previsionnels Importations'!A33:A60,'Previsionnels Importations'!H33:H60)</f>
        <v>0</v>
      </c>
      <c r="AO28" s="93">
        <f>_xlfn.XLOOKUP(W28,'Previsionnels Importations'!A33:A60,'Previsionnels Importations'!J33:J60)</f>
        <v>0</v>
      </c>
      <c r="AP28" s="93">
        <f>_xlfn.XLOOKUP(W28,'Previsionnels Importations'!A33:A60,'Previsionnels Importations'!L33:L60)</f>
        <v>0</v>
      </c>
      <c r="AQ28" s="93">
        <f>_xlfn.XLOOKUP(W28,'Previsionnels Importations'!A33:A60,'Previsionnels Importations'!N33:N60)</f>
        <v>0</v>
      </c>
      <c r="AR28" s="93">
        <f>_xlfn.XLOOKUP(W28,'Previsionnels Importations'!A33:A60,'Previsionnels Importations'!P33:P60)</f>
        <v>163706812.5</v>
      </c>
      <c r="AS28" s="93">
        <f>_xlfn.XLOOKUP(W28,'Previsionnels Importations'!A33:A60,'Previsionnels Importations'!R33:R60)</f>
        <v>0</v>
      </c>
      <c r="AT28" s="93">
        <f>_xlfn.XLOOKUP(W28,'Previsionnels Importations'!A33:A60,'Previsionnels Importations'!T33:T60)</f>
        <v>0</v>
      </c>
      <c r="AU28" s="93">
        <f>_xlfn.XLOOKUP(W28,'Previsionnels Importations'!A33:A60,'Previsionnels Importations'!V33:V60)</f>
        <v>0</v>
      </c>
      <c r="AV28" s="93">
        <f>_xlfn.XLOOKUP(W28,'Previsionnels Importations'!A33:A60,'Previsionnels Importations'!X33:X60)</f>
        <v>0</v>
      </c>
      <c r="AW28" s="93">
        <f>_xlfn.XLOOKUP(W28,'Previsionnels Importations'!A33:A60,'Previsionnels Importations'!Z33:Z60)</f>
        <v>106409428.12500001</v>
      </c>
      <c r="AX28" s="85">
        <f t="shared" si="6"/>
        <v>270116240.625</v>
      </c>
      <c r="AY28" s="85">
        <f>'CA prévisionnel annuel'!C32*'CA prévisionnel annuel'!D32</f>
        <v>1361250.0000000002</v>
      </c>
      <c r="AZ28" s="111">
        <f>_xlfn.XLOOKUP(W28,Ventes!A32:A64,Ventes!C32:C64)</f>
        <v>0</v>
      </c>
      <c r="BA28" s="95">
        <f>_xlfn.XLOOKUP(W28,Ventes!A32:A64,Ventes!D32:D64)</f>
        <v>0</v>
      </c>
      <c r="BB28" s="95">
        <f>_xlfn.XLOOKUP(W28,Ventes!A32:A64,Ventes!E32:E64)</f>
        <v>0</v>
      </c>
      <c r="BC28" s="95">
        <f>_xlfn.XLOOKUP(W28,Ventes!A32:A64,Ventes!F32:F64)</f>
        <v>0</v>
      </c>
      <c r="BD28" s="95">
        <f>_xlfn.XLOOKUP(W28,Ventes!A32:A64,Ventes!G32:G64)</f>
        <v>0</v>
      </c>
      <c r="BE28" s="95">
        <f>_xlfn.XLOOKUP(W28,Ventes!A32:A64,Ventes!H32:H64)</f>
        <v>0</v>
      </c>
      <c r="BF28" s="95">
        <f>_xlfn.XLOOKUP(W28,Ventes!A32:A64,Ventes!I32:I64)</f>
        <v>0</v>
      </c>
      <c r="BG28" s="95">
        <f>_xlfn.XLOOKUP(W28,Ventes!A32:A64,Ventes!J32:J64)</f>
        <v>0</v>
      </c>
      <c r="BH28" s="95">
        <f>_xlfn.XLOOKUP(W28,Ventes!A32:A64,Ventes!K32:K64)</f>
        <v>0</v>
      </c>
      <c r="BI28" s="95">
        <f>_xlfn.XLOOKUP(W28,Ventes!A32:A64,Ventes!L32:L64)</f>
        <v>200</v>
      </c>
      <c r="BJ28" s="95">
        <f>_xlfn.XLOOKUP(W28,Ventes!A32:A64,Ventes!M32:M64)</f>
        <v>200</v>
      </c>
      <c r="BK28" s="95">
        <f>_xlfn.XLOOKUP(W28,Ventes!A32:A64,Ventes!N32:N64)</f>
        <v>500</v>
      </c>
      <c r="BL28" s="95">
        <f t="shared" si="7"/>
        <v>900</v>
      </c>
      <c r="BM28" s="112">
        <f>BL28*_xlfn.XLOOKUP(W28,Tableau12[Produits],Tableau12[Prix unitaire € 2026])*145*1.19*1.15*1.9</f>
        <v>279938649.375</v>
      </c>
      <c r="BN28" s="113">
        <f>'Forecast-Volumes annuels import'!O33-Données!BL28</f>
        <v>750</v>
      </c>
      <c r="BO28" s="98">
        <f>Ventes!R32</f>
        <v>900</v>
      </c>
      <c r="BP28" s="99">
        <f>Données!$BN28</f>
        <v>750</v>
      </c>
    </row>
    <row r="29" spans="2:68" x14ac:dyDescent="0.35">
      <c r="B29" s="84" t="s">
        <v>143</v>
      </c>
      <c r="C29" s="85">
        <v>950</v>
      </c>
      <c r="D29" s="85">
        <f t="shared" si="0"/>
        <v>1045</v>
      </c>
      <c r="E29" s="85">
        <f>D29*1</f>
        <v>1045</v>
      </c>
      <c r="F29" s="85">
        <f>D29/10</f>
        <v>104.5</v>
      </c>
      <c r="G29" s="85">
        <f t="shared" si="9"/>
        <v>238466.25687499996</v>
      </c>
      <c r="H29" s="74"/>
      <c r="W29" s="84" t="s">
        <v>143</v>
      </c>
      <c r="X29" s="90">
        <f>_xlfn.XLOOKUP(Données!$W29,'Forecast-Volumes annuels import'!A34:A66,'Forecast-Volumes annuels import'!C34:C66)</f>
        <v>0</v>
      </c>
      <c r="Y29" s="90">
        <f>_xlfn.XLOOKUP(Données!$W29,'Forecast-Volumes annuels import'!A34:A66,'Forecast-Volumes annuels import'!D34:D66)</f>
        <v>0</v>
      </c>
      <c r="Z29" s="90">
        <f>_xlfn.XLOOKUP(Données!$W29,'Forecast-Volumes annuels import'!A34:A66,'Forecast-Volumes annuels import'!E34:E66)</f>
        <v>0</v>
      </c>
      <c r="AA29" s="90">
        <f>_xlfn.XLOOKUP(Données!$W29,'Forecast-Volumes annuels import'!A34:A66,'Forecast-Volumes annuels import'!F34:F66)</f>
        <v>0</v>
      </c>
      <c r="AB29" s="90">
        <f>_xlfn.XLOOKUP(Données!$W29,'Forecast-Volumes annuels import'!A34:A66,'Forecast-Volumes annuels import'!G34:G66)</f>
        <v>0</v>
      </c>
      <c r="AC29" s="90">
        <f>_xlfn.XLOOKUP(Données!$W29,'Forecast-Volumes annuels import'!A34:A66,'Forecast-Volumes annuels import'!H34:H66)</f>
        <v>0</v>
      </c>
      <c r="AD29" s="90">
        <f>_xlfn.XLOOKUP(Données!$W29,'Forecast-Volumes annuels import'!A34:A66,'Forecast-Volumes annuels import'!I34:I66)</f>
        <v>0</v>
      </c>
      <c r="AE29" s="90">
        <f>_xlfn.XLOOKUP(Données!$W29,'Forecast-Volumes annuels import'!A34:A66,'Forecast-Volumes annuels import'!J34:J66)</f>
        <v>1600</v>
      </c>
      <c r="AF29" s="90">
        <f>_xlfn.XLOOKUP(Données!$W29,'Forecast-Volumes annuels import'!A34:A66,'Forecast-Volumes annuels import'!K34:K66)</f>
        <v>0</v>
      </c>
      <c r="AG29" s="90">
        <f>_xlfn.XLOOKUP(Données!$W29,'Forecast-Volumes annuels import'!A34:A66,'Forecast-Volumes annuels import'!L34:L66)</f>
        <v>0</v>
      </c>
      <c r="AH29" s="90">
        <f>_xlfn.XLOOKUP(Données!$W29,'Forecast-Volumes annuels import'!A34:A66,'Forecast-Volumes annuels import'!M34:M66)</f>
        <v>0</v>
      </c>
      <c r="AI29" s="90">
        <f>_xlfn.XLOOKUP(Données!$W29,'Forecast-Volumes annuels import'!A34:A66,'Forecast-Volumes annuels import'!N34:N66)</f>
        <v>800</v>
      </c>
      <c r="AJ29" s="91">
        <f t="shared" si="4"/>
        <v>2400</v>
      </c>
      <c r="AK29" s="91">
        <f>AJ29</f>
        <v>2400</v>
      </c>
      <c r="AL29" s="110">
        <f>_xlfn.XLOOKUP(W29,'Previsionnels Importations'!A34:A61,'Previsionnels Importations'!D34:D61)</f>
        <v>0</v>
      </c>
      <c r="AM29" s="93">
        <f>_xlfn.XLOOKUP(W29,'Previsionnels Importations'!A34:A61,'Previsionnels Importations'!F34:F61)</f>
        <v>0</v>
      </c>
      <c r="AN29" s="93">
        <f>_xlfn.XLOOKUP(W29,'Previsionnels Importations'!A34:A61,'Previsionnels Importations'!H34:H61)</f>
        <v>0</v>
      </c>
      <c r="AO29" s="93">
        <f>_xlfn.XLOOKUP(W29,'Previsionnels Importations'!A34:A61,'Previsionnels Importations'!J34:J61)</f>
        <v>0</v>
      </c>
      <c r="AP29" s="93">
        <f>_xlfn.XLOOKUP(W29,'Previsionnels Importations'!A34:A61,'Previsionnels Importations'!L34:L61)</f>
        <v>0</v>
      </c>
      <c r="AQ29" s="93">
        <f>_xlfn.XLOOKUP(W29,'Previsionnels Importations'!A34:A61,'Previsionnels Importations'!N34:N61)</f>
        <v>0</v>
      </c>
      <c r="AR29" s="93">
        <f>_xlfn.XLOOKUP(W29,'Previsionnels Importations'!A34:A61,'Previsionnels Importations'!P34:P61)</f>
        <v>0</v>
      </c>
      <c r="AS29" s="93">
        <f>_xlfn.XLOOKUP(W29,'Previsionnels Importations'!A34:A61,'Previsionnels Importations'!R34:R61)</f>
        <v>331779140</v>
      </c>
      <c r="AT29" s="93">
        <f>_xlfn.XLOOKUP(W29,'Previsionnels Importations'!A34:A61,'Previsionnels Importations'!T34:T61)</f>
        <v>0</v>
      </c>
      <c r="AU29" s="93">
        <f>_xlfn.XLOOKUP(W29,'Previsionnels Importations'!A34:A61,'Previsionnels Importations'!V34:V61)</f>
        <v>0</v>
      </c>
      <c r="AV29" s="93">
        <f>_xlfn.XLOOKUP(W29,'Previsionnels Importations'!A34:A61,'Previsionnels Importations'!X34:X61)</f>
        <v>0</v>
      </c>
      <c r="AW29" s="93">
        <f>_xlfn.XLOOKUP(W29,'Previsionnels Importations'!A34:A61,'Previsionnels Importations'!Z34:Z61)</f>
        <v>165889570</v>
      </c>
      <c r="AX29" s="85">
        <f t="shared" si="6"/>
        <v>497668710</v>
      </c>
      <c r="AY29" s="85">
        <f>'CA prévisionnel annuel'!C33*'CA prévisionnel annuel'!D33</f>
        <v>2508000</v>
      </c>
      <c r="AZ29" s="111">
        <f>_xlfn.XLOOKUP(W29,Ventes!A33:A65,Ventes!C33:C65)</f>
        <v>0</v>
      </c>
      <c r="BA29" s="95">
        <f>_xlfn.XLOOKUP(W29,Ventes!A33:A65,Ventes!D33:D65)</f>
        <v>0</v>
      </c>
      <c r="BB29" s="95">
        <f>_xlfn.XLOOKUP(W29,Ventes!A33:A65,Ventes!E33:E65)</f>
        <v>0</v>
      </c>
      <c r="BC29" s="95">
        <f>_xlfn.XLOOKUP(W29,Ventes!A33:A65,Ventes!F33:F65)</f>
        <v>0</v>
      </c>
      <c r="BD29" s="95">
        <f>_xlfn.XLOOKUP(W29,Ventes!A33:A65,Ventes!G33:G65)</f>
        <v>0</v>
      </c>
      <c r="BE29" s="95">
        <f>_xlfn.XLOOKUP(W29,Ventes!A33:A65,Ventes!H33:H65)</f>
        <v>0</v>
      </c>
      <c r="BF29" s="95">
        <f>_xlfn.XLOOKUP(W29,Ventes!A33:A65,Ventes!I33:I65)</f>
        <v>0</v>
      </c>
      <c r="BG29" s="95">
        <f>_xlfn.XLOOKUP(W29,Ventes!A33:A65,Ventes!J33:J65)</f>
        <v>0</v>
      </c>
      <c r="BH29" s="95">
        <f>_xlfn.XLOOKUP(W29,Ventes!A33:A65,Ventes!K33:K65)</f>
        <v>0</v>
      </c>
      <c r="BI29" s="95">
        <f>_xlfn.XLOOKUP(W29,Ventes!A33:A65,Ventes!L33:L65)</f>
        <v>400</v>
      </c>
      <c r="BJ29" s="95">
        <f>_xlfn.XLOOKUP(W29,Ventes!A33:A65,Ventes!M33:M65)</f>
        <v>500</v>
      </c>
      <c r="BK29" s="95">
        <f>_xlfn.XLOOKUP(W29,Ventes!A33:A65,Ventes!N33:N65)</f>
        <v>500</v>
      </c>
      <c r="BL29" s="95">
        <f t="shared" si="7"/>
        <v>1400</v>
      </c>
      <c r="BM29" s="112">
        <f>BL29*_xlfn.XLOOKUP(W29,Tableau12[Produits],Tableau12[Prix unitaire € 2026])*145*1.19*1.15*1.9</f>
        <v>551582820.25</v>
      </c>
      <c r="BN29" s="113">
        <f>'Forecast-Volumes annuels import'!O34-Données!BL29</f>
        <v>1000</v>
      </c>
      <c r="BO29" s="98">
        <f>Ventes!R33</f>
        <v>1400</v>
      </c>
      <c r="BP29" s="99">
        <f>Données!$BN29</f>
        <v>1000</v>
      </c>
    </row>
    <row r="30" spans="2:68" x14ac:dyDescent="0.35">
      <c r="B30" s="84" t="s">
        <v>144</v>
      </c>
      <c r="C30" s="85">
        <v>800</v>
      </c>
      <c r="D30" s="85">
        <f t="shared" si="0"/>
        <v>880.00000000000011</v>
      </c>
      <c r="E30" s="85">
        <f>D30*1</f>
        <v>880.00000000000011</v>
      </c>
      <c r="F30" s="85">
        <f>D30/10</f>
        <v>88.000000000000014</v>
      </c>
      <c r="G30" s="85">
        <f t="shared" si="9"/>
        <v>200813.68999999994</v>
      </c>
      <c r="H30" s="74"/>
      <c r="W30" s="84" t="s">
        <v>144</v>
      </c>
      <c r="X30" s="90">
        <f>_xlfn.XLOOKUP(Données!$W30,'Forecast-Volumes annuels import'!A35:A67,'Forecast-Volumes annuels import'!C35:C67)</f>
        <v>400</v>
      </c>
      <c r="Y30" s="90">
        <f>_xlfn.XLOOKUP(Données!$W30,'Forecast-Volumes annuels import'!A35:A67,'Forecast-Volumes annuels import'!D35:D67)</f>
        <v>0</v>
      </c>
      <c r="Z30" s="90">
        <f>_xlfn.XLOOKUP(Données!$W30,'Forecast-Volumes annuels import'!A35:A67,'Forecast-Volumes annuels import'!E35:E67)</f>
        <v>0</v>
      </c>
      <c r="AA30" s="90">
        <f>_xlfn.XLOOKUP(Données!$W30,'Forecast-Volumes annuels import'!A35:A67,'Forecast-Volumes annuels import'!F35:F67)</f>
        <v>0</v>
      </c>
      <c r="AB30" s="90">
        <f>_xlfn.XLOOKUP(Données!$W30,'Forecast-Volumes annuels import'!A35:A67,'Forecast-Volumes annuels import'!G35:G67)</f>
        <v>0</v>
      </c>
      <c r="AC30" s="90">
        <f>_xlfn.XLOOKUP(Données!$W30,'Forecast-Volumes annuels import'!A35:A67,'Forecast-Volumes annuels import'!H35:H67)</f>
        <v>0</v>
      </c>
      <c r="AD30" s="90">
        <f>_xlfn.XLOOKUP(Données!$W30,'Forecast-Volumes annuels import'!A35:A67,'Forecast-Volumes annuels import'!I35:I67)</f>
        <v>0</v>
      </c>
      <c r="AE30" s="90">
        <f>_xlfn.XLOOKUP(Données!$W30,'Forecast-Volumes annuels import'!A35:A67,'Forecast-Volumes annuels import'!J35:J67)</f>
        <v>0</v>
      </c>
      <c r="AF30" s="90">
        <f>_xlfn.XLOOKUP(Données!$W30,'Forecast-Volumes annuels import'!A35:A67,'Forecast-Volumes annuels import'!K35:K67)</f>
        <v>0</v>
      </c>
      <c r="AG30" s="90">
        <f>_xlfn.XLOOKUP(Données!$W30,'Forecast-Volumes annuels import'!A35:A67,'Forecast-Volumes annuels import'!L35:L67)</f>
        <v>0</v>
      </c>
      <c r="AH30" s="90">
        <f>_xlfn.XLOOKUP(Données!$W30,'Forecast-Volumes annuels import'!A35:A67,'Forecast-Volumes annuels import'!M35:M67)</f>
        <v>0</v>
      </c>
      <c r="AI30" s="90">
        <f>_xlfn.XLOOKUP(Données!$W30,'Forecast-Volumes annuels import'!A35:A67,'Forecast-Volumes annuels import'!N35:N67)</f>
        <v>800</v>
      </c>
      <c r="AJ30" s="91">
        <f t="shared" si="4"/>
        <v>1200</v>
      </c>
      <c r="AK30" s="91">
        <f>AJ30</f>
        <v>1200</v>
      </c>
      <c r="AL30" s="110">
        <f>_xlfn.XLOOKUP(W30,'Previsionnels Importations'!A35:A62,'Previsionnels Importations'!D35:D62)</f>
        <v>69848240</v>
      </c>
      <c r="AM30" s="93">
        <f>_xlfn.XLOOKUP(W30,'Previsionnels Importations'!A35:A62,'Previsionnels Importations'!F35:F62)</f>
        <v>0</v>
      </c>
      <c r="AN30" s="93">
        <f>_xlfn.XLOOKUP(W30,'Previsionnels Importations'!A35:A62,'Previsionnels Importations'!H35:H62)</f>
        <v>0</v>
      </c>
      <c r="AO30" s="93">
        <f>_xlfn.XLOOKUP(W30,'Previsionnels Importations'!A35:A62,'Previsionnels Importations'!J35:J62)</f>
        <v>0</v>
      </c>
      <c r="AP30" s="93">
        <f>_xlfn.XLOOKUP(W30,'Previsionnels Importations'!A35:A62,'Previsionnels Importations'!L35:L62)</f>
        <v>0</v>
      </c>
      <c r="AQ30" s="93">
        <f>_xlfn.XLOOKUP(W30,'Previsionnels Importations'!A35:A62,'Previsionnels Importations'!N35:N62)</f>
        <v>0</v>
      </c>
      <c r="AR30" s="93">
        <f>_xlfn.XLOOKUP(W30,'Previsionnels Importations'!A35:A62,'Previsionnels Importations'!P35:P62)</f>
        <v>0</v>
      </c>
      <c r="AS30" s="93">
        <f>_xlfn.XLOOKUP(W30,'Previsionnels Importations'!A35:A62,'Previsionnels Importations'!R35:R62)</f>
        <v>0</v>
      </c>
      <c r="AT30" s="93">
        <f>_xlfn.XLOOKUP(W30,'Previsionnels Importations'!A35:A62,'Previsionnels Importations'!T35:T62)</f>
        <v>0</v>
      </c>
      <c r="AU30" s="93">
        <f>_xlfn.XLOOKUP(W30,'Previsionnels Importations'!A35:A62,'Previsionnels Importations'!V35:V62)</f>
        <v>0</v>
      </c>
      <c r="AV30" s="93">
        <f>_xlfn.XLOOKUP(W30,'Previsionnels Importations'!A35:A62,'Previsionnels Importations'!X35:X62)</f>
        <v>0</v>
      </c>
      <c r="AW30" s="93">
        <f>_xlfn.XLOOKUP(W30,'Previsionnels Importations'!A35:A62,'Previsionnels Importations'!Z35:Z62)</f>
        <v>139696480</v>
      </c>
      <c r="AX30" s="85">
        <f t="shared" si="6"/>
        <v>209544720</v>
      </c>
      <c r="AY30" s="85">
        <f>'CA prévisionnel annuel'!C34*'CA prévisionnel annuel'!D34</f>
        <v>1056000.0000000002</v>
      </c>
      <c r="AZ30" s="111">
        <f>_xlfn.XLOOKUP(W30,Ventes!A34:A66,Ventes!C34:C66)</f>
        <v>0</v>
      </c>
      <c r="BA30" s="95">
        <f>_xlfn.XLOOKUP(W30,Ventes!A34:A66,Ventes!D34:D66)</f>
        <v>0</v>
      </c>
      <c r="BB30" s="95">
        <f>_xlfn.XLOOKUP(W30,Ventes!A34:A66,Ventes!E34:E66)</f>
        <v>0</v>
      </c>
      <c r="BC30" s="95">
        <f>_xlfn.XLOOKUP(W30,Ventes!A34:A66,Ventes!F34:F66)</f>
        <v>0</v>
      </c>
      <c r="BD30" s="95">
        <f>_xlfn.XLOOKUP(W30,Ventes!A34:A66,Ventes!G34:G66)</f>
        <v>0</v>
      </c>
      <c r="BE30" s="95">
        <f>_xlfn.XLOOKUP(W30,Ventes!A34:A66,Ventes!H34:H66)</f>
        <v>0</v>
      </c>
      <c r="BF30" s="95">
        <f>_xlfn.XLOOKUP(W30,Ventes!A34:A66,Ventes!I34:I66)</f>
        <v>0</v>
      </c>
      <c r="BG30" s="95">
        <f>_xlfn.XLOOKUP(W30,Ventes!A34:A66,Ventes!J34:J66)</f>
        <v>0</v>
      </c>
      <c r="BH30" s="95">
        <f>_xlfn.XLOOKUP(W30,Ventes!A34:A66,Ventes!K34:K66)</f>
        <v>0</v>
      </c>
      <c r="BI30" s="95">
        <f>_xlfn.XLOOKUP(W30,Ventes!A34:A66,Ventes!L34:L66)</f>
        <v>0</v>
      </c>
      <c r="BJ30" s="95">
        <f>_xlfn.XLOOKUP(W30,Ventes!A34:A66,Ventes!M34:M66)</f>
        <v>0</v>
      </c>
      <c r="BK30" s="95">
        <f>_xlfn.XLOOKUP(W30,Ventes!A34:A66,Ventes!N34:N66)</f>
        <v>200</v>
      </c>
      <c r="BL30" s="95">
        <f t="shared" si="7"/>
        <v>200</v>
      </c>
      <c r="BM30" s="112">
        <f>BL30*_xlfn.XLOOKUP(W30,Tableau12[Produits],Tableau12[Prix unitaire € 2026])*145*1.19*1.15*1.9</f>
        <v>66355828</v>
      </c>
      <c r="BN30" s="113">
        <f>'Forecast-Volumes annuels import'!O35-Données!BL30</f>
        <v>1000</v>
      </c>
      <c r="BO30" s="98">
        <f>Ventes!R34</f>
        <v>200</v>
      </c>
      <c r="BP30" s="99">
        <f>Données!$BN30</f>
        <v>1000</v>
      </c>
    </row>
    <row r="31" spans="2:68" x14ac:dyDescent="0.35">
      <c r="B31" s="84" t="s">
        <v>145</v>
      </c>
      <c r="C31" s="85">
        <v>0</v>
      </c>
      <c r="D31" s="85">
        <v>3</v>
      </c>
      <c r="E31" s="85">
        <f>D31*1000</f>
        <v>3000</v>
      </c>
      <c r="F31" s="85">
        <f>Tableau12[[#This Row],[Prix unitaire € 2026]]*100</f>
        <v>300</v>
      </c>
      <c r="G31" s="85">
        <f>D31*145*1.19*1.15*1.5</f>
        <v>892.94624999999985</v>
      </c>
      <c r="H31" s="74"/>
      <c r="W31" s="84" t="s">
        <v>145</v>
      </c>
      <c r="X31" s="90">
        <f>_xlfn.XLOOKUP(Données!$W31,'Forecast-Volumes annuels import'!A36:A68,'Forecast-Volumes annuels import'!C36:C68)</f>
        <v>0</v>
      </c>
      <c r="Y31" s="90">
        <f>_xlfn.XLOOKUP(Données!$W31,'Forecast-Volumes annuels import'!A36:A68,'Forecast-Volumes annuels import'!D36:D68)</f>
        <v>24000</v>
      </c>
      <c r="Z31" s="90">
        <f>_xlfn.XLOOKUP(Données!$W31,'Forecast-Volumes annuels import'!A36:A68,'Forecast-Volumes annuels import'!E36:E68)</f>
        <v>0</v>
      </c>
      <c r="AA31" s="90">
        <f>_xlfn.XLOOKUP(Données!$W31,'Forecast-Volumes annuels import'!A36:A68,'Forecast-Volumes annuels import'!F36:F68)</f>
        <v>0</v>
      </c>
      <c r="AB31" s="90">
        <f>_xlfn.XLOOKUP(Données!$W31,'Forecast-Volumes annuels import'!A36:A68,'Forecast-Volumes annuels import'!G36:G68)</f>
        <v>0</v>
      </c>
      <c r="AC31" s="90">
        <f>_xlfn.XLOOKUP(Données!$W31,'Forecast-Volumes annuels import'!A36:A68,'Forecast-Volumes annuels import'!H36:H68)</f>
        <v>0</v>
      </c>
      <c r="AD31" s="90">
        <f>_xlfn.XLOOKUP(Données!$W31,'Forecast-Volumes annuels import'!A36:A68,'Forecast-Volumes annuels import'!I36:I68)</f>
        <v>0</v>
      </c>
      <c r="AE31" s="90">
        <f>_xlfn.XLOOKUP(Données!$W31,'Forecast-Volumes annuels import'!A36:A68,'Forecast-Volumes annuels import'!J36:J68)</f>
        <v>0</v>
      </c>
      <c r="AF31" s="90">
        <f>_xlfn.XLOOKUP(Données!$W31,'Forecast-Volumes annuels import'!A36:A68,'Forecast-Volumes annuels import'!K36:K68)</f>
        <v>0</v>
      </c>
      <c r="AG31" s="90">
        <f>_xlfn.XLOOKUP(Données!$W31,'Forecast-Volumes annuels import'!A36:A68,'Forecast-Volumes annuels import'!L36:L68)</f>
        <v>0</v>
      </c>
      <c r="AH31" s="90">
        <f>_xlfn.XLOOKUP(Données!$W31,'Forecast-Volumes annuels import'!A36:A68,'Forecast-Volumes annuels import'!M36:M68)</f>
        <v>0</v>
      </c>
      <c r="AI31" s="90">
        <f>_xlfn.XLOOKUP(Données!$W31,'Forecast-Volumes annuels import'!A36:A68,'Forecast-Volumes annuels import'!N36:N68)</f>
        <v>0</v>
      </c>
      <c r="AJ31" s="91">
        <f t="shared" ref="AJ31:AJ35" si="10">SUM(X31:AI31)</f>
        <v>24000</v>
      </c>
      <c r="AK31" s="91">
        <f>Données!$AJ31/1000</f>
        <v>24</v>
      </c>
      <c r="AL31" s="110">
        <f>_xlfn.XLOOKUP(W31,'Previsionnels Importations'!A36:A63,'Previsionnels Importations'!D36:D63)</f>
        <v>0</v>
      </c>
      <c r="AM31" s="93">
        <f>_xlfn.XLOOKUP(W31,'Previsionnels Importations'!A36:A63,'Previsionnels Importations'!F36:F63)</f>
        <v>14287139.999999998</v>
      </c>
      <c r="AN31" s="93">
        <f>_xlfn.XLOOKUP(W31,'Previsionnels Importations'!A36:A63,'Previsionnels Importations'!H36:H63)</f>
        <v>0</v>
      </c>
      <c r="AO31" s="93">
        <f>_xlfn.XLOOKUP(W31,'Previsionnels Importations'!A36:A63,'Previsionnels Importations'!J36:J63)</f>
        <v>0</v>
      </c>
      <c r="AP31" s="93">
        <f>_xlfn.XLOOKUP(W31,'Previsionnels Importations'!A36:A63,'Previsionnels Importations'!L36:L63)</f>
        <v>0</v>
      </c>
      <c r="AQ31" s="93">
        <f>_xlfn.XLOOKUP(W31,'Previsionnels Importations'!A36:A63,'Previsionnels Importations'!N36:N63)</f>
        <v>0</v>
      </c>
      <c r="AR31" s="93">
        <f>_xlfn.XLOOKUP(W31,'Previsionnels Importations'!A36:A63,'Previsionnels Importations'!P36:P63)</f>
        <v>0</v>
      </c>
      <c r="AS31" s="93">
        <f>_xlfn.XLOOKUP(W31,'Previsionnels Importations'!A36:A63,'Previsionnels Importations'!R36:R63)</f>
        <v>0</v>
      </c>
      <c r="AT31" s="93">
        <f>_xlfn.XLOOKUP(W31,'Previsionnels Importations'!A36:A63,'Previsionnels Importations'!T36:T63)</f>
        <v>0</v>
      </c>
      <c r="AU31" s="93">
        <f>_xlfn.XLOOKUP(W31,'Previsionnels Importations'!A36:A63,'Previsionnels Importations'!V36:V63)</f>
        <v>0</v>
      </c>
      <c r="AV31" s="93">
        <f>_xlfn.XLOOKUP(W31,'Previsionnels Importations'!A36:A63,'Previsionnels Importations'!X36:X63)</f>
        <v>0</v>
      </c>
      <c r="AW31" s="93">
        <f>_xlfn.XLOOKUP(W31,'Previsionnels Importations'!A36:A63,'Previsionnels Importations'!Z36:Z63)</f>
        <v>0</v>
      </c>
      <c r="AX31" s="85">
        <f t="shared" si="6"/>
        <v>14287139.999999998</v>
      </c>
      <c r="AY31" s="85">
        <f>'CA prévisionnel annuel'!C35*'CA prévisionnel annuel'!D35</f>
        <v>72000</v>
      </c>
      <c r="AZ31" s="111">
        <f>_xlfn.XLOOKUP(W31,Ventes!A35:A67,Ventes!C35:C67)</f>
        <v>0</v>
      </c>
      <c r="BA31" s="95">
        <f>_xlfn.XLOOKUP(W31,Ventes!A35:A67,Ventes!D35:D67)</f>
        <v>0</v>
      </c>
      <c r="BB31" s="95">
        <f>_xlfn.XLOOKUP(W31,Ventes!A35:A67,Ventes!E35:E67)</f>
        <v>0</v>
      </c>
      <c r="BC31" s="95">
        <f>_xlfn.XLOOKUP(W31,Ventes!A35:A67,Ventes!F35:F67)</f>
        <v>0</v>
      </c>
      <c r="BD31" s="95">
        <f>_xlfn.XLOOKUP(W31,Ventes!A35:A67,Ventes!G35:G67)</f>
        <v>0</v>
      </c>
      <c r="BE31" s="95">
        <f>_xlfn.XLOOKUP(W31,Ventes!A35:A67,Ventes!H35:H67)</f>
        <v>0</v>
      </c>
      <c r="BF31" s="95">
        <f>_xlfn.XLOOKUP(W31,Ventes!A35:A67,Ventes!I35:I67)</f>
        <v>0</v>
      </c>
      <c r="BG31" s="95">
        <f>_xlfn.XLOOKUP(W31,Ventes!A35:A67,Ventes!J35:J67)</f>
        <v>0</v>
      </c>
      <c r="BH31" s="95">
        <f>_xlfn.XLOOKUP(W31,Ventes!A35:A67,Ventes!K35:K67)</f>
        <v>0</v>
      </c>
      <c r="BI31" s="95">
        <f>_xlfn.XLOOKUP(W31,Ventes!A35:A67,Ventes!L35:L67)</f>
        <v>0</v>
      </c>
      <c r="BJ31" s="95">
        <f>_xlfn.XLOOKUP(W31,Ventes!A35:A67,Ventes!M35:M67)</f>
        <v>0</v>
      </c>
      <c r="BK31" s="95">
        <f>_xlfn.XLOOKUP(W31,Ventes!A35:A67,Ventes!N35:N67)</f>
        <v>0</v>
      </c>
      <c r="BL31" s="95">
        <f t="shared" si="7"/>
        <v>0</v>
      </c>
      <c r="BM31" s="112">
        <f>BL31*_xlfn.XLOOKUP(W31,Tableau12[Produits],Tableau12[Prix unitaire € 2026])*145*1.19*1.15*1.9</f>
        <v>0</v>
      </c>
      <c r="BN31" s="113">
        <f>'Forecast-Volumes annuels import'!O36-Données!BL31</f>
        <v>24000</v>
      </c>
      <c r="BO31" s="98">
        <f>Ventes!R35</f>
        <v>0</v>
      </c>
      <c r="BP31" s="99">
        <f>BN31/1000</f>
        <v>24</v>
      </c>
    </row>
    <row r="32" spans="2:68" x14ac:dyDescent="0.35">
      <c r="B32" s="84" t="s">
        <v>146</v>
      </c>
      <c r="C32" s="85">
        <v>0</v>
      </c>
      <c r="D32" s="85">
        <v>3.5</v>
      </c>
      <c r="E32" s="85">
        <f t="shared" ref="E32:E37" si="11">D32*1000</f>
        <v>3500</v>
      </c>
      <c r="F32" s="85">
        <f>Tableau12[[#This Row],[Prix unitaire € 2026]]*100</f>
        <v>350</v>
      </c>
      <c r="G32" s="85">
        <f t="shared" ref="G32:G37" si="12">D32*145*1.19*1.15*1.5</f>
        <v>1041.7706249999997</v>
      </c>
      <c r="H32" s="74"/>
      <c r="W32" s="84" t="s">
        <v>146</v>
      </c>
      <c r="X32" s="90">
        <f>_xlfn.XLOOKUP(Données!$W32,'Forecast-Volumes annuels import'!A37:A69,'Forecast-Volumes annuels import'!C37:C69)</f>
        <v>0</v>
      </c>
      <c r="Y32" s="90">
        <f>_xlfn.XLOOKUP(Données!$W32,'Forecast-Volumes annuels import'!A37:A69,'Forecast-Volumes annuels import'!D37:D69)</f>
        <v>0</v>
      </c>
      <c r="Z32" s="90">
        <f>_xlfn.XLOOKUP(Données!$W32,'Forecast-Volumes annuels import'!A37:A69,'Forecast-Volumes annuels import'!E37:E69)</f>
        <v>0</v>
      </c>
      <c r="AA32" s="90">
        <f>_xlfn.XLOOKUP(Données!$W32,'Forecast-Volumes annuels import'!A37:A69,'Forecast-Volumes annuels import'!F37:F69)</f>
        <v>0</v>
      </c>
      <c r="AB32" s="90">
        <f>_xlfn.XLOOKUP(Données!$W32,'Forecast-Volumes annuels import'!A37:A69,'Forecast-Volumes annuels import'!G37:G69)</f>
        <v>0</v>
      </c>
      <c r="AC32" s="90">
        <f>_xlfn.XLOOKUP(Données!$W32,'Forecast-Volumes annuels import'!A37:A69,'Forecast-Volumes annuels import'!H37:H69)</f>
        <v>0</v>
      </c>
      <c r="AD32" s="90">
        <f>_xlfn.XLOOKUP(Données!$W32,'Forecast-Volumes annuels import'!A37:A69,'Forecast-Volumes annuels import'!I37:I69)</f>
        <v>24000</v>
      </c>
      <c r="AE32" s="90">
        <f>_xlfn.XLOOKUP(Données!$W32,'Forecast-Volumes annuels import'!A37:A69,'Forecast-Volumes annuels import'!J37:J69)</f>
        <v>0</v>
      </c>
      <c r="AF32" s="90">
        <f>_xlfn.XLOOKUP(Données!$W32,'Forecast-Volumes annuels import'!A37:A69,'Forecast-Volumes annuels import'!K37:K69)</f>
        <v>0</v>
      </c>
      <c r="AG32" s="90">
        <f>_xlfn.XLOOKUP(Données!$W32,'Forecast-Volumes annuels import'!A37:A69,'Forecast-Volumes annuels import'!L37:L69)</f>
        <v>0</v>
      </c>
      <c r="AH32" s="90">
        <f>_xlfn.XLOOKUP(Données!$W32,'Forecast-Volumes annuels import'!A37:A69,'Forecast-Volumes annuels import'!M37:M69)</f>
        <v>0</v>
      </c>
      <c r="AI32" s="90">
        <f>_xlfn.XLOOKUP(Données!$W32,'Forecast-Volumes annuels import'!A37:A69,'Forecast-Volumes annuels import'!N37:N69)</f>
        <v>0</v>
      </c>
      <c r="AJ32" s="91">
        <f t="shared" si="10"/>
        <v>24000</v>
      </c>
      <c r="AK32" s="91">
        <f>Données!$AJ32/1000</f>
        <v>24</v>
      </c>
      <c r="AL32" s="110">
        <f>_xlfn.XLOOKUP(W32,'Previsionnels Importations'!A37:A64,'Previsionnels Importations'!D37:D64)</f>
        <v>0</v>
      </c>
      <c r="AM32" s="93">
        <f>_xlfn.XLOOKUP(W32,'Previsionnels Importations'!A37:A64,'Previsionnels Importations'!F37:F64)</f>
        <v>0</v>
      </c>
      <c r="AN32" s="93">
        <f>_xlfn.XLOOKUP(W32,'Previsionnels Importations'!A37:A64,'Previsionnels Importations'!H37:H64)</f>
        <v>0</v>
      </c>
      <c r="AO32" s="93">
        <f>_xlfn.XLOOKUP(W32,'Previsionnels Importations'!A37:A64,'Previsionnels Importations'!J37:J64)</f>
        <v>0</v>
      </c>
      <c r="AP32" s="93">
        <f>_xlfn.XLOOKUP(W32,'Previsionnels Importations'!A37:A64,'Previsionnels Importations'!L37:L64)</f>
        <v>0</v>
      </c>
      <c r="AQ32" s="93">
        <f>_xlfn.XLOOKUP(W32,'Previsionnels Importations'!A37:A64,'Previsionnels Importations'!N37:N64)</f>
        <v>0</v>
      </c>
      <c r="AR32" s="93">
        <f>_xlfn.XLOOKUP(W32,'Previsionnels Importations'!A37:A64,'Previsionnels Importations'!P37:P64)</f>
        <v>16668329.999999998</v>
      </c>
      <c r="AS32" s="93">
        <f>_xlfn.XLOOKUP(W32,'Previsionnels Importations'!A37:A64,'Previsionnels Importations'!R37:R64)</f>
        <v>0</v>
      </c>
      <c r="AT32" s="93">
        <f>_xlfn.XLOOKUP(W32,'Previsionnels Importations'!A37:A64,'Previsionnels Importations'!T37:T64)</f>
        <v>0</v>
      </c>
      <c r="AU32" s="93">
        <f>_xlfn.XLOOKUP(W32,'Previsionnels Importations'!A37:A64,'Previsionnels Importations'!V37:V64)</f>
        <v>0</v>
      </c>
      <c r="AV32" s="93">
        <f>_xlfn.XLOOKUP(W32,'Previsionnels Importations'!A37:A64,'Previsionnels Importations'!X37:X64)</f>
        <v>0</v>
      </c>
      <c r="AW32" s="93">
        <f>_xlfn.XLOOKUP(W32,'Previsionnels Importations'!A37:A64,'Previsionnels Importations'!Z37:Z64)</f>
        <v>0</v>
      </c>
      <c r="AX32" s="85">
        <f t="shared" si="6"/>
        <v>16668329.999999998</v>
      </c>
      <c r="AY32" s="85">
        <f>'CA prévisionnel annuel'!C36*'CA prévisionnel annuel'!D36</f>
        <v>84000</v>
      </c>
      <c r="AZ32" s="111">
        <f>_xlfn.XLOOKUP(W32,Ventes!A36:A68,Ventes!C36:C68)</f>
        <v>0</v>
      </c>
      <c r="BA32" s="95">
        <f>_xlfn.XLOOKUP(W32,Ventes!A36:A68,Ventes!D36:D68)</f>
        <v>0</v>
      </c>
      <c r="BB32" s="95">
        <f>_xlfn.XLOOKUP(W32,Ventes!A36:A68,Ventes!E36:E68)</f>
        <v>0</v>
      </c>
      <c r="BC32" s="95">
        <f>_xlfn.XLOOKUP(W32,Ventes!A36:A68,Ventes!F36:F68)</f>
        <v>0</v>
      </c>
      <c r="BD32" s="95">
        <f>_xlfn.XLOOKUP(W32,Ventes!A36:A68,Ventes!G36:G68)</f>
        <v>0</v>
      </c>
      <c r="BE32" s="95">
        <f>_xlfn.XLOOKUP(W32,Ventes!A36:A68,Ventes!H36:H68)</f>
        <v>0</v>
      </c>
      <c r="BF32" s="95">
        <f>_xlfn.XLOOKUP(W32,Ventes!A36:A68,Ventes!I36:I68)</f>
        <v>0</v>
      </c>
      <c r="BG32" s="95">
        <f>_xlfn.XLOOKUP(W32,Ventes!A36:A68,Ventes!J36:J68)</f>
        <v>0</v>
      </c>
      <c r="BH32" s="95">
        <f>_xlfn.XLOOKUP(W32,Ventes!A36:A68,Ventes!K36:K68)</f>
        <v>0</v>
      </c>
      <c r="BI32" s="95">
        <f>_xlfn.XLOOKUP(W32,Ventes!A36:A68,Ventes!L36:L68)</f>
        <v>0</v>
      </c>
      <c r="BJ32" s="95">
        <f>_xlfn.XLOOKUP(W32,Ventes!A36:A68,Ventes!M36:M68)</f>
        <v>0</v>
      </c>
      <c r="BK32" s="95">
        <f>_xlfn.XLOOKUP(W32,Ventes!A36:A68,Ventes!N36:N68)</f>
        <v>0</v>
      </c>
      <c r="BL32" s="95">
        <f t="shared" si="7"/>
        <v>0</v>
      </c>
      <c r="BM32" s="112">
        <f>BL32*_xlfn.XLOOKUP(W32,Tableau12[Produits],Tableau12[Prix unitaire € 2026])*145*1.19*1.15*1.9</f>
        <v>0</v>
      </c>
      <c r="BN32" s="113">
        <f>'Forecast-Volumes annuels import'!O37-Données!BL32</f>
        <v>24000</v>
      </c>
      <c r="BO32" s="98">
        <f>Ventes!R36</f>
        <v>0</v>
      </c>
      <c r="BP32" s="99">
        <f t="shared" ref="BP32:BP37" si="13">BN32/1000</f>
        <v>24</v>
      </c>
    </row>
    <row r="33" spans="2:68" x14ac:dyDescent="0.35">
      <c r="B33" s="84" t="s">
        <v>147</v>
      </c>
      <c r="C33" s="85">
        <v>0</v>
      </c>
      <c r="D33" s="85">
        <v>2.5</v>
      </c>
      <c r="E33" s="85">
        <f t="shared" si="11"/>
        <v>2500</v>
      </c>
      <c r="F33" s="85">
        <f>Tableau12[[#This Row],[Prix unitaire € 2026]]*100</f>
        <v>250</v>
      </c>
      <c r="G33" s="85">
        <f t="shared" si="12"/>
        <v>744.12187499999993</v>
      </c>
      <c r="H33" s="74"/>
      <c r="W33" s="84" t="s">
        <v>147</v>
      </c>
      <c r="X33" s="90">
        <f>_xlfn.XLOOKUP(Données!$W33,'Forecast-Volumes annuels import'!A38:A70,'Forecast-Volumes annuels import'!C38:C70)</f>
        <v>0</v>
      </c>
      <c r="Y33" s="90">
        <f>_xlfn.XLOOKUP(Données!$W33,'Forecast-Volumes annuels import'!A38:A70,'Forecast-Volumes annuels import'!D38:D70)</f>
        <v>0</v>
      </c>
      <c r="Z33" s="90">
        <f>_xlfn.XLOOKUP(Données!$W33,'Forecast-Volumes annuels import'!A38:A70,'Forecast-Volumes annuels import'!E38:E70)</f>
        <v>0</v>
      </c>
      <c r="AA33" s="90">
        <f>_xlfn.XLOOKUP(Données!$W33,'Forecast-Volumes annuels import'!A38:A70,'Forecast-Volumes annuels import'!F38:F70)</f>
        <v>0</v>
      </c>
      <c r="AB33" s="90">
        <f>_xlfn.XLOOKUP(Données!$W33,'Forecast-Volumes annuels import'!A38:A70,'Forecast-Volumes annuels import'!G38:G70)</f>
        <v>0</v>
      </c>
      <c r="AC33" s="90">
        <f>_xlfn.XLOOKUP(Données!$W33,'Forecast-Volumes annuels import'!A38:A70,'Forecast-Volumes annuels import'!H38:H70)</f>
        <v>0</v>
      </c>
      <c r="AD33" s="90">
        <f>_xlfn.XLOOKUP(Données!$W33,'Forecast-Volumes annuels import'!A38:A70,'Forecast-Volumes annuels import'!I38:I70)</f>
        <v>0</v>
      </c>
      <c r="AE33" s="90">
        <f>_xlfn.XLOOKUP(Données!$W33,'Forecast-Volumes annuels import'!A38:A70,'Forecast-Volumes annuels import'!J38:J70)</f>
        <v>0</v>
      </c>
      <c r="AF33" s="90">
        <f>_xlfn.XLOOKUP(Données!$W33,'Forecast-Volumes annuels import'!A38:A70,'Forecast-Volumes annuels import'!K38:K70)</f>
        <v>0</v>
      </c>
      <c r="AG33" s="90">
        <f>_xlfn.XLOOKUP(Données!$W33,'Forecast-Volumes annuels import'!A38:A70,'Forecast-Volumes annuels import'!L38:L70)</f>
        <v>24000</v>
      </c>
      <c r="AH33" s="90">
        <f>_xlfn.XLOOKUP(Données!$W33,'Forecast-Volumes annuels import'!A38:A70,'Forecast-Volumes annuels import'!M38:M70)</f>
        <v>0</v>
      </c>
      <c r="AI33" s="90">
        <f>_xlfn.XLOOKUP(Données!$W33,'Forecast-Volumes annuels import'!A38:A70,'Forecast-Volumes annuels import'!N38:N70)</f>
        <v>0</v>
      </c>
      <c r="AJ33" s="91">
        <f t="shared" si="10"/>
        <v>24000</v>
      </c>
      <c r="AK33" s="91">
        <f>Données!$AJ33/1000</f>
        <v>24</v>
      </c>
      <c r="AL33" s="110">
        <f>_xlfn.XLOOKUP(W33,'Previsionnels Importations'!A38:A65,'Previsionnels Importations'!D38:D65)</f>
        <v>0</v>
      </c>
      <c r="AM33" s="93">
        <f>_xlfn.XLOOKUP(W33,'Previsionnels Importations'!A38:A65,'Previsionnels Importations'!F38:F65)</f>
        <v>0</v>
      </c>
      <c r="AN33" s="93">
        <f>_xlfn.XLOOKUP(W33,'Previsionnels Importations'!A38:A65,'Previsionnels Importations'!H38:H65)</f>
        <v>0</v>
      </c>
      <c r="AO33" s="93">
        <f>_xlfn.XLOOKUP(W33,'Previsionnels Importations'!A38:A65,'Previsionnels Importations'!J38:J65)</f>
        <v>0</v>
      </c>
      <c r="AP33" s="93">
        <f>_xlfn.XLOOKUP(W33,'Previsionnels Importations'!A38:A65,'Previsionnels Importations'!L38:L65)</f>
        <v>0</v>
      </c>
      <c r="AQ33" s="93">
        <f>_xlfn.XLOOKUP(W33,'Previsionnels Importations'!A38:A65,'Previsionnels Importations'!N38:N65)</f>
        <v>0</v>
      </c>
      <c r="AR33" s="93">
        <f>_xlfn.XLOOKUP(W33,'Previsionnels Importations'!A38:A65,'Previsionnels Importations'!P38:P65)</f>
        <v>0</v>
      </c>
      <c r="AS33" s="93">
        <f>_xlfn.XLOOKUP(W33,'Previsionnels Importations'!A38:A65,'Previsionnels Importations'!R38:R65)</f>
        <v>0</v>
      </c>
      <c r="AT33" s="93">
        <f>_xlfn.XLOOKUP(W33,'Previsionnels Importations'!A38:A65,'Previsionnels Importations'!T38:T65)</f>
        <v>0</v>
      </c>
      <c r="AU33" s="93">
        <f>_xlfn.XLOOKUP(W33,'Previsionnels Importations'!A38:A65,'Previsionnels Importations'!V38:V65)</f>
        <v>11905950</v>
      </c>
      <c r="AV33" s="93">
        <f>_xlfn.XLOOKUP(W33,'Previsionnels Importations'!A38:A65,'Previsionnels Importations'!X38:X65)</f>
        <v>0</v>
      </c>
      <c r="AW33" s="93">
        <f>_xlfn.XLOOKUP(W33,'Previsionnels Importations'!A38:A65,'Previsionnels Importations'!Z38:Z65)</f>
        <v>0</v>
      </c>
      <c r="AX33" s="85">
        <f t="shared" si="6"/>
        <v>11905950</v>
      </c>
      <c r="AY33" s="85">
        <f>'CA prévisionnel annuel'!C37*'CA prévisionnel annuel'!D37</f>
        <v>60000</v>
      </c>
      <c r="AZ33" s="111">
        <f>_xlfn.XLOOKUP(W33,Ventes!A37:A69,Ventes!C37:C69)</f>
        <v>0</v>
      </c>
      <c r="BA33" s="95">
        <f>_xlfn.XLOOKUP(W33,Ventes!A37:A69,Ventes!D37:D69)</f>
        <v>0</v>
      </c>
      <c r="BB33" s="95">
        <f>_xlfn.XLOOKUP(W33,Ventes!A37:A69,Ventes!E37:E69)</f>
        <v>0</v>
      </c>
      <c r="BC33" s="95">
        <f>_xlfn.XLOOKUP(W33,Ventes!A37:A69,Ventes!F37:F69)</f>
        <v>0</v>
      </c>
      <c r="BD33" s="95">
        <f>_xlfn.XLOOKUP(W33,Ventes!A37:A69,Ventes!G37:G69)</f>
        <v>0</v>
      </c>
      <c r="BE33" s="95">
        <f>_xlfn.XLOOKUP(W33,Ventes!A37:A69,Ventes!H37:H69)</f>
        <v>0</v>
      </c>
      <c r="BF33" s="95">
        <f>_xlfn.XLOOKUP(W33,Ventes!A37:A69,Ventes!I37:I69)</f>
        <v>0</v>
      </c>
      <c r="BG33" s="95">
        <f>_xlfn.XLOOKUP(W33,Ventes!A37:A69,Ventes!J37:J69)</f>
        <v>0</v>
      </c>
      <c r="BH33" s="95">
        <f>_xlfn.XLOOKUP(W33,Ventes!A37:A69,Ventes!K37:K69)</f>
        <v>0</v>
      </c>
      <c r="BI33" s="95">
        <f>_xlfn.XLOOKUP(W33,Ventes!A37:A69,Ventes!L37:L69)</f>
        <v>0</v>
      </c>
      <c r="BJ33" s="95">
        <f>_xlfn.XLOOKUP(W33,Ventes!A37:A69,Ventes!M37:M69)</f>
        <v>0</v>
      </c>
      <c r="BK33" s="95">
        <f>_xlfn.XLOOKUP(W33,Ventes!A37:A69,Ventes!N37:N69)</f>
        <v>0</v>
      </c>
      <c r="BL33" s="95">
        <f t="shared" si="7"/>
        <v>0</v>
      </c>
      <c r="BM33" s="112">
        <f>BL33*_xlfn.XLOOKUP(W33,Tableau12[Produits],Tableau12[Prix unitaire € 2026])*145*1.19*1.15*1.9</f>
        <v>0</v>
      </c>
      <c r="BN33" s="113">
        <f>'Forecast-Volumes annuels import'!O38-Données!BL33</f>
        <v>24000</v>
      </c>
      <c r="BO33" s="98">
        <f>Ventes!R37</f>
        <v>0</v>
      </c>
      <c r="BP33" s="99">
        <f t="shared" si="13"/>
        <v>24</v>
      </c>
    </row>
    <row r="34" spans="2:68" x14ac:dyDescent="0.35">
      <c r="B34" s="84" t="s">
        <v>148</v>
      </c>
      <c r="C34" s="85">
        <v>0</v>
      </c>
      <c r="D34" s="85">
        <v>3.2</v>
      </c>
      <c r="E34" s="85">
        <f t="shared" si="11"/>
        <v>3200</v>
      </c>
      <c r="F34" s="85">
        <f>Tableau12[[#This Row],[Prix unitaire € 2026]]*100</f>
        <v>320</v>
      </c>
      <c r="G34" s="85">
        <f t="shared" si="12"/>
        <v>952.47599999999989</v>
      </c>
      <c r="H34" s="74"/>
      <c r="W34" s="84" t="s">
        <v>148</v>
      </c>
      <c r="X34" s="90">
        <f>_xlfn.XLOOKUP(Données!$W34,'Forecast-Volumes annuels import'!A39:A71,'Forecast-Volumes annuels import'!C39:C71)</f>
        <v>0</v>
      </c>
      <c r="Y34" s="90">
        <f>_xlfn.XLOOKUP(Données!$W34,'Forecast-Volumes annuels import'!A39:A71,'Forecast-Volumes annuels import'!D39:D71)</f>
        <v>24000</v>
      </c>
      <c r="Z34" s="90">
        <f>_xlfn.XLOOKUP(Données!$W34,'Forecast-Volumes annuels import'!A39:A71,'Forecast-Volumes annuels import'!E39:E71)</f>
        <v>0</v>
      </c>
      <c r="AA34" s="90">
        <f>_xlfn.XLOOKUP(Données!$W34,'Forecast-Volumes annuels import'!A39:A71,'Forecast-Volumes annuels import'!F39:F71)</f>
        <v>0</v>
      </c>
      <c r="AB34" s="90">
        <f>_xlfn.XLOOKUP(Données!$W34,'Forecast-Volumes annuels import'!A39:A71,'Forecast-Volumes annuels import'!G39:G71)</f>
        <v>0</v>
      </c>
      <c r="AC34" s="90">
        <f>_xlfn.XLOOKUP(Données!$W34,'Forecast-Volumes annuels import'!A39:A71,'Forecast-Volumes annuels import'!H39:H71)</f>
        <v>0</v>
      </c>
      <c r="AD34" s="90">
        <f>_xlfn.XLOOKUP(Données!$W34,'Forecast-Volumes annuels import'!A39:A71,'Forecast-Volumes annuels import'!I39:I71)</f>
        <v>0</v>
      </c>
      <c r="AE34" s="90">
        <f>_xlfn.XLOOKUP(Données!$W34,'Forecast-Volumes annuels import'!A39:A71,'Forecast-Volumes annuels import'!J39:J71)</f>
        <v>0</v>
      </c>
      <c r="AF34" s="90">
        <f>_xlfn.XLOOKUP(Données!$W34,'Forecast-Volumes annuels import'!A39:A71,'Forecast-Volumes annuels import'!K39:K71)</f>
        <v>0</v>
      </c>
      <c r="AG34" s="90">
        <f>_xlfn.XLOOKUP(Données!$W34,'Forecast-Volumes annuels import'!A39:A71,'Forecast-Volumes annuels import'!L39:L71)</f>
        <v>0</v>
      </c>
      <c r="AH34" s="90">
        <f>_xlfn.XLOOKUP(Données!$W34,'Forecast-Volumes annuels import'!A39:A71,'Forecast-Volumes annuels import'!M39:M71)</f>
        <v>0</v>
      </c>
      <c r="AI34" s="90">
        <f>_xlfn.XLOOKUP(Données!$W34,'Forecast-Volumes annuels import'!A39:A71,'Forecast-Volumes annuels import'!N39:N71)</f>
        <v>0</v>
      </c>
      <c r="AJ34" s="91">
        <f t="shared" si="10"/>
        <v>24000</v>
      </c>
      <c r="AK34" s="91">
        <f>Données!$AJ34/1000</f>
        <v>24</v>
      </c>
      <c r="AL34" s="110">
        <f>_xlfn.XLOOKUP(W34,'Previsionnels Importations'!A39:A66,'Previsionnels Importations'!D39:D66)</f>
        <v>0</v>
      </c>
      <c r="AM34" s="93">
        <f>_xlfn.XLOOKUP(W34,'Previsionnels Importations'!A39:A66,'Previsionnels Importations'!F39:F66)</f>
        <v>15239615.999999998</v>
      </c>
      <c r="AN34" s="93">
        <f>_xlfn.XLOOKUP(W34,'Previsionnels Importations'!A39:A66,'Previsionnels Importations'!H39:H66)</f>
        <v>0</v>
      </c>
      <c r="AO34" s="93">
        <f>_xlfn.XLOOKUP(W34,'Previsionnels Importations'!A39:A66,'Previsionnels Importations'!J39:J66)</f>
        <v>0</v>
      </c>
      <c r="AP34" s="93">
        <f>_xlfn.XLOOKUP(W34,'Previsionnels Importations'!A39:A66,'Previsionnels Importations'!L39:L66)</f>
        <v>0</v>
      </c>
      <c r="AQ34" s="93">
        <f>_xlfn.XLOOKUP(W34,'Previsionnels Importations'!A39:A66,'Previsionnels Importations'!N39:N66)</f>
        <v>0</v>
      </c>
      <c r="AR34" s="93">
        <f>_xlfn.XLOOKUP(W34,'Previsionnels Importations'!A39:A66,'Previsionnels Importations'!P39:P66)</f>
        <v>0</v>
      </c>
      <c r="AS34" s="93">
        <f>_xlfn.XLOOKUP(W34,'Previsionnels Importations'!A39:A66,'Previsionnels Importations'!R39:R66)</f>
        <v>0</v>
      </c>
      <c r="AT34" s="93">
        <f>_xlfn.XLOOKUP(W34,'Previsionnels Importations'!A39:A66,'Previsionnels Importations'!T39:T66)</f>
        <v>0</v>
      </c>
      <c r="AU34" s="93">
        <f>_xlfn.XLOOKUP(W34,'Previsionnels Importations'!A39:A66,'Previsionnels Importations'!V39:V66)</f>
        <v>0</v>
      </c>
      <c r="AV34" s="93">
        <f>_xlfn.XLOOKUP(W34,'Previsionnels Importations'!A39:A66,'Previsionnels Importations'!X39:X66)</f>
        <v>0</v>
      </c>
      <c r="AW34" s="93">
        <f>_xlfn.XLOOKUP(W34,'Previsionnels Importations'!A39:A66,'Previsionnels Importations'!Z39:Z66)</f>
        <v>0</v>
      </c>
      <c r="AX34" s="85">
        <f t="shared" si="6"/>
        <v>15239615.999999998</v>
      </c>
      <c r="AY34" s="85">
        <f>'CA prévisionnel annuel'!C38*'CA prévisionnel annuel'!D38</f>
        <v>76800</v>
      </c>
      <c r="AZ34" s="111">
        <f>_xlfn.XLOOKUP(W34,Ventes!A38:A70,Ventes!C38:C70)</f>
        <v>0</v>
      </c>
      <c r="BA34" s="95">
        <f>_xlfn.XLOOKUP(W34,Ventes!A38:A70,Ventes!D38:D70)</f>
        <v>0</v>
      </c>
      <c r="BB34" s="95">
        <f>_xlfn.XLOOKUP(W34,Ventes!A38:A70,Ventes!E38:E70)</f>
        <v>0</v>
      </c>
      <c r="BC34" s="95">
        <f>_xlfn.XLOOKUP(W34,Ventes!A38:A70,Ventes!F38:F70)</f>
        <v>0</v>
      </c>
      <c r="BD34" s="95">
        <f>_xlfn.XLOOKUP(W34,Ventes!A38:A70,Ventes!G38:G70)</f>
        <v>0</v>
      </c>
      <c r="BE34" s="95">
        <f>_xlfn.XLOOKUP(W34,Ventes!A38:A70,Ventes!H38:H70)</f>
        <v>0</v>
      </c>
      <c r="BF34" s="95">
        <f>_xlfn.XLOOKUP(W34,Ventes!A38:A70,Ventes!I38:I70)</f>
        <v>0</v>
      </c>
      <c r="BG34" s="95">
        <f>_xlfn.XLOOKUP(W34,Ventes!A38:A70,Ventes!J38:J70)</f>
        <v>0</v>
      </c>
      <c r="BH34" s="95">
        <f>_xlfn.XLOOKUP(W34,Ventes!A38:A70,Ventes!K38:K70)</f>
        <v>0</v>
      </c>
      <c r="BI34" s="95">
        <f>_xlfn.XLOOKUP(W34,Ventes!A38:A70,Ventes!L38:L70)</f>
        <v>0</v>
      </c>
      <c r="BJ34" s="95">
        <f>_xlfn.XLOOKUP(W34,Ventes!A38:A70,Ventes!M38:M70)</f>
        <v>0</v>
      </c>
      <c r="BK34" s="95">
        <f>_xlfn.XLOOKUP(W34,Ventes!A38:A70,Ventes!N38:N70)</f>
        <v>0</v>
      </c>
      <c r="BL34" s="95">
        <f t="shared" si="7"/>
        <v>0</v>
      </c>
      <c r="BM34" s="112">
        <f>BL34*_xlfn.XLOOKUP(W34,Tableau12[Produits],Tableau12[Prix unitaire € 2026])*145*1.19*1.15*1.9</f>
        <v>0</v>
      </c>
      <c r="BN34" s="113">
        <f>'Forecast-Volumes annuels import'!O39-Données!BL34</f>
        <v>24000</v>
      </c>
      <c r="BO34" s="98">
        <f>Ventes!R38</f>
        <v>0</v>
      </c>
      <c r="BP34" s="99">
        <f t="shared" si="13"/>
        <v>24</v>
      </c>
    </row>
    <row r="35" spans="2:68" x14ac:dyDescent="0.35">
      <c r="B35" s="84" t="s">
        <v>149</v>
      </c>
      <c r="C35" s="85">
        <v>0</v>
      </c>
      <c r="D35" s="85">
        <v>3</v>
      </c>
      <c r="E35" s="85">
        <f t="shared" si="11"/>
        <v>3000</v>
      </c>
      <c r="F35" s="85">
        <f>Tableau12[[#This Row],[Prix unitaire € 2026]]*100</f>
        <v>300</v>
      </c>
      <c r="G35" s="85">
        <f t="shared" si="12"/>
        <v>892.94624999999985</v>
      </c>
      <c r="H35" s="74"/>
      <c r="W35" s="84" t="s">
        <v>149</v>
      </c>
      <c r="X35" s="90">
        <f>_xlfn.XLOOKUP(Données!$W35,'Forecast-Volumes annuels import'!A40:A72,'Forecast-Volumes annuels import'!C40:C72)</f>
        <v>0</v>
      </c>
      <c r="Y35" s="90">
        <f>_xlfn.XLOOKUP(Données!$W35,'Forecast-Volumes annuels import'!A40:A72,'Forecast-Volumes annuels import'!D40:D72)</f>
        <v>0</v>
      </c>
      <c r="Z35" s="90">
        <f>_xlfn.XLOOKUP(Données!$W35,'Forecast-Volumes annuels import'!A40:A72,'Forecast-Volumes annuels import'!E40:E72)</f>
        <v>0</v>
      </c>
      <c r="AA35" s="90">
        <f>_xlfn.XLOOKUP(Données!$W35,'Forecast-Volumes annuels import'!A40:A72,'Forecast-Volumes annuels import'!F40:F72)</f>
        <v>0</v>
      </c>
      <c r="AB35" s="90">
        <f>_xlfn.XLOOKUP(Données!$W35,'Forecast-Volumes annuels import'!A40:A72,'Forecast-Volumes annuels import'!G40:G72)</f>
        <v>0</v>
      </c>
      <c r="AC35" s="90">
        <f>_xlfn.XLOOKUP(Données!$W35,'Forecast-Volumes annuels import'!A40:A72,'Forecast-Volumes annuels import'!H40:H72)</f>
        <v>0</v>
      </c>
      <c r="AD35" s="90">
        <f>_xlfn.XLOOKUP(Données!$W35,'Forecast-Volumes annuels import'!A40:A72,'Forecast-Volumes annuels import'!I40:I72)</f>
        <v>0</v>
      </c>
      <c r="AE35" s="90">
        <f>_xlfn.XLOOKUP(Données!$W35,'Forecast-Volumes annuels import'!A40:A72,'Forecast-Volumes annuels import'!J40:J72)</f>
        <v>0</v>
      </c>
      <c r="AF35" s="90">
        <f>_xlfn.XLOOKUP(Données!$W35,'Forecast-Volumes annuels import'!A40:A72,'Forecast-Volumes annuels import'!K40:K72)</f>
        <v>0</v>
      </c>
      <c r="AG35" s="90">
        <f>_xlfn.XLOOKUP(Données!$W35,'Forecast-Volumes annuels import'!A40:A72,'Forecast-Volumes annuels import'!L40:L72)</f>
        <v>0</v>
      </c>
      <c r="AH35" s="90">
        <f>_xlfn.XLOOKUP(Données!$W35,'Forecast-Volumes annuels import'!A40:A72,'Forecast-Volumes annuels import'!M40:M72)</f>
        <v>0</v>
      </c>
      <c r="AI35" s="90">
        <f>_xlfn.XLOOKUP(Données!$W35,'Forecast-Volumes annuels import'!A40:A72,'Forecast-Volumes annuels import'!N40:N72)</f>
        <v>24000</v>
      </c>
      <c r="AJ35" s="91">
        <f t="shared" si="10"/>
        <v>24000</v>
      </c>
      <c r="AK35" s="91">
        <f>Données!$AJ35/1000</f>
        <v>24</v>
      </c>
      <c r="AL35" s="110">
        <f>_xlfn.XLOOKUP(W35,'Previsionnels Importations'!A40:A67,'Previsionnels Importations'!D40:D67)</f>
        <v>0</v>
      </c>
      <c r="AM35" s="93">
        <f>_xlfn.XLOOKUP(W35,'Previsionnels Importations'!A40:A67,'Previsionnels Importations'!F40:F67)</f>
        <v>0</v>
      </c>
      <c r="AN35" s="93">
        <f>_xlfn.XLOOKUP(W35,'Previsionnels Importations'!A40:A67,'Previsionnels Importations'!H40:H67)</f>
        <v>0</v>
      </c>
      <c r="AO35" s="93">
        <f>_xlfn.XLOOKUP(W35,'Previsionnels Importations'!A40:A67,'Previsionnels Importations'!J40:J67)</f>
        <v>0</v>
      </c>
      <c r="AP35" s="93">
        <f>_xlfn.XLOOKUP(W35,'Previsionnels Importations'!A40:A67,'Previsionnels Importations'!L40:L67)</f>
        <v>0</v>
      </c>
      <c r="AQ35" s="93">
        <f>_xlfn.XLOOKUP(W35,'Previsionnels Importations'!A40:A67,'Previsionnels Importations'!N40:N67)</f>
        <v>0</v>
      </c>
      <c r="AR35" s="93">
        <f>_xlfn.XLOOKUP(W35,'Previsionnels Importations'!A40:A67,'Previsionnels Importations'!P40:P67)</f>
        <v>0</v>
      </c>
      <c r="AS35" s="93">
        <f>_xlfn.XLOOKUP(W35,'Previsionnels Importations'!A40:A67,'Previsionnels Importations'!R40:R67)</f>
        <v>0</v>
      </c>
      <c r="AT35" s="93">
        <f>_xlfn.XLOOKUP(W35,'Previsionnels Importations'!A40:A67,'Previsionnels Importations'!T40:T67)</f>
        <v>0</v>
      </c>
      <c r="AU35" s="93">
        <f>_xlfn.XLOOKUP(W35,'Previsionnels Importations'!A40:A67,'Previsionnels Importations'!V40:V67)</f>
        <v>0</v>
      </c>
      <c r="AV35" s="93">
        <f>_xlfn.XLOOKUP(W35,'Previsionnels Importations'!A40:A67,'Previsionnels Importations'!X40:X67)</f>
        <v>0</v>
      </c>
      <c r="AW35" s="93">
        <f>_xlfn.XLOOKUP(W35,'Previsionnels Importations'!A40:A67,'Previsionnels Importations'!Z40:Z67)</f>
        <v>14287139.999999998</v>
      </c>
      <c r="AX35" s="85">
        <f t="shared" si="6"/>
        <v>14287139.999999998</v>
      </c>
      <c r="AY35" s="85">
        <f>'CA prévisionnel annuel'!C39*'CA prévisionnel annuel'!D39</f>
        <v>72000</v>
      </c>
      <c r="AZ35" s="111">
        <f>_xlfn.XLOOKUP(W35,Ventes!A39:A71,Ventes!C39:C71)</f>
        <v>0</v>
      </c>
      <c r="BA35" s="95">
        <f>_xlfn.XLOOKUP(W35,Ventes!A39:A71,Ventes!D39:D71)</f>
        <v>0</v>
      </c>
      <c r="BB35" s="95">
        <f>_xlfn.XLOOKUP(W35,Ventes!A39:A71,Ventes!E39:E71)</f>
        <v>0</v>
      </c>
      <c r="BC35" s="95">
        <f>_xlfn.XLOOKUP(W35,Ventes!A39:A71,Ventes!F39:F71)</f>
        <v>0</v>
      </c>
      <c r="BD35" s="95">
        <f>_xlfn.XLOOKUP(W35,Ventes!A39:A71,Ventes!G39:G71)</f>
        <v>0</v>
      </c>
      <c r="BE35" s="95">
        <f>_xlfn.XLOOKUP(W35,Ventes!A39:A71,Ventes!H39:H71)</f>
        <v>0</v>
      </c>
      <c r="BF35" s="95">
        <f>_xlfn.XLOOKUP(W35,Ventes!A39:A71,Ventes!I39:I71)</f>
        <v>0</v>
      </c>
      <c r="BG35" s="95">
        <f>_xlfn.XLOOKUP(W35,Ventes!A39:A71,Ventes!J39:J71)</f>
        <v>0</v>
      </c>
      <c r="BH35" s="95">
        <f>_xlfn.XLOOKUP(W35,Ventes!A39:A71,Ventes!K39:K71)</f>
        <v>0</v>
      </c>
      <c r="BI35" s="95">
        <f>_xlfn.XLOOKUP(W35,Ventes!A39:A71,Ventes!L39:L71)</f>
        <v>0</v>
      </c>
      <c r="BJ35" s="95">
        <f>_xlfn.XLOOKUP(W35,Ventes!A39:A71,Ventes!M39:M71)</f>
        <v>0</v>
      </c>
      <c r="BK35" s="95">
        <f>_xlfn.XLOOKUP(W35,Ventes!A39:A71,Ventes!N39:N71)</f>
        <v>0</v>
      </c>
      <c r="BL35" s="95">
        <f t="shared" si="7"/>
        <v>0</v>
      </c>
      <c r="BM35" s="112">
        <f>BL35*_xlfn.XLOOKUP(W35,Tableau12[Produits],Tableau12[Prix unitaire € 2026])*145*1.19*1.15*1.9</f>
        <v>0</v>
      </c>
      <c r="BN35" s="113">
        <f>'Forecast-Volumes annuels import'!O40-Données!BL35</f>
        <v>24000</v>
      </c>
      <c r="BO35" s="98">
        <f>Ventes!R39</f>
        <v>0</v>
      </c>
      <c r="BP35" s="99">
        <f t="shared" si="13"/>
        <v>24</v>
      </c>
    </row>
    <row r="36" spans="2:68" x14ac:dyDescent="0.35">
      <c r="B36" s="84" t="s">
        <v>150</v>
      </c>
      <c r="C36" s="85">
        <v>0</v>
      </c>
      <c r="D36" s="85">
        <f>C36*(1+10%)</f>
        <v>0</v>
      </c>
      <c r="E36" s="85">
        <f t="shared" si="11"/>
        <v>0</v>
      </c>
      <c r="F36" s="85">
        <f>Tableau12[[#This Row],[Prix unitaire € 2026]]*100</f>
        <v>0</v>
      </c>
      <c r="G36" s="85">
        <f t="shared" si="12"/>
        <v>0</v>
      </c>
      <c r="H36" s="74"/>
      <c r="W36" s="84" t="s">
        <v>150</v>
      </c>
      <c r="X36" s="90">
        <f>_xlfn.XLOOKUP(Données!$W36,'Forecast-Volumes annuels import'!A41:A87,'Forecast-Volumes annuels import'!C41:C87)</f>
        <v>0</v>
      </c>
      <c r="Y36" s="90">
        <f>_xlfn.XLOOKUP(Données!$W36,'Forecast-Volumes annuels import'!A41:A87,'Forecast-Volumes annuels import'!D41:D87)</f>
        <v>1000</v>
      </c>
      <c r="Z36" s="90">
        <f>_xlfn.XLOOKUP(Données!$W36,'Forecast-Volumes annuels import'!A41:A87,'Forecast-Volumes annuels import'!E41:E87)</f>
        <v>0</v>
      </c>
      <c r="AA36" s="90">
        <f>_xlfn.XLOOKUP(Données!$W36,'Forecast-Volumes annuels import'!A41:A87,'Forecast-Volumes annuels import'!F41:F87)</f>
        <v>0</v>
      </c>
      <c r="AB36" s="90">
        <f>_xlfn.XLOOKUP(Données!$W36,'Forecast-Volumes annuels import'!A41:A87,'Forecast-Volumes annuels import'!G41:G87)</f>
        <v>0</v>
      </c>
      <c r="AC36" s="90">
        <f>_xlfn.XLOOKUP(Données!$W36,'Forecast-Volumes annuels import'!A41:A87,'Forecast-Volumes annuels import'!H41:H87)</f>
        <v>0</v>
      </c>
      <c r="AD36" s="90">
        <f>_xlfn.XLOOKUP(Données!$W36,'Forecast-Volumes annuels import'!A41:A87,'Forecast-Volumes annuels import'!I41:I87)</f>
        <v>0</v>
      </c>
      <c r="AE36" s="90">
        <f>_xlfn.XLOOKUP(Données!$W36,'Forecast-Volumes annuels import'!A41:A87,'Forecast-Volumes annuels import'!J41:J87)</f>
        <v>0</v>
      </c>
      <c r="AF36" s="90">
        <f>_xlfn.XLOOKUP(Données!$W36,'Forecast-Volumes annuels import'!A41:A87,'Forecast-Volumes annuels import'!K41:K87)</f>
        <v>0</v>
      </c>
      <c r="AG36" s="90">
        <f>_xlfn.XLOOKUP(Données!$W36,'Forecast-Volumes annuels import'!A41:A87,'Forecast-Volumes annuels import'!L41:L87)</f>
        <v>0</v>
      </c>
      <c r="AH36" s="90">
        <f>_xlfn.XLOOKUP(Données!$W36,'Forecast-Volumes annuels import'!A41:A87,'Forecast-Volumes annuels import'!M41:M87)</f>
        <v>0</v>
      </c>
      <c r="AI36" s="90">
        <f>_xlfn.XLOOKUP(Données!$W36,'Forecast-Volumes annuels import'!A41:A87,'Forecast-Volumes annuels import'!N41:N87)</f>
        <v>0</v>
      </c>
      <c r="AJ36" s="91">
        <f>SUM(X36:AI36)</f>
        <v>1000</v>
      </c>
      <c r="AK36" s="91">
        <f>Données!$AJ36/1000</f>
        <v>1</v>
      </c>
      <c r="AL36" s="110">
        <f>_xlfn.XLOOKUP(W36,'Previsionnels Importations'!A41:A68,'Previsionnels Importations'!D41:D68)</f>
        <v>0</v>
      </c>
      <c r="AM36" s="93">
        <f>_xlfn.XLOOKUP(W36,'Previsionnels Importations'!A41:A68,'Previsionnels Importations'!F41:F68)</f>
        <v>0</v>
      </c>
      <c r="AN36" s="93">
        <f>_xlfn.XLOOKUP(W36,'Previsionnels Importations'!A41:A68,'Previsionnels Importations'!H41:H68)</f>
        <v>0</v>
      </c>
      <c r="AO36" s="93">
        <f>_xlfn.XLOOKUP(W36,'Previsionnels Importations'!A41:A68,'Previsionnels Importations'!J41:J68)</f>
        <v>0</v>
      </c>
      <c r="AP36" s="93">
        <f>_xlfn.XLOOKUP(W36,'Previsionnels Importations'!A41:A68,'Previsionnels Importations'!L41:L68)</f>
        <v>0</v>
      </c>
      <c r="AQ36" s="93">
        <f>_xlfn.XLOOKUP(W36,'Previsionnels Importations'!A41:A68,'Previsionnels Importations'!N41:N68)</f>
        <v>0</v>
      </c>
      <c r="AR36" s="93">
        <f>_xlfn.XLOOKUP(W36,'Previsionnels Importations'!A41:A68,'Previsionnels Importations'!P41:P68)</f>
        <v>0</v>
      </c>
      <c r="AS36" s="93">
        <f>_xlfn.XLOOKUP(W36,'Previsionnels Importations'!A41:A68,'Previsionnels Importations'!R41:R68)</f>
        <v>0</v>
      </c>
      <c r="AT36" s="93">
        <f>_xlfn.XLOOKUP(W36,'Previsionnels Importations'!A41:A68,'Previsionnels Importations'!T41:T68)</f>
        <v>0</v>
      </c>
      <c r="AU36" s="93">
        <f>_xlfn.XLOOKUP(W36,'Previsionnels Importations'!A41:A68,'Previsionnels Importations'!V41:V68)</f>
        <v>0</v>
      </c>
      <c r="AV36" s="93">
        <f>_xlfn.XLOOKUP(W36,'Previsionnels Importations'!A41:A68,'Previsionnels Importations'!X41:X68)</f>
        <v>0</v>
      </c>
      <c r="AW36" s="93">
        <f>_xlfn.XLOOKUP(W36,'Previsionnels Importations'!A41:A68,'Previsionnels Importations'!Z41:Z68)</f>
        <v>0</v>
      </c>
      <c r="AX36" s="85">
        <f t="shared" si="6"/>
        <v>0</v>
      </c>
      <c r="AY36" s="85">
        <f>'CA prévisionnel annuel'!C40*'CA prévisionnel annuel'!D40</f>
        <v>0</v>
      </c>
      <c r="AZ36" s="111">
        <f>_xlfn.XLOOKUP(W36,Ventes!A40:A72,Ventes!C40:C72)</f>
        <v>0</v>
      </c>
      <c r="BA36" s="95">
        <f>_xlfn.XLOOKUP(W36,Ventes!A40:A72,Ventes!D40:D72)</f>
        <v>0</v>
      </c>
      <c r="BB36" s="95">
        <f>_xlfn.XLOOKUP(W36,Ventes!A40:A72,Ventes!E40:E72)</f>
        <v>0</v>
      </c>
      <c r="BC36" s="95">
        <f>_xlfn.XLOOKUP(W36,Ventes!A40:A72,Ventes!F40:F72)</f>
        <v>0</v>
      </c>
      <c r="BD36" s="95">
        <f>_xlfn.XLOOKUP(W36,Ventes!A40:A72,Ventes!G40:G72)</f>
        <v>0</v>
      </c>
      <c r="BE36" s="95">
        <f>_xlfn.XLOOKUP(W36,Ventes!A40:A72,Ventes!H40:H72)</f>
        <v>0</v>
      </c>
      <c r="BF36" s="95">
        <f>_xlfn.XLOOKUP(W36,Ventes!A40:A72,Ventes!I40:I72)</f>
        <v>0</v>
      </c>
      <c r="BG36" s="95">
        <f>_xlfn.XLOOKUP(W36,Ventes!A40:A72,Ventes!J40:J72)</f>
        <v>0</v>
      </c>
      <c r="BH36" s="95">
        <f>_xlfn.XLOOKUP(W36,Ventes!A40:A72,Ventes!K40:K72)</f>
        <v>0</v>
      </c>
      <c r="BI36" s="95">
        <f>_xlfn.XLOOKUP(W36,Ventes!A40:A72,Ventes!L40:L72)</f>
        <v>0</v>
      </c>
      <c r="BJ36" s="95">
        <f>_xlfn.XLOOKUP(W36,Ventes!A40:A72,Ventes!M40:M72)</f>
        <v>0</v>
      </c>
      <c r="BK36" s="95">
        <f>_xlfn.XLOOKUP(W36,Ventes!A40:A72,Ventes!N40:N72)</f>
        <v>0</v>
      </c>
      <c r="BL36" s="95">
        <f t="shared" si="7"/>
        <v>0</v>
      </c>
      <c r="BM36" s="112">
        <f>BL36*_xlfn.XLOOKUP(W36,Tableau12[Produits],Tableau12[Prix unitaire € 2026])*145*1.19*1.15*1.9</f>
        <v>0</v>
      </c>
      <c r="BN36" s="113">
        <f>'Forecast-Volumes annuels import'!O41-Données!BL36</f>
        <v>1000</v>
      </c>
      <c r="BO36" s="98">
        <f>Ventes!R40</f>
        <v>0</v>
      </c>
      <c r="BP36" s="99">
        <f t="shared" si="13"/>
        <v>1</v>
      </c>
    </row>
    <row r="37" spans="2:68" x14ac:dyDescent="0.35">
      <c r="B37" s="84" t="s">
        <v>151</v>
      </c>
      <c r="C37" s="85">
        <v>0</v>
      </c>
      <c r="D37" s="85">
        <f>C37*(1+10%)</f>
        <v>0</v>
      </c>
      <c r="E37" s="85">
        <f t="shared" si="11"/>
        <v>0</v>
      </c>
      <c r="F37" s="85">
        <f>Tableau12[[#This Row],[Prix unitaire € 2026]]*100</f>
        <v>0</v>
      </c>
      <c r="G37" s="85">
        <f t="shared" si="12"/>
        <v>0</v>
      </c>
      <c r="H37" s="74"/>
      <c r="W37" s="84" t="s">
        <v>151</v>
      </c>
      <c r="X37" s="117">
        <f>_xlfn.XLOOKUP(Données!$W37,'Forecast-Volumes annuels import'!A42:A88,'Forecast-Volumes annuels import'!C42:C88)</f>
        <v>0</v>
      </c>
      <c r="Y37" s="117">
        <f>_xlfn.XLOOKUP(Données!$W37,'Forecast-Volumes annuels import'!A42:A88,'Forecast-Volumes annuels import'!D42:D88)</f>
        <v>0</v>
      </c>
      <c r="Z37" s="117">
        <f>_xlfn.XLOOKUP(Données!$W37,'Forecast-Volumes annuels import'!A42:A88,'Forecast-Volumes annuels import'!E42:E88)</f>
        <v>0</v>
      </c>
      <c r="AA37" s="117">
        <f>_xlfn.XLOOKUP(Données!$W37,'Forecast-Volumes annuels import'!A42:A88,'Forecast-Volumes annuels import'!F42:F88)</f>
        <v>0</v>
      </c>
      <c r="AB37" s="117">
        <f>_xlfn.XLOOKUP(Données!$W37,'Forecast-Volumes annuels import'!A42:A88,'Forecast-Volumes annuels import'!G42:G88)</f>
        <v>10000</v>
      </c>
      <c r="AC37" s="117">
        <f>_xlfn.XLOOKUP(Données!$W37,'Forecast-Volumes annuels import'!A42:A88,'Forecast-Volumes annuels import'!H42:H88)</f>
        <v>0</v>
      </c>
      <c r="AD37" s="117">
        <f>_xlfn.XLOOKUP(Données!$W37,'Forecast-Volumes annuels import'!A42:A88,'Forecast-Volumes annuels import'!I42:I88)</f>
        <v>0</v>
      </c>
      <c r="AE37" s="117">
        <f>_xlfn.XLOOKUP(Données!$W37,'Forecast-Volumes annuels import'!A42:A88,'Forecast-Volumes annuels import'!J42:J88)</f>
        <v>0</v>
      </c>
      <c r="AF37" s="117">
        <f>_xlfn.XLOOKUP(Données!$W37,'Forecast-Volumes annuels import'!A42:A88,'Forecast-Volumes annuels import'!K42:K88)</f>
        <v>0</v>
      </c>
      <c r="AG37" s="117">
        <f>_xlfn.XLOOKUP(Données!$W37,'Forecast-Volumes annuels import'!A42:A88,'Forecast-Volumes annuels import'!L42:L88)</f>
        <v>0</v>
      </c>
      <c r="AH37" s="117">
        <f>_xlfn.XLOOKUP(Données!$W37,'Forecast-Volumes annuels import'!A42:A88,'Forecast-Volumes annuels import'!M42:M88)</f>
        <v>0</v>
      </c>
      <c r="AI37" s="117">
        <f>_xlfn.XLOOKUP(Données!$W37,'Forecast-Volumes annuels import'!A42:A88,'Forecast-Volumes annuels import'!N42:N88)</f>
        <v>0</v>
      </c>
      <c r="AJ37" s="118">
        <f>SUM(X37:AI37)</f>
        <v>10000</v>
      </c>
      <c r="AK37" s="118">
        <f>Données!$AJ37/1000</f>
        <v>10</v>
      </c>
      <c r="AL37" s="119">
        <f>_xlfn.XLOOKUP(W37,'Previsionnels Importations'!A42:A69,'Previsionnels Importations'!D42:D69)</f>
        <v>0</v>
      </c>
      <c r="AM37" s="120">
        <f>_xlfn.XLOOKUP(W37,'Previsionnels Importations'!A42:A69,'Previsionnels Importations'!F42:F69)</f>
        <v>0</v>
      </c>
      <c r="AN37" s="120">
        <f>_xlfn.XLOOKUP(W37,'Previsionnels Importations'!A42:A69,'Previsionnels Importations'!H42:H69)</f>
        <v>0</v>
      </c>
      <c r="AO37" s="120">
        <f>_xlfn.XLOOKUP(W37,'Previsionnels Importations'!A42:A69,'Previsionnels Importations'!J42:J69)</f>
        <v>0</v>
      </c>
      <c r="AP37" s="120">
        <f>_xlfn.XLOOKUP(W37,'Previsionnels Importations'!A42:A69,'Previsionnels Importations'!L42:L69)</f>
        <v>0</v>
      </c>
      <c r="AQ37" s="120">
        <f>_xlfn.XLOOKUP(W37,'Previsionnels Importations'!A42:A69,'Previsionnels Importations'!N42:N69)</f>
        <v>0</v>
      </c>
      <c r="AR37" s="120">
        <f>_xlfn.XLOOKUP(W37,'Previsionnels Importations'!A42:A69,'Previsionnels Importations'!P42:P69)</f>
        <v>0</v>
      </c>
      <c r="AS37" s="120">
        <f>_xlfn.XLOOKUP(W37,'Previsionnels Importations'!A42:A69,'Previsionnels Importations'!R42:R69)</f>
        <v>0</v>
      </c>
      <c r="AT37" s="120">
        <f>_xlfn.XLOOKUP(W37,'Previsionnels Importations'!A42:A69,'Previsionnels Importations'!T42:T69)</f>
        <v>0</v>
      </c>
      <c r="AU37" s="120">
        <f>_xlfn.XLOOKUP(W37,'Previsionnels Importations'!A42:A69,'Previsionnels Importations'!V42:V69)</f>
        <v>0</v>
      </c>
      <c r="AV37" s="120">
        <f>_xlfn.XLOOKUP(W37,'Previsionnels Importations'!A42:A69,'Previsionnels Importations'!X42:X69)</f>
        <v>0</v>
      </c>
      <c r="AW37" s="120">
        <f>_xlfn.XLOOKUP(W37,'Previsionnels Importations'!A42:A69,'Previsionnels Importations'!Z42:Z69)</f>
        <v>0</v>
      </c>
      <c r="AX37" s="86">
        <f t="shared" si="6"/>
        <v>0</v>
      </c>
      <c r="AY37" s="86">
        <f>'CA prévisionnel annuel'!C41*'CA prévisionnel annuel'!D41</f>
        <v>0</v>
      </c>
      <c r="AZ37" s="121">
        <f>_xlfn.XLOOKUP(W37,Ventes!A41:A73,Ventes!C41:C73)</f>
        <v>0</v>
      </c>
      <c r="BA37" s="122">
        <f>_xlfn.XLOOKUP(W37,Ventes!A41:A73,Ventes!D41:D73)</f>
        <v>0</v>
      </c>
      <c r="BB37" s="122">
        <f>_xlfn.XLOOKUP(W37,Ventes!A41:A73,Ventes!E41:E73)</f>
        <v>0</v>
      </c>
      <c r="BC37" s="122">
        <f>_xlfn.XLOOKUP(W37,Ventes!A41:A73,Ventes!F41:F73)</f>
        <v>0</v>
      </c>
      <c r="BD37" s="122">
        <f>_xlfn.XLOOKUP(W37,Ventes!A41:A73,Ventes!G41:G73)</f>
        <v>0</v>
      </c>
      <c r="BE37" s="122">
        <f>_xlfn.XLOOKUP(W37,Ventes!A41:A73,Ventes!H41:H73)</f>
        <v>0</v>
      </c>
      <c r="BF37" s="122">
        <f>_xlfn.XLOOKUP(W37,Ventes!A41:A73,Ventes!I41:I73)</f>
        <v>0</v>
      </c>
      <c r="BG37" s="122">
        <f>_xlfn.XLOOKUP(W37,Ventes!A41:A73,Ventes!J41:J73)</f>
        <v>0</v>
      </c>
      <c r="BH37" s="122">
        <f>_xlfn.XLOOKUP(W37,Ventes!A41:A73,Ventes!K41:K73)</f>
        <v>0</v>
      </c>
      <c r="BI37" s="122">
        <f>_xlfn.XLOOKUP(W37,Ventes!A41:A73,Ventes!L41:L73)</f>
        <v>0</v>
      </c>
      <c r="BJ37" s="122">
        <f>_xlfn.XLOOKUP(W37,Ventes!A41:A73,Ventes!M41:M73)</f>
        <v>0</v>
      </c>
      <c r="BK37" s="122">
        <f>_xlfn.XLOOKUP(W37,Ventes!A41:A73,Ventes!N41:N73)</f>
        <v>0</v>
      </c>
      <c r="BL37" s="122">
        <f t="shared" si="7"/>
        <v>0</v>
      </c>
      <c r="BM37" s="123">
        <f>BL37*_xlfn.XLOOKUP(W37,Tableau12[Produits],Tableau12[Prix unitaire € 2026])*145*1.19*1.15*1.9</f>
        <v>0</v>
      </c>
      <c r="BN37" s="124">
        <f>'Forecast-Volumes annuels import'!O42-Données!BL37</f>
        <v>10000</v>
      </c>
      <c r="BO37" s="125">
        <f>Ventes!R41</f>
        <v>0</v>
      </c>
      <c r="BP37" s="126">
        <f t="shared" si="13"/>
        <v>10</v>
      </c>
    </row>
    <row r="38" spans="2:68" x14ac:dyDescent="0.35">
      <c r="W38" s="128"/>
      <c r="X38" s="129">
        <f>SUBTOTAL(109,X5:X37)</f>
        <v>32200</v>
      </c>
      <c r="Y38" s="129">
        <f t="shared" ref="Y38:BP38" si="14">SUBTOTAL(109,Y5:Y37)</f>
        <v>49000</v>
      </c>
      <c r="Z38" s="129">
        <f t="shared" si="14"/>
        <v>28500</v>
      </c>
      <c r="AA38" s="129">
        <f t="shared" si="14"/>
        <v>600</v>
      </c>
      <c r="AB38" s="129">
        <f t="shared" si="14"/>
        <v>11400</v>
      </c>
      <c r="AC38" s="129">
        <f t="shared" si="14"/>
        <v>50300</v>
      </c>
      <c r="AD38" s="129">
        <f t="shared" si="14"/>
        <v>25000</v>
      </c>
      <c r="AE38" s="129">
        <f t="shared" si="14"/>
        <v>2500</v>
      </c>
      <c r="AF38" s="129">
        <f t="shared" si="14"/>
        <v>49800</v>
      </c>
      <c r="AG38" s="129">
        <f t="shared" si="14"/>
        <v>24000</v>
      </c>
      <c r="AH38" s="129">
        <f t="shared" si="14"/>
        <v>49100</v>
      </c>
      <c r="AI38" s="129">
        <f t="shared" si="14"/>
        <v>26250</v>
      </c>
      <c r="AJ38" s="129">
        <f t="shared" si="14"/>
        <v>348650</v>
      </c>
      <c r="AK38" s="129">
        <f t="shared" si="14"/>
        <v>6058.7</v>
      </c>
      <c r="AL38" s="130">
        <f t="shared" si="14"/>
        <v>125453987.3125</v>
      </c>
      <c r="AM38" s="129">
        <f t="shared" si="14"/>
        <v>29526755.999999996</v>
      </c>
      <c r="AN38" s="129">
        <f t="shared" si="14"/>
        <v>38756387.342750005</v>
      </c>
      <c r="AO38" s="129">
        <f t="shared" si="14"/>
        <v>10564546.300000001</v>
      </c>
      <c r="AP38" s="129">
        <f t="shared" si="14"/>
        <v>31366225.274999999</v>
      </c>
      <c r="AQ38" s="129">
        <f t="shared" si="14"/>
        <v>60212675.291999996</v>
      </c>
      <c r="AR38" s="129">
        <f t="shared" si="14"/>
        <v>180375142.5</v>
      </c>
      <c r="AS38" s="129">
        <f t="shared" si="14"/>
        <v>352995542.89999998</v>
      </c>
      <c r="AT38" s="129">
        <f t="shared" si="14"/>
        <v>59115621.372500002</v>
      </c>
      <c r="AU38" s="129">
        <f t="shared" si="14"/>
        <v>11905950</v>
      </c>
      <c r="AV38" s="129">
        <f t="shared" si="14"/>
        <v>85939528.289999992</v>
      </c>
      <c r="AW38" s="129">
        <f t="shared" si="14"/>
        <v>426282618.125</v>
      </c>
      <c r="AX38" s="129">
        <f t="shared" si="14"/>
        <v>1412494980.7097499</v>
      </c>
      <c r="AY38" s="129">
        <f t="shared" si="14"/>
        <v>7118264.3000000007</v>
      </c>
      <c r="AZ38" s="130">
        <f t="shared" si="14"/>
        <v>4370</v>
      </c>
      <c r="BA38" s="129">
        <f t="shared" si="14"/>
        <v>0</v>
      </c>
      <c r="BB38" s="129">
        <f t="shared" si="14"/>
        <v>0</v>
      </c>
      <c r="BC38" s="129">
        <f t="shared" si="14"/>
        <v>2750</v>
      </c>
      <c r="BD38" s="129">
        <f t="shared" si="14"/>
        <v>3950</v>
      </c>
      <c r="BE38" s="129">
        <f t="shared" si="14"/>
        <v>6900</v>
      </c>
      <c r="BF38" s="129">
        <f t="shared" si="14"/>
        <v>8500</v>
      </c>
      <c r="BG38" s="129">
        <f t="shared" si="14"/>
        <v>10500</v>
      </c>
      <c r="BH38" s="129">
        <f t="shared" si="14"/>
        <v>19400</v>
      </c>
      <c r="BI38" s="129">
        <f t="shared" si="14"/>
        <v>16600</v>
      </c>
      <c r="BJ38" s="129">
        <f t="shared" si="14"/>
        <v>23600</v>
      </c>
      <c r="BK38" s="129">
        <f t="shared" si="14"/>
        <v>21300</v>
      </c>
      <c r="BL38" s="129">
        <f t="shared" si="14"/>
        <v>117870</v>
      </c>
      <c r="BM38" s="129">
        <f t="shared" si="14"/>
        <v>1241463793.6593199</v>
      </c>
      <c r="BN38" s="130">
        <f t="shared" si="14"/>
        <v>230780</v>
      </c>
      <c r="BO38" s="129">
        <f t="shared" si="14"/>
        <v>2803.4700000000003</v>
      </c>
      <c r="BP38" s="131">
        <f t="shared" si="14"/>
        <v>3205.73</v>
      </c>
    </row>
  </sheetData>
  <sheetProtection formatCells="0" formatColumns="0" formatRows="0" insertColumns="0" insertRows="0" insertHyperlinks="0" deleteColumns="0" deleteRows="0" sort="0" autoFilter="0" pivotTables="0"/>
  <mergeCells count="4">
    <mergeCell ref="AZ3:BM3"/>
    <mergeCell ref="BN3:BP3"/>
    <mergeCell ref="X3:AK3"/>
    <mergeCell ref="AL3:AY3"/>
  </mergeCells>
  <phoneticPr fontId="1" type="noConversion"/>
  <dataValidations count="1">
    <dataValidation type="list" allowBlank="1" showInputMessage="1" showErrorMessage="1" sqref="W52:W1048576 W38:W49" xr:uid="{14C0B646-1EE1-4544-8E6E-9A4E48FD0D97}">
      <formula1>INDIRECT($W$4)</formula1>
    </dataValidation>
  </dataValidations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TBD</vt:lpstr>
      <vt:lpstr>Forecast-Volumes annuels import</vt:lpstr>
      <vt:lpstr>CA prévisionnel annuel</vt:lpstr>
      <vt:lpstr>Previsionnels Importations</vt:lpstr>
      <vt:lpstr>Récape</vt:lpstr>
      <vt:lpstr>Ventes</vt:lpstr>
      <vt:lpstr>Données</vt:lpstr>
      <vt:lpstr>Origine__Fournisseur</vt:lpstr>
      <vt:lpstr>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Bendjafar</dc:creator>
  <cp:lastModifiedBy>Mimed Bendjafar</cp:lastModifiedBy>
  <cp:lastPrinted>2025-03-26T22:36:56Z</cp:lastPrinted>
  <dcterms:created xsi:type="dcterms:W3CDTF">2015-06-05T18:19:34Z</dcterms:created>
  <dcterms:modified xsi:type="dcterms:W3CDTF">2025-04-05T13:38:38Z</dcterms:modified>
</cp:coreProperties>
</file>