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 codeName="{372AB895-14C1-FC20-EB20-F1B4BCFD95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Users\smouron.MAIRIE-LILLE\Desktop\"/>
    </mc:Choice>
  </mc:AlternateContent>
  <xr:revisionPtr revIDLastSave="0" documentId="8_{761855FB-8C27-4A40-B4E9-521B3544AC98}" xr6:coauthVersionLast="47" xr6:coauthVersionMax="47" xr10:uidLastSave="{00000000-0000-0000-0000-000000000000}"/>
  <bookViews>
    <workbookView xWindow="-108" yWindow="-108" windowWidth="20376" windowHeight="12360" xr2:uid="{53840E12-60D7-46E6-9F42-533CA787D4D2}"/>
  </bookViews>
  <sheets>
    <sheet name="Listes" sheetId="1" r:id="rId1"/>
    <sheet name="Saisie" sheetId="2" r:id="rId2"/>
    <sheet name="Feuil1" sheetId="3" r:id="rId3"/>
  </sheets>
  <functionGroups builtInGroupCount="19"/>
  <definedNames>
    <definedName name="_xlnm._FilterDatabase" localSheetId="1" hidden="1">Saisie!$A$1:$X$32</definedName>
    <definedName name="AGENTS">Listes!$J$3:$J$7</definedName>
    <definedName name="AIDE_SOCIALE_ASG_OA_SASPA">Listes!$R$3:$R$10</definedName>
    <definedName name="ASS._DE_COORD">Listes!$Q$3:$Q$14</definedName>
    <definedName name="CATEGORIE">Listes!$P$3:$P$6</definedName>
    <definedName name="Couleur_cellule">Listes!$Z$3:$Z$35</definedName>
    <definedName name="Couleur_ligne_entière">Listes!$Y$3:$Y$6</definedName>
    <definedName name="DETAIL_PA_PH">Listes!$X$3:$X$23</definedName>
    <definedName name="FRONT_BACK">Listes!$K$3:$K$5</definedName>
    <definedName name="Listes">Listes!$J$2:$T$2</definedName>
    <definedName name="MATIN_APM">Listes!$W$3:$W$4</definedName>
    <definedName name="Origine">Listes!$M$3:$M$10</definedName>
    <definedName name="OUI_NON">Listes!$N$3:$N$4</definedName>
    <definedName name="PA_PH">Listes!$T$3:$T$14</definedName>
    <definedName name="Reception">Listes!$L$3:$L$9</definedName>
    <definedName name="SAISIE_IODAS">Listes!$O$3:$O$4</definedName>
    <definedName name="Si_ASS_de_COORD">Listes!$V$3:$V$14</definedName>
    <definedName name="SOCIAL">Listes!$S$3:$S$8</definedName>
  </definedNames>
  <calcPr calcId="191029"/>
  <pivotCaches>
    <pivotCache cacheId="0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36" i="3" l="1"/>
  <c r="P35" i="3"/>
  <c r="P34" i="3"/>
  <c r="P33" i="3"/>
  <c r="P32" i="3"/>
  <c r="P31" i="3"/>
  <c r="P30" i="3"/>
  <c r="P29" i="3"/>
  <c r="P28" i="3"/>
  <c r="P27" i="3"/>
  <c r="P25" i="3"/>
  <c r="P24" i="3"/>
  <c r="P23" i="3"/>
  <c r="P22" i="3"/>
  <c r="P21" i="3"/>
  <c r="P19" i="3"/>
  <c r="P18" i="3"/>
  <c r="P16" i="3"/>
  <c r="P15" i="3"/>
  <c r="P14" i="3"/>
  <c r="P13" i="3"/>
  <c r="P11" i="3"/>
  <c r="P10" i="3"/>
  <c r="P9" i="3"/>
  <c r="P8" i="3"/>
  <c r="P7" i="3"/>
  <c r="P6" i="3"/>
  <c r="P5" i="3"/>
  <c r="P3" i="3"/>
  <c r="P2" i="3"/>
  <c r="L37" i="3"/>
  <c r="L36" i="3"/>
  <c r="L35" i="3"/>
  <c r="L34" i="3"/>
  <c r="L33" i="3"/>
  <c r="L32" i="3"/>
  <c r="L31" i="3"/>
  <c r="L29" i="3"/>
  <c r="L28" i="3"/>
  <c r="L27" i="3"/>
  <c r="H24" i="3"/>
  <c r="L25" i="3"/>
  <c r="L24" i="3"/>
  <c r="L23" i="3"/>
  <c r="L22" i="3"/>
  <c r="L21" i="3"/>
  <c r="L19" i="3"/>
  <c r="L18" i="3"/>
  <c r="L17" i="3"/>
  <c r="L16" i="3"/>
  <c r="L15" i="3"/>
  <c r="L14" i="3"/>
  <c r="L13" i="3"/>
  <c r="L11" i="3"/>
  <c r="L10" i="3"/>
  <c r="L9" i="3"/>
  <c r="L8" i="3"/>
  <c r="L7" i="3"/>
  <c r="L6" i="3"/>
  <c r="L5" i="3"/>
  <c r="L4" i="3"/>
  <c r="L3" i="3"/>
  <c r="L2" i="3"/>
  <c r="P37" i="3"/>
  <c r="P17" i="3"/>
  <c r="P4" i="3"/>
  <c r="L30" i="3"/>
  <c r="H37" i="3"/>
  <c r="H36" i="3"/>
  <c r="H35" i="3"/>
  <c r="H34" i="3"/>
  <c r="H33" i="3"/>
  <c r="H32" i="3"/>
  <c r="H31" i="3"/>
  <c r="H30" i="3"/>
  <c r="H29" i="3"/>
  <c r="H28" i="3"/>
  <c r="H27" i="3"/>
  <c r="H25" i="3"/>
  <c r="D24" i="3"/>
  <c r="H23" i="3"/>
  <c r="H22" i="3"/>
  <c r="H21" i="3"/>
  <c r="H19" i="3"/>
  <c r="H18" i="3"/>
  <c r="H17" i="3"/>
  <c r="H16" i="3"/>
  <c r="H15" i="3"/>
  <c r="H14" i="3"/>
  <c r="H13" i="3"/>
  <c r="H11" i="3"/>
  <c r="H10" i="3"/>
  <c r="H9" i="3"/>
  <c r="H8" i="3"/>
  <c r="H7" i="3"/>
  <c r="H6" i="3"/>
  <c r="H5" i="3"/>
  <c r="H4" i="3"/>
  <c r="H3" i="3"/>
  <c r="H2" i="3"/>
  <c r="D37" i="3"/>
  <c r="D36" i="3"/>
  <c r="D35" i="3"/>
  <c r="D34" i="3"/>
  <c r="D33" i="3"/>
  <c r="D32" i="3"/>
  <c r="D31" i="3"/>
  <c r="D30" i="3"/>
  <c r="D29" i="3"/>
  <c r="D28" i="3"/>
  <c r="D27" i="3"/>
  <c r="D25" i="3"/>
  <c r="D23" i="3"/>
  <c r="D22" i="3"/>
  <c r="D21" i="3"/>
  <c r="D19" i="3"/>
  <c r="D18" i="3"/>
  <c r="D17" i="3"/>
  <c r="D16" i="3"/>
  <c r="D15" i="3"/>
  <c r="D14" i="3"/>
  <c r="D13" i="3"/>
  <c r="D11" i="3"/>
  <c r="D10" i="3"/>
  <c r="D9" i="3"/>
  <c r="D8" i="3"/>
  <c r="D7" i="3"/>
  <c r="D6" i="3"/>
  <c r="D5" i="3"/>
  <c r="D4" i="3"/>
  <c r="D3" i="3"/>
  <c r="D2" i="3"/>
  <c r="P38" i="3" l="1"/>
  <c r="P20" i="3"/>
  <c r="P12" i="3"/>
  <c r="L38" i="3"/>
  <c r="L20" i="3"/>
  <c r="L12" i="3"/>
  <c r="L26" i="3"/>
  <c r="P26" i="3"/>
  <c r="H38" i="3"/>
  <c r="H26" i="3"/>
  <c r="H20" i="3"/>
  <c r="H12" i="3"/>
  <c r="P41" i="3" l="1"/>
  <c r="L41" i="3"/>
  <c r="H41" i="3"/>
  <c r="D38" i="3"/>
  <c r="A38" i="3" s="1"/>
  <c r="D20" i="3"/>
  <c r="A20" i="3" s="1"/>
  <c r="D12" i="3"/>
  <c r="A12" i="3" s="1"/>
  <c r="D26" i="3"/>
  <c r="A26" i="3" s="1"/>
  <c r="D41" i="3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eric</author>
    <author>tc={C974E25E-7D43-4182-AEA2-1FA046B70E08}</author>
  </authors>
  <commentList>
    <comment ref="C2" authorId="0" shapeId="0" xr:uid="{5B98A885-F5DF-4D5B-AAF4-B3C3199434DD}">
      <text>
        <r>
          <rPr>
            <b/>
            <sz val="9"/>
            <color indexed="81"/>
            <rFont val="Tahoma"/>
            <family val="2"/>
          </rPr>
          <t xml:space="preserve">Accepté :
</t>
        </r>
        <r>
          <rPr>
            <sz val="9"/>
            <color indexed="81"/>
            <rFont val="Tahoma"/>
            <family val="2"/>
          </rPr>
          <t>ListBox</t>
        </r>
      </text>
    </comment>
    <comment ref="H2" authorId="0" shapeId="0" xr:uid="{77D23BFD-0739-4570-9F00-BE35F1DFD41D}">
      <text>
        <r>
          <rPr>
            <b/>
            <sz val="9"/>
            <color indexed="81"/>
            <rFont val="Tahoma"/>
            <family val="2"/>
          </rPr>
          <t xml:space="preserve">cellule Mère
</t>
        </r>
        <r>
          <rPr>
            <sz val="9"/>
            <color indexed="81"/>
            <rFont val="Tahoma"/>
            <family val="2"/>
          </rPr>
          <t>fixe : ref A1
relative : offset lig, col</t>
        </r>
      </text>
    </comment>
    <comment ref="V3" authorId="1" shapeId="0" xr:uid="{C974E25E-7D43-4182-AEA2-1FA046B70E08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Standard_message pris
Standard_transfert 
Secrétariat_accueil RDV
Secrétariat_accueil DOCS</t>
      </text>
    </comment>
  </commentList>
</comments>
</file>

<file path=xl/sharedStrings.xml><?xml version="1.0" encoding="utf-8"?>
<sst xmlns="http://schemas.openxmlformats.org/spreadsheetml/2006/main" count="708" uniqueCount="266">
  <si>
    <t>ASS. DE COORD</t>
  </si>
  <si>
    <t>SOCIAL</t>
  </si>
  <si>
    <t>PA_PH</t>
  </si>
  <si>
    <t>Standard_message pris</t>
  </si>
  <si>
    <t>Dépôt dossier SASPA</t>
  </si>
  <si>
    <t>Appel SES</t>
  </si>
  <si>
    <t>Ecoute</t>
  </si>
  <si>
    <t>Standard_transfert vers CLIC/RA</t>
  </si>
  <si>
    <t>Dépôt dossier ASG</t>
  </si>
  <si>
    <t>Informations, Explications</t>
  </si>
  <si>
    <t>Secrétariat_accueil RDV CLIC/RA</t>
  </si>
  <si>
    <t xml:space="preserve">Dépôt formalité OA </t>
  </si>
  <si>
    <t>Réorientation MQ</t>
  </si>
  <si>
    <t>Envoi/remise documentation (listing …)</t>
  </si>
  <si>
    <t>Secrétariat_accueil DOCS CLIC/RA</t>
  </si>
  <si>
    <t>Info sur dossier SASPA en cours ou à constituer</t>
  </si>
  <si>
    <t>Traitement de la demande</t>
  </si>
  <si>
    <t xml:space="preserve">Secrétariat_info de fonctionnement </t>
  </si>
  <si>
    <t xml:space="preserve">Info sur dossier ASG en cours ou à constituer </t>
  </si>
  <si>
    <t>Aide à la complétude</t>
  </si>
  <si>
    <t xml:space="preserve">Secrétariat_inscription </t>
  </si>
  <si>
    <t xml:space="preserve">Info sur formalité d'OA </t>
  </si>
  <si>
    <t>Réorientation vers partenaires</t>
  </si>
  <si>
    <t>Signalement</t>
  </si>
  <si>
    <t>Secrétariat_réorientation PLATEFORME TELEPHONIQUE</t>
  </si>
  <si>
    <t>Consultation IODAS</t>
  </si>
  <si>
    <t>Secrétariat_réorientation AUTRE</t>
  </si>
  <si>
    <t>Autre</t>
  </si>
  <si>
    <t>Christelle</t>
  </si>
  <si>
    <t>FRONT</t>
  </si>
  <si>
    <t>Acc physique</t>
  </si>
  <si>
    <t>La personne elle-même</t>
  </si>
  <si>
    <t>PA</t>
  </si>
  <si>
    <t>A FAIRE</t>
  </si>
  <si>
    <t>Fabienne</t>
  </si>
  <si>
    <t>BACK</t>
  </si>
  <si>
    <t>Téléphone</t>
  </si>
  <si>
    <t xml:space="preserve">Famille </t>
  </si>
  <si>
    <t>PH</t>
  </si>
  <si>
    <t>OK FAIT</t>
  </si>
  <si>
    <t>Nordine</t>
  </si>
  <si>
    <t>TT</t>
  </si>
  <si>
    <t>Répondeur</t>
  </si>
  <si>
    <t>Voisinage</t>
  </si>
  <si>
    <t>Patricia</t>
  </si>
  <si>
    <t xml:space="preserve">E mail </t>
  </si>
  <si>
    <t>Ami ou autre tiers</t>
  </si>
  <si>
    <t>Faiza</t>
  </si>
  <si>
    <t>Courrier externe</t>
  </si>
  <si>
    <t>Professionnel / Partenaire</t>
  </si>
  <si>
    <t>AUTRE</t>
  </si>
  <si>
    <t xml:space="preserve">Courrier interne </t>
  </si>
  <si>
    <t>Mairie de Lille / CCAS</t>
  </si>
  <si>
    <t xml:space="preserve">DATE </t>
  </si>
  <si>
    <t>Mode de réception  </t>
  </si>
  <si>
    <t xml:space="preserve">DATE et HEURE
 du message  </t>
  </si>
  <si>
    <t xml:space="preserve">Demande </t>
  </si>
  <si>
    <t>Catégorie</t>
  </si>
  <si>
    <t>DUREE en min</t>
  </si>
  <si>
    <t xml:space="preserve">remise du formulaire de demande de logement social </t>
  </si>
  <si>
    <t>souhaitait avoir l'urbanisme</t>
  </si>
  <si>
    <t>Liste utilisée</t>
  </si>
  <si>
    <t>Références</t>
  </si>
  <si>
    <t>Largeur</t>
  </si>
  <si>
    <t>Hauteur</t>
  </si>
  <si>
    <t>Multi</t>
  </si>
  <si>
    <t>Séparateur</t>
  </si>
  <si>
    <t>,</t>
  </si>
  <si>
    <t>Listbox</t>
  </si>
  <si>
    <t>Définitions Plages utilisant une liste à sélection multiple</t>
  </si>
  <si>
    <t>AGENTS</t>
  </si>
  <si>
    <t>CATEGORIE</t>
  </si>
  <si>
    <t>Listes</t>
  </si>
  <si>
    <t>Type objet</t>
  </si>
  <si>
    <t>en cascade</t>
  </si>
  <si>
    <t>0,-1</t>
  </si>
  <si>
    <t>ACTIONS</t>
  </si>
  <si>
    <t xml:space="preserve">
</t>
  </si>
  <si>
    <t xml:space="preserve">Dépôt dossier ASG
Info sur formalité d'OA </t>
  </si>
  <si>
    <t>Appel SES
Réorientation MQ</t>
  </si>
  <si>
    <t>Autre AIDE SOCIALE</t>
  </si>
  <si>
    <t>AUTRE ASS. DE COORD</t>
  </si>
  <si>
    <t>Autre PA_PH</t>
  </si>
  <si>
    <t>Autre SOCIAL</t>
  </si>
  <si>
    <t>Secrétariat_info de fonctionnement</t>
  </si>
  <si>
    <t>Secrétariat_inscription</t>
  </si>
  <si>
    <t>Secrétariat_réorientation VERS SERVICES DU CCAS</t>
  </si>
  <si>
    <t>Dépôt formalité OA</t>
  </si>
  <si>
    <t>Info sur formalité d'OA</t>
  </si>
  <si>
    <t>Intervention physique SES</t>
  </si>
  <si>
    <t>Envoi/remise formulaire</t>
  </si>
  <si>
    <t>Mail ou prise de RDV MDPH</t>
  </si>
  <si>
    <t>Mise à disposition du service</t>
  </si>
  <si>
    <t>TOTAL</t>
  </si>
  <si>
    <t>ASS._DE_COORD</t>
  </si>
  <si>
    <t>Origine</t>
  </si>
  <si>
    <t>SI_PA_PH</t>
  </si>
  <si>
    <t>Reception</t>
  </si>
  <si>
    <t>FRONT_BACK</t>
  </si>
  <si>
    <t xml:space="preserve"> PA 
ou 
PH</t>
  </si>
  <si>
    <t>Si ASS. 
de 
COORD</t>
  </si>
  <si>
    <t>Julia</t>
  </si>
  <si>
    <t>Djouher</t>
  </si>
  <si>
    <t>Delphine</t>
  </si>
  <si>
    <t>Flory</t>
  </si>
  <si>
    <t>Vanessa</t>
  </si>
  <si>
    <t>Mathilde</t>
  </si>
  <si>
    <t>Sonia</t>
  </si>
  <si>
    <t xml:space="preserve">Nadia </t>
  </si>
  <si>
    <t>Guillaume</t>
  </si>
  <si>
    <t>Angela</t>
  </si>
  <si>
    <t>Envoi/remise documentation (listing …)
Envoi/remise formulaire
Aide à la complétude</t>
  </si>
  <si>
    <t>Si_ASS_de_COORD</t>
  </si>
  <si>
    <t>SAISIE_IODAS</t>
  </si>
  <si>
    <t>Ecoute
Informations, Explications
Envoi/remise formulaire</t>
  </si>
  <si>
    <t>Ecoute
Informations, Explications
Consultation IODAS
Mail ou prise de RDV MDPH</t>
  </si>
  <si>
    <t>Appel SES
Intervention physique SES</t>
  </si>
  <si>
    <t>Djouher
Vanessa</t>
  </si>
  <si>
    <t>DEMANDE EN COURS
 (A TRAITER ou EN COURS DE REPONSE)</t>
  </si>
  <si>
    <t>FRONT/BACK/TT</t>
  </si>
  <si>
    <t>AGENT</t>
  </si>
  <si>
    <t xml:space="preserve">Si AGENT
=AUTRE
Précisez </t>
  </si>
  <si>
    <t>AIDE_SOCIALE_ASG_OA_SASPA</t>
  </si>
  <si>
    <t xml:space="preserve">SAISIE LOGICLIC
OK FAIT
 ou 
A FAIRE </t>
  </si>
  <si>
    <t>SAISIE IODAS : 
OK FAIT
 ou 
A FAIRE</t>
  </si>
  <si>
    <t xml:space="preserve">Mère isolée à la rue avec ses 2 enfants </t>
  </si>
  <si>
    <t>Dossier DUAPA + liste des SAAD</t>
  </si>
  <si>
    <t xml:space="preserve">dossier vérifié :  complet </t>
  </si>
  <si>
    <t xml:space="preserve">aide financière- </t>
  </si>
  <si>
    <t xml:space="preserve">aidant fatigué </t>
  </si>
  <si>
    <t>Démarche  RAPO conseillée</t>
  </si>
  <si>
    <t>refuse de répondre à la formalité d'OA</t>
  </si>
  <si>
    <t xml:space="preserve">AIDE SOCIALE
(ASG, OA et SASPA) </t>
  </si>
  <si>
    <t>Sabrina</t>
  </si>
  <si>
    <t>envoyée par MQ de Fives</t>
  </si>
  <si>
    <t>pour l'état civil</t>
  </si>
  <si>
    <t>horaires du services</t>
  </si>
  <si>
    <t>pour conférence</t>
  </si>
  <si>
    <t>Ecoute
Envoi/remise documentation (listing …)</t>
  </si>
  <si>
    <t>mondial assistance</t>
  </si>
  <si>
    <t>avis d'impot déposé</t>
  </si>
  <si>
    <t>Madame demande à être rappellée</t>
  </si>
  <si>
    <t xml:space="preserve">veut parler aveant la VAD avec sa référente </t>
  </si>
  <si>
    <t>ne comprend pas la décision refus d'AAH et PCH</t>
  </si>
  <si>
    <t>demande information sur RQTH</t>
  </si>
  <si>
    <t>SESPA - Francoise</t>
  </si>
  <si>
    <t>Total général</t>
  </si>
  <si>
    <t>Étiquettes de lignes</t>
  </si>
  <si>
    <t>ACTIVITE TOTALE</t>
  </si>
  <si>
    <t>mars</t>
  </si>
  <si>
    <t>avr</t>
  </si>
  <si>
    <t>mai</t>
  </si>
  <si>
    <t>juin</t>
  </si>
  <si>
    <t>ACTIVITE</t>
  </si>
  <si>
    <t>MOIS 2024</t>
  </si>
  <si>
    <t>REPARTITION FRONT/BACK/TT</t>
  </si>
  <si>
    <t xml:space="preserve"> Mode de réception  </t>
  </si>
  <si>
    <t>TOTAL GENERAL des ACTIONS</t>
  </si>
  <si>
    <t>Précision sur la réponse apportée</t>
  </si>
  <si>
    <t xml:space="preserve">déposé un dossier de SASPA au guichet 15 ce jour </t>
  </si>
  <si>
    <t>Envoi/remise documentation (listing …)
Envoi/remise formulaire
Mail ou prise de RDV MDPH</t>
  </si>
  <si>
    <t>NORDINE</t>
  </si>
  <si>
    <t>FABIENNE</t>
  </si>
  <si>
    <t>PATRICIA</t>
  </si>
  <si>
    <t xml:space="preserve">CHRISTELLE </t>
  </si>
  <si>
    <t>TOTAL ASS.DE COORD</t>
  </si>
  <si>
    <t>TOTAL SOCIAL</t>
  </si>
  <si>
    <t>TOTAL PA_PH</t>
  </si>
  <si>
    <t xml:space="preserve">TOTAL AIDE SOCIALE </t>
  </si>
  <si>
    <t>E mail</t>
  </si>
  <si>
    <t>Courrier interne</t>
  </si>
  <si>
    <t>Famille</t>
  </si>
  <si>
    <t>VRAI</t>
  </si>
  <si>
    <t>Nadia</t>
  </si>
  <si>
    <t>Ecoute
Aide à la complétude
Signalement</t>
  </si>
  <si>
    <t>Standard_message pris pour CLIC/RA</t>
  </si>
  <si>
    <t>Standard_message autre service CCAS</t>
  </si>
  <si>
    <t>Mail SES</t>
  </si>
  <si>
    <t>Transfert d'appel vers le back office</t>
  </si>
  <si>
    <t>Info sur dossier SASPA en cours</t>
  </si>
  <si>
    <t xml:space="preserve">Info sur dossier ASG en cours </t>
  </si>
  <si>
    <t>Info sur formalité d'OA en cours</t>
  </si>
  <si>
    <t>Orientation vers partenaires</t>
  </si>
  <si>
    <t>Envoi mail ou prise de RDV MDPH</t>
  </si>
  <si>
    <t>DUAPA</t>
  </si>
  <si>
    <t>Dossier MDPH</t>
  </si>
  <si>
    <t>Dossier retraite</t>
  </si>
  <si>
    <t>Dossier CSS</t>
  </si>
  <si>
    <t>Dossier ASPA</t>
  </si>
  <si>
    <t>Transports</t>
  </si>
  <si>
    <t>Anonyme</t>
  </si>
  <si>
    <r>
      <rPr>
        <sz val="10"/>
        <color rgb="FFFF0000"/>
        <rFont val="Calibri"/>
        <family val="2"/>
        <scheme val="minor"/>
      </rPr>
      <t>PAS DE MESSAGE</t>
    </r>
    <r>
      <rPr>
        <sz val="10"/>
        <rFont val="Calibri"/>
        <family val="2"/>
        <scheme val="minor"/>
      </rPr>
      <t xml:space="preserve"> suite  consultation du répondeur : </t>
    </r>
    <r>
      <rPr>
        <b/>
        <sz val="10"/>
        <color rgb="FFFF0000"/>
        <rFont val="Calibri"/>
        <family val="2"/>
        <scheme val="minor"/>
      </rPr>
      <t>indiquer OUI</t>
    </r>
  </si>
  <si>
    <t>OUI</t>
  </si>
  <si>
    <t>NON</t>
  </si>
  <si>
    <t>OUI_NON</t>
  </si>
  <si>
    <t>MATIN
APM</t>
  </si>
  <si>
    <t>MATIN</t>
  </si>
  <si>
    <t>APM</t>
  </si>
  <si>
    <r>
      <t xml:space="preserve">Message vide : 
</t>
    </r>
    <r>
      <rPr>
        <b/>
        <sz val="10"/>
        <color rgb="FFFF0000"/>
        <rFont val="Calibri"/>
        <family val="2"/>
        <scheme val="minor"/>
      </rPr>
      <t xml:space="preserve">indiquer OUI </t>
    </r>
  </si>
  <si>
    <r>
      <t xml:space="preserve">  Identité de la personne 
</t>
    </r>
    <r>
      <rPr>
        <b/>
        <sz val="14"/>
        <color rgb="FFFF0000"/>
        <rFont val="Calibri"/>
        <family val="2"/>
        <scheme val="minor"/>
      </rPr>
      <t>concernée par la demande</t>
    </r>
    <r>
      <rPr>
        <b/>
        <sz val="14"/>
        <color rgb="FF000000"/>
        <rFont val="Calibri"/>
        <family val="2"/>
        <scheme val="minor"/>
      </rPr>
      <t xml:space="preserve">
(Nom d'usage + née XX  et prénom) 
+ Coordonnées de la personne concernée par la demande (adresse, téléphone, mail) </t>
    </r>
  </si>
  <si>
    <t xml:space="preserve">Identité  du TIERS
(Nom d'usage + née XX  et prénom)
 + Coordonnées (adresse, téléphone, mail) 
  </t>
  </si>
  <si>
    <t>Si PA : signalement
OUI_NON</t>
  </si>
  <si>
    <t>Borne informatique</t>
  </si>
  <si>
    <t>Liste SAAD</t>
  </si>
  <si>
    <t>Formulaires PH ville (CMI stationnement, boitier feu sonore …)</t>
  </si>
  <si>
    <t>Formalité d'OA</t>
  </si>
  <si>
    <t>Demande de portage de repas du CCAS</t>
  </si>
  <si>
    <t>Demande entrée ehpad</t>
  </si>
  <si>
    <t xml:space="preserve">Liste EHPAD </t>
  </si>
  <si>
    <t>Liste téléalarme</t>
  </si>
  <si>
    <t xml:space="preserve">Liste accueil de jour </t>
  </si>
  <si>
    <t>Demande Téléalarme MONDIAL ASSISTANCE</t>
  </si>
  <si>
    <t>Demande ASG</t>
  </si>
  <si>
    <t>Demande SASPA</t>
  </si>
  <si>
    <t>Demande entrée résidence locative</t>
  </si>
  <si>
    <t>Gérontoguide</t>
  </si>
  <si>
    <t>Liste transports en commun</t>
  </si>
  <si>
    <t>Liste transports adaptés</t>
  </si>
  <si>
    <t>DETAIL_PA_PH</t>
  </si>
  <si>
    <t>DETAIL PAPH</t>
  </si>
  <si>
    <t>Viatrajectoire</t>
  </si>
  <si>
    <t>U/PH</t>
  </si>
  <si>
    <t>U/PA</t>
  </si>
  <si>
    <t>O/SOCIAL</t>
  </si>
  <si>
    <t>O/ASS._DE_COORD</t>
  </si>
  <si>
    <t>Couleur_ligne_entière (Colonne/Valeur)</t>
  </si>
  <si>
    <t>Couleur_cellule (Colonne/Valeur/colonne dest)</t>
  </si>
  <si>
    <t>G/OUI/H:N</t>
  </si>
  <si>
    <t>N/OUI/N:N</t>
  </si>
  <si>
    <t>X/A FAIRE/X:X</t>
  </si>
  <si>
    <t>X/OK FAIT/X:X</t>
  </si>
  <si>
    <t>F/Acc physique/G:I</t>
  </si>
  <si>
    <t>F/E mail/G:I</t>
  </si>
  <si>
    <t>F/Téléphone/G:I</t>
  </si>
  <si>
    <t>F/Courrier interne/G:I</t>
  </si>
  <si>
    <t>F/Courrier externe/G:I</t>
  </si>
  <si>
    <t>F/Autre/G:I</t>
  </si>
  <si>
    <t>H/OUI/J:K</t>
  </si>
  <si>
    <t>H/OUI/M:N</t>
  </si>
  <si>
    <t>J/Anonyme/K:L</t>
  </si>
  <si>
    <t>J/La personne elle-même/K:K</t>
  </si>
  <si>
    <t>O/SOCIAL/Q:R</t>
  </si>
  <si>
    <t>O/ASS._DE_COORD/Q:Q</t>
  </si>
  <si>
    <t>O/AIDE_SOCIALE_ASG_OA_SASPA/Q:R</t>
  </si>
  <si>
    <t>O/PA_PH/R:R</t>
  </si>
  <si>
    <t>P/Secrétariat_info de fonctionnement/R:R</t>
  </si>
  <si>
    <t>P/Secrétariat_inscription/R:R</t>
  </si>
  <si>
    <t>P/Secrétariat_réorientation vers autres services du CCAS/R:R</t>
  </si>
  <si>
    <t>P/Standard_message autre service CCAS/R:R</t>
  </si>
  <si>
    <t>P/Secrétariat_réorientation PLATEFORME TELEPHONIQUE/R:R</t>
  </si>
  <si>
    <t>P/Secrétariat_réorientation AUTRE/R:R</t>
  </si>
  <si>
    <t>P/AUTRE ASS. DE COORD/R:R</t>
  </si>
  <si>
    <t>O/SOCIAL/U:X</t>
  </si>
  <si>
    <t>O/AIDE_SOCIALE_ASG_OA_SASPA/U:X</t>
  </si>
  <si>
    <t>O/ASS._DE_COORD/U:X</t>
  </si>
  <si>
    <t>C/&lt;&gt;Autre/D:D</t>
  </si>
  <si>
    <t>=Saisie!O2:O10000</t>
  </si>
  <si>
    <t>=Saisie!P2:P10000</t>
  </si>
  <si>
    <t>=Saisie!R2:R10000</t>
  </si>
  <si>
    <t>=Saisie!Q2:Q10000</t>
  </si>
  <si>
    <t>W/A FAIRE/W:W</t>
  </si>
  <si>
    <t>W/OK FAIT/W:W</t>
  </si>
  <si>
    <t>U/PH/V:W</t>
  </si>
  <si>
    <t>V/NON/W:W</t>
  </si>
  <si>
    <t>Informations, Explications
Envoi mail ou prise de RDV MDPH</t>
  </si>
  <si>
    <t>Secrétariat_réorientation vers autres services du CCAS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</si>
</sst>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;@"/>
    <numFmt numFmtId="165" formatCode="h:mm;@"/>
  </numFmts>
  <fonts count="2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0"/>
      <color rgb="FF00B0F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8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0"/>
      <name val="Calibri"/>
      <family val="2"/>
      <scheme val="minor"/>
    </font>
    <font>
      <b/>
      <sz val="14"/>
      <color rgb="FF000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rgb="FFFF0000"/>
      <name val="Calibri"/>
      <family val="2"/>
      <scheme val="minor"/>
    </font>
  </fonts>
  <fills count="2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E2EFDA"/>
        <bgColor indexed="64"/>
      </patternFill>
    </fill>
    <fill>
      <gradientFill degree="90">
        <stop position="0">
          <color rgb="FFF8CBAD"/>
        </stop>
        <stop position="1">
          <color rgb="FFEECDF7"/>
        </stop>
      </gradientFill>
    </fill>
    <fill>
      <patternFill patternType="solid">
        <fgColor rgb="FFFFFF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BDD7EE"/>
        <bgColor indexed="64"/>
      </patternFill>
    </fill>
    <fill>
      <patternFill patternType="solid">
        <fgColor rgb="FFEECDF7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8CBAD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rgb="FF3A3838"/>
        <bgColor indexed="64"/>
      </patternFill>
    </fill>
  </fills>
  <borders count="12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ck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12"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0" xfId="0" applyFont="1"/>
    <xf numFmtId="0" fontId="0" fillId="2" borderId="0" xfId="0" applyFill="1"/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4" fillId="0" borderId="0" xfId="0" applyFont="1"/>
    <xf numFmtId="0" fontId="0" fillId="0" borderId="0" xfId="0" applyAlignment="1">
      <alignment vertical="center"/>
    </xf>
    <xf numFmtId="0" fontId="0" fillId="0" borderId="0" xfId="0" quotePrefix="1"/>
    <xf numFmtId="0" fontId="1" fillId="0" borderId="0" xfId="0" applyFont="1"/>
    <xf numFmtId="0" fontId="0" fillId="0" borderId="0" xfId="0" applyAlignment="1">
      <alignment horizontal="left" vertical="center"/>
    </xf>
    <xf numFmtId="0" fontId="0" fillId="2" borderId="0" xfId="0" applyFill="1" applyAlignment="1">
      <alignment horizontal="left" vertical="center"/>
    </xf>
    <xf numFmtId="0" fontId="11" fillId="0" borderId="0" xfId="0" applyFont="1"/>
    <xf numFmtId="0" fontId="0" fillId="6" borderId="0" xfId="0" applyFill="1"/>
    <xf numFmtId="0" fontId="1" fillId="2" borderId="0" xfId="0" applyFont="1" applyFill="1"/>
    <xf numFmtId="0" fontId="1" fillId="0" borderId="0" xfId="0" applyFont="1" applyAlignment="1">
      <alignment vertical="center"/>
    </xf>
    <xf numFmtId="0" fontId="1" fillId="2" borderId="0" xfId="0" applyFont="1" applyFill="1" applyAlignment="1">
      <alignment vertical="center"/>
    </xf>
    <xf numFmtId="0" fontId="0" fillId="0" borderId="0" xfId="0" applyAlignment="1">
      <alignment wrapText="1"/>
    </xf>
    <xf numFmtId="0" fontId="15" fillId="0" borderId="0" xfId="0" applyFont="1" applyAlignment="1">
      <alignment horizontal="right"/>
    </xf>
    <xf numFmtId="0" fontId="1" fillId="2" borderId="0" xfId="0" applyFont="1" applyFill="1" applyAlignment="1">
      <alignment wrapText="1"/>
    </xf>
    <xf numFmtId="0" fontId="1" fillId="0" borderId="0" xfId="0" applyFont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49" fontId="18" fillId="3" borderId="10" xfId="0" applyNumberFormat="1" applyFont="1" applyFill="1" applyBorder="1" applyAlignment="1">
      <alignment horizontal="center" vertical="center" wrapText="1"/>
    </xf>
    <xf numFmtId="49" fontId="16" fillId="9" borderId="8" xfId="0" applyNumberFormat="1" applyFont="1" applyFill="1" applyBorder="1" applyAlignment="1">
      <alignment horizontal="center" vertical="center" wrapText="1"/>
    </xf>
    <xf numFmtId="0" fontId="20" fillId="0" borderId="2" xfId="0" applyFont="1" applyBorder="1" applyAlignment="1">
      <alignment horizontal="center" vertical="center" wrapText="1"/>
    </xf>
    <xf numFmtId="165" fontId="17" fillId="0" borderId="2" xfId="0" applyNumberFormat="1" applyFont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20" fillId="13" borderId="3" xfId="0" applyFont="1" applyFill="1" applyBorder="1" applyAlignment="1">
      <alignment horizontal="center" vertical="center" wrapText="1"/>
    </xf>
    <xf numFmtId="0" fontId="17" fillId="12" borderId="3" xfId="0" applyFont="1" applyFill="1" applyBorder="1" applyAlignment="1">
      <alignment horizontal="center" vertical="center" wrapText="1"/>
    </xf>
    <xf numFmtId="0" fontId="20" fillId="2" borderId="4" xfId="0" applyFont="1" applyFill="1" applyBorder="1" applyAlignment="1">
      <alignment horizontal="center" vertical="center" wrapText="1"/>
    </xf>
    <xf numFmtId="0" fontId="18" fillId="0" borderId="0" xfId="0" applyFont="1"/>
    <xf numFmtId="0" fontId="21" fillId="4" borderId="3" xfId="0" applyFont="1" applyFill="1" applyBorder="1" applyAlignment="1">
      <alignment horizontal="center" vertical="center" wrapText="1"/>
    </xf>
    <xf numFmtId="0" fontId="23" fillId="10" borderId="0" xfId="0" applyFont="1" applyFill="1" applyAlignment="1">
      <alignment horizontal="center" vertical="center"/>
    </xf>
    <xf numFmtId="0" fontId="23" fillId="11" borderId="3" xfId="0" applyFont="1" applyFill="1" applyBorder="1" applyAlignment="1">
      <alignment horizontal="center" vertical="center" wrapText="1"/>
    </xf>
    <xf numFmtId="0" fontId="23" fillId="5" borderId="5" xfId="0" applyFont="1" applyFill="1" applyBorder="1" applyAlignment="1">
      <alignment horizontal="center" vertical="center" wrapText="1"/>
    </xf>
    <xf numFmtId="0" fontId="5" fillId="7" borderId="8" xfId="0" applyFont="1" applyFill="1" applyBorder="1" applyAlignment="1">
      <alignment horizontal="center" vertical="center" wrapText="1"/>
    </xf>
    <xf numFmtId="0" fontId="1" fillId="7" borderId="0" xfId="0" applyFont="1" applyFill="1" applyAlignment="1">
      <alignment vertical="center" wrapText="1"/>
    </xf>
    <xf numFmtId="0" fontId="3" fillId="7" borderId="0" xfId="0" applyFont="1" applyFill="1"/>
    <xf numFmtId="0" fontId="0" fillId="7" borderId="0" xfId="0" applyFill="1" applyAlignment="1">
      <alignment wrapText="1"/>
    </xf>
    <xf numFmtId="0" fontId="15" fillId="7" borderId="0" xfId="0" applyFont="1" applyFill="1" applyAlignment="1">
      <alignment horizontal="right"/>
    </xf>
    <xf numFmtId="0" fontId="1" fillId="14" borderId="0" xfId="0" applyFont="1" applyFill="1" applyAlignment="1">
      <alignment vertical="center" wrapText="1"/>
    </xf>
    <xf numFmtId="0" fontId="3" fillId="14" borderId="0" xfId="0" applyFont="1" applyFill="1"/>
    <xf numFmtId="0" fontId="0" fillId="14" borderId="0" xfId="0" applyFill="1"/>
    <xf numFmtId="0" fontId="0" fillId="14" borderId="0" xfId="0" applyFill="1" applyAlignment="1">
      <alignment wrapText="1"/>
    </xf>
    <xf numFmtId="0" fontId="15" fillId="14" borderId="0" xfId="0" applyFont="1" applyFill="1" applyAlignment="1">
      <alignment horizontal="right"/>
    </xf>
    <xf numFmtId="0" fontId="1" fillId="8" borderId="0" xfId="0" applyFont="1" applyFill="1" applyAlignment="1">
      <alignment vertical="center" wrapText="1"/>
    </xf>
    <xf numFmtId="0" fontId="3" fillId="8" borderId="0" xfId="0" applyFont="1" applyFill="1"/>
    <xf numFmtId="0" fontId="0" fillId="8" borderId="0" xfId="0" applyFill="1"/>
    <xf numFmtId="0" fontId="0" fillId="8" borderId="0" xfId="0" applyFill="1" applyAlignment="1">
      <alignment wrapText="1"/>
    </xf>
    <xf numFmtId="0" fontId="15" fillId="8" borderId="0" xfId="0" applyFont="1" applyFill="1" applyAlignment="1">
      <alignment horizontal="right"/>
    </xf>
    <xf numFmtId="0" fontId="20" fillId="0" borderId="7" xfId="0" applyFont="1" applyBorder="1" applyAlignment="1">
      <alignment horizontal="center" vertical="center" wrapText="1"/>
    </xf>
    <xf numFmtId="0" fontId="0" fillId="0" borderId="0" xfId="0" pivotButton="1"/>
    <xf numFmtId="0" fontId="0" fillId="0" borderId="0" xfId="0" applyAlignment="1">
      <alignment horizontal="left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center"/>
    </xf>
    <xf numFmtId="0" fontId="19" fillId="0" borderId="0" xfId="0" pivotButton="1" applyFont="1"/>
    <xf numFmtId="0" fontId="0" fillId="0" borderId="0" xfId="0" applyAlignment="1">
      <alignment horizontal="center" wrapText="1"/>
    </xf>
    <xf numFmtId="0" fontId="0" fillId="7" borderId="0" xfId="0" applyFill="1" applyAlignment="1">
      <alignment horizontal="center"/>
    </xf>
    <xf numFmtId="0" fontId="15" fillId="7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15" fillId="0" borderId="0" xfId="0" applyFont="1" applyAlignment="1">
      <alignment horizontal="center"/>
    </xf>
    <xf numFmtId="0" fontId="0" fillId="14" borderId="0" xfId="0" applyFill="1" applyAlignment="1">
      <alignment horizontal="center"/>
    </xf>
    <xf numFmtId="0" fontId="15" fillId="14" borderId="0" xfId="0" applyFont="1" applyFill="1" applyAlignment="1">
      <alignment horizontal="center"/>
    </xf>
    <xf numFmtId="0" fontId="0" fillId="8" borderId="0" xfId="0" applyFill="1" applyAlignment="1">
      <alignment horizontal="center"/>
    </xf>
    <xf numFmtId="0" fontId="15" fillId="8" borderId="0" xfId="0" applyFont="1" applyFill="1" applyAlignment="1">
      <alignment horizontal="center"/>
    </xf>
    <xf numFmtId="0" fontId="15" fillId="0" borderId="0" xfId="0" applyFont="1" applyAlignment="1">
      <alignment horizontal="center" wrapText="1"/>
    </xf>
    <xf numFmtId="0" fontId="24" fillId="0" borderId="0" xfId="0" applyFont="1"/>
    <xf numFmtId="0" fontId="19" fillId="0" borderId="0" xfId="0" applyFont="1" applyAlignment="1">
      <alignment horizontal="right" wrapText="1"/>
    </xf>
    <xf numFmtId="49" fontId="0" fillId="2" borderId="0" xfId="0" quotePrefix="1" applyNumberFormat="1" applyFill="1"/>
    <xf numFmtId="0" fontId="5" fillId="2" borderId="8" xfId="0" applyFont="1" applyFill="1" applyBorder="1" applyAlignment="1">
      <alignment horizontal="center" vertical="center" wrapText="1"/>
    </xf>
    <xf numFmtId="0" fontId="23" fillId="11" borderId="9" xfId="0" applyFont="1" applyFill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0" fillId="15" borderId="0" xfId="0" applyFill="1"/>
    <xf numFmtId="0" fontId="10" fillId="16" borderId="0" xfId="0" applyFont="1" applyFill="1"/>
    <xf numFmtId="0" fontId="10" fillId="17" borderId="0" xfId="0" applyFont="1" applyFill="1"/>
    <xf numFmtId="0" fontId="0" fillId="18" borderId="0" xfId="0" applyFill="1"/>
    <xf numFmtId="0" fontId="0" fillId="19" borderId="0" xfId="0" applyFill="1"/>
    <xf numFmtId="0" fontId="1" fillId="0" borderId="0" xfId="0" applyFont="1" applyAlignment="1">
      <alignment wrapText="1"/>
    </xf>
    <xf numFmtId="0" fontId="10" fillId="0" borderId="0" xfId="0" applyFont="1"/>
    <xf numFmtId="164" fontId="17" fillId="0" borderId="1" xfId="0" applyNumberFormat="1" applyFont="1" applyBorder="1" applyAlignment="1">
      <alignment horizontal="center" vertical="center" wrapText="1"/>
    </xf>
    <xf numFmtId="165" fontId="0" fillId="14" borderId="3" xfId="0" applyNumberFormat="1" applyFill="1" applyBorder="1" applyAlignment="1">
      <alignment vertical="center" wrapText="1"/>
    </xf>
    <xf numFmtId="0" fontId="18" fillId="14" borderId="3" xfId="0" applyFont="1" applyFill="1" applyBorder="1" applyAlignment="1">
      <alignment vertical="center" wrapText="1"/>
    </xf>
    <xf numFmtId="49" fontId="7" fillId="14" borderId="6" xfId="0" applyNumberFormat="1" applyFont="1" applyFill="1" applyBorder="1" applyAlignment="1">
      <alignment horizontal="center" vertical="center" wrapText="1"/>
    </xf>
    <xf numFmtId="0" fontId="0" fillId="14" borderId="5" xfId="0" applyFill="1" applyBorder="1" applyAlignment="1">
      <alignment vertical="center" wrapText="1"/>
    </xf>
    <xf numFmtId="0" fontId="0" fillId="14" borderId="3" xfId="0" applyFill="1" applyBorder="1" applyAlignment="1">
      <alignment vertical="center" wrapText="1"/>
    </xf>
    <xf numFmtId="49" fontId="0" fillId="0" borderId="8" xfId="0" applyNumberFormat="1" applyBorder="1" applyAlignment="1">
      <alignment horizontal="center" vertical="center"/>
    </xf>
    <xf numFmtId="0" fontId="0" fillId="0" borderId="3" xfId="0" applyBorder="1" applyAlignment="1">
      <alignment vertical="center" wrapText="1"/>
    </xf>
    <xf numFmtId="0" fontId="0" fillId="0" borderId="9" xfId="0" applyBorder="1" applyAlignment="1">
      <alignment vertical="center" wrapText="1"/>
    </xf>
    <xf numFmtId="0" fontId="0" fillId="0" borderId="8" xfId="0" applyBorder="1" applyAlignment="1">
      <alignment horizontal="center" vertical="center"/>
    </xf>
    <xf numFmtId="0" fontId="10" fillId="0" borderId="8" xfId="0" applyFont="1" applyBorder="1" applyAlignment="1">
      <alignment vertical="center"/>
    </xf>
    <xf numFmtId="0" fontId="0" fillId="0" borderId="3" xfId="0" applyBorder="1"/>
    <xf numFmtId="0" fontId="0" fillId="0" borderId="5" xfId="0" applyBorder="1"/>
    <xf numFmtId="0" fontId="10" fillId="0" borderId="8" xfId="0" applyFont="1" applyBorder="1" applyAlignment="1">
      <alignment horizontal="center" vertical="center"/>
    </xf>
    <xf numFmtId="0" fontId="0" fillId="0" borderId="6" xfId="0" applyBorder="1"/>
    <xf numFmtId="0" fontId="10" fillId="0" borderId="6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164" fontId="0" fillId="0" borderId="3" xfId="0" applyNumberFormat="1" applyBorder="1" applyAlignment="1">
      <alignment vertical="center"/>
    </xf>
    <xf numFmtId="165" fontId="0" fillId="0" borderId="3" xfId="0" applyNumberFormat="1" applyBorder="1" applyAlignment="1">
      <alignment vertical="center"/>
    </xf>
    <xf numFmtId="0" fontId="18" fillId="0" borderId="3" xfId="0" applyFont="1" applyBorder="1" applyAlignment="1">
      <alignment vertical="center"/>
    </xf>
    <xf numFmtId="0" fontId="10" fillId="0" borderId="3" xfId="0" applyFont="1" applyBorder="1" applyAlignment="1">
      <alignment vertical="center"/>
    </xf>
    <xf numFmtId="0" fontId="10" fillId="0" borderId="11" xfId="0" applyFont="1" applyBorder="1" applyAlignment="1">
      <alignment vertical="center"/>
    </xf>
    <xf numFmtId="49" fontId="18" fillId="0" borderId="8" xfId="0" applyNumberFormat="1" applyFont="1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11" xfId="0" applyBorder="1" applyAlignment="1">
      <alignment vertical="center"/>
    </xf>
    <xf numFmtId="164" fontId="0" fillId="14" borderId="3" xfId="0" applyNumberFormat="1" applyFill="1" applyBorder="1" applyAlignment="1">
      <alignment vertical="center" wrapText="1"/>
    </xf>
    <xf numFmtId="0" fontId="10" fillId="14" borderId="11" xfId="0" applyFont="1" applyFill="1" applyBorder="1" applyAlignment="1">
      <alignment vertical="center" wrapText="1"/>
    </xf>
    <xf numFmtId="49" fontId="18" fillId="14" borderId="8" xfId="0" applyNumberFormat="1" applyFont="1" applyFill="1" applyBorder="1" applyAlignment="1">
      <alignment vertical="center" wrapText="1"/>
    </xf>
    <xf numFmtId="0" fontId="0" fillId="14" borderId="6" xfId="0" applyFill="1" applyBorder="1" applyAlignment="1">
      <alignment vertical="center"/>
    </xf>
    <xf numFmtId="0" fontId="1" fillId="14" borderId="11" xfId="0" applyFont="1" applyFill="1" applyBorder="1" applyAlignment="1">
      <alignment horizontal="center" vertical="center" wrapText="1"/>
    </xf>
    <xf numFmtId="0" fontId="2" fillId="20" borderId="0" xfId="0" applyFont="1" applyFill="1"/>
    <xf numFmtId="0" fontId="10" fillId="21" borderId="3" xfId="0" applyFont="1" applyFill="1" applyBorder="1" applyAlignment="1">
      <alignment vertical="center" wrapText="1"/>
    </xf>
    <xf numFmtId="49" fontId="7" fillId="21" borderId="6" xfId="0" applyNumberFormat="1" applyFont="1" applyFill="1" applyBorder="1" applyAlignment="1">
      <alignment horizontal="center" vertical="center" wrapText="1"/>
    </xf>
    <xf numFmtId="0" fontId="7" fillId="21" borderId="9" xfId="0" applyFont="1" applyFill="1" applyBorder="1" applyAlignment="1">
      <alignment horizontal="center" vertical="center" wrapText="1"/>
    </xf>
    <xf numFmtId="49" fontId="0" fillId="16" borderId="8" xfId="0" applyNumberFormat="1" applyFill="1" applyBorder="1" applyAlignment="1">
      <alignment horizontal="center" vertical="center"/>
    </xf>
    <xf numFmtId="0" fontId="0" fillId="21" borderId="9" xfId="0" applyFill="1" applyBorder="1" applyAlignment="1">
      <alignment vertical="center" wrapText="1"/>
    </xf>
    <xf numFmtId="0" fontId="0" fillId="21" borderId="8" xfId="0" applyFill="1" applyBorder="1" applyAlignment="1">
      <alignment horizontal="center" vertical="center"/>
    </xf>
    <xf numFmtId="0" fontId="10" fillId="21" borderId="8" xfId="0" applyFont="1" applyFill="1" applyBorder="1" applyAlignment="1">
      <alignment vertical="center"/>
    </xf>
    <xf numFmtId="0" fontId="10" fillId="21" borderId="8" xfId="0" applyFont="1" applyFill="1" applyBorder="1" applyAlignment="1">
      <alignment horizontal="center" vertical="center" wrapText="1"/>
    </xf>
    <xf numFmtId="164" fontId="0" fillId="7" borderId="3" xfId="0" applyNumberFormat="1" applyFill="1" applyBorder="1" applyAlignment="1">
      <alignment vertical="center" wrapText="1"/>
    </xf>
    <xf numFmtId="165" fontId="0" fillId="7" borderId="3" xfId="0" applyNumberFormat="1" applyFill="1" applyBorder="1" applyAlignment="1">
      <alignment vertical="center" wrapText="1"/>
    </xf>
    <xf numFmtId="0" fontId="18" fillId="7" borderId="3" xfId="0" applyFont="1" applyFill="1" applyBorder="1" applyAlignment="1">
      <alignment vertical="center" wrapText="1"/>
    </xf>
    <xf numFmtId="0" fontId="10" fillId="7" borderId="3" xfId="0" applyFont="1" applyFill="1" applyBorder="1" applyAlignment="1">
      <alignment vertical="center" wrapText="1"/>
    </xf>
    <xf numFmtId="0" fontId="10" fillId="7" borderId="11" xfId="0" applyFont="1" applyFill="1" applyBorder="1" applyAlignment="1">
      <alignment vertical="center" wrapText="1"/>
    </xf>
    <xf numFmtId="49" fontId="18" fillId="7" borderId="8" xfId="0" applyNumberFormat="1" applyFont="1" applyFill="1" applyBorder="1" applyAlignment="1">
      <alignment vertical="center" wrapText="1"/>
    </xf>
    <xf numFmtId="49" fontId="7" fillId="7" borderId="6" xfId="0" applyNumberFormat="1" applyFont="1" applyFill="1" applyBorder="1" applyAlignment="1">
      <alignment horizontal="center" vertical="center" wrapText="1"/>
    </xf>
    <xf numFmtId="0" fontId="0" fillId="7" borderId="3" xfId="0" applyFill="1" applyBorder="1"/>
    <xf numFmtId="0" fontId="0" fillId="7" borderId="5" xfId="0" applyFill="1" applyBorder="1"/>
    <xf numFmtId="0" fontId="0" fillId="7" borderId="8" xfId="0" applyFill="1" applyBorder="1" applyAlignment="1">
      <alignment horizontal="center" vertical="center"/>
    </xf>
    <xf numFmtId="0" fontId="0" fillId="7" borderId="6" xfId="0" applyFill="1" applyBorder="1" applyAlignment="1">
      <alignment vertical="center"/>
    </xf>
    <xf numFmtId="0" fontId="0" fillId="7" borderId="3" xfId="0" applyFill="1" applyBorder="1" applyAlignment="1">
      <alignment vertical="center" wrapText="1"/>
    </xf>
    <xf numFmtId="0" fontId="1" fillId="7" borderId="11" xfId="0" applyFont="1" applyFill="1" applyBorder="1" applyAlignment="1">
      <alignment horizontal="center" vertical="center" wrapText="1"/>
    </xf>
    <xf numFmtId="0" fontId="7" fillId="21" borderId="6" xfId="0" applyFont="1" applyFill="1" applyBorder="1" applyAlignment="1">
      <alignment horizontal="center" vertical="center" wrapText="1"/>
    </xf>
    <xf numFmtId="0" fontId="0" fillId="21" borderId="3" xfId="0" applyFill="1" applyBorder="1"/>
    <xf numFmtId="0" fontId="0" fillId="21" borderId="5" xfId="0" applyFill="1" applyBorder="1"/>
    <xf numFmtId="164" fontId="0" fillId="15" borderId="3" xfId="0" applyNumberFormat="1" applyFill="1" applyBorder="1" applyAlignment="1">
      <alignment vertical="center" wrapText="1"/>
    </xf>
    <xf numFmtId="165" fontId="0" fillId="15" borderId="3" xfId="0" applyNumberFormat="1" applyFill="1" applyBorder="1" applyAlignment="1">
      <alignment vertical="center" wrapText="1"/>
    </xf>
    <xf numFmtId="0" fontId="18" fillId="15" borderId="3" xfId="0" applyFont="1" applyFill="1" applyBorder="1" applyAlignment="1">
      <alignment vertical="center" wrapText="1"/>
    </xf>
    <xf numFmtId="0" fontId="10" fillId="15" borderId="11" xfId="0" applyFont="1" applyFill="1" applyBorder="1" applyAlignment="1">
      <alignment vertical="center" wrapText="1"/>
    </xf>
    <xf numFmtId="49" fontId="18" fillId="15" borderId="8" xfId="0" applyNumberFormat="1" applyFont="1" applyFill="1" applyBorder="1" applyAlignment="1">
      <alignment vertical="center" wrapText="1"/>
    </xf>
    <xf numFmtId="0" fontId="7" fillId="15" borderId="6" xfId="0" applyFont="1" applyFill="1" applyBorder="1" applyAlignment="1">
      <alignment horizontal="center" vertical="center" wrapText="1"/>
    </xf>
    <xf numFmtId="49" fontId="7" fillId="15" borderId="6" xfId="0" applyNumberFormat="1" applyFont="1" applyFill="1" applyBorder="1" applyAlignment="1">
      <alignment horizontal="center" vertical="center" wrapText="1"/>
    </xf>
    <xf numFmtId="0" fontId="7" fillId="15" borderId="9" xfId="0" applyFont="1" applyFill="1" applyBorder="1" applyAlignment="1">
      <alignment horizontal="center" vertical="center" wrapText="1"/>
    </xf>
    <xf numFmtId="0" fontId="0" fillId="15" borderId="3" xfId="0" applyFill="1" applyBorder="1"/>
    <xf numFmtId="0" fontId="0" fillId="15" borderId="5" xfId="0" applyFill="1" applyBorder="1" applyAlignment="1">
      <alignment vertical="center" wrapText="1"/>
    </xf>
    <xf numFmtId="0" fontId="0" fillId="15" borderId="6" xfId="0" applyFill="1" applyBorder="1" applyAlignment="1">
      <alignment vertical="center"/>
    </xf>
    <xf numFmtId="0" fontId="0" fillId="15" borderId="3" xfId="0" applyFill="1" applyBorder="1" applyAlignment="1">
      <alignment vertical="center" wrapText="1"/>
    </xf>
    <xf numFmtId="0" fontId="0" fillId="15" borderId="9" xfId="0" applyFill="1" applyBorder="1" applyAlignment="1">
      <alignment vertical="center" wrapText="1"/>
    </xf>
    <xf numFmtId="0" fontId="0" fillId="15" borderId="8" xfId="0" applyFill="1" applyBorder="1" applyAlignment="1">
      <alignment horizontal="center" vertical="center"/>
    </xf>
    <xf numFmtId="0" fontId="1" fillId="15" borderId="11" xfId="0" applyFont="1" applyFill="1" applyBorder="1" applyAlignment="1">
      <alignment horizontal="center" vertical="center" wrapText="1"/>
    </xf>
    <xf numFmtId="0" fontId="10" fillId="16" borderId="8" xfId="0" applyFont="1" applyFill="1" applyBorder="1" applyAlignment="1">
      <alignment horizontal="center" vertical="center" wrapText="1"/>
    </xf>
    <xf numFmtId="0" fontId="10" fillId="21" borderId="6" xfId="0" applyFont="1" applyFill="1" applyBorder="1" applyAlignment="1">
      <alignment horizontal="center" vertical="center" wrapText="1"/>
    </xf>
    <xf numFmtId="0" fontId="10" fillId="21" borderId="9" xfId="0" applyFont="1" applyFill="1" applyBorder="1" applyAlignment="1">
      <alignment horizontal="center" vertical="center" wrapText="1"/>
    </xf>
    <xf numFmtId="0" fontId="10" fillId="17" borderId="8" xfId="0" applyFont="1" applyFill="1" applyBorder="1" applyAlignment="1">
      <alignment horizontal="center" vertical="center" wrapText="1"/>
    </xf>
    <xf numFmtId="0" fontId="0" fillId="7" borderId="5" xfId="0" applyFill="1" applyBorder="1" applyAlignment="1">
      <alignment horizontal="left" vertical="center" wrapText="1"/>
    </xf>
    <xf numFmtId="0" fontId="0" fillId="7" borderId="8" xfId="0" applyFill="1" applyBorder="1" applyAlignment="1">
      <alignment horizontal="center" vertical="center" wrapText="1"/>
    </xf>
    <xf numFmtId="164" fontId="0" fillId="18" borderId="3" xfId="0" applyNumberFormat="1" applyFill="1" applyBorder="1" applyAlignment="1">
      <alignment vertical="center" wrapText="1"/>
    </xf>
    <xf numFmtId="165" fontId="0" fillId="18" borderId="3" xfId="0" applyNumberFormat="1" applyFill="1" applyBorder="1" applyAlignment="1">
      <alignment vertical="center" wrapText="1"/>
    </xf>
    <xf numFmtId="0" fontId="18" fillId="18" borderId="3" xfId="0" applyFont="1" applyFill="1" applyBorder="1" applyAlignment="1">
      <alignment vertical="center" wrapText="1"/>
    </xf>
    <xf numFmtId="0" fontId="10" fillId="18" borderId="3" xfId="0" applyFont="1" applyFill="1" applyBorder="1" applyAlignment="1">
      <alignment vertical="center" wrapText="1"/>
    </xf>
    <xf numFmtId="0" fontId="10" fillId="18" borderId="11" xfId="0" applyFont="1" applyFill="1" applyBorder="1" applyAlignment="1">
      <alignment vertical="center" wrapText="1"/>
    </xf>
    <xf numFmtId="49" fontId="18" fillId="18" borderId="8" xfId="0" applyNumberFormat="1" applyFont="1" applyFill="1" applyBorder="1" applyAlignment="1">
      <alignment vertical="center" wrapText="1"/>
    </xf>
    <xf numFmtId="49" fontId="7" fillId="18" borderId="6" xfId="0" applyNumberFormat="1" applyFont="1" applyFill="1" applyBorder="1" applyAlignment="1">
      <alignment horizontal="center" vertical="center" wrapText="1"/>
    </xf>
    <xf numFmtId="0" fontId="0" fillId="18" borderId="3" xfId="0" applyFill="1" applyBorder="1"/>
    <xf numFmtId="0" fontId="0" fillId="18" borderId="5" xfId="0" applyFill="1" applyBorder="1" applyAlignment="1">
      <alignment vertical="center" wrapText="1"/>
    </xf>
    <xf numFmtId="49" fontId="0" fillId="18" borderId="8" xfId="0" applyNumberFormat="1" applyFill="1" applyBorder="1" applyAlignment="1">
      <alignment horizontal="center" vertical="center"/>
    </xf>
    <xf numFmtId="0" fontId="0" fillId="18" borderId="6" xfId="0" applyFill="1" applyBorder="1" applyAlignment="1">
      <alignment vertical="center"/>
    </xf>
    <xf numFmtId="0" fontId="0" fillId="18" borderId="3" xfId="0" applyFill="1" applyBorder="1" applyAlignment="1">
      <alignment vertical="center" wrapText="1"/>
    </xf>
    <xf numFmtId="0" fontId="0" fillId="18" borderId="9" xfId="0" applyFill="1" applyBorder="1" applyAlignment="1">
      <alignment vertical="center" wrapText="1"/>
    </xf>
    <xf numFmtId="0" fontId="0" fillId="18" borderId="8" xfId="0" applyFill="1" applyBorder="1" applyAlignment="1">
      <alignment horizontal="center" vertical="center"/>
    </xf>
    <xf numFmtId="0" fontId="1" fillId="18" borderId="11" xfId="0" applyFont="1" applyFill="1" applyBorder="1" applyAlignment="1">
      <alignment horizontal="center" vertical="center" wrapText="1"/>
    </xf>
    <xf numFmtId="0" fontId="10" fillId="18" borderId="8" xfId="0" applyFont="1" applyFill="1" applyBorder="1" applyAlignment="1">
      <alignment vertical="center"/>
    </xf>
    <xf numFmtId="0" fontId="0" fillId="14" borderId="3" xfId="0" applyFill="1" applyBorder="1"/>
    <xf numFmtId="0" fontId="24" fillId="0" borderId="0" xfId="0" applyFont="1" applyAlignment="1">
      <alignment horizontal="center"/>
    </xf>
    <xf numFmtId="164" fontId="0" fillId="0" borderId="3" xfId="0" applyNumberFormat="1" applyFill="1" applyBorder="1" applyAlignment="1">
      <alignment vertical="center" wrapText="1"/>
    </xf>
    <xf numFmtId="165" fontId="0" fillId="0" borderId="3" xfId="0" applyNumberFormat="1" applyFill="1" applyBorder="1" applyAlignment="1">
      <alignment vertical="center" wrapText="1"/>
    </xf>
    <xf numFmtId="0" fontId="18" fillId="0" borderId="3" xfId="0" applyFont="1" applyFill="1" applyBorder="1" applyAlignment="1">
      <alignment vertical="center" wrapText="1"/>
    </xf>
    <xf numFmtId="0" fontId="10" fillId="0" borderId="3" xfId="0" applyFont="1" applyFill="1" applyBorder="1" applyAlignment="1">
      <alignment vertical="center" wrapText="1"/>
    </xf>
    <xf numFmtId="0" fontId="10" fillId="0" borderId="11" xfId="0" applyFont="1" applyFill="1" applyBorder="1" applyAlignment="1">
      <alignment vertical="center" wrapText="1"/>
    </xf>
    <xf numFmtId="49" fontId="18" fillId="0" borderId="8" xfId="0" applyNumberFormat="1" applyFont="1" applyFill="1" applyBorder="1" applyAlignment="1">
      <alignment vertical="center" wrapText="1"/>
    </xf>
    <xf numFmtId="49" fontId="7" fillId="0" borderId="6" xfId="0" applyNumberFormat="1" applyFont="1" applyFill="1" applyBorder="1" applyAlignment="1">
      <alignment horizontal="center" vertical="center" wrapText="1"/>
    </xf>
    <xf numFmtId="0" fontId="0" fillId="0" borderId="3" xfId="0" applyFill="1" applyBorder="1"/>
    <xf numFmtId="49" fontId="0" fillId="0" borderId="8" xfId="0" applyNumberFormat="1" applyFill="1" applyBorder="1" applyAlignment="1">
      <alignment horizontal="center" vertical="center"/>
    </xf>
    <xf numFmtId="0" fontId="0" fillId="0" borderId="6" xfId="0" applyFill="1" applyBorder="1" applyAlignment="1">
      <alignment vertical="center"/>
    </xf>
    <xf numFmtId="0" fontId="0" fillId="0" borderId="3" xfId="0" applyFill="1" applyBorder="1" applyAlignment="1">
      <alignment vertical="center" wrapText="1"/>
    </xf>
    <xf numFmtId="0" fontId="0" fillId="0" borderId="9" xfId="0" applyFill="1" applyBorder="1" applyAlignment="1">
      <alignment vertical="center" wrapText="1"/>
    </xf>
    <xf numFmtId="0" fontId="0" fillId="0" borderId="8" xfId="0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vertical="center"/>
    </xf>
    <xf numFmtId="0" fontId="7" fillId="0" borderId="6" xfId="0" applyFont="1" applyFill="1" applyBorder="1" applyAlignment="1">
      <alignment horizontal="center" vertical="center" wrapText="1"/>
    </xf>
    <xf numFmtId="0" fontId="10" fillId="7" borderId="6" xfId="0" applyFont="1" applyFill="1" applyBorder="1" applyAlignment="1">
      <alignment horizontal="center" vertical="center" wrapText="1"/>
    </xf>
    <xf numFmtId="0" fontId="10" fillId="7" borderId="9" xfId="0" applyFont="1" applyFill="1" applyBorder="1" applyAlignment="1">
      <alignment horizontal="center" vertical="center" wrapText="1"/>
    </xf>
    <xf numFmtId="49" fontId="0" fillId="7" borderId="8" xfId="0" applyNumberFormat="1" applyFill="1" applyBorder="1" applyAlignment="1">
      <alignment horizontal="center" vertical="center"/>
    </xf>
    <xf numFmtId="0" fontId="0" fillId="0" borderId="5" xfId="0" applyFill="1" applyBorder="1"/>
    <xf numFmtId="0" fontId="10" fillId="14" borderId="3" xfId="0" applyFont="1" applyFill="1" applyBorder="1" applyAlignment="1">
      <alignment vertical="center" wrapText="1"/>
    </xf>
    <xf numFmtId="0" fontId="10" fillId="18" borderId="6" xfId="0" applyFont="1" applyFill="1" applyBorder="1" applyAlignment="1">
      <alignment horizontal="center" vertical="center" wrapText="1"/>
    </xf>
    <xf numFmtId="0" fontId="7" fillId="14" borderId="6" xfId="0" applyFont="1" applyFill="1" applyBorder="1" applyAlignment="1">
      <alignment horizontal="center" vertical="center" wrapText="1"/>
    </xf>
    <xf numFmtId="0" fontId="7" fillId="14" borderId="9" xfId="0" applyFont="1" applyFill="1" applyBorder="1" applyAlignment="1">
      <alignment horizontal="center" vertical="center" wrapText="1"/>
    </xf>
    <xf numFmtId="0" fontId="0" fillId="14" borderId="5" xfId="0" applyFill="1" applyBorder="1"/>
    <xf numFmtId="49" fontId="0" fillId="21" borderId="8" xfId="0" applyNumberFormat="1" applyFill="1" applyBorder="1" applyAlignment="1">
      <alignment horizontal="center" vertical="center"/>
    </xf>
    <xf numFmtId="0" fontId="0" fillId="21" borderId="8" xfId="0" applyFill="1" applyBorder="1" applyAlignment="1">
      <alignment horizontal="center" vertical="center" wrapText="1"/>
    </xf>
    <xf numFmtId="0" fontId="7" fillId="7" borderId="6" xfId="0" applyFont="1" applyFill="1" applyBorder="1" applyAlignment="1">
      <alignment horizontal="center" vertical="center" wrapText="1"/>
    </xf>
    <xf numFmtId="0" fontId="7" fillId="7" borderId="9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/>
    </xf>
    <xf numFmtId="0" fontId="0" fillId="18" borderId="5" xfId="0" applyFill="1" applyBorder="1"/>
    <xf numFmtId="0" fontId="10" fillId="17" borderId="8" xfId="0" applyFont="1" applyFill="1" applyBorder="1" applyAlignment="1">
      <alignment horizontal="center" vertical="center"/>
    </xf>
    <xf numFmtId="0" fontId="10" fillId="16" borderId="8" xfId="0" applyFont="1" applyFill="1" applyBorder="1" applyAlignment="1">
      <alignment horizontal="center" vertical="center"/>
    </xf>
    <xf numFmtId="0" fontId="10" fillId="21" borderId="8" xfId="0" applyFont="1" applyFill="1" applyBorder="1" applyAlignment="1">
      <alignment horizontal="center" vertical="center"/>
    </xf>
    <xf numFmtId="0" fontId="0" fillId="7" borderId="3" xfId="0" applyFill="1" applyBorder="1" applyAlignment="1">
      <alignment vertical="center"/>
    </xf>
    <xf numFmtId="0" fontId="0" fillId="7" borderId="5" xfId="0" applyFill="1" applyBorder="1" applyAlignment="1">
      <alignment vertical="center" wrapText="1"/>
    </xf>
  </cellXfs>
  <cellStyles count="1">
    <cellStyle name="Normal" xfId="0" builtinId="0"/>
  </cellStyles>
  <dxfs count="12">
    <dxf>
      <alignment horizontal="center"/>
    </dxf>
    <dxf>
      <font>
        <color rgb="FFFF0000"/>
      </font>
    </dxf>
    <dxf>
      <font>
        <color rgb="FFFF0000"/>
      </font>
    </dxf>
    <dxf>
      <alignment horizontal="center"/>
    </dxf>
    <dxf>
      <alignment horizontal="center"/>
    </dxf>
    <dxf>
      <font>
        <color rgb="FFFF0000"/>
      </font>
    </dxf>
    <dxf>
      <font>
        <color rgb="FFFF0000"/>
      </font>
    </dxf>
    <dxf>
      <alignment horizontal="center"/>
    </dxf>
    <dxf>
      <alignment horizontal="center"/>
    </dxf>
    <dxf>
      <font>
        <color rgb="FFFF0000"/>
      </font>
    </dxf>
    <dxf>
      <alignment vertical="center"/>
    </dxf>
    <dxf>
      <alignment horizontal="center"/>
    </dxf>
  </dxfs>
  <tableStyles count="0" defaultTableStyle="TableStyleMedium2" defaultPivotStyle="PivotStyleLight16"/>
  <colors>
    <mruColors>
      <color rgb="FFBDD7EE"/>
      <color rgb="FFF8CBAD"/>
      <color rgb="FFEECDF7"/>
      <color rgb="FFFFFFFF"/>
      <color rgb="FFE2EFD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2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pivotCacheDefinition" Target="pivotCache/pivotCacheDefinition1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26</xdr:col>
      <xdr:colOff>466726</xdr:colOff>
      <xdr:row>11</xdr:row>
      <xdr:rowOff>9525</xdr:rowOff>
    </xdr:from>
    <xdr:to>
      <xdr:col>31</xdr:col>
      <xdr:colOff>123826</xdr:colOff>
      <xdr:row>17</xdr:row>
      <xdr:rowOff>28575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34642426" y="3257550"/>
          <a:ext cx="3467100" cy="11620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fr-FR" sz="1100"/>
            <a:t>C'est ce que j'appelais un recouvrement.</a:t>
          </a:r>
          <a:br>
            <a:rPr lang="fr-FR" sz="1100"/>
          </a:br>
          <a:r>
            <a:rPr lang="fr-FR" sz="1100"/>
            <a:t>Plusieurs règles affectent N</a:t>
          </a:r>
          <a:br>
            <a:rPr lang="fr-FR" sz="1100"/>
          </a:br>
          <a:r>
            <a:rPr lang="fr-FR" sz="1100"/>
            <a:t>Si tu veux que N2 soit noir il faut que la règle</a:t>
          </a:r>
          <a:r>
            <a:rPr lang="fr-FR" sz="1100" baseline="0"/>
            <a:t> 3 s'effectue avant la 2, voire la 1, et donc la remonter. Que les suivantes la recouvre.</a:t>
          </a:r>
          <a:endParaRPr lang="fr-FR" sz="1100"/>
        </a:p>
      </xdr:txBody>
    </xdr:sp>
    <xdr:clientData/>
  </xdr:twoCellAnchor>
  <xdr:twoCellAnchor>
    <xdr:from>
      <xdr:col>26</xdr:col>
      <xdr:colOff>752475</xdr:colOff>
      <xdr:row>27</xdr:row>
      <xdr:rowOff>76200</xdr:rowOff>
    </xdr:from>
    <xdr:to>
      <xdr:col>35</xdr:col>
      <xdr:colOff>123825</xdr:colOff>
      <xdr:row>36</xdr:row>
      <xdr:rowOff>85725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34928175" y="6467475"/>
          <a:ext cx="6229350" cy="20097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Pour les contrôles je te conseille d'ouvrir 2 sessions excel.</a:t>
          </a:r>
          <a:br>
            <a:rPr lang="fr-FR" sz="1100"/>
          </a:br>
          <a:r>
            <a:rPr lang="fr-FR" sz="1100"/>
            <a:t>La 2nde avec l'ancienne version qui a encore les MFC.</a:t>
          </a:r>
          <a:br>
            <a:rPr lang="fr-FR" sz="1100"/>
          </a:br>
          <a:r>
            <a:rPr lang="fr-FR" sz="1100" b="1"/>
            <a:t>Clic-droit</a:t>
          </a:r>
          <a:r>
            <a:rPr lang="fr-FR" sz="1100"/>
            <a:t> sur l'icone</a:t>
          </a:r>
          <a:r>
            <a:rPr lang="fr-FR" sz="1100" baseline="0"/>
            <a:t> Excel dans la barre de tâche en bas, </a:t>
          </a:r>
          <a:r>
            <a:rPr lang="fr-FR" sz="1100" b="1" u="sng" baseline="0"/>
            <a:t>Shift+Ctrl clic </a:t>
          </a:r>
          <a:r>
            <a:rPr lang="fr-FR" sz="1100" baseline="0"/>
            <a:t>sur le menu 'Excel' pour ouvrir la 2nde session.</a:t>
          </a:r>
        </a:p>
        <a:p>
          <a:endParaRPr lang="fr-FR" sz="1100" baseline="0"/>
        </a:p>
        <a:p>
          <a:r>
            <a:rPr lang="fr-FR" sz="1100" baseline="0"/>
            <a:t>En les mettant l'une au-dessus de l'autre, tu vois tout de suite les différences.</a:t>
          </a:r>
        </a:p>
        <a:p>
          <a:r>
            <a:rPr lang="fr-FR" sz="1100"/>
            <a:t>Tu peux voir une divergence ici en W9 qui devrait être</a:t>
          </a:r>
          <a:r>
            <a:rPr lang="fr-FR" sz="1100" baseline="0"/>
            <a:t> vert.</a:t>
          </a:r>
          <a:br>
            <a:rPr lang="fr-FR" sz="1100" baseline="0"/>
          </a:br>
          <a:r>
            <a:rPr lang="fr-FR" sz="1100" baseline="0"/>
            <a:t>Sur l'ancien fichier tu contrôles les MFC de W9 qui te dit Si "OK FAIT" alors W9 vert.</a:t>
          </a:r>
          <a:br>
            <a:rPr lang="fr-FR" sz="1100" baseline="0"/>
          </a:br>
          <a:r>
            <a:rPr lang="fr-FR" sz="1100" baseline="0"/>
            <a:t>Dans la liste c'est inscrit W/OK FAIT/</a:t>
          </a:r>
          <a:r>
            <a:rPr lang="fr-FR" sz="1100" b="1" baseline="0">
              <a:solidFill>
                <a:srgbClr val="FF0000"/>
              </a:solidFill>
            </a:rPr>
            <a:t>X:X</a:t>
          </a:r>
          <a:r>
            <a:rPr lang="fr-FR" sz="1100" baseline="0"/>
            <a:t> (je me suis planté pour les tests suite à un copier-coller)</a:t>
          </a:r>
          <a:br>
            <a:rPr lang="fr-FR" sz="1100" baseline="0"/>
          </a:br>
          <a:r>
            <a:rPr lang="fr-FR" sz="1100" baseline="0"/>
            <a:t>On va dire que j'ai fait exprès pour t'expliquer comment procéder pour contrôler ;-)</a:t>
          </a:r>
          <a:endParaRPr lang="fr-FR" sz="1100"/>
        </a:p>
      </xdr:txBody>
    </xdr:sp>
    <xdr:clientData/>
  </xdr:twoCellAnchor>
  <xdr:twoCellAnchor>
    <xdr:from>
      <xdr:col>25</xdr:col>
      <xdr:colOff>1009650</xdr:colOff>
      <xdr:row>33</xdr:row>
      <xdr:rowOff>66675</xdr:rowOff>
    </xdr:from>
    <xdr:to>
      <xdr:col>27</xdr:col>
      <xdr:colOff>104775</xdr:colOff>
      <xdr:row>33</xdr:row>
      <xdr:rowOff>152400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CxnSpPr/>
      </xdr:nvCxnSpPr>
      <xdr:spPr>
        <a:xfrm flipH="1" flipV="1">
          <a:off x="31442025" y="7886700"/>
          <a:ext cx="3600450" cy="85725"/>
        </a:xfrm>
        <a:prstGeom prst="straightConnector1">
          <a:avLst/>
        </a:prstGeom>
        <a:ln>
          <a:tailEnd type="triangle"/>
        </a:ln>
      </xdr:spPr>
      <xdr:style>
        <a:lnRef idx="3">
          <a:schemeClr val="accent4"/>
        </a:lnRef>
        <a:fillRef idx="0">
          <a:schemeClr val="accent4"/>
        </a:fillRef>
        <a:effectRef idx="2">
          <a:schemeClr val="accent4"/>
        </a:effectRef>
        <a:fontRef idx="minor">
          <a:schemeClr val="tx1"/>
        </a:fontRef>
      </xdr:style>
    </xdr:cxnSp>
    <xdr:clientData/>
  </xdr:twoCellAnchor>
  <xdr:twoCellAnchor>
    <xdr:from>
      <xdr:col>25</xdr:col>
      <xdr:colOff>1706096</xdr:colOff>
      <xdr:row>31</xdr:row>
      <xdr:rowOff>152961</xdr:rowOff>
    </xdr:from>
    <xdr:to>
      <xdr:col>25</xdr:col>
      <xdr:colOff>2029946</xdr:colOff>
      <xdr:row>33</xdr:row>
      <xdr:rowOff>170331</xdr:rowOff>
    </xdr:to>
    <xdr:sp macro="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33046708" y="7172326"/>
          <a:ext cx="323850" cy="483534"/>
        </a:xfrm>
        <a:prstGeom prst="roundRect">
          <a:avLst/>
        </a:prstGeom>
        <a:noFill/>
        <a:ln w="38100"/>
      </xdr:spPr>
      <xdr:style>
        <a:lnRef idx="2">
          <a:schemeClr val="accent4"/>
        </a:lnRef>
        <a:fillRef idx="1">
          <a:schemeClr val="lt1"/>
        </a:fillRef>
        <a:effectRef idx="0">
          <a:schemeClr val="accent4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31</xdr:col>
      <xdr:colOff>400050</xdr:colOff>
      <xdr:row>7</xdr:row>
      <xdr:rowOff>133349</xdr:rowOff>
    </xdr:from>
    <xdr:to>
      <xdr:col>40</xdr:col>
      <xdr:colOff>542925</xdr:colOff>
      <xdr:row>24</xdr:row>
      <xdr:rowOff>104774</xdr:rowOff>
    </xdr:to>
    <xdr:sp macro="" textlink="">
      <xdr:nvSpPr>
        <xdr:cNvPr id="7" name="Bulle narrative : rectangle à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38385750" y="2428874"/>
          <a:ext cx="7000875" cy="3400425"/>
        </a:xfrm>
        <a:prstGeom prst="wedgeRoundRectCallout">
          <a:avLst>
            <a:gd name="adj1" fmla="val -20969"/>
            <a:gd name="adj2" fmla="val 46895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Oui, plus aucune MFC</a:t>
          </a:r>
          <a:r>
            <a:rPr lang="fr-FR" sz="1100" baseline="0"/>
            <a:t> ici.</a:t>
          </a:r>
          <a:br>
            <a:rPr lang="fr-FR" sz="1100" baseline="0"/>
          </a:br>
          <a:r>
            <a:rPr lang="fr-FR" sz="1100" baseline="0"/>
            <a:t>Lors d'une saisie, les couleurs sont RAZ et récrées uniquement pour la ligne en cours, au lieu du recalcul de dizaines de milliers de cellules pour les MFC.</a:t>
          </a:r>
          <a:br>
            <a:rPr lang="fr-FR" sz="1100" baseline="0"/>
          </a:br>
          <a:r>
            <a:rPr lang="fr-FR" sz="1100" baseline="0"/>
            <a:t>C'est toujours la même vitesse quel que soit le nombre de lignes, 0.0034 s par ligne. Si tu veux y mettre 20 ans, tu peux.</a:t>
          </a:r>
          <a:br>
            <a:rPr lang="fr-FR" sz="1100" baseline="0"/>
          </a:br>
          <a:endParaRPr lang="fr-FR" sz="1100" baseline="0"/>
        </a:p>
        <a:p>
          <a:pPr algn="l"/>
          <a:r>
            <a:rPr lang="fr-FR" sz="1100" baseline="0"/>
            <a:t>Tu peux augmenter le nombre de colonnes, je tiens compte du nombre de titres pour colorer les lignes entières.</a:t>
          </a:r>
          <a:br>
            <a:rPr lang="fr-FR" sz="1100" baseline="0"/>
          </a:br>
          <a:r>
            <a:rPr lang="fr-FR" sz="1100" baseline="0"/>
            <a:t>Par contre si tu en insères ou si tu en déplaces il faudra corriger les règles des couleurs en conséquence. Rien à modifier ou modifier dans le code (tant que les règles sont = ou &lt;&gt;).</a:t>
          </a:r>
          <a:br>
            <a:rPr lang="fr-FR" sz="1100" baseline="0"/>
          </a:br>
          <a:r>
            <a:rPr lang="fr-FR" sz="1100" baseline="0"/>
            <a:t>Tu peux ajouter autant de lignes que tu veux dans les 2 listes des règles des couleurs (ne pas sauter de ligne, ne rien inscrire en dessous que la macro s'y retrouve)</a:t>
          </a:r>
        </a:p>
        <a:p>
          <a:pPr algn="l"/>
          <a:endParaRPr lang="fr-FR" sz="1100" baseline="0"/>
        </a:p>
        <a:p>
          <a:pPr algn="l"/>
          <a:r>
            <a:rPr lang="fr-FR" sz="1100" baseline="0"/>
            <a:t>Pour colorer une ligne il suffit de revalider une cellule, la date par exemple. J'en ai fait 3</a:t>
          </a:r>
          <a:br>
            <a:rPr lang="fr-FR" sz="1100" baseline="0"/>
          </a:br>
          <a:r>
            <a:rPr lang="fr-FR" sz="1100" baseline="0"/>
            <a:t>Quand tu auras corriger tes règles, envoie moi le fichier critères que je les incorpore.</a:t>
          </a:r>
          <a:br>
            <a:rPr lang="fr-FR" sz="1100" baseline="0"/>
          </a:br>
          <a:r>
            <a:rPr lang="fr-FR" sz="1100" baseline="0"/>
            <a:t>Signale-moi les erreurs ou cas particuliers non traités dû au code</a:t>
          </a:r>
          <a:br>
            <a:rPr lang="fr-FR" sz="1100" baseline="0"/>
          </a:br>
          <a:endParaRPr lang="fr-FR" sz="1100"/>
        </a:p>
      </xdr:txBody>
    </xdr:sp>
    <xdr:clientData/>
  </xdr:twoCellAnchor>
  <xdr:twoCellAnchor>
    <xdr:from>
      <xdr:col>26</xdr:col>
      <xdr:colOff>238125</xdr:colOff>
      <xdr:row>10</xdr:row>
      <xdr:rowOff>9525</xdr:rowOff>
    </xdr:from>
    <xdr:to>
      <xdr:col>31</xdr:col>
      <xdr:colOff>228600</xdr:colOff>
      <xdr:row>18</xdr:row>
      <xdr:rowOff>85725</xdr:rowOff>
    </xdr:to>
    <xdr:sp macro="" textlink="">
      <xdr:nvSpPr>
        <xdr:cNvPr id="8" name="Rectangle : coins arrondis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34413825" y="3067050"/>
          <a:ext cx="3800475" cy="1600200"/>
        </a:xfrm>
        <a:prstGeom prst="roundRect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25</xdr:col>
      <xdr:colOff>3667125</xdr:colOff>
      <xdr:row>1</xdr:row>
      <xdr:rowOff>228600</xdr:rowOff>
    </xdr:from>
    <xdr:to>
      <xdr:col>30</xdr:col>
      <xdr:colOff>590550</xdr:colOff>
      <xdr:row>3</xdr:row>
      <xdr:rowOff>114300</xdr:rowOff>
    </xdr:to>
    <xdr:sp macro="" textlink="">
      <xdr:nvSpPr>
        <xdr:cNvPr id="4" name="Flèche : gauch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34099500" y="428625"/>
          <a:ext cx="3714750" cy="45720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J'ai remplacé les prénoms par &lt;&gt;Autre, vois si c'est valable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1470659</xdr:colOff>
          <xdr:row>26</xdr:row>
          <xdr:rowOff>350519</xdr:rowOff>
        </xdr:from>
        <xdr:to>
          <xdr:col>16</xdr:col>
          <xdr:colOff>236219</xdr:colOff>
          <xdr:row>34</xdr:row>
          <xdr:rowOff>106679</xdr:rowOff>
        </xdr:to>
        <xdr:sp macro="" textlink="">
          <xdr:nvSpPr>
            <xdr:cNvPr id="2069" name="lbxListe" hidden="1">
              <a:extLst>
                <a:ext uri="{63B3BB69-23CF-44E3-9099-C40C66FF867C}">
                  <a14:compatExt spid="_x0000_s2069"/>
                </a:ext>
                <a:ext uri="{FF2B5EF4-FFF2-40B4-BE49-F238E27FC236}">
                  <a16:creationId xmlns:a16="http://schemas.microsoft.com/office/drawing/2014/main" id="{00000000-0008-0000-0100-00001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persons/person.xml><?xml version="1.0" encoding="utf-8"?>
<personList xmlns="http://schemas.microsoft.com/office/spreadsheetml/2018/threadedcomments" xmlns:x="http://schemas.openxmlformats.org/spreadsheetml/2006/main">
  <person displayName="MOURON  SABRINA" id="{A3E1130B-0535-4A37-A814-A5CB426EB63D}" userId="S::smouron@mairie-lille.fr::b4f77a56-9d46-4405-9f07-2bc877c240ab" providerId="AD"/>
</personList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smouron" refreshedDate="45471.61212395833" createdVersion="8" refreshedVersion="8" minRefreshableVersion="3" recordCount="1003" xr:uid="{6984CE3A-C902-4008-BA86-54385BFE8B71}">
  <cacheSource type="worksheet">
    <worksheetSource ref="A1:X1048576" sheet="Saisie"/>
  </cacheSource>
  <cacheFields count="27">
    <cacheField name="DATE " numFmtId="164">
      <sharedItems containsNonDate="0" containsDate="1" containsString="0" containsBlank="1" minDate="2024-03-31T00:00:00" maxDate="2024-06-28T00:00:00" count="18">
        <d v="2024-05-31T00:00:00"/>
        <d v="2024-06-01T00:00:00"/>
        <d v="2024-06-05T00:00:00"/>
        <d v="2024-05-16T00:00:00"/>
        <d v="2024-03-31T00:00:00"/>
        <d v="2024-05-25T00:00:00"/>
        <d v="2024-06-15T00:00:00"/>
        <d v="2024-04-01T00:00:00"/>
        <d v="2024-05-28T00:00:00"/>
        <d v="2024-04-02T00:00:00"/>
        <d v="2024-06-18T00:00:00"/>
        <d v="2024-04-12T00:00:00"/>
        <d v="2024-06-25T00:00:00"/>
        <d v="2024-06-27T00:00:00"/>
        <d v="2024-04-13T00:00:00"/>
        <d v="2024-04-30T00:00:00"/>
        <d v="2024-04-16T00:00:00"/>
        <m/>
      </sharedItems>
      <fieldGroup par="26"/>
    </cacheField>
    <cacheField name="HEURE" numFmtId="165">
      <sharedItems containsNonDate="0" containsString="0" containsBlank="1"/>
    </cacheField>
    <cacheField name="AGENT" numFmtId="0">
      <sharedItems containsBlank="1" count="7">
        <s v="Nordine"/>
        <s v="AUTRE"/>
        <s v="Fabienne"/>
        <s v="Christelle"/>
        <s v="Patricia"/>
        <m/>
        <s v="Faiza" u="1"/>
      </sharedItems>
    </cacheField>
    <cacheField name="Si AGENT_x000a_=AUTRE_x000a_Précisez " numFmtId="0">
      <sharedItems containsBlank="1"/>
    </cacheField>
    <cacheField name="FRONT/BACK/TT" numFmtId="0">
      <sharedItems containsBlank="1" count="4">
        <s v="FRONT"/>
        <s v="BACK"/>
        <s v="TT"/>
        <m/>
      </sharedItems>
    </cacheField>
    <cacheField name="Mode de réception  " numFmtId="49">
      <sharedItems containsBlank="1" count="7">
        <s v="Répondeur"/>
        <s v="Téléphone"/>
        <s v="Acc physique"/>
        <s v="Courrier interne "/>
        <s v="Courrier externe"/>
        <s v="E mail "/>
        <m/>
      </sharedItems>
    </cacheField>
    <cacheField name="PAS DE MESSAGE suite  consultation du répondeur : indiquer VRAI  " numFmtId="0">
      <sharedItems containsBlank="1"/>
    </cacheField>
    <cacheField name="DATE et HEURE_x000a_ du message  " numFmtId="0">
      <sharedItems containsNonDate="0" containsString="0" containsBlank="1"/>
    </cacheField>
    <cacheField name="Origine" numFmtId="0">
      <sharedItems containsBlank="1"/>
    </cacheField>
    <cacheField name="Identité  _x000a_(Nom d'usage + née XX  et prénom) _x000a_  " numFmtId="0">
      <sharedItems containsNonDate="0" containsString="0" containsBlank="1"/>
    </cacheField>
    <cacheField name="Coordonnées _x000a_(adresse, téléphone, mail) " numFmtId="0">
      <sharedItems containsNonDate="0" containsString="0" containsBlank="1"/>
    </cacheField>
    <cacheField name="  Identité de la personne concernée par la demande_x000a_(Nom d'usage + née XX  et prénom)" numFmtId="0">
      <sharedItems containsNonDate="0" containsString="0" containsBlank="1"/>
    </cacheField>
    <cacheField name="Coordonnées de la personne concernée par la demande  _x000a_(adresse, téléphone, mail) " numFmtId="0">
      <sharedItems containsNonDate="0" containsString="0" containsBlank="1"/>
    </cacheField>
    <cacheField name="Date de naisance _x000a_de la personne concernée_x000a_ par la demande " numFmtId="0">
      <sharedItems containsNonDate="0" containsString="0" containsBlank="1"/>
    </cacheField>
    <cacheField name="Demande " numFmtId="0">
      <sharedItems containsBlank="1"/>
    </cacheField>
    <cacheField name="DEMANDE EN COURS_x000a_ (A TRAITER ou EN COURS DE REPONSE)" numFmtId="0">
      <sharedItems containsBlank="1"/>
    </cacheField>
    <cacheField name="Catégorie" numFmtId="0">
      <sharedItems containsBlank="1"/>
    </cacheField>
    <cacheField name="ACTIONS" numFmtId="0">
      <sharedItems containsBlank="1"/>
    </cacheField>
    <cacheField name="Si ASS. _x000a_de _x000a_COORD" numFmtId="0">
      <sharedItems containsBlank="1"/>
    </cacheField>
    <cacheField name="Ma" numFmtId="0">
      <sharedItems containsBlank="1"/>
    </cacheField>
    <cacheField name="DUREE en min" numFmtId="0">
      <sharedItems containsNonDate="0" containsString="0" containsBlank="1"/>
    </cacheField>
    <cacheField name=" PA _x000a_ou _x000a_PH" numFmtId="0">
      <sharedItems containsBlank="1"/>
    </cacheField>
    <cacheField name="Si PA : signalement_x000a_VRAI_FAUX" numFmtId="0">
      <sharedItems containsBlank="1"/>
    </cacheField>
    <cacheField name="SAISIE LOGICLIC_x000a_OK FAIT_x000a_ ou _x000a_A FAIRE " numFmtId="0">
      <sharedItems containsBlank="1"/>
    </cacheField>
    <cacheField name="SAISIE IODAS : _x000a_OK FAIT_x000a_ ou _x000a_A FAIRE" numFmtId="0">
      <sharedItems containsBlank="1"/>
    </cacheField>
    <cacheField name="Jours (DATE )" numFmtId="0" databaseField="0">
      <fieldGroup base="0">
        <rangePr groupBy="days" startDate="2024-03-31T00:00:00" endDate="2024-06-28T00:00:00"/>
        <groupItems count="368">
          <s v="&lt;31/03/2024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28/06/2024"/>
        </groupItems>
      </fieldGroup>
    </cacheField>
    <cacheField name="Mois (DATE )" numFmtId="0" databaseField="0">
      <fieldGroup base="0">
        <rangePr groupBy="months" startDate="2024-03-31T00:00:00" endDate="2024-06-28T00:00:00"/>
        <groupItems count="14">
          <s v="&lt;31/03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8/06/2024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003">
  <r>
    <x v="0"/>
    <m/>
    <x v="0"/>
    <m/>
    <x v="0"/>
    <x v="0"/>
    <b v="1"/>
    <m/>
    <s v="La personne elle-même"/>
    <m/>
    <m/>
    <m/>
    <m/>
    <m/>
    <s v="Monsieur DUDU souahite accéder à un logement social pour sa famille car sont 4 dans un T2 dans le privé "/>
    <b v="1"/>
    <s v="SOCIAL"/>
    <s v="Appel SES_x000a_Intervention physique SES"/>
    <m/>
    <s v="remise du formulaire de demande de logement social "/>
    <m/>
    <m/>
    <m/>
    <m/>
    <m/>
  </r>
  <r>
    <x v="1"/>
    <m/>
    <x v="1"/>
    <s v="Faiza"/>
    <x v="1"/>
    <x v="1"/>
    <m/>
    <m/>
    <s v="Famille "/>
    <m/>
    <m/>
    <m/>
    <m/>
    <m/>
    <s v="veut parler aveant la VAD avec sa référente "/>
    <b v="1"/>
    <s v="ASS._DE_COORD"/>
    <s v="Standard_message pris"/>
    <s v="Djouher"/>
    <s v="Madame demande à être rappellée"/>
    <m/>
    <m/>
    <m/>
    <m/>
    <m/>
  </r>
  <r>
    <x v="2"/>
    <m/>
    <x v="2"/>
    <m/>
    <x v="0"/>
    <x v="0"/>
    <b v="0"/>
    <m/>
    <s v="Voisinage"/>
    <m/>
    <m/>
    <m/>
    <m/>
    <m/>
    <s v="Melle XX refuse de répondre à la formalité d'OA la concernant "/>
    <b v="0"/>
    <s v="AIDE_SOCIALE_ASG_OA_SASPA"/>
    <s v="Info sur formalité d'OA"/>
    <m/>
    <s v="refuse de répondre à la formalité d'OA"/>
    <m/>
    <m/>
    <m/>
    <m/>
    <m/>
  </r>
  <r>
    <x v="3"/>
    <m/>
    <x v="3"/>
    <m/>
    <x v="1"/>
    <x v="0"/>
    <b v="1"/>
    <m/>
    <s v="La personne elle-même"/>
    <m/>
    <m/>
    <m/>
    <m/>
    <m/>
    <s v="ne comprend pas la décision refus d'AAH et PCH"/>
    <b v="1"/>
    <s v="PA_PH"/>
    <s v="Ecoute_x000a_Informations, Explications_x000a_Consultation IODAS_x000a_Mail ou prise de RDV MDPH"/>
    <m/>
    <s v="Démarche  RAPO conseillée"/>
    <m/>
    <s v="PH"/>
    <m/>
    <m/>
    <s v="A FAIRE"/>
  </r>
  <r>
    <x v="4"/>
    <m/>
    <x v="4"/>
    <m/>
    <x v="2"/>
    <x v="2"/>
    <m/>
    <m/>
    <s v="Professionnel / Partenaire"/>
    <m/>
    <m/>
    <m/>
    <m/>
    <m/>
    <s v="demande information sur RQTH"/>
    <b v="1"/>
    <s v="PA_PH"/>
    <s v="Ecoute_x000a_Informations, Explications_x000a_Envoi/remise formulaire"/>
    <m/>
    <s v="aidant fatigué "/>
    <m/>
    <s v="PH"/>
    <m/>
    <m/>
    <s v="OK FAIT"/>
  </r>
  <r>
    <x v="5"/>
    <m/>
    <x v="0"/>
    <m/>
    <x v="0"/>
    <x v="2"/>
    <m/>
    <m/>
    <s v="Famille "/>
    <m/>
    <m/>
    <m/>
    <m/>
    <m/>
    <m/>
    <b v="0"/>
    <s v="AIDE_SOCIALE_ASG_OA_SASPA"/>
    <s v="Dépôt dossier ASG_x000a_Info sur formalité d'OA "/>
    <m/>
    <s v="envoyée par MQ de Fives"/>
    <m/>
    <m/>
    <m/>
    <m/>
    <m/>
  </r>
  <r>
    <x v="6"/>
    <m/>
    <x v="2"/>
    <m/>
    <x v="1"/>
    <x v="3"/>
    <m/>
    <m/>
    <s v="Ami ou autre tiers"/>
    <m/>
    <m/>
    <m/>
    <m/>
    <m/>
    <m/>
    <b v="0"/>
    <s v="ASS._DE_COORD"/>
    <s v="Secrétariat_réorientation VERS SERVICES DU CCAS"/>
    <m/>
    <s v="SESPA - Francoise"/>
    <m/>
    <m/>
    <m/>
    <m/>
    <m/>
  </r>
  <r>
    <x v="7"/>
    <m/>
    <x v="4"/>
    <m/>
    <x v="1"/>
    <x v="4"/>
    <m/>
    <m/>
    <s v="La personne elle-même"/>
    <m/>
    <m/>
    <m/>
    <m/>
    <m/>
    <s v="Mr BIDULE a déposé un dossier de SASPA au guichet 15 ce jour "/>
    <b v="0"/>
    <s v="PA_PH"/>
    <s v="Dépôt dossier SASPA"/>
    <m/>
    <s v="dossier vérifié :  complet "/>
    <m/>
    <s v="PA"/>
    <b v="1"/>
    <s v="OK FAIT"/>
    <s v="OK FAIT"/>
  </r>
  <r>
    <x v="8"/>
    <m/>
    <x v="0"/>
    <m/>
    <x v="0"/>
    <x v="5"/>
    <m/>
    <m/>
    <s v="Mairie de Lille / CCAS"/>
    <m/>
    <m/>
    <m/>
    <m/>
    <m/>
    <s v="souhaitait avoir l'urbanisme"/>
    <b v="1"/>
    <s v="ASS._DE_COORD"/>
    <s v="Standard_transfert vers CLIC/RA"/>
    <s v="Djouher_x000a_Vanessa"/>
    <m/>
    <m/>
    <m/>
    <m/>
    <m/>
    <m/>
  </r>
  <r>
    <x v="9"/>
    <m/>
    <x v="3"/>
    <m/>
    <x v="0"/>
    <x v="1"/>
    <m/>
    <m/>
    <s v="Famille "/>
    <m/>
    <m/>
    <m/>
    <m/>
    <m/>
    <m/>
    <b v="0"/>
    <s v="SOCIAL"/>
    <s v="Appel SES_x000a_Réorientation MQ"/>
    <m/>
    <s v="aide financière- "/>
    <m/>
    <m/>
    <m/>
    <m/>
    <m/>
  </r>
  <r>
    <x v="10"/>
    <m/>
    <x v="4"/>
    <m/>
    <x v="2"/>
    <x v="0"/>
    <b v="0"/>
    <m/>
    <s v="Famille "/>
    <m/>
    <m/>
    <m/>
    <m/>
    <m/>
    <m/>
    <b v="1"/>
    <s v="ASS._DE_COORD"/>
    <s v="Secrétariat_accueil RDV CLIC/RA"/>
    <s v="Nadia "/>
    <m/>
    <m/>
    <m/>
    <m/>
    <m/>
    <m/>
  </r>
  <r>
    <x v="11"/>
    <m/>
    <x v="3"/>
    <m/>
    <x v="1"/>
    <x v="0"/>
    <b v="1"/>
    <m/>
    <s v="Famille "/>
    <m/>
    <m/>
    <m/>
    <m/>
    <m/>
    <m/>
    <b v="0"/>
    <s v="PA_PH"/>
    <s v="Ecoute_x000a_Envoi/remise documentation (listing …)"/>
    <m/>
    <s v="mondial assistance"/>
    <m/>
    <s v="PH"/>
    <m/>
    <m/>
    <s v="A FAIRE"/>
  </r>
  <r>
    <x v="12"/>
    <m/>
    <x v="1"/>
    <s v="Sabrina"/>
    <x v="1"/>
    <x v="0"/>
    <b v="1"/>
    <m/>
    <s v="Mairie de Lille / CCAS"/>
    <m/>
    <m/>
    <m/>
    <m/>
    <m/>
    <m/>
    <b v="1"/>
    <s v="SOCIAL"/>
    <s v="Appel SES_x000a_Intervention physique SES"/>
    <m/>
    <s v="Mère isolée à la rue avec ses 2 enfants "/>
    <m/>
    <m/>
    <m/>
    <m/>
    <m/>
  </r>
  <r>
    <x v="10"/>
    <m/>
    <x v="3"/>
    <m/>
    <x v="1"/>
    <x v="0"/>
    <b v="0"/>
    <m/>
    <s v="La personne elle-même"/>
    <m/>
    <m/>
    <m/>
    <m/>
    <m/>
    <m/>
    <b v="0"/>
    <s v="ASS._DE_COORD"/>
    <s v="Secrétariat_accueil RDV CLIC/RA"/>
    <s v="Delphine"/>
    <m/>
    <m/>
    <m/>
    <m/>
    <m/>
    <m/>
  </r>
  <r>
    <x v="13"/>
    <m/>
    <x v="2"/>
    <m/>
    <x v="0"/>
    <x v="0"/>
    <b v="1"/>
    <m/>
    <s v="Famille "/>
    <m/>
    <m/>
    <m/>
    <m/>
    <m/>
    <m/>
    <b v="0"/>
    <s v="PA_PH"/>
    <s v="Envoi/remise documentation (listing …)_x000a_Envoi/remise formulaire_x000a_Aide à la complétude"/>
    <m/>
    <s v="Dossier DUAPA + liste des SAAD"/>
    <m/>
    <s v="PA"/>
    <b v="1"/>
    <s v="A FAIRE"/>
    <s v="OK FAIT"/>
  </r>
  <r>
    <x v="0"/>
    <m/>
    <x v="2"/>
    <m/>
    <x v="0"/>
    <x v="0"/>
    <b v="1"/>
    <m/>
    <s v="Voisinage"/>
    <m/>
    <m/>
    <m/>
    <m/>
    <m/>
    <m/>
    <b v="0"/>
    <s v="ASS._DE_COORD"/>
    <s v="Secrétariat_info de fonctionnement"/>
    <m/>
    <s v="horaires du services"/>
    <m/>
    <m/>
    <m/>
    <m/>
    <m/>
  </r>
  <r>
    <x v="14"/>
    <m/>
    <x v="0"/>
    <m/>
    <x v="0"/>
    <x v="0"/>
    <b v="0"/>
    <m/>
    <s v="La personne elle-même"/>
    <m/>
    <m/>
    <m/>
    <m/>
    <m/>
    <m/>
    <b v="0"/>
    <s v="ASS._DE_COORD"/>
    <s v="Secrétariat_accueil DOCS CLIC/RA"/>
    <s v="Flory"/>
    <s v="avis d'impot déposé"/>
    <m/>
    <m/>
    <m/>
    <m/>
    <m/>
  </r>
  <r>
    <x v="15"/>
    <m/>
    <x v="2"/>
    <m/>
    <x v="0"/>
    <x v="1"/>
    <m/>
    <m/>
    <s v="Autre"/>
    <m/>
    <m/>
    <m/>
    <m/>
    <m/>
    <m/>
    <b v="0"/>
    <s v="ASS._DE_COORD"/>
    <s v="Secrétariat_inscription"/>
    <m/>
    <s v="pour conférence"/>
    <m/>
    <m/>
    <m/>
    <m/>
    <m/>
  </r>
  <r>
    <x v="16"/>
    <m/>
    <x v="3"/>
    <m/>
    <x v="1"/>
    <x v="4"/>
    <m/>
    <m/>
    <s v="Ami ou autre tiers"/>
    <m/>
    <m/>
    <m/>
    <m/>
    <m/>
    <m/>
    <b v="1"/>
    <s v="ASS._DE_COORD"/>
    <s v="Secrétariat_réorientation PLATEFORME TELEPHONIQUE"/>
    <m/>
    <s v="pour l'état civil"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E625552-47B9-4355-8CAD-94A0291781FE}" name="Tableau croisé dynamique1" cacheId="0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B45:C51" firstHeaderRow="1" firstDataRow="1" firstDataCol="1"/>
  <pivotFields count="27">
    <pivotField showAll="0" sortType="ascending">
      <items count="19">
        <item x="4"/>
        <item x="7"/>
        <item x="9"/>
        <item x="11"/>
        <item x="14"/>
        <item x="16"/>
        <item x="15"/>
        <item x="3"/>
        <item x="5"/>
        <item x="8"/>
        <item x="0"/>
        <item x="1"/>
        <item x="2"/>
        <item x="6"/>
        <item x="10"/>
        <item x="12"/>
        <item x="13"/>
        <item x="17"/>
        <item t="default"/>
      </items>
    </pivotField>
    <pivotField showAll="0"/>
    <pivotField axis="axisRow" dataField="1" showAll="0">
      <items count="8">
        <item x="1"/>
        <item x="3"/>
        <item x="2"/>
        <item m="1" x="6"/>
        <item x="0"/>
        <item x="4"/>
        <item h="1" x="5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</pivotFields>
  <rowFields count="1">
    <field x="2"/>
  </rowFields>
  <rowItems count="6">
    <i>
      <x/>
    </i>
    <i>
      <x v="1"/>
    </i>
    <i>
      <x v="2"/>
    </i>
    <i>
      <x v="4"/>
    </i>
    <i>
      <x v="5"/>
    </i>
    <i t="grand">
      <x/>
    </i>
  </rowItems>
  <colItems count="1">
    <i/>
  </colItems>
  <dataFields count="1">
    <dataField name="ACTIVITE TOTALE" fld="2" subtotal="count" baseField="0" baseItem="0"/>
  </dataFields>
  <formats count="5">
    <format dxfId="4">
      <pivotArea outline="0" collapsedLevelsAreSubtotals="1" fieldPosition="0"/>
    </format>
    <format dxfId="3">
      <pivotArea dataOnly="0" labelOnly="1" outline="0" axis="axisValues" fieldPosition="0"/>
    </format>
    <format dxfId="2">
      <pivotArea outline="0" collapsedLevelsAreSubtotals="1" fieldPosition="0"/>
    </format>
    <format dxfId="1">
      <pivotArea dataOnly="0" labelOnly="1" outline="0" axis="axisValues" fieldPosition="0"/>
    </format>
    <format dxfId="0">
      <pivotArea dataOnly="0" labelOnly="1" outline="0" axis="axisValues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1BED8C3-E61D-479A-B224-88D74E1803E4}" name="Tableau croisé dynamique6" cacheId="0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 colHeaderCaption="REPARTITION FRONT/BACK/TT">
  <location ref="G56:K64" firstHeaderRow="1" firstDataRow="2" firstDataCol="1"/>
  <pivotFields count="27">
    <pivotField showAll="0" sortType="ascending">
      <items count="19">
        <item x="4"/>
        <item x="7"/>
        <item x="9"/>
        <item x="11"/>
        <item x="14"/>
        <item x="16"/>
        <item x="15"/>
        <item x="3"/>
        <item x="5"/>
        <item x="8"/>
        <item x="0"/>
        <item x="1"/>
        <item x="2"/>
        <item x="6"/>
        <item x="10"/>
        <item x="12"/>
        <item x="13"/>
        <item x="17"/>
        <item t="default"/>
      </items>
    </pivotField>
    <pivotField showAll="0"/>
    <pivotField showAll="0">
      <items count="8">
        <item x="1"/>
        <item x="3"/>
        <item x="2"/>
        <item m="1" x="6"/>
        <item x="0"/>
        <item x="4"/>
        <item h="1" x="5"/>
        <item t="default"/>
      </items>
    </pivotField>
    <pivotField showAll="0"/>
    <pivotField axis="axisCol" showAll="0">
      <items count="5">
        <item x="1"/>
        <item x="0"/>
        <item x="2"/>
        <item h="1" x="3"/>
        <item t="default"/>
      </items>
    </pivotField>
    <pivotField axis="axisRow" dataField="1" showAll="0">
      <items count="8">
        <item x="2"/>
        <item x="4"/>
        <item x="3"/>
        <item x="5"/>
        <item x="0"/>
        <item x="1"/>
        <item x="6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</pivotFields>
  <rowFields count="1">
    <field x="5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Fields count="1">
    <field x="4"/>
  </colFields>
  <colItems count="4">
    <i>
      <x/>
    </i>
    <i>
      <x v="1"/>
    </i>
    <i>
      <x v="2"/>
    </i>
    <i t="grand">
      <x/>
    </i>
  </colItems>
  <dataFields count="1">
    <dataField name=" Mode de réception  " fld="5" subtotal="count" baseField="0" baseItem="0"/>
  </dataFields>
  <formats count="4">
    <format dxfId="8">
      <pivotArea grandCol="1" outline="0" collapsedLevelsAreSubtotals="1" fieldPosition="0"/>
    </format>
    <format dxfId="7">
      <pivotArea dataOnly="0" labelOnly="1" grandCol="1" outline="0" fieldPosition="0"/>
    </format>
    <format dxfId="6">
      <pivotArea field="4" dataOnly="0" grandCol="1" outline="0" axis="axisCol" fieldPosition="0">
        <references count="1">
          <reference field="4" count="0"/>
        </references>
      </pivotArea>
    </format>
    <format dxfId="5">
      <pivotArea field="4" type="button" dataOnly="0" labelOnly="1" outline="0" axis="axisCol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BF39A5A-A609-4E59-A07B-0AA552399B70}" name="Tableau croisé dynamique5" cacheId="0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 colHeaderCaption="MOIS 2024">
  <location ref="F45:K54" firstHeaderRow="1" firstDataRow="4" firstDataCol="1"/>
  <pivotFields count="27">
    <pivotField axis="axisCol" showAll="0" sortType="ascending">
      <items count="19">
        <item x="4"/>
        <item x="7"/>
        <item x="9"/>
        <item x="11"/>
        <item x="14"/>
        <item x="16"/>
        <item x="15"/>
        <item x="3"/>
        <item x="5"/>
        <item x="8"/>
        <item x="0"/>
        <item x="1"/>
        <item x="2"/>
        <item x="6"/>
        <item x="10"/>
        <item x="12"/>
        <item x="13"/>
        <item x="17"/>
        <item t="default"/>
      </items>
    </pivotField>
    <pivotField showAll="0"/>
    <pivotField axis="axisRow" dataField="1" showAll="0">
      <items count="8">
        <item x="1"/>
        <item x="3"/>
        <item x="2"/>
        <item m="1" x="6"/>
        <item x="0"/>
        <item x="4"/>
        <item h="1" x="5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Col" showAll="0">
      <items count="369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sd="0" x="14"/>
        <item sd="0" x="15"/>
        <item sd="0" x="16"/>
        <item sd="0" x="17"/>
        <item sd="0" x="18"/>
        <item sd="0" x="19"/>
        <item sd="0" x="20"/>
        <item sd="0" x="21"/>
        <item sd="0" x="22"/>
        <item sd="0" x="23"/>
        <item sd="0" x="24"/>
        <item sd="0" x="25"/>
        <item sd="0" x="26"/>
        <item sd="0" x="27"/>
        <item sd="0" x="28"/>
        <item sd="0" x="29"/>
        <item sd="0" x="30"/>
        <item sd="0" x="31"/>
        <item sd="0" x="32"/>
        <item sd="0" x="33"/>
        <item sd="0" x="34"/>
        <item sd="0" x="35"/>
        <item sd="0" x="36"/>
        <item sd="0" x="37"/>
        <item sd="0" x="38"/>
        <item sd="0" x="39"/>
        <item sd="0" x="40"/>
        <item sd="0" x="41"/>
        <item sd="0" x="42"/>
        <item sd="0" x="43"/>
        <item sd="0" x="44"/>
        <item sd="0" x="45"/>
        <item sd="0" x="46"/>
        <item sd="0" x="47"/>
        <item sd="0" x="48"/>
        <item sd="0" x="49"/>
        <item sd="0" x="50"/>
        <item sd="0" x="51"/>
        <item sd="0" x="52"/>
        <item sd="0" x="53"/>
        <item sd="0" x="54"/>
        <item sd="0" x="55"/>
        <item sd="0" x="56"/>
        <item sd="0" x="57"/>
        <item sd="0" x="58"/>
        <item sd="0" x="59"/>
        <item sd="0" x="60"/>
        <item sd="0" x="61"/>
        <item sd="0" x="62"/>
        <item sd="0" x="63"/>
        <item sd="0" x="64"/>
        <item sd="0" x="65"/>
        <item sd="0" x="66"/>
        <item sd="0" x="67"/>
        <item sd="0" x="68"/>
        <item sd="0" x="69"/>
        <item sd="0" x="70"/>
        <item sd="0" x="71"/>
        <item sd="0" x="72"/>
        <item sd="0" x="73"/>
        <item sd="0" x="74"/>
        <item sd="0" x="75"/>
        <item sd="0" x="76"/>
        <item sd="0" x="77"/>
        <item sd="0" x="78"/>
        <item sd="0" x="79"/>
        <item sd="0" x="80"/>
        <item sd="0" x="81"/>
        <item sd="0" x="82"/>
        <item sd="0" x="83"/>
        <item sd="0" x="84"/>
        <item sd="0" x="85"/>
        <item sd="0" x="86"/>
        <item sd="0" x="87"/>
        <item sd="0" x="88"/>
        <item sd="0" x="89"/>
        <item sd="0" x="90"/>
        <item sd="0" x="91"/>
        <item sd="0" x="92"/>
        <item sd="0" x="93"/>
        <item sd="0" x="94"/>
        <item sd="0" x="95"/>
        <item sd="0" x="96"/>
        <item sd="0" x="97"/>
        <item sd="0" x="98"/>
        <item sd="0" x="99"/>
        <item sd="0" x="100"/>
        <item sd="0" x="101"/>
        <item sd="0" x="102"/>
        <item sd="0" x="103"/>
        <item sd="0" x="104"/>
        <item sd="0" x="105"/>
        <item sd="0" x="106"/>
        <item sd="0" x="107"/>
        <item sd="0" x="108"/>
        <item sd="0" x="109"/>
        <item sd="0" x="110"/>
        <item sd="0" x="111"/>
        <item sd="0" x="112"/>
        <item sd="0" x="113"/>
        <item sd="0" x="114"/>
        <item sd="0" x="115"/>
        <item sd="0" x="116"/>
        <item sd="0" x="117"/>
        <item sd="0" x="118"/>
        <item sd="0" x="119"/>
        <item sd="0" x="120"/>
        <item sd="0" x="121"/>
        <item sd="0" x="122"/>
        <item sd="0" x="123"/>
        <item sd="0" x="124"/>
        <item sd="0" x="125"/>
        <item sd="0" x="126"/>
        <item sd="0" x="127"/>
        <item sd="0" x="128"/>
        <item sd="0" x="129"/>
        <item sd="0" x="130"/>
        <item sd="0" x="131"/>
        <item sd="0" x="132"/>
        <item sd="0" x="133"/>
        <item sd="0" x="134"/>
        <item sd="0" x="135"/>
        <item sd="0" x="136"/>
        <item sd="0" x="137"/>
        <item sd="0" x="138"/>
        <item sd="0" x="139"/>
        <item sd="0" x="140"/>
        <item sd="0" x="141"/>
        <item sd="0" x="142"/>
        <item sd="0" x="143"/>
        <item sd="0" x="144"/>
        <item sd="0" x="145"/>
        <item sd="0" x="146"/>
        <item sd="0" x="147"/>
        <item sd="0" x="148"/>
        <item sd="0" x="149"/>
        <item sd="0" x="150"/>
        <item sd="0" x="151"/>
        <item sd="0" x="152"/>
        <item sd="0" x="153"/>
        <item sd="0" x="154"/>
        <item sd="0" x="155"/>
        <item sd="0" x="156"/>
        <item sd="0" x="157"/>
        <item sd="0" x="158"/>
        <item sd="0" x="159"/>
        <item sd="0" x="160"/>
        <item sd="0" x="161"/>
        <item sd="0" x="162"/>
        <item sd="0" x="163"/>
        <item sd="0" x="164"/>
        <item sd="0" x="165"/>
        <item sd="0" x="166"/>
        <item sd="0" x="167"/>
        <item sd="0" x="168"/>
        <item sd="0" x="169"/>
        <item sd="0" x="170"/>
        <item sd="0" x="171"/>
        <item sd="0" x="172"/>
        <item sd="0" x="173"/>
        <item sd="0" x="174"/>
        <item sd="0" x="175"/>
        <item sd="0" x="176"/>
        <item sd="0" x="177"/>
        <item sd="0" x="178"/>
        <item sd="0" x="179"/>
        <item sd="0" x="180"/>
        <item sd="0" x="181"/>
        <item sd="0" x="182"/>
        <item sd="0" x="183"/>
        <item sd="0" x="184"/>
        <item sd="0" x="185"/>
        <item sd="0" x="186"/>
        <item sd="0" x="187"/>
        <item sd="0" x="188"/>
        <item sd="0" x="189"/>
        <item sd="0" x="190"/>
        <item sd="0" x="191"/>
        <item sd="0" x="192"/>
        <item sd="0" x="193"/>
        <item sd="0" x="194"/>
        <item sd="0" x="195"/>
        <item sd="0" x="196"/>
        <item sd="0" x="197"/>
        <item sd="0" x="198"/>
        <item sd="0" x="199"/>
        <item sd="0" x="200"/>
        <item sd="0" x="201"/>
        <item sd="0" x="202"/>
        <item sd="0" x="203"/>
        <item sd="0" x="204"/>
        <item sd="0" x="205"/>
        <item sd="0" x="206"/>
        <item sd="0" x="207"/>
        <item sd="0" x="208"/>
        <item sd="0" x="209"/>
        <item sd="0" x="210"/>
        <item sd="0" x="211"/>
        <item sd="0" x="212"/>
        <item sd="0" x="213"/>
        <item sd="0" x="214"/>
        <item sd="0" x="215"/>
        <item sd="0" x="216"/>
        <item sd="0" x="217"/>
        <item sd="0" x="218"/>
        <item sd="0" x="219"/>
        <item sd="0" x="220"/>
        <item sd="0" x="221"/>
        <item sd="0" x="222"/>
        <item sd="0" x="223"/>
        <item sd="0" x="224"/>
        <item sd="0" x="225"/>
        <item sd="0" x="226"/>
        <item sd="0" x="227"/>
        <item sd="0" x="228"/>
        <item sd="0" x="229"/>
        <item sd="0" x="230"/>
        <item sd="0" x="231"/>
        <item sd="0" x="232"/>
        <item sd="0" x="233"/>
        <item sd="0" x="234"/>
        <item sd="0" x="235"/>
        <item sd="0" x="236"/>
        <item sd="0" x="237"/>
        <item sd="0" x="238"/>
        <item sd="0" x="239"/>
        <item sd="0" x="240"/>
        <item sd="0" x="241"/>
        <item sd="0" x="242"/>
        <item sd="0" x="243"/>
        <item sd="0" x="244"/>
        <item sd="0" x="245"/>
        <item sd="0" x="246"/>
        <item sd="0" x="247"/>
        <item sd="0" x="248"/>
        <item sd="0" x="249"/>
        <item sd="0" x="250"/>
        <item sd="0" x="251"/>
        <item sd="0" x="252"/>
        <item sd="0" x="253"/>
        <item sd="0" x="254"/>
        <item sd="0" x="255"/>
        <item sd="0" x="256"/>
        <item sd="0" x="257"/>
        <item sd="0" x="258"/>
        <item sd="0" x="259"/>
        <item sd="0" x="260"/>
        <item sd="0" x="261"/>
        <item sd="0" x="262"/>
        <item sd="0" x="263"/>
        <item sd="0" x="264"/>
        <item sd="0" x="265"/>
        <item sd="0" x="266"/>
        <item sd="0" x="267"/>
        <item sd="0" x="268"/>
        <item sd="0" x="269"/>
        <item sd="0" x="270"/>
        <item sd="0" x="271"/>
        <item sd="0" x="272"/>
        <item sd="0" x="273"/>
        <item sd="0" x="274"/>
        <item sd="0" x="275"/>
        <item sd="0" x="276"/>
        <item sd="0" x="277"/>
        <item sd="0" x="278"/>
        <item sd="0" x="279"/>
        <item sd="0" x="280"/>
        <item sd="0" x="281"/>
        <item sd="0" x="282"/>
        <item sd="0" x="283"/>
        <item sd="0" x="284"/>
        <item sd="0" x="285"/>
        <item sd="0" x="286"/>
        <item sd="0" x="287"/>
        <item sd="0" x="288"/>
        <item sd="0" x="289"/>
        <item sd="0" x="290"/>
        <item sd="0" x="291"/>
        <item sd="0" x="292"/>
        <item sd="0" x="293"/>
        <item sd="0" x="294"/>
        <item sd="0" x="295"/>
        <item sd="0" x="296"/>
        <item sd="0" x="297"/>
        <item sd="0" x="298"/>
        <item sd="0" x="299"/>
        <item sd="0" x="300"/>
        <item sd="0" x="301"/>
        <item sd="0" x="302"/>
        <item sd="0" x="303"/>
        <item sd="0" x="304"/>
        <item sd="0" x="305"/>
        <item sd="0" x="306"/>
        <item sd="0" x="307"/>
        <item sd="0" x="308"/>
        <item sd="0" x="309"/>
        <item sd="0" x="310"/>
        <item sd="0" x="311"/>
        <item sd="0" x="312"/>
        <item sd="0" x="313"/>
        <item sd="0" x="314"/>
        <item sd="0" x="315"/>
        <item sd="0" x="316"/>
        <item sd="0" x="317"/>
        <item sd="0" x="318"/>
        <item sd="0" x="319"/>
        <item sd="0" x="320"/>
        <item sd="0" x="321"/>
        <item sd="0" x="322"/>
        <item sd="0" x="323"/>
        <item sd="0" x="324"/>
        <item sd="0" x="325"/>
        <item sd="0" x="326"/>
        <item sd="0" x="327"/>
        <item sd="0" x="328"/>
        <item sd="0" x="329"/>
        <item sd="0" x="330"/>
        <item sd="0" x="331"/>
        <item sd="0" x="332"/>
        <item sd="0" x="333"/>
        <item sd="0" x="334"/>
        <item sd="0" x="335"/>
        <item sd="0" x="336"/>
        <item sd="0" x="337"/>
        <item sd="0" x="338"/>
        <item sd="0" x="339"/>
        <item sd="0" x="340"/>
        <item sd="0" x="341"/>
        <item sd="0" x="342"/>
        <item sd="0" x="343"/>
        <item sd="0" x="344"/>
        <item sd="0" x="345"/>
        <item sd="0" x="346"/>
        <item sd="0" x="347"/>
        <item sd="0" x="348"/>
        <item sd="0" x="349"/>
        <item sd="0" x="350"/>
        <item sd="0" x="351"/>
        <item sd="0" x="352"/>
        <item sd="0" x="353"/>
        <item sd="0" x="354"/>
        <item sd="0" x="355"/>
        <item sd="0" x="356"/>
        <item sd="0" x="357"/>
        <item sd="0" x="358"/>
        <item sd="0" x="359"/>
        <item sd="0" x="360"/>
        <item sd="0" x="361"/>
        <item sd="0" x="362"/>
        <item sd="0" x="363"/>
        <item sd="0" x="364"/>
        <item sd="0" x="365"/>
        <item sd="0" x="366"/>
        <item sd="0" x="367"/>
        <item t="default"/>
      </items>
    </pivotField>
    <pivotField axis="axisCol"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</pivotFields>
  <rowFields count="1">
    <field x="2"/>
  </rowFields>
  <rowItems count="6">
    <i>
      <x/>
    </i>
    <i>
      <x v="1"/>
    </i>
    <i>
      <x v="2"/>
    </i>
    <i>
      <x v="4"/>
    </i>
    <i>
      <x v="5"/>
    </i>
    <i t="grand">
      <x/>
    </i>
  </rowItems>
  <colFields count="3">
    <field x="26"/>
    <field x="25"/>
    <field x="0"/>
  </colFields>
  <colItems count="5">
    <i>
      <x v="3"/>
    </i>
    <i>
      <x v="4"/>
    </i>
    <i>
      <x v="5"/>
    </i>
    <i>
      <x v="6"/>
    </i>
    <i t="grand">
      <x/>
    </i>
  </colItems>
  <dataFields count="1">
    <dataField name="ACTIVITE" fld="2" subtotal="count" baseField="0" baseItem="0"/>
  </dataFields>
  <formats count="3">
    <format dxfId="11">
      <pivotArea grandCol="1" outline="0" collapsedLevelsAreSubtotals="1" fieldPosition="0"/>
    </format>
    <format dxfId="10">
      <pivotArea grandCol="1" outline="0" collapsedLevelsAreSubtotals="1" fieldPosition="0"/>
    </format>
    <format dxfId="9">
      <pivotArea grandCol="1" outline="0" collapsedLevelsAreSubtotals="1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V3" dT="2024-06-24T14:41:26.84" personId="{A3E1130B-0535-4A37-A814-A5CB426EB63D}" id="{C974E25E-7D43-4182-AEA2-1FA046B70E08}">
    <text>Standard_message pris
Standard_transfert 
Secrétariat_accueil RDV
Secrétariat_accueil DOCS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microsoft.com/office/2017/10/relationships/threadedComment" Target="../threadedComments/threadedComment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A3204A-57A7-46C6-AF2D-DC5C44BF7251}">
  <sheetPr codeName="Feuil1"/>
  <dimension ref="A1:AA75"/>
  <sheetViews>
    <sheetView tabSelected="1" topLeftCell="AA1" zoomScale="85" zoomScaleNormal="85" workbookViewId="0">
      <selection activeCell="AG4" sqref="AG4"/>
    </sheetView>
  </sheetViews>
  <sheetFormatPr baseColWidth="10" defaultRowHeight="14.4" x14ac:dyDescent="0.3"/>
  <cols>
    <col min="1" max="1" width="18" customWidth="1"/>
    <col min="2" max="2" width="17.44140625" bestFit="1" customWidth="1"/>
    <col min="3" max="3" width="7.88671875" customWidth="1"/>
    <col min="4" max="4" width="6.88671875" bestFit="1" customWidth="1"/>
    <col min="5" max="5" width="7.33203125" bestFit="1" customWidth="1"/>
    <col min="6" max="6" width="5" bestFit="1" customWidth="1"/>
    <col min="7" max="7" width="9.44140625" bestFit="1" customWidth="1"/>
    <col min="8" max="8" width="9.44140625" customWidth="1"/>
    <col min="9" max="9" width="3" style="15" customWidth="1"/>
    <col min="10" max="10" width="9.33203125" style="3" customWidth="1"/>
    <col min="11" max="11" width="12.109375" style="3" bestFit="1" customWidth="1"/>
    <col min="12" max="12" width="15.44140625" style="3" bestFit="1" customWidth="1"/>
    <col min="13" max="13" width="24.33203125" style="3" customWidth="1"/>
    <col min="14" max="14" width="10.33203125" style="3" bestFit="1" customWidth="1"/>
    <col min="15" max="15" width="12.88671875" style="3" bestFit="1" customWidth="1"/>
    <col min="16" max="16" width="38" bestFit="1" customWidth="1"/>
    <col min="17" max="17" width="55.6640625" customWidth="1"/>
    <col min="18" max="18" width="44.44140625" bestFit="1" customWidth="1"/>
    <col min="19" max="19" width="24" bestFit="1" customWidth="1"/>
    <col min="20" max="20" width="33.44140625" bestFit="1" customWidth="1"/>
    <col min="24" max="24" width="36.6640625" customWidth="1"/>
    <col min="25" max="25" width="21.33203125" customWidth="1"/>
    <col min="26" max="26" width="56.109375" bestFit="1" customWidth="1"/>
    <col min="27" max="27" width="11.44140625" style="62"/>
  </cols>
  <sheetData>
    <row r="1" spans="1:27" ht="15" thickBot="1" x14ac:dyDescent="0.35">
      <c r="A1" s="14" t="s">
        <v>69</v>
      </c>
      <c r="J1" s="14" t="s">
        <v>72</v>
      </c>
    </row>
    <row r="2" spans="1:27" ht="28.8" x14ac:dyDescent="0.3">
      <c r="A2" s="11" t="s">
        <v>62</v>
      </c>
      <c r="B2" s="11" t="s">
        <v>61</v>
      </c>
      <c r="C2" t="s">
        <v>73</v>
      </c>
      <c r="D2" t="s">
        <v>63</v>
      </c>
      <c r="E2" t="s">
        <v>64</v>
      </c>
      <c r="F2" t="s">
        <v>65</v>
      </c>
      <c r="G2" t="s">
        <v>66</v>
      </c>
      <c r="H2" t="s">
        <v>74</v>
      </c>
      <c r="J2" s="1" t="s">
        <v>70</v>
      </c>
      <c r="K2" s="4" t="s">
        <v>98</v>
      </c>
      <c r="L2" s="5" t="s">
        <v>97</v>
      </c>
      <c r="M2" s="5" t="s">
        <v>95</v>
      </c>
      <c r="N2" s="6" t="s">
        <v>194</v>
      </c>
      <c r="O2" s="1" t="s">
        <v>113</v>
      </c>
      <c r="P2" s="4" t="s">
        <v>71</v>
      </c>
      <c r="Q2" s="17" t="s">
        <v>94</v>
      </c>
      <c r="R2" s="16" t="s">
        <v>122</v>
      </c>
      <c r="S2" s="17" t="s">
        <v>1</v>
      </c>
      <c r="T2" s="18" t="s">
        <v>2</v>
      </c>
      <c r="U2" s="11" t="s">
        <v>96</v>
      </c>
      <c r="V2" s="22" t="s">
        <v>112</v>
      </c>
      <c r="W2" s="28" t="s">
        <v>195</v>
      </c>
      <c r="X2" s="11" t="s">
        <v>218</v>
      </c>
      <c r="Y2" s="80" t="s">
        <v>225</v>
      </c>
      <c r="Z2" s="80" t="s">
        <v>226</v>
      </c>
    </row>
    <row r="3" spans="1:27" x14ac:dyDescent="0.3">
      <c r="A3" s="10" t="s">
        <v>256</v>
      </c>
      <c r="B3" t="s">
        <v>71</v>
      </c>
      <c r="C3" t="s">
        <v>68</v>
      </c>
      <c r="D3">
        <v>230</v>
      </c>
      <c r="E3">
        <v>70</v>
      </c>
      <c r="F3">
        <v>0</v>
      </c>
      <c r="G3" t="s">
        <v>67</v>
      </c>
      <c r="J3" s="2" t="s">
        <v>28</v>
      </c>
      <c r="K3" s="2" t="s">
        <v>29</v>
      </c>
      <c r="L3" s="3" t="s">
        <v>30</v>
      </c>
      <c r="M3" s="3" t="s">
        <v>31</v>
      </c>
      <c r="N3" s="71" t="s">
        <v>192</v>
      </c>
      <c r="O3" s="2" t="s">
        <v>33</v>
      </c>
      <c r="P3" s="12" t="s">
        <v>94</v>
      </c>
      <c r="Q3" s="2" t="s">
        <v>175</v>
      </c>
      <c r="R3" s="3" t="s">
        <v>4</v>
      </c>
      <c r="S3" s="2" t="s">
        <v>5</v>
      </c>
      <c r="T3" s="2" t="s">
        <v>6</v>
      </c>
      <c r="U3" s="2" t="s">
        <v>32</v>
      </c>
      <c r="V3" s="3" t="s">
        <v>103</v>
      </c>
      <c r="W3" t="s">
        <v>196</v>
      </c>
      <c r="X3" t="s">
        <v>212</v>
      </c>
      <c r="Y3" s="75" t="s">
        <v>221</v>
      </c>
      <c r="Z3" s="76" t="s">
        <v>228</v>
      </c>
    </row>
    <row r="4" spans="1:27" ht="28.8" x14ac:dyDescent="0.3">
      <c r="A4" s="10" t="s">
        <v>257</v>
      </c>
      <c r="C4" t="s">
        <v>68</v>
      </c>
      <c r="D4">
        <v>270</v>
      </c>
      <c r="E4">
        <v>180</v>
      </c>
      <c r="F4">
        <v>1</v>
      </c>
      <c r="G4" s="19" t="s">
        <v>77</v>
      </c>
      <c r="H4" t="s">
        <v>75</v>
      </c>
      <c r="J4" s="2" t="s">
        <v>34</v>
      </c>
      <c r="K4" s="2" t="s">
        <v>35</v>
      </c>
      <c r="L4" s="2" t="s">
        <v>36</v>
      </c>
      <c r="M4" s="3" t="s">
        <v>171</v>
      </c>
      <c r="N4" s="71" t="s">
        <v>193</v>
      </c>
      <c r="O4" s="2" t="s">
        <v>39</v>
      </c>
      <c r="P4" s="12" t="s">
        <v>122</v>
      </c>
      <c r="Q4" s="2" t="s">
        <v>7</v>
      </c>
      <c r="R4" s="3" t="s">
        <v>8</v>
      </c>
      <c r="S4" s="2" t="s">
        <v>89</v>
      </c>
      <c r="T4" s="2" t="s">
        <v>9</v>
      </c>
      <c r="U4" s="2" t="s">
        <v>38</v>
      </c>
      <c r="V4" s="3" t="s">
        <v>102</v>
      </c>
      <c r="W4" t="s">
        <v>197</v>
      </c>
      <c r="X4" s="3" t="s">
        <v>206</v>
      </c>
      <c r="Y4" s="78" t="s">
        <v>222</v>
      </c>
      <c r="Z4" s="112" t="s">
        <v>255</v>
      </c>
    </row>
    <row r="5" spans="1:27" ht="28.8" x14ac:dyDescent="0.3">
      <c r="A5" s="10" t="s">
        <v>257</v>
      </c>
      <c r="C5" t="s">
        <v>68</v>
      </c>
      <c r="D5">
        <v>270</v>
      </c>
      <c r="E5">
        <v>180</v>
      </c>
      <c r="F5">
        <v>1</v>
      </c>
      <c r="G5" s="19" t="s">
        <v>77</v>
      </c>
      <c r="H5" t="s">
        <v>75</v>
      </c>
      <c r="J5" s="2" t="s">
        <v>40</v>
      </c>
      <c r="K5" s="2" t="s">
        <v>41</v>
      </c>
      <c r="L5" s="2" t="s">
        <v>42</v>
      </c>
      <c r="M5" s="3" t="s">
        <v>43</v>
      </c>
      <c r="P5" s="12" t="s">
        <v>1</v>
      </c>
      <c r="Q5" s="2" t="s">
        <v>10</v>
      </c>
      <c r="R5" s="3" t="s">
        <v>87</v>
      </c>
      <c r="S5" s="2" t="s">
        <v>12</v>
      </c>
      <c r="T5" s="2" t="s">
        <v>13</v>
      </c>
      <c r="V5" s="3" t="s">
        <v>104</v>
      </c>
      <c r="X5" t="s">
        <v>207</v>
      </c>
      <c r="Y5" s="79" t="s">
        <v>224</v>
      </c>
      <c r="Z5" s="112" t="s">
        <v>231</v>
      </c>
    </row>
    <row r="6" spans="1:27" ht="28.8" x14ac:dyDescent="0.3">
      <c r="A6" s="10" t="s">
        <v>257</v>
      </c>
      <c r="C6" t="s">
        <v>68</v>
      </c>
      <c r="D6">
        <v>270</v>
      </c>
      <c r="E6">
        <v>180</v>
      </c>
      <c r="F6">
        <v>1</v>
      </c>
      <c r="G6" s="19" t="s">
        <v>77</v>
      </c>
      <c r="H6" t="s">
        <v>75</v>
      </c>
      <c r="J6" s="2" t="s">
        <v>44</v>
      </c>
      <c r="L6" s="2" t="s">
        <v>169</v>
      </c>
      <c r="M6" s="3" t="s">
        <v>46</v>
      </c>
      <c r="O6" s="2"/>
      <c r="P6" s="13" t="s">
        <v>2</v>
      </c>
      <c r="Q6" s="2" t="s">
        <v>14</v>
      </c>
      <c r="R6" s="3" t="s">
        <v>179</v>
      </c>
      <c r="S6" s="2" t="s">
        <v>16</v>
      </c>
      <c r="T6" s="2" t="s">
        <v>90</v>
      </c>
      <c r="V6" s="3" t="s">
        <v>101</v>
      </c>
      <c r="X6" t="s">
        <v>214</v>
      </c>
      <c r="Y6" s="45" t="s">
        <v>223</v>
      </c>
      <c r="Z6" s="112" t="s">
        <v>232</v>
      </c>
    </row>
    <row r="7" spans="1:27" ht="28.8" x14ac:dyDescent="0.3">
      <c r="A7" s="10" t="s">
        <v>257</v>
      </c>
      <c r="C7" t="s">
        <v>68</v>
      </c>
      <c r="D7">
        <v>270</v>
      </c>
      <c r="E7">
        <v>180</v>
      </c>
      <c r="F7">
        <v>1</v>
      </c>
      <c r="G7" s="19" t="s">
        <v>77</v>
      </c>
      <c r="H7" t="s">
        <v>75</v>
      </c>
      <c r="J7" s="2" t="s">
        <v>50</v>
      </c>
      <c r="K7" s="2"/>
      <c r="L7" s="2" t="s">
        <v>48</v>
      </c>
      <c r="M7" s="3" t="s">
        <v>49</v>
      </c>
      <c r="O7" s="2"/>
      <c r="Q7" s="2" t="s">
        <v>84</v>
      </c>
      <c r="R7" s="3" t="s">
        <v>180</v>
      </c>
      <c r="S7" s="2" t="s">
        <v>177</v>
      </c>
      <c r="T7" s="3" t="s">
        <v>19</v>
      </c>
      <c r="V7" s="3" t="s">
        <v>106</v>
      </c>
      <c r="W7" s="3"/>
      <c r="X7" t="s">
        <v>213</v>
      </c>
      <c r="Z7" s="112" t="s">
        <v>233</v>
      </c>
    </row>
    <row r="8" spans="1:27" ht="28.8" x14ac:dyDescent="0.3">
      <c r="A8" s="10" t="s">
        <v>258</v>
      </c>
      <c r="B8" t="s">
        <v>112</v>
      </c>
      <c r="C8" t="s">
        <v>68</v>
      </c>
      <c r="D8">
        <v>150</v>
      </c>
      <c r="E8">
        <v>170</v>
      </c>
      <c r="F8">
        <v>1</v>
      </c>
      <c r="G8" s="19" t="s">
        <v>77</v>
      </c>
      <c r="K8" s="2"/>
      <c r="L8" s="2" t="s">
        <v>170</v>
      </c>
      <c r="M8" s="3" t="s">
        <v>52</v>
      </c>
      <c r="O8" s="2"/>
      <c r="Q8" s="2" t="s">
        <v>85</v>
      </c>
      <c r="R8" s="3" t="s">
        <v>181</v>
      </c>
      <c r="S8" s="3" t="s">
        <v>83</v>
      </c>
      <c r="T8" s="2" t="s">
        <v>182</v>
      </c>
      <c r="V8" s="3" t="s">
        <v>173</v>
      </c>
      <c r="X8" t="s">
        <v>211</v>
      </c>
      <c r="Z8" s="112" t="s">
        <v>234</v>
      </c>
    </row>
    <row r="9" spans="1:27" x14ac:dyDescent="0.3">
      <c r="A9" s="10" t="s">
        <v>259</v>
      </c>
      <c r="B9" t="s">
        <v>218</v>
      </c>
      <c r="C9" t="s">
        <v>68</v>
      </c>
      <c r="D9">
        <v>250</v>
      </c>
      <c r="E9">
        <v>300</v>
      </c>
      <c r="F9">
        <v>1</v>
      </c>
      <c r="G9" s="19" t="s">
        <v>67</v>
      </c>
      <c r="H9" t="s">
        <v>75</v>
      </c>
      <c r="K9" s="2"/>
      <c r="L9" s="2" t="s">
        <v>27</v>
      </c>
      <c r="M9" s="3" t="s">
        <v>190</v>
      </c>
      <c r="O9" s="2"/>
      <c r="Q9" s="2" t="s">
        <v>265</v>
      </c>
      <c r="R9" s="3" t="s">
        <v>178</v>
      </c>
      <c r="S9" s="3"/>
      <c r="T9" s="2" t="s">
        <v>25</v>
      </c>
      <c r="V9" s="3" t="s">
        <v>107</v>
      </c>
      <c r="X9" t="s">
        <v>188</v>
      </c>
      <c r="Z9" s="112" t="s">
        <v>235</v>
      </c>
    </row>
    <row r="10" spans="1:27" x14ac:dyDescent="0.3">
      <c r="J10" s="2"/>
      <c r="K10" s="2"/>
      <c r="M10" s="3" t="s">
        <v>27</v>
      </c>
      <c r="O10" s="2"/>
      <c r="Q10" s="2" t="s">
        <v>176</v>
      </c>
      <c r="R10" s="3" t="s">
        <v>80</v>
      </c>
      <c r="S10" s="2"/>
      <c r="T10" s="2" t="s">
        <v>183</v>
      </c>
      <c r="V10" s="3" t="s">
        <v>105</v>
      </c>
      <c r="X10" t="s">
        <v>187</v>
      </c>
      <c r="Z10" s="112" t="s">
        <v>236</v>
      </c>
    </row>
    <row r="11" spans="1:27" x14ac:dyDescent="0.3">
      <c r="J11" s="2"/>
      <c r="K11" s="2"/>
      <c r="L11" s="2"/>
      <c r="O11" s="2"/>
      <c r="Q11" s="2" t="s">
        <v>24</v>
      </c>
      <c r="R11" s="2"/>
      <c r="S11" s="2"/>
      <c r="T11" s="3" t="s">
        <v>92</v>
      </c>
      <c r="V11" s="3" t="s">
        <v>109</v>
      </c>
      <c r="X11" t="s">
        <v>185</v>
      </c>
      <c r="Z11" s="112" t="s">
        <v>227</v>
      </c>
    </row>
    <row r="12" spans="1:27" x14ac:dyDescent="0.3">
      <c r="J12" s="2"/>
      <c r="K12" s="2"/>
      <c r="L12" s="2"/>
      <c r="O12" s="2"/>
      <c r="Q12" s="2" t="s">
        <v>26</v>
      </c>
      <c r="R12" s="2"/>
      <c r="S12" s="2"/>
      <c r="T12" s="2" t="s">
        <v>202</v>
      </c>
      <c r="V12" s="3" t="s">
        <v>110</v>
      </c>
      <c r="X12" t="s">
        <v>186</v>
      </c>
      <c r="Z12" s="112" t="s">
        <v>237</v>
      </c>
      <c r="AA12" s="63">
        <v>1</v>
      </c>
    </row>
    <row r="13" spans="1:27" x14ac:dyDescent="0.3">
      <c r="J13" s="2"/>
      <c r="K13" s="2"/>
      <c r="L13" s="2"/>
      <c r="O13" s="2"/>
      <c r="Q13" s="2" t="s">
        <v>81</v>
      </c>
      <c r="R13" s="2"/>
      <c r="S13" s="2"/>
      <c r="T13" s="2" t="s">
        <v>189</v>
      </c>
      <c r="V13" s="2" t="s">
        <v>133</v>
      </c>
      <c r="X13" t="s">
        <v>184</v>
      </c>
      <c r="Z13" s="112" t="s">
        <v>238</v>
      </c>
    </row>
    <row r="14" spans="1:27" x14ac:dyDescent="0.3">
      <c r="J14" s="2"/>
      <c r="K14" s="2"/>
      <c r="L14" s="2"/>
      <c r="O14" s="2"/>
      <c r="T14" s="2" t="s">
        <v>82</v>
      </c>
      <c r="V14" s="2" t="s">
        <v>27</v>
      </c>
      <c r="X14" t="s">
        <v>205</v>
      </c>
      <c r="Z14" s="112" t="s">
        <v>239</v>
      </c>
      <c r="AA14" s="63">
        <v>2</v>
      </c>
    </row>
    <row r="15" spans="1:27" x14ac:dyDescent="0.3">
      <c r="K15" s="2"/>
      <c r="L15" s="2"/>
      <c r="O15" s="2"/>
      <c r="X15" t="s">
        <v>204</v>
      </c>
      <c r="Z15" s="112" t="s">
        <v>240</v>
      </c>
    </row>
    <row r="16" spans="1:27" x14ac:dyDescent="0.3">
      <c r="O16" s="2"/>
      <c r="X16" t="s">
        <v>215</v>
      </c>
      <c r="Z16" s="112" t="s">
        <v>241</v>
      </c>
    </row>
    <row r="17" spans="1:27" x14ac:dyDescent="0.3">
      <c r="O17" s="2"/>
      <c r="X17" t="s">
        <v>210</v>
      </c>
      <c r="Z17" s="112" t="s">
        <v>242</v>
      </c>
      <c r="AA17" s="63">
        <v>3</v>
      </c>
    </row>
    <row r="18" spans="1:27" x14ac:dyDescent="0.3">
      <c r="A18" s="10"/>
      <c r="B18" s="6"/>
      <c r="G18" s="19"/>
      <c r="J18" s="2"/>
      <c r="K18" s="2"/>
      <c r="L18" s="2"/>
      <c r="N18" s="2"/>
      <c r="O18" s="2"/>
      <c r="X18" t="s">
        <v>208</v>
      </c>
      <c r="Z18" s="112" t="s">
        <v>243</v>
      </c>
    </row>
    <row r="19" spans="1:27" x14ac:dyDescent="0.3">
      <c r="A19" s="10"/>
      <c r="G19" s="19"/>
      <c r="O19" s="2"/>
      <c r="X19" t="s">
        <v>203</v>
      </c>
      <c r="Z19" s="112" t="s">
        <v>244</v>
      </c>
    </row>
    <row r="20" spans="1:27" x14ac:dyDescent="0.3">
      <c r="J20" s="2"/>
      <c r="O20" s="2"/>
      <c r="X20" t="s">
        <v>209</v>
      </c>
      <c r="Z20" s="112" t="s">
        <v>245</v>
      </c>
    </row>
    <row r="21" spans="1:27" x14ac:dyDescent="0.3">
      <c r="J21" s="2"/>
      <c r="O21" s="2"/>
      <c r="X21" t="s">
        <v>217</v>
      </c>
      <c r="Z21" s="112" t="s">
        <v>246</v>
      </c>
    </row>
    <row r="22" spans="1:27" x14ac:dyDescent="0.3">
      <c r="J22" s="2"/>
      <c r="X22" t="s">
        <v>216</v>
      </c>
      <c r="Z22" s="112" t="s">
        <v>247</v>
      </c>
    </row>
    <row r="23" spans="1:27" x14ac:dyDescent="0.3">
      <c r="J23" s="2"/>
      <c r="X23" t="s">
        <v>220</v>
      </c>
      <c r="Z23" s="112" t="s">
        <v>248</v>
      </c>
    </row>
    <row r="24" spans="1:27" x14ac:dyDescent="0.3">
      <c r="J24" s="2"/>
      <c r="Z24" s="112" t="s">
        <v>249</v>
      </c>
    </row>
    <row r="25" spans="1:27" x14ac:dyDescent="0.3">
      <c r="J25" s="2"/>
      <c r="O25" s="2"/>
      <c r="Z25" s="112" t="s">
        <v>250</v>
      </c>
    </row>
    <row r="26" spans="1:27" ht="18" x14ac:dyDescent="0.3">
      <c r="J26" s="2"/>
      <c r="N26" s="7"/>
      <c r="O26" s="2"/>
      <c r="Z26" s="112" t="s">
        <v>251</v>
      </c>
    </row>
    <row r="27" spans="1:27" ht="18" x14ac:dyDescent="0.3">
      <c r="J27" s="2"/>
      <c r="N27" s="7"/>
      <c r="O27" s="2"/>
      <c r="Z27" s="112" t="s">
        <v>252</v>
      </c>
    </row>
    <row r="28" spans="1:27" ht="18" x14ac:dyDescent="0.3">
      <c r="J28" s="2"/>
      <c r="N28" s="7"/>
      <c r="O28" s="2"/>
      <c r="Z28" s="112" t="s">
        <v>253</v>
      </c>
    </row>
    <row r="29" spans="1:27" ht="18" x14ac:dyDescent="0.3">
      <c r="J29" s="2"/>
      <c r="N29" s="7"/>
      <c r="O29" s="2"/>
      <c r="Z29" s="112" t="s">
        <v>254</v>
      </c>
    </row>
    <row r="30" spans="1:27" ht="18" x14ac:dyDescent="0.3">
      <c r="J30" s="2"/>
      <c r="M30" s="2"/>
      <c r="N30" s="7"/>
      <c r="O30" s="2"/>
      <c r="Z30" s="112" t="s">
        <v>262</v>
      </c>
    </row>
    <row r="31" spans="1:27" ht="18" x14ac:dyDescent="0.3">
      <c r="J31" s="2"/>
      <c r="M31" s="2"/>
      <c r="N31" s="7"/>
      <c r="O31" s="2"/>
      <c r="Z31" s="76" t="s">
        <v>229</v>
      </c>
    </row>
    <row r="32" spans="1:27" ht="18" x14ac:dyDescent="0.3">
      <c r="J32" s="2"/>
      <c r="M32" s="2"/>
      <c r="N32" s="7"/>
      <c r="O32" s="2"/>
      <c r="Z32" s="77" t="s">
        <v>230</v>
      </c>
    </row>
    <row r="33" spans="10:26" ht="18" x14ac:dyDescent="0.3">
      <c r="J33" s="2"/>
      <c r="K33" s="2"/>
      <c r="L33" s="2"/>
      <c r="M33" s="2"/>
      <c r="N33" s="7"/>
      <c r="O33" s="2"/>
      <c r="Z33" s="76" t="s">
        <v>260</v>
      </c>
    </row>
    <row r="34" spans="10:26" x14ac:dyDescent="0.3">
      <c r="J34" s="2"/>
      <c r="K34" s="2"/>
      <c r="L34" s="2"/>
      <c r="M34" s="2"/>
      <c r="O34" s="2"/>
      <c r="Z34" s="77" t="s">
        <v>261</v>
      </c>
    </row>
    <row r="35" spans="10:26" x14ac:dyDescent="0.3">
      <c r="J35" s="8"/>
      <c r="K35" s="2"/>
      <c r="L35" s="2"/>
      <c r="M35" s="2"/>
      <c r="O35" s="2"/>
      <c r="Z35" s="112" t="s">
        <v>263</v>
      </c>
    </row>
    <row r="36" spans="10:26" x14ac:dyDescent="0.3">
      <c r="K36" s="2"/>
      <c r="L36" s="2"/>
      <c r="M36" s="2"/>
      <c r="O36" s="2"/>
      <c r="Z36" s="81"/>
    </row>
    <row r="37" spans="10:26" x14ac:dyDescent="0.3">
      <c r="K37" s="2"/>
      <c r="L37" s="2"/>
      <c r="M37" s="2"/>
      <c r="N37" s="2"/>
      <c r="O37" s="2"/>
      <c r="Z37" s="81"/>
    </row>
    <row r="38" spans="10:26" x14ac:dyDescent="0.3">
      <c r="K38" s="2"/>
      <c r="L38" s="2"/>
      <c r="M38" s="2"/>
      <c r="N38" s="2"/>
      <c r="O38" s="2"/>
      <c r="Z38" s="81"/>
    </row>
    <row r="39" spans="10:26" x14ac:dyDescent="0.3">
      <c r="K39" s="2"/>
      <c r="L39" s="2"/>
      <c r="M39" s="2"/>
      <c r="N39" s="2"/>
      <c r="O39" s="2"/>
    </row>
    <row r="40" spans="10:26" x14ac:dyDescent="0.3">
      <c r="K40" s="2"/>
      <c r="L40" s="2"/>
      <c r="M40" s="2"/>
      <c r="N40" s="2"/>
      <c r="O40" s="2"/>
    </row>
    <row r="41" spans="10:26" x14ac:dyDescent="0.3">
      <c r="J41" s="2"/>
      <c r="K41" s="2"/>
      <c r="L41" s="2"/>
      <c r="M41" s="2"/>
      <c r="N41" s="2"/>
      <c r="O41" s="2"/>
    </row>
    <row r="42" spans="10:26" x14ac:dyDescent="0.3">
      <c r="J42" s="2"/>
      <c r="K42" s="2"/>
      <c r="L42" s="2"/>
      <c r="M42" s="2"/>
      <c r="N42" s="2"/>
      <c r="O42" s="2"/>
    </row>
    <row r="43" spans="10:26" x14ac:dyDescent="0.3">
      <c r="J43" s="2"/>
      <c r="K43" s="2"/>
      <c r="L43" s="2"/>
      <c r="M43" s="2"/>
      <c r="N43" s="2"/>
      <c r="O43" s="2"/>
    </row>
    <row r="44" spans="10:26" x14ac:dyDescent="0.3">
      <c r="J44" s="2"/>
      <c r="K44" s="2"/>
      <c r="L44" s="2"/>
      <c r="M44" s="2"/>
      <c r="N44" s="2"/>
      <c r="O44" s="2"/>
    </row>
    <row r="45" spans="10:26" x14ac:dyDescent="0.3">
      <c r="J45" s="2"/>
      <c r="K45" s="2"/>
      <c r="L45" s="2"/>
      <c r="M45" s="2"/>
      <c r="N45" s="2"/>
      <c r="O45" s="2"/>
    </row>
    <row r="46" spans="10:26" x14ac:dyDescent="0.3">
      <c r="J46" s="2"/>
      <c r="K46" s="2"/>
      <c r="L46" s="2"/>
      <c r="M46" s="2"/>
      <c r="N46" s="2"/>
      <c r="O46" s="2"/>
    </row>
    <row r="47" spans="10:26" x14ac:dyDescent="0.3">
      <c r="J47" s="2"/>
      <c r="K47" s="2"/>
      <c r="L47" s="2"/>
      <c r="M47" s="2"/>
      <c r="N47" s="2"/>
      <c r="O47" s="2"/>
    </row>
    <row r="48" spans="10:26" x14ac:dyDescent="0.3">
      <c r="J48" s="2"/>
      <c r="K48" s="2"/>
      <c r="L48" s="2"/>
      <c r="M48" s="2"/>
      <c r="N48" s="2"/>
      <c r="O48" s="2"/>
    </row>
    <row r="49" spans="10:15" x14ac:dyDescent="0.3">
      <c r="J49" s="2"/>
      <c r="K49" s="2"/>
      <c r="L49" s="2"/>
      <c r="M49" s="2"/>
      <c r="N49" s="2"/>
      <c r="O49" s="2"/>
    </row>
    <row r="50" spans="10:15" x14ac:dyDescent="0.3">
      <c r="J50" s="2"/>
      <c r="K50" s="2"/>
      <c r="L50" s="2"/>
      <c r="M50" s="2"/>
      <c r="N50" s="2"/>
      <c r="O50" s="2"/>
    </row>
    <row r="51" spans="10:15" x14ac:dyDescent="0.3">
      <c r="J51" s="2"/>
      <c r="K51" s="2"/>
      <c r="L51" s="2"/>
      <c r="M51" s="2"/>
      <c r="N51" s="2"/>
      <c r="O51" s="2"/>
    </row>
    <row r="52" spans="10:15" x14ac:dyDescent="0.3">
      <c r="J52" s="2"/>
      <c r="K52" s="2"/>
      <c r="L52" s="2"/>
      <c r="M52" s="2"/>
      <c r="N52" s="2"/>
      <c r="O52" s="2"/>
    </row>
    <row r="53" spans="10:15" x14ac:dyDescent="0.3">
      <c r="J53" s="2"/>
      <c r="K53" s="2"/>
      <c r="L53" s="2"/>
      <c r="M53" s="2"/>
      <c r="N53" s="2"/>
      <c r="O53" s="2"/>
    </row>
    <row r="54" spans="10:15" x14ac:dyDescent="0.3">
      <c r="J54" s="2"/>
      <c r="K54" s="2"/>
      <c r="L54" s="2"/>
      <c r="M54" s="2"/>
      <c r="N54" s="2"/>
      <c r="O54" s="2"/>
    </row>
    <row r="55" spans="10:15" x14ac:dyDescent="0.3">
      <c r="J55" s="2"/>
      <c r="K55" s="2"/>
      <c r="L55" s="2"/>
      <c r="M55" s="2"/>
      <c r="N55" s="2"/>
      <c r="O55" s="2"/>
    </row>
    <row r="56" spans="10:15" x14ac:dyDescent="0.3">
      <c r="J56" s="2"/>
      <c r="K56" s="2"/>
      <c r="L56" s="2"/>
      <c r="M56" s="2"/>
      <c r="N56" s="2"/>
      <c r="O56" s="2"/>
    </row>
    <row r="57" spans="10:15" x14ac:dyDescent="0.3">
      <c r="J57" s="2"/>
      <c r="K57" s="2"/>
      <c r="L57" s="2"/>
      <c r="M57" s="2"/>
      <c r="N57" s="2"/>
      <c r="O57" s="2"/>
    </row>
    <row r="58" spans="10:15" x14ac:dyDescent="0.3">
      <c r="J58" s="2"/>
      <c r="K58" s="2"/>
      <c r="L58" s="2"/>
      <c r="M58" s="2"/>
      <c r="N58" s="2"/>
      <c r="O58" s="2"/>
    </row>
    <row r="59" spans="10:15" x14ac:dyDescent="0.3">
      <c r="J59" s="2"/>
      <c r="K59" s="2"/>
      <c r="L59" s="2"/>
      <c r="M59" s="2"/>
      <c r="N59" s="2"/>
      <c r="O59" s="2"/>
    </row>
    <row r="60" spans="10:15" x14ac:dyDescent="0.3">
      <c r="J60" s="2"/>
      <c r="K60" s="2"/>
      <c r="L60" s="2"/>
      <c r="M60" s="2"/>
      <c r="N60" s="2"/>
      <c r="O60" s="2"/>
    </row>
    <row r="61" spans="10:15" x14ac:dyDescent="0.3">
      <c r="J61" s="2"/>
      <c r="K61" s="2"/>
      <c r="L61" s="2"/>
      <c r="M61" s="2"/>
      <c r="N61" s="2"/>
      <c r="O61" s="2"/>
    </row>
    <row r="62" spans="10:15" x14ac:dyDescent="0.3">
      <c r="J62" s="2"/>
      <c r="K62" s="2"/>
      <c r="L62" s="2"/>
      <c r="M62" s="2"/>
      <c r="N62" s="2"/>
      <c r="O62" s="2"/>
    </row>
    <row r="63" spans="10:15" x14ac:dyDescent="0.3">
      <c r="J63" s="2"/>
      <c r="K63" s="2"/>
      <c r="L63" s="2"/>
      <c r="M63" s="2"/>
      <c r="N63" s="2"/>
      <c r="O63" s="2"/>
    </row>
    <row r="64" spans="10:15" x14ac:dyDescent="0.3">
      <c r="J64" s="2"/>
      <c r="K64" s="2"/>
      <c r="L64" s="2"/>
      <c r="M64" s="2"/>
      <c r="N64" s="2"/>
      <c r="O64" s="2"/>
    </row>
    <row r="65" spans="10:15" x14ac:dyDescent="0.3">
      <c r="J65" s="2"/>
      <c r="K65" s="2"/>
      <c r="L65" s="2"/>
      <c r="M65" s="2"/>
      <c r="N65" s="2"/>
      <c r="O65" s="2"/>
    </row>
    <row r="66" spans="10:15" x14ac:dyDescent="0.3">
      <c r="J66" s="2"/>
      <c r="K66" s="2"/>
      <c r="L66" s="2"/>
      <c r="M66" s="2"/>
      <c r="N66" s="2"/>
      <c r="O66" s="2"/>
    </row>
    <row r="67" spans="10:15" x14ac:dyDescent="0.3">
      <c r="J67" s="2"/>
      <c r="K67" s="2"/>
      <c r="L67" s="2"/>
      <c r="M67" s="2"/>
      <c r="N67" s="2"/>
      <c r="O67" s="2"/>
    </row>
    <row r="68" spans="10:15" x14ac:dyDescent="0.3">
      <c r="J68" s="2"/>
      <c r="K68" s="2"/>
      <c r="L68" s="2"/>
      <c r="M68" s="2"/>
      <c r="N68" s="2"/>
      <c r="O68" s="2"/>
    </row>
    <row r="69" spans="10:15" x14ac:dyDescent="0.3">
      <c r="J69" s="2"/>
      <c r="K69" s="2"/>
      <c r="L69" s="2"/>
      <c r="M69" s="2"/>
      <c r="N69" s="2"/>
      <c r="O69" s="2"/>
    </row>
    <row r="70" spans="10:15" x14ac:dyDescent="0.3">
      <c r="J70" s="2"/>
      <c r="K70" s="2"/>
      <c r="L70" s="2"/>
      <c r="M70" s="2"/>
      <c r="N70" s="2"/>
      <c r="O70" s="2"/>
    </row>
    <row r="71" spans="10:15" x14ac:dyDescent="0.3">
      <c r="J71" s="2"/>
      <c r="K71" s="2"/>
      <c r="L71" s="2"/>
      <c r="M71" s="2"/>
      <c r="N71" s="2"/>
      <c r="O71" s="2"/>
    </row>
    <row r="72" spans="10:15" x14ac:dyDescent="0.3">
      <c r="J72" s="2"/>
      <c r="K72" s="2"/>
      <c r="L72" s="2"/>
      <c r="M72" s="2"/>
      <c r="N72" s="2"/>
      <c r="O72" s="2"/>
    </row>
    <row r="73" spans="10:15" x14ac:dyDescent="0.3">
      <c r="J73" s="2"/>
      <c r="K73" s="2"/>
      <c r="L73" s="2"/>
      <c r="M73" s="2"/>
      <c r="N73" s="2"/>
      <c r="O73" s="2"/>
    </row>
    <row r="74" spans="10:15" x14ac:dyDescent="0.3">
      <c r="J74" s="2"/>
      <c r="K74" s="2"/>
      <c r="L74" s="2"/>
      <c r="M74" s="2"/>
      <c r="N74" s="2"/>
      <c r="O74" s="2"/>
    </row>
    <row r="75" spans="10:15" x14ac:dyDescent="0.3">
      <c r="J75" s="2"/>
      <c r="K75" s="2"/>
      <c r="L75" s="2"/>
      <c r="M75" s="2"/>
      <c r="N75" s="2"/>
      <c r="O75" s="2"/>
    </row>
  </sheetData>
  <sortState xmlns:xlrd2="http://schemas.microsoft.com/office/spreadsheetml/2017/richdata2" ref="X3:X22">
    <sortCondition ref="X3:X22"/>
  </sortState>
  <phoneticPr fontId="14" type="noConversion"/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10DB63-235A-40C9-818A-985C3E225AEF}">
  <sheetPr codeName="Feuil2"/>
  <dimension ref="A1:X33"/>
  <sheetViews>
    <sheetView zoomScale="68" zoomScaleNormal="85" workbookViewId="0">
      <pane xSplit="5" ySplit="1" topLeftCell="O15" activePane="bottomRight" state="frozen"/>
      <selection pane="topRight" activeCell="F1" sqref="F1"/>
      <selection pane="bottomLeft" activeCell="A2" sqref="A2"/>
      <selection pane="bottomRight" activeCell="S31" sqref="S31"/>
    </sheetView>
  </sheetViews>
  <sheetFormatPr baseColWidth="10" defaultRowHeight="14.4" x14ac:dyDescent="0.3"/>
  <cols>
    <col min="1" max="1" width="12" style="99" customWidth="1"/>
    <col min="2" max="2" width="8.33203125" style="100" customWidth="1"/>
    <col min="3" max="3" width="9.33203125" style="101" customWidth="1"/>
    <col min="4" max="4" width="10.33203125" style="102" customWidth="1"/>
    <col min="5" max="5" width="9.33203125" style="103" customWidth="1"/>
    <col min="6" max="6" width="10.88671875" style="104" customWidth="1"/>
    <col min="7" max="7" width="11.44140625" style="97" customWidth="1"/>
    <col min="8" max="8" width="13.5546875" style="96" customWidth="1"/>
    <col min="9" max="9" width="11.44140625" style="98" customWidth="1"/>
    <col min="10" max="10" width="13.5546875" style="96" customWidth="1"/>
    <col min="11" max="12" width="53.6640625" style="93" customWidth="1"/>
    <col min="13" max="13" width="54.6640625" style="94" customWidth="1"/>
    <col min="14" max="14" width="10.44140625" style="88" customWidth="1"/>
    <col min="15" max="15" width="21.44140625" style="105" customWidth="1"/>
    <col min="16" max="16" width="46.5546875" style="89" customWidth="1"/>
    <col min="17" max="17" width="46.5546875" style="90" customWidth="1"/>
    <col min="18" max="18" width="9.88671875" style="91" customWidth="1"/>
    <col min="19" max="19" width="34.33203125" style="89" customWidth="1"/>
    <col min="20" max="20" width="8.5546875" style="106" customWidth="1"/>
    <col min="21" max="21" width="7.33203125" style="91" customWidth="1"/>
    <col min="22" max="22" width="13.5546875" style="92" customWidth="1"/>
    <col min="23" max="24" width="11.5546875" style="95" customWidth="1"/>
  </cols>
  <sheetData>
    <row r="1" spans="1:24" s="33" customFormat="1" ht="96.6" x14ac:dyDescent="0.3">
      <c r="A1" s="82" t="s">
        <v>53</v>
      </c>
      <c r="B1" s="28" t="s">
        <v>195</v>
      </c>
      <c r="C1" s="24" t="s">
        <v>120</v>
      </c>
      <c r="D1" s="27" t="s">
        <v>121</v>
      </c>
      <c r="E1" s="53" t="s">
        <v>119</v>
      </c>
      <c r="F1" s="25" t="s">
        <v>54</v>
      </c>
      <c r="G1" s="23" t="s">
        <v>191</v>
      </c>
      <c r="H1" s="29" t="s">
        <v>55</v>
      </c>
      <c r="I1" s="74" t="s">
        <v>198</v>
      </c>
      <c r="J1" s="29" t="s">
        <v>95</v>
      </c>
      <c r="K1" s="30" t="s">
        <v>200</v>
      </c>
      <c r="L1" s="34" t="s">
        <v>199</v>
      </c>
      <c r="M1" s="37" t="s">
        <v>56</v>
      </c>
      <c r="N1" s="26" t="s">
        <v>118</v>
      </c>
      <c r="O1" s="35" t="s">
        <v>57</v>
      </c>
      <c r="P1" s="36" t="s">
        <v>76</v>
      </c>
      <c r="Q1" s="73" t="s">
        <v>219</v>
      </c>
      <c r="R1" s="38" t="s">
        <v>100</v>
      </c>
      <c r="S1" s="31" t="s">
        <v>158</v>
      </c>
      <c r="T1" s="32" t="s">
        <v>58</v>
      </c>
      <c r="U1" s="72" t="s">
        <v>99</v>
      </c>
      <c r="V1" s="72" t="s">
        <v>201</v>
      </c>
      <c r="W1" s="72" t="s">
        <v>123</v>
      </c>
      <c r="X1" s="72" t="s">
        <v>124</v>
      </c>
    </row>
    <row r="2" spans="1:24" s="9" customFormat="1" ht="28.8" x14ac:dyDescent="0.3">
      <c r="A2" s="121">
        <v>45443</v>
      </c>
      <c r="B2" s="122" t="s">
        <v>196</v>
      </c>
      <c r="C2" s="123" t="s">
        <v>40</v>
      </c>
      <c r="D2" s="113"/>
      <c r="E2" s="125" t="s">
        <v>35</v>
      </c>
      <c r="F2" s="126" t="s">
        <v>42</v>
      </c>
      <c r="G2" s="203" t="s">
        <v>193</v>
      </c>
      <c r="H2" s="127"/>
      <c r="I2" s="204" t="s">
        <v>192</v>
      </c>
      <c r="J2" s="127" t="s">
        <v>49</v>
      </c>
      <c r="K2" s="210"/>
      <c r="L2" s="210"/>
      <c r="M2" s="211"/>
      <c r="N2" s="116" t="s">
        <v>192</v>
      </c>
      <c r="O2" s="131" t="s">
        <v>94</v>
      </c>
      <c r="P2" s="132" t="s">
        <v>26</v>
      </c>
      <c r="Q2" s="117"/>
      <c r="R2" s="118"/>
      <c r="S2" s="124" t="s">
        <v>59</v>
      </c>
      <c r="T2" s="133"/>
      <c r="U2" s="118"/>
      <c r="V2" s="119"/>
      <c r="W2" s="120"/>
      <c r="X2" s="120"/>
    </row>
    <row r="3" spans="1:24" x14ac:dyDescent="0.3">
      <c r="A3" s="121">
        <v>45444</v>
      </c>
      <c r="B3" s="122" t="s">
        <v>196</v>
      </c>
      <c r="C3" s="123" t="s">
        <v>50</v>
      </c>
      <c r="D3" s="124" t="s">
        <v>47</v>
      </c>
      <c r="E3" s="125" t="s">
        <v>35</v>
      </c>
      <c r="F3" s="126" t="s">
        <v>36</v>
      </c>
      <c r="G3" s="134"/>
      <c r="H3" s="114"/>
      <c r="I3" s="115"/>
      <c r="J3" s="127" t="s">
        <v>37</v>
      </c>
      <c r="K3" s="128"/>
      <c r="L3" s="128"/>
      <c r="M3" s="129" t="s">
        <v>142</v>
      </c>
      <c r="N3" s="130" t="s">
        <v>193</v>
      </c>
      <c r="O3" s="131" t="s">
        <v>94</v>
      </c>
      <c r="P3" s="132" t="s">
        <v>3</v>
      </c>
      <c r="Q3" s="117"/>
      <c r="R3" s="130" t="s">
        <v>102</v>
      </c>
      <c r="S3" s="132" t="s">
        <v>141</v>
      </c>
      <c r="T3" s="133"/>
      <c r="U3" s="118"/>
      <c r="V3" s="119"/>
      <c r="W3" s="120"/>
      <c r="X3" s="120"/>
    </row>
    <row r="4" spans="1:24" x14ac:dyDescent="0.3">
      <c r="A4" s="176">
        <v>45448</v>
      </c>
      <c r="B4" s="177" t="s">
        <v>197</v>
      </c>
      <c r="C4" s="178" t="s">
        <v>34</v>
      </c>
      <c r="D4" s="113"/>
      <c r="E4" s="180" t="s">
        <v>29</v>
      </c>
      <c r="F4" s="181" t="s">
        <v>42</v>
      </c>
      <c r="G4" s="191" t="s">
        <v>192</v>
      </c>
      <c r="H4" s="114"/>
      <c r="I4" s="115"/>
      <c r="J4" s="114"/>
      <c r="K4" s="135"/>
      <c r="L4" s="135"/>
      <c r="M4" s="136"/>
      <c r="N4" s="201"/>
      <c r="O4" s="185" t="s">
        <v>122</v>
      </c>
      <c r="P4" s="186" t="s">
        <v>88</v>
      </c>
      <c r="Q4" s="117"/>
      <c r="R4" s="118"/>
      <c r="S4" s="186" t="s">
        <v>131</v>
      </c>
      <c r="T4" s="189"/>
      <c r="U4" s="118"/>
      <c r="V4" s="119"/>
      <c r="W4" s="120"/>
      <c r="X4" s="120"/>
    </row>
    <row r="5" spans="1:24" ht="57.6" x14ac:dyDescent="0.3">
      <c r="A5" s="137">
        <v>45428</v>
      </c>
      <c r="B5" s="138" t="s">
        <v>197</v>
      </c>
      <c r="C5" s="139" t="s">
        <v>40</v>
      </c>
      <c r="D5" s="113"/>
      <c r="E5" s="140" t="s">
        <v>35</v>
      </c>
      <c r="F5" s="141" t="s">
        <v>42</v>
      </c>
      <c r="G5" s="142" t="s">
        <v>193</v>
      </c>
      <c r="H5" s="143"/>
      <c r="I5" s="144" t="s">
        <v>192</v>
      </c>
      <c r="J5" s="143" t="s">
        <v>46</v>
      </c>
      <c r="K5" s="145"/>
      <c r="L5" s="145"/>
      <c r="M5" s="146" t="s">
        <v>143</v>
      </c>
      <c r="N5" s="116" t="s">
        <v>192</v>
      </c>
      <c r="O5" s="147" t="s">
        <v>2</v>
      </c>
      <c r="P5" s="148" t="s">
        <v>115</v>
      </c>
      <c r="Q5" s="149"/>
      <c r="R5" s="118"/>
      <c r="S5" s="148" t="s">
        <v>130</v>
      </c>
      <c r="T5" s="151"/>
      <c r="U5" s="150" t="s">
        <v>38</v>
      </c>
      <c r="V5" s="119"/>
      <c r="W5" s="120"/>
      <c r="X5" s="152" t="s">
        <v>33</v>
      </c>
    </row>
    <row r="6" spans="1:24" ht="43.2" x14ac:dyDescent="0.3">
      <c r="A6" s="137">
        <v>45382</v>
      </c>
      <c r="B6" s="138" t="s">
        <v>197</v>
      </c>
      <c r="C6" s="139" t="s">
        <v>28</v>
      </c>
      <c r="D6" s="113"/>
      <c r="E6" s="140" t="s">
        <v>41</v>
      </c>
      <c r="F6" s="141" t="s">
        <v>30</v>
      </c>
      <c r="G6" s="153"/>
      <c r="H6" s="114"/>
      <c r="I6" s="154"/>
      <c r="J6" s="143" t="s">
        <v>49</v>
      </c>
      <c r="K6" s="145"/>
      <c r="L6" s="145"/>
      <c r="M6" s="146" t="s">
        <v>144</v>
      </c>
      <c r="N6" s="116" t="s">
        <v>192</v>
      </c>
      <c r="O6" s="147" t="s">
        <v>2</v>
      </c>
      <c r="P6" s="148" t="s">
        <v>114</v>
      </c>
      <c r="Q6" s="149"/>
      <c r="R6" s="118"/>
      <c r="S6" s="148" t="s">
        <v>129</v>
      </c>
      <c r="T6" s="151"/>
      <c r="U6" s="150" t="s">
        <v>38</v>
      </c>
      <c r="V6" s="119"/>
      <c r="W6" s="120"/>
      <c r="X6" s="155" t="s">
        <v>39</v>
      </c>
    </row>
    <row r="7" spans="1:24" ht="28.8" x14ac:dyDescent="0.3">
      <c r="A7" s="176">
        <v>45437</v>
      </c>
      <c r="B7" s="177" t="s">
        <v>196</v>
      </c>
      <c r="C7" s="178" t="s">
        <v>50</v>
      </c>
      <c r="D7" s="179"/>
      <c r="E7" s="180" t="s">
        <v>29</v>
      </c>
      <c r="F7" s="181" t="s">
        <v>36</v>
      </c>
      <c r="G7" s="153"/>
      <c r="H7" s="114"/>
      <c r="I7" s="154"/>
      <c r="J7" s="182" t="s">
        <v>37</v>
      </c>
      <c r="K7" s="183"/>
      <c r="L7" s="183"/>
      <c r="M7" s="195"/>
      <c r="N7" s="188" t="s">
        <v>193</v>
      </c>
      <c r="O7" s="185" t="s">
        <v>122</v>
      </c>
      <c r="P7" s="186" t="s">
        <v>78</v>
      </c>
      <c r="Q7" s="117"/>
      <c r="R7" s="118"/>
      <c r="S7" s="186" t="s">
        <v>134</v>
      </c>
      <c r="T7" s="189"/>
      <c r="U7" s="118"/>
      <c r="V7" s="119"/>
      <c r="W7" s="120"/>
      <c r="X7" s="120"/>
    </row>
    <row r="8" spans="1:24" ht="28.8" x14ac:dyDescent="0.3">
      <c r="A8" s="121">
        <v>45458</v>
      </c>
      <c r="B8" s="122" t="s">
        <v>197</v>
      </c>
      <c r="C8" s="123" t="s">
        <v>28</v>
      </c>
      <c r="D8" s="113"/>
      <c r="E8" s="125" t="s">
        <v>35</v>
      </c>
      <c r="F8" s="126" t="s">
        <v>170</v>
      </c>
      <c r="G8" s="153"/>
      <c r="H8" s="114"/>
      <c r="I8" s="154"/>
      <c r="J8" s="127" t="s">
        <v>46</v>
      </c>
      <c r="K8" s="128"/>
      <c r="L8" s="128"/>
      <c r="M8" s="156"/>
      <c r="N8" s="116" t="s">
        <v>192</v>
      </c>
      <c r="O8" s="131" t="s">
        <v>94</v>
      </c>
      <c r="P8" s="132" t="s">
        <v>24</v>
      </c>
      <c r="Q8" s="117"/>
      <c r="R8" s="202"/>
      <c r="S8" s="132" t="s">
        <v>145</v>
      </c>
      <c r="T8" s="133"/>
      <c r="U8" s="118"/>
      <c r="V8" s="119"/>
      <c r="W8" s="120"/>
      <c r="X8" s="120"/>
    </row>
    <row r="9" spans="1:24" ht="27.6" x14ac:dyDescent="0.3">
      <c r="A9" s="158">
        <v>45383</v>
      </c>
      <c r="B9" s="159" t="s">
        <v>196</v>
      </c>
      <c r="C9" s="160" t="s">
        <v>50</v>
      </c>
      <c r="D9" s="161"/>
      <c r="E9" s="162" t="s">
        <v>35</v>
      </c>
      <c r="F9" s="163" t="s">
        <v>48</v>
      </c>
      <c r="G9" s="153"/>
      <c r="H9" s="114"/>
      <c r="I9" s="154"/>
      <c r="J9" s="164" t="s">
        <v>31</v>
      </c>
      <c r="K9" s="135"/>
      <c r="L9" s="165"/>
      <c r="M9" s="166" t="s">
        <v>159</v>
      </c>
      <c r="N9" s="167" t="s">
        <v>193</v>
      </c>
      <c r="O9" s="168" t="s">
        <v>2</v>
      </c>
      <c r="P9" s="169" t="s">
        <v>4</v>
      </c>
      <c r="Q9" s="170"/>
      <c r="R9" s="118"/>
      <c r="S9" s="169" t="s">
        <v>127</v>
      </c>
      <c r="T9" s="172"/>
      <c r="U9" s="171" t="s">
        <v>32</v>
      </c>
      <c r="V9" s="173" t="s">
        <v>192</v>
      </c>
      <c r="W9" s="155" t="s">
        <v>39</v>
      </c>
      <c r="X9" s="155" t="s">
        <v>39</v>
      </c>
    </row>
    <row r="10" spans="1:24" ht="28.8" x14ac:dyDescent="0.3">
      <c r="A10" s="121">
        <v>45440</v>
      </c>
      <c r="B10" s="122"/>
      <c r="C10" s="123" t="s">
        <v>44</v>
      </c>
      <c r="D10" s="113"/>
      <c r="E10" s="125" t="s">
        <v>29</v>
      </c>
      <c r="F10" s="126" t="s">
        <v>169</v>
      </c>
      <c r="G10" s="153"/>
      <c r="H10" s="114"/>
      <c r="I10" s="154"/>
      <c r="J10" s="127" t="s">
        <v>52</v>
      </c>
      <c r="K10" s="128"/>
      <c r="L10" s="128"/>
      <c r="M10" s="156" t="s">
        <v>60</v>
      </c>
      <c r="N10" s="116" t="s">
        <v>192</v>
      </c>
      <c r="O10" s="131" t="s">
        <v>94</v>
      </c>
      <c r="P10" s="132" t="s">
        <v>7</v>
      </c>
      <c r="Q10" s="117"/>
      <c r="R10" s="157" t="s">
        <v>117</v>
      </c>
      <c r="S10" s="132"/>
      <c r="T10" s="133"/>
      <c r="U10" s="118"/>
      <c r="V10" s="119"/>
      <c r="W10" s="120"/>
      <c r="X10" s="120"/>
    </row>
    <row r="11" spans="1:24" ht="28.8" x14ac:dyDescent="0.3">
      <c r="A11" s="107">
        <v>45384</v>
      </c>
      <c r="B11" s="83"/>
      <c r="C11" s="84" t="s">
        <v>34</v>
      </c>
      <c r="D11" s="113"/>
      <c r="E11" s="108" t="s">
        <v>29</v>
      </c>
      <c r="F11" s="109" t="s">
        <v>36</v>
      </c>
      <c r="G11" s="153"/>
      <c r="H11" s="114"/>
      <c r="I11" s="154"/>
      <c r="J11" s="85" t="s">
        <v>171</v>
      </c>
      <c r="K11" s="174"/>
      <c r="L11" s="174"/>
      <c r="M11" s="86"/>
      <c r="N11" s="116" t="s">
        <v>192</v>
      </c>
      <c r="O11" s="110" t="s">
        <v>1</v>
      </c>
      <c r="P11" s="87" t="s">
        <v>79</v>
      </c>
      <c r="Q11" s="117"/>
      <c r="R11" s="118"/>
      <c r="S11" s="87" t="s">
        <v>128</v>
      </c>
      <c r="T11" s="111"/>
      <c r="U11" s="118"/>
      <c r="V11" s="119"/>
      <c r="W11" s="120"/>
      <c r="X11" s="120"/>
    </row>
    <row r="12" spans="1:24" x14ac:dyDescent="0.3">
      <c r="A12" s="121">
        <v>45461</v>
      </c>
      <c r="B12" s="122"/>
      <c r="C12" s="123" t="s">
        <v>28</v>
      </c>
      <c r="D12" s="113"/>
      <c r="E12" s="125" t="s">
        <v>41</v>
      </c>
      <c r="F12" s="126" t="s">
        <v>42</v>
      </c>
      <c r="G12" s="203" t="s">
        <v>192</v>
      </c>
      <c r="H12" s="114"/>
      <c r="I12" s="115"/>
      <c r="J12" s="114"/>
      <c r="K12" s="135"/>
      <c r="L12" s="135"/>
      <c r="M12" s="136"/>
      <c r="N12" s="201"/>
      <c r="O12" s="131" t="s">
        <v>94</v>
      </c>
      <c r="P12" s="132" t="s">
        <v>10</v>
      </c>
      <c r="Q12" s="117"/>
      <c r="R12" s="130" t="s">
        <v>108</v>
      </c>
      <c r="S12" s="132"/>
      <c r="T12" s="133"/>
      <c r="U12" s="118"/>
      <c r="V12" s="119"/>
      <c r="W12" s="120"/>
      <c r="X12" s="120"/>
    </row>
    <row r="13" spans="1:24" ht="28.8" x14ac:dyDescent="0.3">
      <c r="A13" s="137">
        <v>45394</v>
      </c>
      <c r="B13" s="138"/>
      <c r="C13" s="139" t="s">
        <v>34</v>
      </c>
      <c r="D13" s="113"/>
      <c r="E13" s="140" t="s">
        <v>35</v>
      </c>
      <c r="F13" s="141" t="s">
        <v>42</v>
      </c>
      <c r="G13" s="142" t="s">
        <v>192</v>
      </c>
      <c r="H13" s="114"/>
      <c r="I13" s="115"/>
      <c r="J13" s="114"/>
      <c r="K13" s="135"/>
      <c r="L13" s="135"/>
      <c r="M13" s="136"/>
      <c r="N13" s="201"/>
      <c r="O13" s="147" t="s">
        <v>2</v>
      </c>
      <c r="P13" s="148" t="s">
        <v>138</v>
      </c>
      <c r="Q13" s="149"/>
      <c r="R13" s="202"/>
      <c r="S13" s="148" t="s">
        <v>139</v>
      </c>
      <c r="T13" s="151"/>
      <c r="U13" s="150" t="s">
        <v>38</v>
      </c>
      <c r="V13" s="119"/>
      <c r="W13" s="120"/>
      <c r="X13" s="152" t="s">
        <v>33</v>
      </c>
    </row>
    <row r="14" spans="1:24" ht="28.8" x14ac:dyDescent="0.3">
      <c r="A14" s="107">
        <v>45468</v>
      </c>
      <c r="B14" s="83"/>
      <c r="C14" s="84" t="s">
        <v>50</v>
      </c>
      <c r="D14" s="196" t="s">
        <v>133</v>
      </c>
      <c r="E14" s="108" t="s">
        <v>35</v>
      </c>
      <c r="F14" s="109" t="s">
        <v>42</v>
      </c>
      <c r="G14" s="198" t="s">
        <v>193</v>
      </c>
      <c r="H14" s="85"/>
      <c r="I14" s="199"/>
      <c r="J14" s="85" t="s">
        <v>43</v>
      </c>
      <c r="K14" s="174"/>
      <c r="L14" s="174"/>
      <c r="M14" s="200"/>
      <c r="N14" s="116" t="s">
        <v>192</v>
      </c>
      <c r="O14" s="110" t="s">
        <v>1</v>
      </c>
      <c r="P14" s="87" t="s">
        <v>116</v>
      </c>
      <c r="Q14" s="117"/>
      <c r="R14" s="118"/>
      <c r="S14" s="87" t="s">
        <v>125</v>
      </c>
      <c r="T14" s="111"/>
      <c r="U14" s="118"/>
      <c r="V14" s="119"/>
      <c r="W14" s="120"/>
      <c r="X14" s="120"/>
    </row>
    <row r="15" spans="1:24" ht="27.6" x14ac:dyDescent="0.3">
      <c r="A15" s="121">
        <v>45461</v>
      </c>
      <c r="B15" s="122"/>
      <c r="C15" s="123" t="s">
        <v>44</v>
      </c>
      <c r="D15" s="113"/>
      <c r="E15" s="125" t="s">
        <v>35</v>
      </c>
      <c r="F15" s="126" t="s">
        <v>42</v>
      </c>
      <c r="G15" s="203" t="s">
        <v>193</v>
      </c>
      <c r="H15" s="127"/>
      <c r="I15" s="204" t="s">
        <v>192</v>
      </c>
      <c r="J15" s="127" t="s">
        <v>52</v>
      </c>
      <c r="K15" s="128"/>
      <c r="L15" s="128"/>
      <c r="M15" s="129"/>
      <c r="N15" s="116" t="s">
        <v>192</v>
      </c>
      <c r="O15" s="131" t="s">
        <v>94</v>
      </c>
      <c r="P15" s="132" t="s">
        <v>10</v>
      </c>
      <c r="Q15" s="117"/>
      <c r="R15" s="130" t="s">
        <v>103</v>
      </c>
      <c r="S15" s="132"/>
      <c r="T15" s="133"/>
      <c r="U15" s="118"/>
      <c r="V15" s="119"/>
      <c r="W15" s="120"/>
      <c r="X15" s="120"/>
    </row>
    <row r="16" spans="1:24" ht="43.2" x14ac:dyDescent="0.3">
      <c r="A16" s="158">
        <v>45470</v>
      </c>
      <c r="B16" s="159"/>
      <c r="C16" s="160" t="s">
        <v>28</v>
      </c>
      <c r="D16" s="113"/>
      <c r="E16" s="162" t="s">
        <v>29</v>
      </c>
      <c r="F16" s="163" t="s">
        <v>42</v>
      </c>
      <c r="G16" s="197" t="s">
        <v>192</v>
      </c>
      <c r="H16" s="114"/>
      <c r="I16" s="154"/>
      <c r="J16" s="114"/>
      <c r="K16" s="135"/>
      <c r="L16" s="135"/>
      <c r="M16" s="136"/>
      <c r="N16" s="201"/>
      <c r="O16" s="168" t="s">
        <v>2</v>
      </c>
      <c r="P16" s="169" t="s">
        <v>111</v>
      </c>
      <c r="Q16" s="170"/>
      <c r="R16" s="118"/>
      <c r="S16" s="169" t="s">
        <v>126</v>
      </c>
      <c r="T16" s="172"/>
      <c r="U16" s="171" t="s">
        <v>32</v>
      </c>
      <c r="V16" s="173" t="s">
        <v>192</v>
      </c>
      <c r="W16" s="208" t="s">
        <v>33</v>
      </c>
      <c r="X16" s="207" t="s">
        <v>39</v>
      </c>
    </row>
    <row r="17" spans="1:24" ht="27.6" x14ac:dyDescent="0.3">
      <c r="A17" s="121">
        <v>45443</v>
      </c>
      <c r="B17" s="122"/>
      <c r="C17" s="123" t="s">
        <v>50</v>
      </c>
      <c r="D17" s="124"/>
      <c r="E17" s="125" t="s">
        <v>29</v>
      </c>
      <c r="F17" s="126" t="s">
        <v>42</v>
      </c>
      <c r="G17" s="192" t="s">
        <v>193</v>
      </c>
      <c r="H17" s="127"/>
      <c r="I17" s="193"/>
      <c r="J17" s="127" t="s">
        <v>46</v>
      </c>
      <c r="K17" s="128"/>
      <c r="L17" s="128"/>
      <c r="M17" s="129"/>
      <c r="N17" s="116" t="s">
        <v>192</v>
      </c>
      <c r="O17" s="131" t="s">
        <v>94</v>
      </c>
      <c r="P17" s="132" t="s">
        <v>81</v>
      </c>
      <c r="Q17" s="117"/>
      <c r="R17" s="118"/>
      <c r="S17" s="132" t="s">
        <v>136</v>
      </c>
      <c r="T17" s="133"/>
      <c r="U17" s="118"/>
      <c r="V17" s="119"/>
      <c r="W17" s="209"/>
      <c r="X17" s="209"/>
    </row>
    <row r="18" spans="1:24" ht="27.6" x14ac:dyDescent="0.3">
      <c r="A18" s="121">
        <v>45395</v>
      </c>
      <c r="B18" s="122"/>
      <c r="C18" s="123" t="s">
        <v>40</v>
      </c>
      <c r="D18" s="113"/>
      <c r="E18" s="125" t="s">
        <v>29</v>
      </c>
      <c r="F18" s="126" t="s">
        <v>42</v>
      </c>
      <c r="G18" s="192" t="s">
        <v>193</v>
      </c>
      <c r="H18" s="127"/>
      <c r="I18" s="193"/>
      <c r="J18" s="127" t="s">
        <v>31</v>
      </c>
      <c r="K18" s="135"/>
      <c r="L18" s="128"/>
      <c r="M18" s="129"/>
      <c r="N18" s="116" t="s">
        <v>192</v>
      </c>
      <c r="O18" s="131" t="s">
        <v>94</v>
      </c>
      <c r="P18" s="132" t="s">
        <v>14</v>
      </c>
      <c r="Q18" s="117"/>
      <c r="R18" s="130" t="s">
        <v>104</v>
      </c>
      <c r="S18" s="132" t="s">
        <v>140</v>
      </c>
      <c r="T18" s="133"/>
      <c r="U18" s="118"/>
      <c r="V18" s="119"/>
      <c r="W18" s="209"/>
      <c r="X18" s="209"/>
    </row>
    <row r="19" spans="1:24" ht="27.6" x14ac:dyDescent="0.3">
      <c r="A19" s="121">
        <v>45412</v>
      </c>
      <c r="B19" s="122"/>
      <c r="C19" s="123" t="s">
        <v>28</v>
      </c>
      <c r="D19" s="113"/>
      <c r="E19" s="125" t="s">
        <v>29</v>
      </c>
      <c r="F19" s="126" t="s">
        <v>36</v>
      </c>
      <c r="G19" s="153"/>
      <c r="H19" s="114"/>
      <c r="I19" s="154"/>
      <c r="J19" s="127" t="s">
        <v>49</v>
      </c>
      <c r="K19" s="128"/>
      <c r="L19" s="128"/>
      <c r="M19" s="129"/>
      <c r="N19" s="194" t="s">
        <v>193</v>
      </c>
      <c r="O19" s="131" t="s">
        <v>94</v>
      </c>
      <c r="P19" s="132" t="s">
        <v>176</v>
      </c>
      <c r="Q19" s="117"/>
      <c r="R19" s="118"/>
      <c r="S19" s="132" t="s">
        <v>137</v>
      </c>
      <c r="T19" s="133"/>
      <c r="U19" s="118"/>
      <c r="V19" s="119"/>
      <c r="W19" s="209"/>
      <c r="X19" s="209"/>
    </row>
    <row r="20" spans="1:24" ht="28.8" x14ac:dyDescent="0.3">
      <c r="A20" s="121">
        <v>45398</v>
      </c>
      <c r="B20" s="122"/>
      <c r="C20" s="123" t="s">
        <v>50</v>
      </c>
      <c r="D20" s="124"/>
      <c r="E20" s="125" t="s">
        <v>35</v>
      </c>
      <c r="F20" s="126" t="s">
        <v>48</v>
      </c>
      <c r="G20" s="153"/>
      <c r="H20" s="114"/>
      <c r="I20" s="154"/>
      <c r="J20" s="127" t="s">
        <v>31</v>
      </c>
      <c r="K20" s="135"/>
      <c r="L20" s="128"/>
      <c r="M20" s="129"/>
      <c r="N20" s="194" t="s">
        <v>193</v>
      </c>
      <c r="O20" s="131" t="s">
        <v>94</v>
      </c>
      <c r="P20" s="132" t="s">
        <v>24</v>
      </c>
      <c r="Q20" s="117"/>
      <c r="R20" s="118"/>
      <c r="S20" s="132" t="s">
        <v>135</v>
      </c>
      <c r="T20" s="133"/>
      <c r="U20" s="118"/>
      <c r="V20" s="119"/>
      <c r="W20" s="209"/>
      <c r="X20" s="209"/>
    </row>
    <row r="21" spans="1:24" ht="43.2" x14ac:dyDescent="0.3">
      <c r="A21" s="158"/>
      <c r="B21" s="159"/>
      <c r="C21" s="160" t="s">
        <v>40</v>
      </c>
      <c r="D21" s="113"/>
      <c r="E21" s="162"/>
      <c r="F21" s="163" t="s">
        <v>42</v>
      </c>
      <c r="G21" s="197" t="s">
        <v>192</v>
      </c>
      <c r="H21" s="114"/>
      <c r="I21" s="154"/>
      <c r="J21" s="114"/>
      <c r="K21" s="135"/>
      <c r="L21" s="135"/>
      <c r="M21" s="136"/>
      <c r="N21" s="201"/>
      <c r="O21" s="168" t="s">
        <v>2</v>
      </c>
      <c r="P21" s="169" t="s">
        <v>160</v>
      </c>
      <c r="Q21" s="170"/>
      <c r="R21" s="118"/>
      <c r="S21" s="169"/>
      <c r="T21" s="172"/>
      <c r="U21" s="171" t="s">
        <v>32</v>
      </c>
      <c r="V21" s="173" t="s">
        <v>193</v>
      </c>
      <c r="W21" s="207" t="s">
        <v>39</v>
      </c>
      <c r="X21" s="208" t="s">
        <v>33</v>
      </c>
    </row>
    <row r="22" spans="1:24" ht="27.6" x14ac:dyDescent="0.3">
      <c r="A22" s="121"/>
      <c r="B22" s="122"/>
      <c r="C22" s="123" t="s">
        <v>28</v>
      </c>
      <c r="D22" s="113"/>
      <c r="E22" s="125"/>
      <c r="F22" s="126" t="s">
        <v>48</v>
      </c>
      <c r="G22" s="153"/>
      <c r="H22" s="114"/>
      <c r="I22" s="154"/>
      <c r="J22" s="127" t="s">
        <v>31</v>
      </c>
      <c r="K22" s="135"/>
      <c r="L22" s="128"/>
      <c r="M22" s="129"/>
      <c r="N22" s="116" t="s">
        <v>192</v>
      </c>
      <c r="O22" s="131" t="s">
        <v>94</v>
      </c>
      <c r="P22" s="132" t="s">
        <v>26</v>
      </c>
      <c r="Q22" s="117"/>
      <c r="R22" s="202"/>
      <c r="S22" s="132"/>
      <c r="T22" s="133"/>
      <c r="U22" s="118"/>
      <c r="V22" s="119"/>
      <c r="W22" s="209"/>
      <c r="X22" s="209"/>
    </row>
    <row r="23" spans="1:24" x14ac:dyDescent="0.3">
      <c r="A23" s="121"/>
      <c r="B23" s="122"/>
      <c r="C23" s="123" t="s">
        <v>50</v>
      </c>
      <c r="D23" s="124"/>
      <c r="E23" s="125"/>
      <c r="F23" s="126" t="s">
        <v>42</v>
      </c>
      <c r="G23" s="192" t="s">
        <v>192</v>
      </c>
      <c r="H23" s="114"/>
      <c r="I23" s="154"/>
      <c r="J23" s="114"/>
      <c r="K23" s="135"/>
      <c r="L23" s="135"/>
      <c r="M23" s="136"/>
      <c r="N23" s="201"/>
      <c r="O23" s="131" t="s">
        <v>94</v>
      </c>
      <c r="P23" s="132" t="s">
        <v>175</v>
      </c>
      <c r="Q23" s="117"/>
      <c r="R23" s="130"/>
      <c r="S23" s="132"/>
      <c r="T23" s="133"/>
      <c r="U23" s="118"/>
      <c r="V23" s="119"/>
      <c r="W23" s="209"/>
      <c r="X23" s="209"/>
    </row>
    <row r="24" spans="1:24" x14ac:dyDescent="0.3">
      <c r="A24" s="121"/>
      <c r="B24" s="122"/>
      <c r="C24" s="123" t="s">
        <v>34</v>
      </c>
      <c r="D24" s="113"/>
      <c r="E24" s="125"/>
      <c r="F24" s="126" t="s">
        <v>42</v>
      </c>
      <c r="G24" s="192" t="s">
        <v>193</v>
      </c>
      <c r="H24" s="127"/>
      <c r="I24" s="193" t="s">
        <v>192</v>
      </c>
      <c r="J24" s="127" t="s">
        <v>190</v>
      </c>
      <c r="K24" s="135"/>
      <c r="L24" s="135"/>
      <c r="M24" s="129"/>
      <c r="N24" s="194" t="s">
        <v>193</v>
      </c>
      <c r="O24" s="131" t="s">
        <v>94</v>
      </c>
      <c r="P24" s="132" t="s">
        <v>10</v>
      </c>
      <c r="Q24" s="117"/>
      <c r="R24" s="130"/>
      <c r="S24" s="132"/>
      <c r="T24" s="133"/>
      <c r="U24" s="118"/>
      <c r="V24" s="119"/>
      <c r="W24" s="209"/>
      <c r="X24" s="209"/>
    </row>
    <row r="25" spans="1:24" ht="27.6" x14ac:dyDescent="0.3">
      <c r="A25" s="121"/>
      <c r="B25" s="122"/>
      <c r="C25" s="123" t="s">
        <v>50</v>
      </c>
      <c r="D25" s="124"/>
      <c r="E25" s="125"/>
      <c r="F25" s="126" t="s">
        <v>36</v>
      </c>
      <c r="G25" s="153"/>
      <c r="H25" s="114"/>
      <c r="I25" s="154"/>
      <c r="J25" s="127" t="s">
        <v>49</v>
      </c>
      <c r="K25" s="128"/>
      <c r="L25" s="128"/>
      <c r="M25" s="129"/>
      <c r="N25" s="194" t="s">
        <v>193</v>
      </c>
      <c r="O25" s="131" t="s">
        <v>94</v>
      </c>
      <c r="P25" s="132" t="s">
        <v>7</v>
      </c>
      <c r="Q25" s="117"/>
      <c r="R25" s="130"/>
      <c r="S25" s="132"/>
      <c r="T25" s="133"/>
      <c r="U25" s="118"/>
      <c r="V25" s="119"/>
      <c r="W25" s="209"/>
      <c r="X25" s="209"/>
    </row>
    <row r="26" spans="1:24" ht="27.6" x14ac:dyDescent="0.3">
      <c r="A26" s="121"/>
      <c r="B26" s="122"/>
      <c r="C26" s="123" t="s">
        <v>28</v>
      </c>
      <c r="D26" s="113"/>
      <c r="E26" s="125"/>
      <c r="F26" s="126" t="s">
        <v>30</v>
      </c>
      <c r="G26" s="153"/>
      <c r="H26" s="114"/>
      <c r="I26" s="154"/>
      <c r="J26" s="127" t="s">
        <v>27</v>
      </c>
      <c r="K26" s="128"/>
      <c r="L26" s="128"/>
      <c r="M26" s="129"/>
      <c r="N26" s="194" t="s">
        <v>193</v>
      </c>
      <c r="O26" s="131" t="s">
        <v>94</v>
      </c>
      <c r="P26" s="132" t="s">
        <v>14</v>
      </c>
      <c r="Q26" s="117"/>
      <c r="R26" s="157"/>
      <c r="S26" s="132"/>
      <c r="T26" s="133"/>
      <c r="U26" s="118"/>
      <c r="V26" s="119"/>
      <c r="W26" s="209"/>
      <c r="X26" s="209"/>
    </row>
    <row r="27" spans="1:24" ht="27.6" x14ac:dyDescent="0.3">
      <c r="A27" s="121"/>
      <c r="B27" s="122"/>
      <c r="C27" s="123" t="s">
        <v>40</v>
      </c>
      <c r="D27" s="113"/>
      <c r="E27" s="125"/>
      <c r="F27" s="126" t="s">
        <v>170</v>
      </c>
      <c r="G27" s="153"/>
      <c r="H27" s="114"/>
      <c r="I27" s="154"/>
      <c r="J27" s="127" t="s">
        <v>43</v>
      </c>
      <c r="K27" s="128"/>
      <c r="L27" s="128"/>
      <c r="M27" s="129"/>
      <c r="N27" s="116" t="s">
        <v>192</v>
      </c>
      <c r="O27" s="131" t="s">
        <v>94</v>
      </c>
      <c r="P27" s="132" t="s">
        <v>84</v>
      </c>
      <c r="Q27" s="117"/>
      <c r="R27" s="118"/>
      <c r="S27" s="132"/>
      <c r="T27" s="133"/>
      <c r="U27" s="118"/>
      <c r="V27" s="119"/>
      <c r="W27" s="209"/>
      <c r="X27" s="209"/>
    </row>
    <row r="28" spans="1:24" x14ac:dyDescent="0.3">
      <c r="A28" s="121"/>
      <c r="B28" s="122"/>
      <c r="C28" s="123" t="s">
        <v>40</v>
      </c>
      <c r="D28" s="113"/>
      <c r="E28" s="125"/>
      <c r="F28" s="126" t="s">
        <v>27</v>
      </c>
      <c r="G28" s="153"/>
      <c r="H28" s="114"/>
      <c r="I28" s="154"/>
      <c r="J28" s="127" t="s">
        <v>171</v>
      </c>
      <c r="K28" s="128"/>
      <c r="L28" s="128"/>
      <c r="M28" s="129"/>
      <c r="N28" s="194" t="s">
        <v>193</v>
      </c>
      <c r="O28" s="131" t="s">
        <v>94</v>
      </c>
      <c r="P28" s="132" t="s">
        <v>85</v>
      </c>
      <c r="Q28" s="117"/>
      <c r="R28" s="118"/>
      <c r="S28" s="132"/>
      <c r="T28" s="133"/>
      <c r="U28" s="118"/>
      <c r="V28" s="119"/>
      <c r="W28" s="209"/>
      <c r="X28" s="209"/>
    </row>
    <row r="29" spans="1:24" ht="27.6" x14ac:dyDescent="0.3">
      <c r="A29" s="121"/>
      <c r="B29" s="122"/>
      <c r="C29" s="123" t="s">
        <v>44</v>
      </c>
      <c r="D29" s="113"/>
      <c r="E29" s="125"/>
      <c r="F29" s="126" t="s">
        <v>30</v>
      </c>
      <c r="G29" s="153"/>
      <c r="H29" s="114"/>
      <c r="I29" s="154"/>
      <c r="J29" s="127" t="s">
        <v>190</v>
      </c>
      <c r="K29" s="135"/>
      <c r="L29" s="135"/>
      <c r="M29" s="129"/>
      <c r="N29" s="194" t="s">
        <v>193</v>
      </c>
      <c r="O29" s="131" t="s">
        <v>94</v>
      </c>
      <c r="P29" s="132" t="s">
        <v>176</v>
      </c>
      <c r="Q29" s="117"/>
      <c r="R29" s="118"/>
      <c r="S29" s="132"/>
      <c r="T29" s="133"/>
      <c r="U29" s="118"/>
      <c r="V29" s="119"/>
      <c r="W29" s="209"/>
      <c r="X29" s="209"/>
    </row>
    <row r="30" spans="1:24" ht="28.8" x14ac:dyDescent="0.3">
      <c r="A30" s="158"/>
      <c r="B30" s="159"/>
      <c r="C30" s="160" t="s">
        <v>34</v>
      </c>
      <c r="D30" s="113"/>
      <c r="E30" s="162"/>
      <c r="F30" s="163" t="s">
        <v>36</v>
      </c>
      <c r="G30" s="153"/>
      <c r="H30" s="114"/>
      <c r="I30" s="154"/>
      <c r="J30" s="164"/>
      <c r="K30" s="165"/>
      <c r="L30" s="165"/>
      <c r="M30" s="206"/>
      <c r="N30" s="116" t="s">
        <v>192</v>
      </c>
      <c r="O30" s="168" t="s">
        <v>2</v>
      </c>
      <c r="P30" s="169" t="s">
        <v>24</v>
      </c>
      <c r="Q30" s="170"/>
      <c r="R30" s="118"/>
      <c r="S30" s="169"/>
      <c r="T30" s="172"/>
      <c r="U30" s="171" t="s">
        <v>32</v>
      </c>
      <c r="V30" s="173" t="s">
        <v>193</v>
      </c>
      <c r="W30" s="208" t="s">
        <v>33</v>
      </c>
      <c r="X30" s="207" t="s">
        <v>39</v>
      </c>
    </row>
    <row r="31" spans="1:24" x14ac:dyDescent="0.3">
      <c r="A31" s="121"/>
      <c r="B31" s="122"/>
      <c r="C31" s="123" t="s">
        <v>28</v>
      </c>
      <c r="D31" s="113"/>
      <c r="E31" s="125"/>
      <c r="F31" s="126" t="s">
        <v>42</v>
      </c>
      <c r="G31" s="192" t="s">
        <v>172</v>
      </c>
      <c r="H31" s="127"/>
      <c r="I31" s="193"/>
      <c r="J31" s="127"/>
      <c r="K31" s="128"/>
      <c r="L31" s="128"/>
      <c r="M31" s="129"/>
      <c r="N31" s="194" t="s">
        <v>193</v>
      </c>
      <c r="O31" s="131" t="s">
        <v>94</v>
      </c>
      <c r="P31" s="132" t="s">
        <v>26</v>
      </c>
      <c r="Q31" s="117"/>
      <c r="R31" s="118"/>
      <c r="S31" s="132"/>
      <c r="T31" s="133"/>
      <c r="U31" s="118"/>
      <c r="V31" s="119"/>
      <c r="W31" s="209"/>
      <c r="X31" s="209"/>
    </row>
    <row r="32" spans="1:24" ht="28.8" x14ac:dyDescent="0.3">
      <c r="A32" s="158"/>
      <c r="B32" s="159"/>
      <c r="C32" s="160" t="s">
        <v>50</v>
      </c>
      <c r="D32" s="161"/>
      <c r="E32" s="162"/>
      <c r="F32" s="163" t="s">
        <v>27</v>
      </c>
      <c r="G32" s="153"/>
      <c r="H32" s="114"/>
      <c r="I32" s="154"/>
      <c r="J32" s="164"/>
      <c r="K32" s="165"/>
      <c r="L32" s="165"/>
      <c r="M32" s="206"/>
      <c r="N32" s="116" t="s">
        <v>192</v>
      </c>
      <c r="O32" s="168" t="s">
        <v>2</v>
      </c>
      <c r="P32" s="169" t="s">
        <v>264</v>
      </c>
      <c r="Q32" s="170"/>
      <c r="R32" s="118"/>
      <c r="S32" s="169"/>
      <c r="T32" s="172"/>
      <c r="U32" s="171" t="s">
        <v>32</v>
      </c>
      <c r="V32" s="173" t="s">
        <v>193</v>
      </c>
      <c r="W32" s="209"/>
      <c r="X32" s="207" t="s">
        <v>39</v>
      </c>
    </row>
    <row r="33" spans="1:24" ht="43.2" x14ac:dyDescent="0.3">
      <c r="A33" s="176"/>
      <c r="B33" s="177"/>
      <c r="C33" s="178"/>
      <c r="D33" s="113"/>
      <c r="E33" s="180"/>
      <c r="F33" s="181" t="s">
        <v>169</v>
      </c>
      <c r="G33" s="153"/>
      <c r="H33" s="114"/>
      <c r="I33" s="154"/>
      <c r="J33" s="182" t="s">
        <v>52</v>
      </c>
      <c r="K33" s="183"/>
      <c r="L33" s="183"/>
      <c r="M33" s="195"/>
      <c r="N33" s="184" t="s">
        <v>193</v>
      </c>
      <c r="O33" s="185" t="s">
        <v>2</v>
      </c>
      <c r="P33" s="186" t="s">
        <v>174</v>
      </c>
      <c r="Q33" s="187"/>
      <c r="R33" s="118"/>
      <c r="S33" s="186"/>
      <c r="T33" s="189"/>
      <c r="U33" s="188"/>
      <c r="V33" s="190"/>
      <c r="W33" s="205"/>
      <c r="X33" s="205"/>
    </row>
  </sheetData>
  <dataValidations count="7">
    <dataValidation type="list" allowBlank="1" showInputMessage="1" showErrorMessage="1" sqref="X2:X33 W2:W1048576" xr:uid="{BEEAB12E-0CBA-4E4F-A359-B1ADAC974AB1}">
      <formula1>SAISIE_IODAS</formula1>
    </dataValidation>
    <dataValidation type="list" allowBlank="1" showInputMessage="1" showErrorMessage="1" sqref="K13 J2:J1048576" xr:uid="{B3508AC2-B097-41CD-85A2-95C4E9E8B007}">
      <formula1>Origine</formula1>
    </dataValidation>
    <dataValidation type="list" allowBlank="1" showInputMessage="1" showErrorMessage="1" sqref="C2:C33" xr:uid="{14B7F00D-4257-403B-B734-70C41461328F}">
      <formula1>AGENTS</formula1>
    </dataValidation>
    <dataValidation type="date" showInputMessage="1" showErrorMessage="1" sqref="B6" xr:uid="{2EE7951E-D4E1-41B7-BD09-C9EBCD6FC8A8}">
      <formula1>44562</formula1>
      <formula2>44926</formula2>
    </dataValidation>
    <dataValidation type="list" allowBlank="1" showInputMessage="1" showErrorMessage="1" sqref="N1:N1048576 V2:V1048576" xr:uid="{C730CF47-F270-457A-A504-03F5A42C9A37}">
      <formula1>OUI_NON</formula1>
    </dataValidation>
    <dataValidation type="list" allowBlank="1" showInputMessage="1" showErrorMessage="1" sqref="O2:O1048576" xr:uid="{81AFA967-FCD4-4D64-8F19-75AE2D35826C}">
      <formula1>CATEGORIE</formula1>
    </dataValidation>
    <dataValidation type="list" allowBlank="1" showInputMessage="1" showErrorMessage="1" sqref="E1:E1048576" xr:uid="{12B7DA91-7437-4F67-91D0-58D352A59683}">
      <formula1>FRONT_BACK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69" r:id="rId4" name="lbxListe">
          <controlPr defaultSize="0" autoLine="0" autoPict="0" listFillRange="Listes!$Q$3:$Q$13" r:id="rId5">
            <anchor moveWithCells="1">
              <from>
                <xdr:col>14</xdr:col>
                <xdr:colOff>1470660</xdr:colOff>
                <xdr:row>26</xdr:row>
                <xdr:rowOff>350520</xdr:rowOff>
              </from>
              <to>
                <xdr:col>16</xdr:col>
                <xdr:colOff>236220</xdr:colOff>
                <xdr:row>34</xdr:row>
                <xdr:rowOff>106680</xdr:rowOff>
              </to>
            </anchor>
          </controlPr>
        </control>
      </mc:Choice>
      <mc:Fallback>
        <control shapeId="2069" r:id="rId4" name="lbxListe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45691DC8-DE42-4F1A-AA48-CA055E596F55}">
          <x14:formula1>
            <xm:f>Listes!$L$3:$L$9</xm:f>
          </x14:formula1>
          <xm:sqref>F2:F1048576</xm:sqref>
        </x14:dataValidation>
        <x14:dataValidation type="list" allowBlank="1" showInputMessage="1" showErrorMessage="1" xr:uid="{9E1B7721-FEE0-4727-BD4B-E5DA0153F245}">
          <x14:formula1>
            <xm:f>Listes!$N$3:$N$4</xm:f>
          </x14:formula1>
          <xm:sqref>G2:G1048576 I2:I1048576</xm:sqref>
        </x14:dataValidation>
        <x14:dataValidation type="list" allowBlank="1" showInputMessage="1" showErrorMessage="1" xr:uid="{0BD4D7E1-0DD1-4DE3-890C-10210B1EC788}">
          <x14:formula1>
            <xm:f>Listes!$U$3:$U$4</xm:f>
          </x14:formula1>
          <xm:sqref>U2:U1048576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D35716-D535-4150-957C-811591198A24}">
  <sheetPr codeName="Feuil3"/>
  <dimension ref="A1:P64"/>
  <sheetViews>
    <sheetView topLeftCell="A20" workbookViewId="0">
      <selection activeCell="G73" sqref="G73"/>
    </sheetView>
  </sheetViews>
  <sheetFormatPr baseColWidth="10" defaultRowHeight="14.4" x14ac:dyDescent="0.3"/>
  <cols>
    <col min="1" max="1" width="11.6640625" customWidth="1"/>
    <col min="2" max="2" width="17.5546875" bestFit="1" customWidth="1"/>
    <col min="3" max="3" width="47.33203125" bestFit="1" customWidth="1"/>
    <col min="4" max="4" width="3" style="59" bestFit="1" customWidth="1"/>
    <col min="5" max="5" width="2" customWidth="1"/>
    <col min="6" max="6" width="18.88671875" customWidth="1"/>
    <col min="7" max="7" width="48.88671875" bestFit="1" customWidth="1"/>
    <col min="8" max="8" width="2.88671875" customWidth="1"/>
    <col min="9" max="9" width="2.33203125" customWidth="1"/>
    <col min="10" max="10" width="17.5546875" customWidth="1"/>
    <col min="11" max="11" width="48.88671875" bestFit="1" customWidth="1"/>
    <col min="12" max="12" width="4" customWidth="1"/>
    <col min="13" max="13" width="2.109375" customWidth="1"/>
    <col min="14" max="14" width="19.6640625" customWidth="1"/>
    <col min="15" max="15" width="48.88671875" style="56" bestFit="1" customWidth="1"/>
    <col min="16" max="16" width="2" bestFit="1" customWidth="1"/>
    <col min="17" max="17" width="6.6640625" bestFit="1" customWidth="1"/>
    <col min="18" max="18" width="3" bestFit="1" customWidth="1"/>
    <col min="19" max="19" width="15" bestFit="1" customWidth="1"/>
    <col min="20" max="20" width="11.88671875" bestFit="1" customWidth="1"/>
    <col min="21" max="21" width="6.6640625" bestFit="1" customWidth="1"/>
    <col min="22" max="22" width="14.5546875" bestFit="1" customWidth="1"/>
    <col min="23" max="23" width="7.88671875" bestFit="1" customWidth="1"/>
    <col min="24" max="24" width="10.5546875" bestFit="1" customWidth="1"/>
    <col min="25" max="25" width="11.88671875" bestFit="1" customWidth="1"/>
  </cols>
  <sheetData>
    <row r="1" spans="1:16" ht="23.4" x14ac:dyDescent="0.45">
      <c r="B1" s="175" t="s">
        <v>161</v>
      </c>
      <c r="C1" s="175"/>
      <c r="D1" s="175"/>
      <c r="F1" s="175" t="s">
        <v>162</v>
      </c>
      <c r="G1" s="175"/>
      <c r="H1" s="175"/>
      <c r="J1" s="175" t="s">
        <v>163</v>
      </c>
      <c r="K1" s="175"/>
      <c r="L1" s="175"/>
      <c r="N1" s="175" t="s">
        <v>164</v>
      </c>
      <c r="O1" s="175"/>
      <c r="P1" s="175"/>
    </row>
    <row r="2" spans="1:16" ht="21" customHeight="1" x14ac:dyDescent="0.3">
      <c r="B2" s="39" t="s">
        <v>0</v>
      </c>
      <c r="C2" s="40" t="s">
        <v>3</v>
      </c>
      <c r="D2" s="60">
        <f>COUNTIFS(Saisie!P:P,"*Standard_message pris*",Saisie!C:C,"*Nordine*")</f>
        <v>0</v>
      </c>
      <c r="F2" s="39" t="s">
        <v>0</v>
      </c>
      <c r="G2" s="40" t="s">
        <v>3</v>
      </c>
      <c r="H2" s="60">
        <f>COUNTIFS(Saisie!P:P,"*Standard_message pris*",Saisie!C:C,"*Fabienne*")</f>
        <v>0</v>
      </c>
      <c r="J2" s="39" t="s">
        <v>0</v>
      </c>
      <c r="K2" s="40" t="s">
        <v>3</v>
      </c>
      <c r="L2" s="60">
        <f>COUNTIFS(Saisie!P:P,"*Standard_message pris*",Saisie!C:C,"*Patricia*")</f>
        <v>0</v>
      </c>
      <c r="N2" s="39" t="s">
        <v>0</v>
      </c>
      <c r="O2" s="40" t="s">
        <v>3</v>
      </c>
      <c r="P2" s="60">
        <f>COUNTIFS(Saisie!P:P,"*Standard_message pris*",Saisie!C:C,"*Christelle*")</f>
        <v>0</v>
      </c>
    </row>
    <row r="3" spans="1:16" x14ac:dyDescent="0.3">
      <c r="B3" s="41"/>
      <c r="C3" s="40" t="s">
        <v>7</v>
      </c>
      <c r="D3" s="60">
        <f>COUNTIFS(Saisie!P:P,"*Standard_transfert vers CLIC/RA*",Saisie!C:C,"*Nordine*")</f>
        <v>0</v>
      </c>
      <c r="F3" s="41"/>
      <c r="G3" s="40" t="s">
        <v>7</v>
      </c>
      <c r="H3" s="60">
        <f>COUNTIFS(Saisie!P:P,"*Standard_transfert vers CLIC/RA*",Saisie!C:C,"*Fabienne*")</f>
        <v>0</v>
      </c>
      <c r="J3" s="41"/>
      <c r="K3" s="40" t="s">
        <v>7</v>
      </c>
      <c r="L3" s="60">
        <f>COUNTIFS(Saisie!P:P,"*Standard_transfert vers CLIC/RA*",Saisie!C:C,"*Patricia*")</f>
        <v>1</v>
      </c>
      <c r="N3" s="41"/>
      <c r="O3" s="40" t="s">
        <v>7</v>
      </c>
      <c r="P3" s="60">
        <f>COUNTIFS(Saisie!P:P,"*Standard_transfert vers CLIC/RA*",Saisie!C:C,"*Christelle*")</f>
        <v>0</v>
      </c>
    </row>
    <row r="4" spans="1:16" x14ac:dyDescent="0.3">
      <c r="B4" s="41"/>
      <c r="C4" s="40" t="s">
        <v>10</v>
      </c>
      <c r="D4" s="60">
        <f>COUNTIFS(Saisie!P:P,"*Secrétariat_accueil RDV CLIC/RA*",Saisie!C:C,"*Nordine*")</f>
        <v>0</v>
      </c>
      <c r="F4" s="41"/>
      <c r="G4" s="40" t="s">
        <v>10</v>
      </c>
      <c r="H4" s="60">
        <f>COUNTIFS(Saisie!P:P,"*Secrétariat_accueil RDV CLIC/RA*",Saisie!C:C,"*Fabienne*")</f>
        <v>1</v>
      </c>
      <c r="J4" s="41"/>
      <c r="K4" s="40" t="s">
        <v>10</v>
      </c>
      <c r="L4" s="60">
        <f>COUNTIFS(Saisie!P:P,"*Secrétariat_accueil RDV CLIC/RA*",Saisie!C:C,"*Patricia*")</f>
        <v>1</v>
      </c>
      <c r="N4" s="41"/>
      <c r="O4" s="40" t="s">
        <v>10</v>
      </c>
      <c r="P4" s="60" t="e">
        <f>COUNTIFS(Saisie!#REF!,"*Secrétariat_accueil RDV CLIC/RA*",Saisie!#REF!,"*Fabienne*")</f>
        <v>#REF!</v>
      </c>
    </row>
    <row r="5" spans="1:16" x14ac:dyDescent="0.3">
      <c r="B5" s="41"/>
      <c r="C5" s="40" t="s">
        <v>14</v>
      </c>
      <c r="D5" s="60">
        <f>COUNTIFS(Saisie!P:P,"*Secrétariat_accueil DOCS CLIC/RA*",Saisie!C:C,"*Nordine*")</f>
        <v>1</v>
      </c>
      <c r="F5" s="41"/>
      <c r="G5" s="40" t="s">
        <v>14</v>
      </c>
      <c r="H5" s="60">
        <f>COUNTIFS(Saisie!P:P,"*Secrétariat_accueil DOCS CLIC/RA*",Saisie!C:C,"*Fabienne*")</f>
        <v>0</v>
      </c>
      <c r="J5" s="41"/>
      <c r="K5" s="40" t="s">
        <v>14</v>
      </c>
      <c r="L5" s="60">
        <f>COUNTIFS(Saisie!P:P,"*Secrétariat_accueil DOCS CLIC/RA*",Saisie!C:C,"*Patricia*")</f>
        <v>0</v>
      </c>
      <c r="N5" s="41"/>
      <c r="O5" s="40" t="s">
        <v>14</v>
      </c>
      <c r="P5" s="60">
        <f>COUNTIFS(Saisie!P:P,"*Secrétariat_accueil DOCS CLIC/RA*",Saisie!C:C,"*Christelle*")</f>
        <v>1</v>
      </c>
    </row>
    <row r="6" spans="1:16" x14ac:dyDescent="0.3">
      <c r="B6" s="41"/>
      <c r="C6" s="40" t="s">
        <v>17</v>
      </c>
      <c r="D6" s="60">
        <f>COUNTIFS(Saisie!P:P,"*Secrétariat_info de fonctionnement*",Saisie!C:C,"*Nordine*")</f>
        <v>1</v>
      </c>
      <c r="F6" s="41"/>
      <c r="G6" s="40" t="s">
        <v>17</v>
      </c>
      <c r="H6" s="60">
        <f>COUNTIFS(Saisie!P:P,"*Secrétariat_info de fonctionnement*",Saisie!C:C,"*Fabienne*")</f>
        <v>0</v>
      </c>
      <c r="J6" s="41"/>
      <c r="K6" s="40" t="s">
        <v>17</v>
      </c>
      <c r="L6" s="60">
        <f>COUNTIFS(Saisie!P:P,"*Secrétariat_info de fonctionnement*",Saisie!C:C,"*Patricia*")</f>
        <v>0</v>
      </c>
      <c r="N6" s="41"/>
      <c r="O6" s="40" t="s">
        <v>17</v>
      </c>
      <c r="P6" s="60">
        <f>COUNTIFS(Saisie!P:P,"*Secrétariat_info de fonctionnement*",Saisie!C:C,"*Christelle*")</f>
        <v>0</v>
      </c>
    </row>
    <row r="7" spans="1:16" x14ac:dyDescent="0.3">
      <c r="B7" s="41"/>
      <c r="C7" s="40" t="s">
        <v>20</v>
      </c>
      <c r="D7" s="60">
        <f>COUNTIFS(Saisie!P:P,"*Secrétariat_inscription*",Saisie!C:C,"*Nordine*")</f>
        <v>1</v>
      </c>
      <c r="F7" s="41"/>
      <c r="G7" s="40" t="s">
        <v>20</v>
      </c>
      <c r="H7" s="60">
        <f>COUNTIFS(Saisie!P:P,"*Secrétariat_inscription*",Saisie!C:C,"*Fabienne*")</f>
        <v>0</v>
      </c>
      <c r="J7" s="41"/>
      <c r="K7" s="40" t="s">
        <v>20</v>
      </c>
      <c r="L7" s="60">
        <f>COUNTIFS(Saisie!P:P,"*Secrétariat_inscription*",Saisie!C:C,"*Patricia*")</f>
        <v>0</v>
      </c>
      <c r="N7" s="41"/>
      <c r="O7" s="40" t="s">
        <v>20</v>
      </c>
      <c r="P7" s="60">
        <f>COUNTIFS(Saisie!P:P,"*Secrétariat_inscription*",Saisie!C:C,"*Christelle*")</f>
        <v>0</v>
      </c>
    </row>
    <row r="8" spans="1:16" x14ac:dyDescent="0.3">
      <c r="B8" s="41"/>
      <c r="C8" s="40" t="s">
        <v>86</v>
      </c>
      <c r="D8" s="60">
        <f>COUNTIFS(Saisie!P:P,"*Secrétariat_réorientation VERS SERVICES DU CCAS*",Saisie!C:C,"*Nordine*")</f>
        <v>0</v>
      </c>
      <c r="F8" s="41"/>
      <c r="G8" s="40" t="s">
        <v>86</v>
      </c>
      <c r="H8" s="60">
        <f>COUNTIFS(Saisie!P:P,"*Secrétariat_réorientation VERS SERVICES DU CCAS*",Saisie!C:C,"*Fabienne*")</f>
        <v>0</v>
      </c>
      <c r="J8" s="41"/>
      <c r="K8" s="40" t="s">
        <v>86</v>
      </c>
      <c r="L8" s="60">
        <f>COUNTIFS(Saisie!P:P,"*Secrétariat_réorientation VERS SERVICES DU CCAS*",Saisie!C:C,"*Patricia*")</f>
        <v>0</v>
      </c>
      <c r="N8" s="41"/>
      <c r="O8" s="40" t="s">
        <v>86</v>
      </c>
      <c r="P8" s="60">
        <f>COUNTIFS(Saisie!P:P,"*Secrétariat_réorientation VERS SERVICES DU CCAS*",Saisie!C:C,"*Christelle*")</f>
        <v>0</v>
      </c>
    </row>
    <row r="9" spans="1:16" x14ac:dyDescent="0.3">
      <c r="B9" s="41"/>
      <c r="C9" s="40" t="s">
        <v>24</v>
      </c>
      <c r="D9" s="60">
        <f>COUNTIFS(Saisie!P:P,"*Secrétariat_réorientation PLATEFORME TELEPHONIQUE*",Saisie!C:C,"*Nordine*")</f>
        <v>0</v>
      </c>
      <c r="F9" s="41"/>
      <c r="G9" s="40" t="s">
        <v>24</v>
      </c>
      <c r="H9" s="60">
        <f>COUNTIFS(Saisie!P:P,"*Secrétariat_réorientation PLATEFORME TELEPHONIQUE*",Saisie!C:C,"*Fabienne*")</f>
        <v>1</v>
      </c>
      <c r="J9" s="41"/>
      <c r="K9" s="40" t="s">
        <v>24</v>
      </c>
      <c r="L9" s="60">
        <f>COUNTIFS(Saisie!P:P,"*Secrétariat_réorientation PLATEFORME TELEPHONIQUE*",Saisie!C:C,"*Patricia*")</f>
        <v>0</v>
      </c>
      <c r="N9" s="41"/>
      <c r="O9" s="40" t="s">
        <v>24</v>
      </c>
      <c r="P9" s="60">
        <f>COUNTIFS(Saisie!P:P,"*Secrétariat_réorientation PLATEFORME TELEPHONIQUE*",Saisie!C:C,"*Christelle*")</f>
        <v>1</v>
      </c>
    </row>
    <row r="10" spans="1:16" x14ac:dyDescent="0.3">
      <c r="B10" s="41"/>
      <c r="C10" s="40" t="s">
        <v>26</v>
      </c>
      <c r="D10" s="60">
        <f>COUNTIFS(Saisie!P:P,"*Secrétariat_réorientation AUTRE*",Saisie!C:C,"*Nordine*")</f>
        <v>1</v>
      </c>
      <c r="F10" s="41"/>
      <c r="G10" s="40" t="s">
        <v>26</v>
      </c>
      <c r="H10" s="60">
        <f>COUNTIFS(Saisie!P:P,"*Secrétariat_réorientation AUTRE*",Saisie!C:C,"*Fabienne*")</f>
        <v>0</v>
      </c>
      <c r="J10" s="41"/>
      <c r="K10" s="40" t="s">
        <v>26</v>
      </c>
      <c r="L10" s="60">
        <f>COUNTIFS(Saisie!P:P,"*Secrétariat_réorientation AUTRE*",Saisie!C:C,"*Patricia*")</f>
        <v>0</v>
      </c>
      <c r="N10" s="41"/>
      <c r="O10" s="40" t="s">
        <v>26</v>
      </c>
      <c r="P10" s="60">
        <f>COUNTIFS(Saisie!P:P,"*Secrétariat_réorientation AUTRE*",Saisie!C:C,"*Christelle*")</f>
        <v>2</v>
      </c>
    </row>
    <row r="11" spans="1:16" ht="43.2" x14ac:dyDescent="0.3">
      <c r="A11" s="70" t="s">
        <v>165</v>
      </c>
      <c r="B11" s="41"/>
      <c r="C11" s="40" t="s">
        <v>81</v>
      </c>
      <c r="D11" s="60">
        <f>COUNTIFS(Saisie!P:P,"*AUTRE ASS. DE COORD*",Saisie!C:C,"*Nordine*")</f>
        <v>0</v>
      </c>
      <c r="F11" s="41"/>
      <c r="G11" s="40" t="s">
        <v>81</v>
      </c>
      <c r="H11" s="60">
        <f>COUNTIFS(Saisie!P:P,"*AUTRE ASS. DE COORD*",Saisie!C:C,"*Fabienne*")</f>
        <v>0</v>
      </c>
      <c r="J11" s="41"/>
      <c r="K11" s="40" t="s">
        <v>81</v>
      </c>
      <c r="L11" s="60">
        <f>COUNTIFS(Saisie!P:P,"*AUTRE ASS. DE COORD*",Saisie!C:C,"*Patricia*")</f>
        <v>0</v>
      </c>
      <c r="N11" s="41"/>
      <c r="O11" s="40" t="s">
        <v>81</v>
      </c>
      <c r="P11" s="60">
        <f>COUNTIFS(Saisie!P:P,"*AUTRE ASS. DE COORD*",Saisie!C:C,"*Christelle*")</f>
        <v>0</v>
      </c>
    </row>
    <row r="12" spans="1:16" ht="23.4" x14ac:dyDescent="0.45">
      <c r="A12" s="69" t="e">
        <f>D12+H12+L12+P12</f>
        <v>#REF!</v>
      </c>
      <c r="B12" s="41"/>
      <c r="C12" s="42" t="s">
        <v>93</v>
      </c>
      <c r="D12" s="61">
        <f>SUM(D2:D11)</f>
        <v>4</v>
      </c>
      <c r="F12" s="41"/>
      <c r="G12" s="42" t="s">
        <v>93</v>
      </c>
      <c r="H12" s="61">
        <f>SUM(H2:H11)</f>
        <v>2</v>
      </c>
      <c r="J12" s="41"/>
      <c r="K12" s="42" t="s">
        <v>93</v>
      </c>
      <c r="L12" s="61">
        <f>SUM(L2:L11)</f>
        <v>2</v>
      </c>
      <c r="N12" s="41"/>
      <c r="O12" s="42" t="s">
        <v>93</v>
      </c>
      <c r="P12" s="61" t="e">
        <f>SUM(P2:P11)</f>
        <v>#REF!</v>
      </c>
    </row>
    <row r="13" spans="1:16" ht="42.6" customHeight="1" x14ac:dyDescent="0.3">
      <c r="B13" s="21" t="s">
        <v>132</v>
      </c>
      <c r="C13" s="3" t="s">
        <v>4</v>
      </c>
      <c r="D13" s="62">
        <f>COUNTIFS(Saisie!P:P,"*Dépôt dossier SASPA*",Saisie!C:C,"*Nordine*")</f>
        <v>0</v>
      </c>
      <c r="F13" s="21" t="s">
        <v>132</v>
      </c>
      <c r="G13" s="3" t="s">
        <v>4</v>
      </c>
      <c r="H13" s="62">
        <f>COUNTIFS(Saisie!P:P,"*Dépôt dossier SASPA*",Saisie!C:C,"*Fabienne*")</f>
        <v>0</v>
      </c>
      <c r="J13" s="21" t="s">
        <v>132</v>
      </c>
      <c r="K13" s="3" t="s">
        <v>4</v>
      </c>
      <c r="L13" s="62">
        <f>COUNTIFS(Saisie!P:P,"*Dépôt dossier SASPA*",Saisie!C:C,"*Patricia*")</f>
        <v>0</v>
      </c>
      <c r="N13" s="21" t="s">
        <v>132</v>
      </c>
      <c r="O13" s="3" t="s">
        <v>4</v>
      </c>
      <c r="P13" s="62">
        <f>COUNTIFS(Saisie!P:P,"*Dépôt dossier SASPA*",Saisie!C:C,"*Christelle*")</f>
        <v>0</v>
      </c>
    </row>
    <row r="14" spans="1:16" x14ac:dyDescent="0.3">
      <c r="B14" s="19"/>
      <c r="C14" s="3" t="s">
        <v>8</v>
      </c>
      <c r="D14" s="62">
        <f>COUNTIFS(Saisie!P:P,"*Dépôt dossier ASG*",Saisie!C:C,"*Nordine*")</f>
        <v>0</v>
      </c>
      <c r="F14" s="19"/>
      <c r="G14" s="3" t="s">
        <v>8</v>
      </c>
      <c r="H14" s="62">
        <f>COUNTIFS(Saisie!P:P,"*Dépôt dossier ASG*",Saisie!C:C,"*Fabienne*")</f>
        <v>0</v>
      </c>
      <c r="J14" s="19"/>
      <c r="K14" s="3" t="s">
        <v>8</v>
      </c>
      <c r="L14" s="62">
        <f>COUNTIFS(Saisie!P:P,"*Dépôt dossier ASG*",Saisie!C:C,"*Patricia*")</f>
        <v>0</v>
      </c>
      <c r="N14" s="19"/>
      <c r="O14" s="3" t="s">
        <v>8</v>
      </c>
      <c r="P14" s="62">
        <f>COUNTIFS(Saisie!P:P,"*Dépôt dossier ASG*",Saisie!C:C,"*Christelle*")</f>
        <v>0</v>
      </c>
    </row>
    <row r="15" spans="1:16" x14ac:dyDescent="0.3">
      <c r="B15" s="19"/>
      <c r="C15" s="3" t="s">
        <v>11</v>
      </c>
      <c r="D15" s="62">
        <f>COUNTIFS(Saisie!P:P,"*Dépôt formalité OA*",Saisie!C:C,"*Nordine*")</f>
        <v>0</v>
      </c>
      <c r="F15" s="19"/>
      <c r="G15" s="3" t="s">
        <v>11</v>
      </c>
      <c r="H15" s="62">
        <f>COUNTIFS(Saisie!P:P,"*Dépôt formalité OA*",Saisie!C:C,"*Fabienne*")</f>
        <v>0</v>
      </c>
      <c r="J15" s="19"/>
      <c r="K15" s="3" t="s">
        <v>11</v>
      </c>
      <c r="L15" s="62">
        <f>COUNTIFS(Saisie!P:P,"*Dépôt formalité OA*",Saisie!C:C,"*Patricia*")</f>
        <v>0</v>
      </c>
      <c r="N15" s="19"/>
      <c r="O15" s="3" t="s">
        <v>11</v>
      </c>
      <c r="P15" s="62">
        <f>COUNTIFS(Saisie!P:P,"*Dépôt formalité OA*",Saisie!C:C,"*Christelle*")</f>
        <v>0</v>
      </c>
    </row>
    <row r="16" spans="1:16" x14ac:dyDescent="0.3">
      <c r="B16" s="19"/>
      <c r="C16" s="3" t="s">
        <v>15</v>
      </c>
      <c r="D16" s="62">
        <f>COUNTIFS(Saisie!P:P,"*Info sur dossier SASPA en cours ou à constituer*",Saisie!C:C,"*Nordine*")</f>
        <v>0</v>
      </c>
      <c r="F16" s="19"/>
      <c r="G16" s="3" t="s">
        <v>15</v>
      </c>
      <c r="H16" s="62">
        <f>COUNTIFS(Saisie!P:P,"*Info sur dossier SASPA en cours ou à constituer*",Saisie!C:C,"*Fabienne*")</f>
        <v>0</v>
      </c>
      <c r="J16" s="19"/>
      <c r="K16" s="3" t="s">
        <v>15</v>
      </c>
      <c r="L16" s="62">
        <f>COUNTIFS(Saisie!P:P,"*Info sur dossier SASPA en cours ou à constituer*",Saisie!C:C,"*Patricia*")</f>
        <v>0</v>
      </c>
      <c r="N16" s="19"/>
      <c r="O16" s="3" t="s">
        <v>15</v>
      </c>
      <c r="P16" s="62">
        <f>COUNTIFS(Saisie!P:P,"*Info sur dossier SASPA en cours ou à constituer*",Saisie!C:C,"*Christelle*")</f>
        <v>0</v>
      </c>
    </row>
    <row r="17" spans="1:16" x14ac:dyDescent="0.3">
      <c r="B17" s="19"/>
      <c r="C17" s="3" t="s">
        <v>18</v>
      </c>
      <c r="D17" s="62">
        <f>COUNTIFS(Saisie!P:P,"*Info sur dossier ASG en cours ou à constituer*",Saisie!C:C,"*Nordine*")</f>
        <v>0</v>
      </c>
      <c r="F17" s="19"/>
      <c r="G17" s="3" t="s">
        <v>18</v>
      </c>
      <c r="H17" s="62">
        <f>COUNTIFS(Saisie!P:P,"*Info sur dossier ASG en cours ou à constituer*",Saisie!C:C,"*Fabienne*")</f>
        <v>0</v>
      </c>
      <c r="J17" s="19"/>
      <c r="K17" s="3" t="s">
        <v>18</v>
      </c>
      <c r="L17" s="62">
        <f>COUNTIFS(Saisie!P:P,"*Info sur dossier ASG en cours ou à constituer*",Saisie!C:C,"*Patricia*")</f>
        <v>0</v>
      </c>
      <c r="N17" s="19"/>
      <c r="O17" s="3" t="s">
        <v>18</v>
      </c>
      <c r="P17" s="62" t="e">
        <f>COUNTIFS(Saisie!#REF!,"*Info sur dossier ASG en cours ou à constituer*",Saisie!#REF!,"*Fabienne*")</f>
        <v>#REF!</v>
      </c>
    </row>
    <row r="18" spans="1:16" x14ac:dyDescent="0.3">
      <c r="B18" s="19"/>
      <c r="C18" s="3" t="s">
        <v>21</v>
      </c>
      <c r="D18" s="62">
        <f>COUNTIFS(Saisie!P:P,"*Info sur formalité d'OA*",Saisie!C:C,"*Nordine*")</f>
        <v>0</v>
      </c>
      <c r="F18" s="19"/>
      <c r="G18" s="3" t="s">
        <v>21</v>
      </c>
      <c r="H18" s="62">
        <f>COUNTIFS(Saisie!P:P,"*Info sur formalité d'OA*",Saisie!C:C,"*Fabienne*")</f>
        <v>1</v>
      </c>
      <c r="J18" s="19"/>
      <c r="K18" s="3" t="s">
        <v>21</v>
      </c>
      <c r="L18" s="62">
        <f>COUNTIFS(Saisie!P:P,"*Info sur formalité d'OA*",Saisie!C:C,"*Patricia*")</f>
        <v>0</v>
      </c>
      <c r="N18" s="19"/>
      <c r="O18" s="3" t="s">
        <v>21</v>
      </c>
      <c r="P18" s="62">
        <f>COUNTIFS(Saisie!P:P,"*Info sur formalité d'OA*",Saisie!C:C,"*Christelle*")</f>
        <v>0</v>
      </c>
    </row>
    <row r="19" spans="1:16" ht="28.8" x14ac:dyDescent="0.3">
      <c r="A19" s="70" t="s">
        <v>168</v>
      </c>
      <c r="B19" s="19"/>
      <c r="C19" s="3" t="s">
        <v>80</v>
      </c>
      <c r="D19" s="62">
        <f>COUNTIFS(Saisie!P:P,"*Autre AIDE SOCIALE*",Saisie!C:C,"*Nordine*")</f>
        <v>0</v>
      </c>
      <c r="F19" s="19"/>
      <c r="G19" s="3" t="s">
        <v>80</v>
      </c>
      <c r="H19" s="62">
        <f>COUNTIFS(Saisie!P:P,"*Autre AIDE SOCIALE*",Saisie!C:C,"*Fabienne*")</f>
        <v>0</v>
      </c>
      <c r="J19" s="19"/>
      <c r="K19" s="3" t="s">
        <v>80</v>
      </c>
      <c r="L19" s="62">
        <f>COUNTIFS(Saisie!P:P,"*Autre AIDE SOCIALE*",Saisie!C:C,"*Patricia*")</f>
        <v>0</v>
      </c>
      <c r="N19" s="19"/>
      <c r="O19" s="3" t="s">
        <v>80</v>
      </c>
      <c r="P19" s="62">
        <f>COUNTIFS(Saisie!P:P,"*Autre AIDE SOCIALE*",Saisie!C:C,"*Christelle*")</f>
        <v>0</v>
      </c>
    </row>
    <row r="20" spans="1:16" ht="23.4" x14ac:dyDescent="0.45">
      <c r="A20" s="69" t="e">
        <f>D20+H20+L20+P20</f>
        <v>#REF!</v>
      </c>
      <c r="B20" s="19"/>
      <c r="C20" s="20" t="s">
        <v>93</v>
      </c>
      <c r="D20" s="63">
        <f>SUM(D13:D19)</f>
        <v>0</v>
      </c>
      <c r="F20" s="19"/>
      <c r="G20" s="20" t="s">
        <v>93</v>
      </c>
      <c r="H20" s="63">
        <f>SUM(H13:H19)</f>
        <v>1</v>
      </c>
      <c r="J20" s="19"/>
      <c r="K20" s="20" t="s">
        <v>93</v>
      </c>
      <c r="L20" s="63">
        <f>SUM(L13:L19)</f>
        <v>0</v>
      </c>
      <c r="N20" s="19"/>
      <c r="O20" s="20" t="s">
        <v>93</v>
      </c>
      <c r="P20" s="63" t="e">
        <f>SUM(P13:P19)</f>
        <v>#REF!</v>
      </c>
    </row>
    <row r="21" spans="1:16" x14ac:dyDescent="0.3">
      <c r="B21" s="43" t="s">
        <v>1</v>
      </c>
      <c r="C21" s="44" t="s">
        <v>5</v>
      </c>
      <c r="D21" s="64">
        <f>COUNTIFS(Saisie!P:P,"*Appel SES*",Saisie!C:C,"*Nordine*")</f>
        <v>0</v>
      </c>
      <c r="F21" s="43" t="s">
        <v>1</v>
      </c>
      <c r="G21" s="44" t="s">
        <v>5</v>
      </c>
      <c r="H21" s="64">
        <f>COUNTIFS(Saisie!P:P,"*Appel SES*",Saisie!C:C,"*Fabienne*")</f>
        <v>1</v>
      </c>
      <c r="J21" s="43" t="s">
        <v>1</v>
      </c>
      <c r="K21" s="44" t="s">
        <v>5</v>
      </c>
      <c r="L21" s="64">
        <f>COUNTIFS(Saisie!P:P,"*Appel SES*",Saisie!C:C,"*Patricia*")</f>
        <v>0</v>
      </c>
      <c r="N21" s="43" t="s">
        <v>1</v>
      </c>
      <c r="O21" s="44" t="s">
        <v>5</v>
      </c>
      <c r="P21" s="64">
        <f>COUNTIFS(Saisie!P:P,"*Appel SES*",Saisie!C:C,"*Christelle*")</f>
        <v>0</v>
      </c>
    </row>
    <row r="22" spans="1:16" x14ac:dyDescent="0.3">
      <c r="B22" s="46"/>
      <c r="C22" s="44" t="s">
        <v>89</v>
      </c>
      <c r="D22" s="64">
        <f>COUNTIFS(Saisie!P:P,"*Intervention physique SES*",Saisie!C:C,"*Nordine*")</f>
        <v>0</v>
      </c>
      <c r="F22" s="46"/>
      <c r="G22" s="44" t="s">
        <v>89</v>
      </c>
      <c r="H22" s="64">
        <f>COUNTIFS(Saisie!P:P,"*Intervention physique SES*",Saisie!C:C,"*Fabienne*")</f>
        <v>0</v>
      </c>
      <c r="J22" s="46"/>
      <c r="K22" s="44" t="s">
        <v>89</v>
      </c>
      <c r="L22" s="64">
        <f>COUNTIFS(Saisie!P:P,"*Intervention physique SES*",Saisie!C:C,"*Patricia*")</f>
        <v>0</v>
      </c>
      <c r="N22" s="46"/>
      <c r="O22" s="44" t="s">
        <v>89</v>
      </c>
      <c r="P22" s="64">
        <f>COUNTIFS(Saisie!P:P,"*Intervention physique SES*",Saisie!C:C,"*Christelle*")</f>
        <v>0</v>
      </c>
    </row>
    <row r="23" spans="1:16" x14ac:dyDescent="0.3">
      <c r="B23" s="46"/>
      <c r="C23" s="44" t="s">
        <v>12</v>
      </c>
      <c r="D23" s="64">
        <f>COUNTIFS(Saisie!P:P,"*Réorientation MQ*",Saisie!C:C,"*Nordine*")</f>
        <v>0</v>
      </c>
      <c r="F23" s="46"/>
      <c r="G23" s="44" t="s">
        <v>12</v>
      </c>
      <c r="H23" s="64">
        <f>COUNTIFS(Saisie!P:P,"*Réorientation MQ*",Saisie!C:C,"*Fabienne*")</f>
        <v>1</v>
      </c>
      <c r="J23" s="46"/>
      <c r="K23" s="44" t="s">
        <v>12</v>
      </c>
      <c r="L23" s="64">
        <f>COUNTIFS(Saisie!P:P,"*Réorientation MQ*",Saisie!C:C,"*Patricia*")</f>
        <v>0</v>
      </c>
      <c r="N23" s="46"/>
      <c r="O23" s="44" t="s">
        <v>12</v>
      </c>
      <c r="P23" s="64">
        <f>COUNTIFS(Saisie!P:P,"*Réorientation MQ*",Saisie!C:C,"*Christelle*")</f>
        <v>0</v>
      </c>
    </row>
    <row r="24" spans="1:16" x14ac:dyDescent="0.3">
      <c r="B24" s="46"/>
      <c r="C24" s="44" t="s">
        <v>16</v>
      </c>
      <c r="D24" s="64">
        <f>COUNTIFS(Saisie!P:P,"*Traitement de la demande*",Saisie!C:C,"*Nordine*")</f>
        <v>0</v>
      </c>
      <c r="F24" s="46"/>
      <c r="G24" s="44" t="s">
        <v>16</v>
      </c>
      <c r="H24" s="64">
        <f>COUNTIFS(Saisie!P:P,"*Traitement de la demande*",Saisie!C:C,"*Fabienne")</f>
        <v>0</v>
      </c>
      <c r="J24" s="46"/>
      <c r="K24" s="44" t="s">
        <v>16</v>
      </c>
      <c r="L24" s="64">
        <f>COUNTIFS(Saisie!P:P,"*Traitement de la demande*",Saisie!C:C,"*Patricia")</f>
        <v>0</v>
      </c>
      <c r="N24" s="46"/>
      <c r="O24" s="44" t="s">
        <v>16</v>
      </c>
      <c r="P24" s="64">
        <f>COUNTIFS(Saisie!P:P,"*Traitement de la demande*",Saisie!C:C,"*Christelle*")</f>
        <v>0</v>
      </c>
    </row>
    <row r="25" spans="1:16" ht="28.8" x14ac:dyDescent="0.3">
      <c r="A25" s="70" t="s">
        <v>166</v>
      </c>
      <c r="B25" s="46"/>
      <c r="C25" s="45" t="s">
        <v>83</v>
      </c>
      <c r="D25" s="64">
        <f>COUNTIFS(Saisie!P:P,"*Autre SOCIAL*",Saisie!C:C,"*Nordine*")</f>
        <v>0</v>
      </c>
      <c r="F25" s="46"/>
      <c r="G25" s="45" t="s">
        <v>83</v>
      </c>
      <c r="H25" s="64">
        <f>COUNTIFS(Saisie!P:P,"*Autre SOCIAL*",Saisie!C:C,"*Fabienne*")</f>
        <v>0</v>
      </c>
      <c r="J25" s="46"/>
      <c r="K25" s="45" t="s">
        <v>83</v>
      </c>
      <c r="L25" s="64">
        <f>COUNTIFS(Saisie!P:P,"*Autre SOCIAL*",Saisie!C:C,"*Patricia*")</f>
        <v>0</v>
      </c>
      <c r="N25" s="46"/>
      <c r="O25" s="45" t="s">
        <v>83</v>
      </c>
      <c r="P25" s="64">
        <f>COUNTIFS(Saisie!P:P,"*Autre SOCIAL*",Saisie!C:C,"*Christelle*")</f>
        <v>0</v>
      </c>
    </row>
    <row r="26" spans="1:16" ht="23.4" x14ac:dyDescent="0.45">
      <c r="A26" s="69">
        <f>D26+H26+L26+P26</f>
        <v>2</v>
      </c>
      <c r="B26" s="46"/>
      <c r="C26" s="47" t="s">
        <v>93</v>
      </c>
      <c r="D26" s="65">
        <f>SUM(D21:D25)</f>
        <v>0</v>
      </c>
      <c r="F26" s="46"/>
      <c r="G26" s="47" t="s">
        <v>93</v>
      </c>
      <c r="H26" s="65">
        <f>SUM(H21:H25)</f>
        <v>2</v>
      </c>
      <c r="J26" s="46"/>
      <c r="K26" s="47" t="s">
        <v>93</v>
      </c>
      <c r="L26" s="65">
        <f>SUM(L21:L25)</f>
        <v>0</v>
      </c>
      <c r="N26" s="46"/>
      <c r="O26" s="47" t="s">
        <v>93</v>
      </c>
      <c r="P26" s="65">
        <f>SUM(P21:P25)</f>
        <v>0</v>
      </c>
    </row>
    <row r="27" spans="1:16" x14ac:dyDescent="0.3">
      <c r="B27" s="48" t="s">
        <v>2</v>
      </c>
      <c r="C27" s="49" t="s">
        <v>6</v>
      </c>
      <c r="D27" s="66">
        <f>COUNTIFS(Saisie!P:P,"*Ecoute*",Saisie!C:C,"*Nordine*")</f>
        <v>1</v>
      </c>
      <c r="F27" s="48" t="s">
        <v>2</v>
      </c>
      <c r="G27" s="49" t="s">
        <v>6</v>
      </c>
      <c r="H27" s="66">
        <f>COUNTIFS(Saisie!P:P,"*Ecoute*",Saisie!C:C,"*Fabienne*")</f>
        <v>1</v>
      </c>
      <c r="J27" s="48" t="s">
        <v>2</v>
      </c>
      <c r="K27" s="49" t="s">
        <v>6</v>
      </c>
      <c r="L27" s="66">
        <f>COUNTIFS(Saisie!P:P,"*Ecoute*",Saisie!C:C,"*Patricia*")</f>
        <v>0</v>
      </c>
      <c r="N27" s="48" t="s">
        <v>2</v>
      </c>
      <c r="O27" s="49" t="s">
        <v>6</v>
      </c>
      <c r="P27" s="66">
        <f>COUNTIFS(Saisie!P:P,"*Ecoute*",Saisie!C:C,"*Christelle*")</f>
        <v>1</v>
      </c>
    </row>
    <row r="28" spans="1:16" x14ac:dyDescent="0.3">
      <c r="B28" s="51"/>
      <c r="C28" s="49" t="s">
        <v>9</v>
      </c>
      <c r="D28" s="66">
        <f>COUNTIFS(Saisie!P:P,"*Informations, Explications*",Saisie!C:C,"*Nordine*")</f>
        <v>1</v>
      </c>
      <c r="F28" s="51"/>
      <c r="G28" s="49" t="s">
        <v>9</v>
      </c>
      <c r="H28" s="66">
        <f>COUNTIFS(Saisie!P:P,"*Informations, Explications*",Saisie!C:C,"*Fabienne*")</f>
        <v>0</v>
      </c>
      <c r="J28" s="51"/>
      <c r="K28" s="49" t="s">
        <v>9</v>
      </c>
      <c r="L28" s="66">
        <f>COUNTIFS(Saisie!P:P,"*Informations, Explications*",Saisie!C:C,"*Patricia*")</f>
        <v>0</v>
      </c>
      <c r="N28" s="51"/>
      <c r="O28" s="49" t="s">
        <v>9</v>
      </c>
      <c r="P28" s="66">
        <f>COUNTIFS(Saisie!P:P,"*Informations, Explications*",Saisie!C:C,"*Christelle*")</f>
        <v>1</v>
      </c>
    </row>
    <row r="29" spans="1:16" x14ac:dyDescent="0.3">
      <c r="B29" s="51"/>
      <c r="C29" s="49" t="s">
        <v>13</v>
      </c>
      <c r="D29" s="66">
        <f>COUNTIFS(Saisie!P:P,"*Envoi/remise documentation (listing …)*",Saisie!C:C,"*Nordine*")</f>
        <v>1</v>
      </c>
      <c r="F29" s="51"/>
      <c r="G29" s="49" t="s">
        <v>13</v>
      </c>
      <c r="H29" s="66">
        <f>COUNTIFS(Saisie!P:P,"*Envoi/remise documentation (listing …)*",Saisie!C:C,"*Fabienne*")</f>
        <v>1</v>
      </c>
      <c r="J29" s="51"/>
      <c r="K29" s="49" t="s">
        <v>13</v>
      </c>
      <c r="L29" s="66">
        <f>COUNTIFS(Saisie!P:P,"*Envoi/remise documentation (listing …)*",Saisie!C:C,"*Patricia*")</f>
        <v>0</v>
      </c>
      <c r="N29" s="51"/>
      <c r="O29" s="49" t="s">
        <v>13</v>
      </c>
      <c r="P29" s="66">
        <f>COUNTIFS(Saisie!P:P,"*Envoi/remise documentation (listing …)*",Saisie!C:C,"*Christelle*")</f>
        <v>1</v>
      </c>
    </row>
    <row r="30" spans="1:16" x14ac:dyDescent="0.3">
      <c r="B30" s="51"/>
      <c r="C30" s="49" t="s">
        <v>90</v>
      </c>
      <c r="D30" s="66">
        <f>COUNTIFS(Saisie!P:P,"*Envoi/remise formulaire*",Saisie!C:C,"*Nordine*")</f>
        <v>1</v>
      </c>
      <c r="F30" s="51"/>
      <c r="G30" s="49" t="s">
        <v>90</v>
      </c>
      <c r="H30" s="66">
        <f>COUNTIFS(Saisie!P:P,"*Envoi/remise formulaire*",Saisie!C:C,"*Fabienne*")</f>
        <v>0</v>
      </c>
      <c r="J30" s="51"/>
      <c r="K30" s="49" t="s">
        <v>90</v>
      </c>
      <c r="L30" s="66">
        <f>COUNTIFS(Saisie!U:U,"*Envoi/remise formulaire*",Saisie!G:G,"*Fabienne*")</f>
        <v>0</v>
      </c>
      <c r="N30" s="51"/>
      <c r="O30" s="49" t="s">
        <v>90</v>
      </c>
      <c r="P30" s="66">
        <f>COUNTIFS(Saisie!P:P,"*Envoi/remise formulaire*",Saisie!C:C,"*Christelle*")</f>
        <v>2</v>
      </c>
    </row>
    <row r="31" spans="1:16" x14ac:dyDescent="0.3">
      <c r="B31" s="51"/>
      <c r="C31" s="50" t="s">
        <v>19</v>
      </c>
      <c r="D31" s="66">
        <f>COUNTIFS(Saisie!P:P,"*Aide à la complétude*",Saisie!C:C,"*Nordine*")</f>
        <v>0</v>
      </c>
      <c r="F31" s="51"/>
      <c r="G31" s="50" t="s">
        <v>19</v>
      </c>
      <c r="H31" s="66">
        <f>COUNTIFS(Saisie!P:P,"*Aide à la complétude*",Saisie!C:C,"*Fabienne*")</f>
        <v>0</v>
      </c>
      <c r="J31" s="51"/>
      <c r="K31" s="50" t="s">
        <v>19</v>
      </c>
      <c r="L31" s="66">
        <f>COUNTIFS(Saisie!P:P,"*Aide à la complétude*",Saisie!C:C,"*Patricia*")</f>
        <v>0</v>
      </c>
      <c r="N31" s="51"/>
      <c r="O31" s="50" t="s">
        <v>19</v>
      </c>
      <c r="P31" s="66">
        <f>COUNTIFS(Saisie!P:P,"*Aide à la complétude*",Saisie!C:C,"*Christelle*")</f>
        <v>1</v>
      </c>
    </row>
    <row r="32" spans="1:16" x14ac:dyDescent="0.3">
      <c r="B32" s="51"/>
      <c r="C32" s="49" t="s">
        <v>22</v>
      </c>
      <c r="D32" s="66">
        <f>COUNTIFS(Saisie!P:P,"*Réorientation vers partenaires*",Saisie!C:C,"*Nordine*")</f>
        <v>0</v>
      </c>
      <c r="F32" s="51"/>
      <c r="G32" s="49" t="s">
        <v>22</v>
      </c>
      <c r="H32" s="66">
        <f>COUNTIFS(Saisie!P:P,"*Réorientation vers partenaires*",Saisie!C:C,"*Fabienne*")</f>
        <v>0</v>
      </c>
      <c r="J32" s="51"/>
      <c r="K32" s="49" t="s">
        <v>22</v>
      </c>
      <c r="L32" s="66">
        <f>COUNTIFS(Saisie!P:P,"*Réorientation vers partenaires*",Saisie!C:C,"*Patricia*")</f>
        <v>0</v>
      </c>
      <c r="N32" s="51"/>
      <c r="O32" s="49" t="s">
        <v>22</v>
      </c>
      <c r="P32" s="66">
        <f>COUNTIFS(Saisie!P:P,"*Réorientation vers partenaires*",Saisie!C:C,"*Christelle*")</f>
        <v>0</v>
      </c>
    </row>
    <row r="33" spans="1:16" x14ac:dyDescent="0.3">
      <c r="B33" s="51"/>
      <c r="C33" s="49" t="s">
        <v>23</v>
      </c>
      <c r="D33" s="66">
        <f>COUNTIFS(Saisie!P:P,"*Signalement*",Saisie!C:C,"*Nordine*")</f>
        <v>0</v>
      </c>
      <c r="F33" s="51"/>
      <c r="G33" s="49" t="s">
        <v>23</v>
      </c>
      <c r="H33" s="66">
        <f>COUNTIFS(Saisie!P:P,"*Signalement*",Saisie!C:C,"*Fabienne*")</f>
        <v>0</v>
      </c>
      <c r="J33" s="51"/>
      <c r="K33" s="49" t="s">
        <v>23</v>
      </c>
      <c r="L33" s="66">
        <f>COUNTIFS(Saisie!P:P,"*Signalement*",Saisie!C:C,"*Patricia*")</f>
        <v>0</v>
      </c>
      <c r="N33" s="51"/>
      <c r="O33" s="49" t="s">
        <v>23</v>
      </c>
      <c r="P33" s="66">
        <f>COUNTIFS(Saisie!P:P,"*Signalement*",Saisie!C:C,"*Christelle*")</f>
        <v>0</v>
      </c>
    </row>
    <row r="34" spans="1:16" x14ac:dyDescent="0.3">
      <c r="B34" s="51"/>
      <c r="C34" s="49" t="s">
        <v>25</v>
      </c>
      <c r="D34" s="66">
        <f>COUNTIFS(Saisie!P:P,"*Consultation IODAS*",Saisie!C:C,"*Nordine*")</f>
        <v>1</v>
      </c>
      <c r="F34" s="51"/>
      <c r="G34" s="49" t="s">
        <v>25</v>
      </c>
      <c r="H34" s="66">
        <f>COUNTIFS(Saisie!P:P,"*Consultation IODAS*",Saisie!C:C,"*Fabienne*")</f>
        <v>0</v>
      </c>
      <c r="J34" s="51"/>
      <c r="K34" s="49" t="s">
        <v>25</v>
      </c>
      <c r="L34" s="66">
        <f>COUNTIFS(Saisie!P:P,"*Consultation IODAS*",Saisie!C:C,"*Patricia*")</f>
        <v>0</v>
      </c>
      <c r="N34" s="51"/>
      <c r="O34" s="49" t="s">
        <v>25</v>
      </c>
      <c r="P34" s="66">
        <f>COUNTIFS(Saisie!P:P,"*Consultation IODAS*",Saisie!C:C,"*Christelle*")</f>
        <v>0</v>
      </c>
    </row>
    <row r="35" spans="1:16" x14ac:dyDescent="0.3">
      <c r="B35" s="51"/>
      <c r="C35" s="49" t="s">
        <v>91</v>
      </c>
      <c r="D35" s="66">
        <f>COUNTIFS(Saisie!P:P,"*Mail ou prise de RDV MDPH*",Saisie!C:C,"*Nordine*")</f>
        <v>2</v>
      </c>
      <c r="F35" s="51"/>
      <c r="G35" s="49" t="s">
        <v>91</v>
      </c>
      <c r="H35" s="66">
        <f>COUNTIFS(Saisie!P:P,"*Mail ou prise de RDV MDPH*",Saisie!C:C,"*Fabienne*")</f>
        <v>0</v>
      </c>
      <c r="J35" s="51"/>
      <c r="K35" s="49" t="s">
        <v>91</v>
      </c>
      <c r="L35" s="66">
        <f>COUNTIFS(Saisie!P:P,"*Mail ou prise de RDV MDPH*",Saisie!C:C,"*Patricia*")</f>
        <v>0</v>
      </c>
      <c r="N35" s="51"/>
      <c r="O35" s="49" t="s">
        <v>91</v>
      </c>
      <c r="P35" s="66">
        <f>COUNTIFS(Saisie!P:P,"*Mail ou prise de RDV MDPH*",Saisie!C:C,"*Christelle*")</f>
        <v>0</v>
      </c>
    </row>
    <row r="36" spans="1:16" x14ac:dyDescent="0.3">
      <c r="B36" s="51"/>
      <c r="C36" s="50" t="s">
        <v>92</v>
      </c>
      <c r="D36" s="66">
        <f>COUNTIFS(Saisie!P:P,"*Mise à disposition du service*",Saisie!C:C,"*Nordine*")</f>
        <v>0</v>
      </c>
      <c r="F36" s="51"/>
      <c r="G36" s="50" t="s">
        <v>92</v>
      </c>
      <c r="H36" s="66">
        <f>COUNTIFS(Saisie!P:P,"*Mise à disposition du service*",Saisie!C:C,"*Fabienne*")</f>
        <v>0</v>
      </c>
      <c r="J36" s="51"/>
      <c r="K36" s="50" t="s">
        <v>92</v>
      </c>
      <c r="L36" s="66">
        <f>COUNTIFS(Saisie!P:P,"*Mise à disposition du service*",Saisie!C:C,"*Patricia*")</f>
        <v>0</v>
      </c>
      <c r="N36" s="51"/>
      <c r="O36" s="50" t="s">
        <v>92</v>
      </c>
      <c r="P36" s="66">
        <f>COUNTIFS(Saisie!P:P,"*Mise à disposition du service*",Saisie!C:C,"*Christelle*")</f>
        <v>0</v>
      </c>
    </row>
    <row r="37" spans="1:16" ht="28.8" x14ac:dyDescent="0.3">
      <c r="A37" s="70" t="s">
        <v>167</v>
      </c>
      <c r="B37" s="51"/>
      <c r="C37" s="49" t="s">
        <v>82</v>
      </c>
      <c r="D37" s="66">
        <f>COUNTIFS(Saisie!P:P,"*Autre PA_PH*",Saisie!C:C,"*Nordine*")</f>
        <v>0</v>
      </c>
      <c r="F37" s="51"/>
      <c r="G37" s="49" t="s">
        <v>82</v>
      </c>
      <c r="H37" s="66">
        <f>COUNTIFS(Saisie!P:P,"*Autre PA_PH*",Saisie!C:C,"*Fabienne*")</f>
        <v>0</v>
      </c>
      <c r="J37" s="51"/>
      <c r="K37" s="49" t="s">
        <v>82</v>
      </c>
      <c r="L37" s="66">
        <f>COUNTIFS(Saisie!P:P,"*Autre PA_PH*",Saisie!C:C,"*Patricia*")</f>
        <v>0</v>
      </c>
      <c r="N37" s="51"/>
      <c r="O37" s="49" t="s">
        <v>82</v>
      </c>
      <c r="P37" s="66" t="e">
        <f>COUNTIFS(Saisie!#REF!,"*Autre PA_PH*",Saisie!#REF!,"*Fabienne*")</f>
        <v>#REF!</v>
      </c>
    </row>
    <row r="38" spans="1:16" ht="23.4" x14ac:dyDescent="0.45">
      <c r="A38" s="69" t="e">
        <f>D38+H38+L38+P38</f>
        <v>#REF!</v>
      </c>
      <c r="B38" s="51"/>
      <c r="C38" s="52" t="s">
        <v>93</v>
      </c>
      <c r="D38" s="67">
        <f>SUM(D27:D37)</f>
        <v>7</v>
      </c>
      <c r="F38" s="51"/>
      <c r="G38" s="52" t="s">
        <v>93</v>
      </c>
      <c r="H38" s="67">
        <f>SUM(H27:H37)</f>
        <v>2</v>
      </c>
      <c r="J38" s="51"/>
      <c r="K38" s="52" t="s">
        <v>93</v>
      </c>
      <c r="L38" s="67">
        <f>SUM(L27:L37)</f>
        <v>0</v>
      </c>
      <c r="N38" s="51"/>
      <c r="O38" s="52" t="s">
        <v>93</v>
      </c>
      <c r="P38" s="67" t="e">
        <f>SUM(P27:P37)</f>
        <v>#REF!</v>
      </c>
    </row>
    <row r="41" spans="1:16" x14ac:dyDescent="0.3">
      <c r="C41" s="20" t="s">
        <v>157</v>
      </c>
      <c r="D41" s="68">
        <f>D38+D26+D20+D12</f>
        <v>11</v>
      </c>
      <c r="G41" s="20" t="s">
        <v>157</v>
      </c>
      <c r="H41" s="68">
        <f>H38+H26+H20+H12</f>
        <v>7</v>
      </c>
      <c r="K41" t="s">
        <v>157</v>
      </c>
      <c r="L41">
        <f>L38+L26+L20+L12</f>
        <v>2</v>
      </c>
      <c r="O41" s="56" t="s">
        <v>157</v>
      </c>
      <c r="P41" t="e">
        <f>P38+P26+P20+P12</f>
        <v>#REF!</v>
      </c>
    </row>
    <row r="45" spans="1:16" x14ac:dyDescent="0.3">
      <c r="B45" s="54" t="s">
        <v>147</v>
      </c>
      <c r="C45" s="57" t="s">
        <v>148</v>
      </c>
      <c r="D45"/>
      <c r="F45" s="54" t="s">
        <v>153</v>
      </c>
      <c r="G45" s="54" t="s">
        <v>154</v>
      </c>
      <c r="K45" s="56"/>
    </row>
    <row r="46" spans="1:16" x14ac:dyDescent="0.3">
      <c r="B46" s="55" t="s">
        <v>50</v>
      </c>
      <c r="C46" s="57">
        <v>2</v>
      </c>
      <c r="D46"/>
      <c r="G46" t="s">
        <v>149</v>
      </c>
      <c r="H46" t="s">
        <v>150</v>
      </c>
      <c r="I46" t="s">
        <v>151</v>
      </c>
      <c r="J46" t="s">
        <v>152</v>
      </c>
      <c r="K46" s="56" t="s">
        <v>146</v>
      </c>
    </row>
    <row r="47" spans="1:16" x14ac:dyDescent="0.3">
      <c r="B47" s="55" t="s">
        <v>28</v>
      </c>
      <c r="C47" s="57">
        <v>5</v>
      </c>
      <c r="D47"/>
      <c r="K47" s="56"/>
    </row>
    <row r="48" spans="1:16" x14ac:dyDescent="0.3">
      <c r="B48" s="55" t="s">
        <v>34</v>
      </c>
      <c r="C48" s="57">
        <v>5</v>
      </c>
      <c r="D48"/>
      <c r="F48" s="54" t="s">
        <v>147</v>
      </c>
      <c r="K48" s="56"/>
    </row>
    <row r="49" spans="2:11" x14ac:dyDescent="0.3">
      <c r="B49" s="55" t="s">
        <v>40</v>
      </c>
      <c r="C49" s="57">
        <v>4</v>
      </c>
      <c r="D49"/>
      <c r="F49" s="55" t="s">
        <v>50</v>
      </c>
      <c r="J49">
        <v>2</v>
      </c>
      <c r="K49" s="56">
        <v>2</v>
      </c>
    </row>
    <row r="50" spans="2:11" x14ac:dyDescent="0.3">
      <c r="B50" s="55" t="s">
        <v>44</v>
      </c>
      <c r="C50" s="57">
        <v>3</v>
      </c>
      <c r="D50"/>
      <c r="F50" s="55" t="s">
        <v>28</v>
      </c>
      <c r="H50">
        <v>3</v>
      </c>
      <c r="I50">
        <v>1</v>
      </c>
      <c r="J50">
        <v>1</v>
      </c>
      <c r="K50" s="56">
        <v>5</v>
      </c>
    </row>
    <row r="51" spans="2:11" x14ac:dyDescent="0.3">
      <c r="B51" s="55" t="s">
        <v>146</v>
      </c>
      <c r="C51" s="57">
        <v>19</v>
      </c>
      <c r="D51"/>
      <c r="F51" s="55" t="s">
        <v>34</v>
      </c>
      <c r="H51">
        <v>1</v>
      </c>
      <c r="I51">
        <v>1</v>
      </c>
      <c r="J51">
        <v>3</v>
      </c>
      <c r="K51" s="56">
        <v>5</v>
      </c>
    </row>
    <row r="52" spans="2:11" x14ac:dyDescent="0.3">
      <c r="F52" s="55" t="s">
        <v>40</v>
      </c>
      <c r="H52">
        <v>1</v>
      </c>
      <c r="I52">
        <v>3</v>
      </c>
      <c r="K52" s="56">
        <v>4</v>
      </c>
    </row>
    <row r="53" spans="2:11" x14ac:dyDescent="0.3">
      <c r="F53" s="55" t="s">
        <v>44</v>
      </c>
      <c r="G53">
        <v>1</v>
      </c>
      <c r="H53">
        <v>1</v>
      </c>
      <c r="J53">
        <v>1</v>
      </c>
      <c r="K53" s="56">
        <v>3</v>
      </c>
    </row>
    <row r="54" spans="2:11" x14ac:dyDescent="0.3">
      <c r="F54" s="55" t="s">
        <v>146</v>
      </c>
      <c r="G54">
        <v>1</v>
      </c>
      <c r="H54">
        <v>6</v>
      </c>
      <c r="I54">
        <v>5</v>
      </c>
      <c r="J54">
        <v>7</v>
      </c>
      <c r="K54" s="56">
        <v>19</v>
      </c>
    </row>
    <row r="56" spans="2:11" x14ac:dyDescent="0.3">
      <c r="G56" s="54" t="s">
        <v>156</v>
      </c>
      <c r="H56" s="58" t="s">
        <v>155</v>
      </c>
    </row>
    <row r="57" spans="2:11" x14ac:dyDescent="0.3">
      <c r="G57" s="54" t="s">
        <v>147</v>
      </c>
      <c r="H57" t="s">
        <v>35</v>
      </c>
      <c r="I57" t="s">
        <v>29</v>
      </c>
      <c r="J57" t="s">
        <v>41</v>
      </c>
      <c r="K57" s="57" t="s">
        <v>146</v>
      </c>
    </row>
    <row r="58" spans="2:11" x14ac:dyDescent="0.3">
      <c r="G58" s="55" t="s">
        <v>30</v>
      </c>
      <c r="I58">
        <v>1</v>
      </c>
      <c r="J58">
        <v>1</v>
      </c>
      <c r="K58" s="57">
        <v>2</v>
      </c>
    </row>
    <row r="59" spans="2:11" x14ac:dyDescent="0.3">
      <c r="G59" s="55" t="s">
        <v>48</v>
      </c>
      <c r="H59">
        <v>2</v>
      </c>
      <c r="K59" s="57">
        <v>2</v>
      </c>
    </row>
    <row r="60" spans="2:11" x14ac:dyDescent="0.3">
      <c r="G60" s="55" t="s">
        <v>51</v>
      </c>
      <c r="H60">
        <v>1</v>
      </c>
      <c r="K60" s="57">
        <v>1</v>
      </c>
    </row>
    <row r="61" spans="2:11" x14ac:dyDescent="0.3">
      <c r="G61" s="55" t="s">
        <v>45</v>
      </c>
      <c r="I61">
        <v>1</v>
      </c>
      <c r="K61" s="57">
        <v>1</v>
      </c>
    </row>
    <row r="62" spans="2:11" x14ac:dyDescent="0.3">
      <c r="G62" s="55" t="s">
        <v>42</v>
      </c>
      <c r="H62">
        <v>4</v>
      </c>
      <c r="I62">
        <v>5</v>
      </c>
      <c r="J62">
        <v>1</v>
      </c>
      <c r="K62" s="57">
        <v>10</v>
      </c>
    </row>
    <row r="63" spans="2:11" x14ac:dyDescent="0.3">
      <c r="G63" s="55" t="s">
        <v>36</v>
      </c>
      <c r="H63">
        <v>1</v>
      </c>
      <c r="I63">
        <v>2</v>
      </c>
      <c r="K63" s="57">
        <v>3</v>
      </c>
    </row>
    <row r="64" spans="2:11" x14ac:dyDescent="0.3">
      <c r="G64" s="55" t="s">
        <v>146</v>
      </c>
      <c r="H64">
        <v>8</v>
      </c>
      <c r="I64">
        <v>9</v>
      </c>
      <c r="J64">
        <v>2</v>
      </c>
      <c r="K64" s="57">
        <v>19</v>
      </c>
    </row>
  </sheetData>
  <mergeCells count="4">
    <mergeCell ref="B1:D1"/>
    <mergeCell ref="F1:H1"/>
    <mergeCell ref="J1:L1"/>
    <mergeCell ref="N1:P1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ED4B9BED2B17545BADD61E66908A1D7" ma:contentTypeVersion="10" ma:contentTypeDescription="Crée un document." ma:contentTypeScope="" ma:versionID="359bbf01476e492e1aaf42d453c39c8c">
  <xsd:schema xmlns:xsd="http://www.w3.org/2001/XMLSchema" xmlns:xs="http://www.w3.org/2001/XMLSchema" xmlns:p="http://schemas.microsoft.com/office/2006/metadata/properties" xmlns:ns2="0ab54e14-4f01-45cc-8ca0-b87eadd13abc" xmlns:ns3="8bc0dc42-fc8b-4925-8276-50413ded98f8" targetNamespace="http://schemas.microsoft.com/office/2006/metadata/properties" ma:root="true" ma:fieldsID="78193b29ca1d00027224935dd372b075" ns2:_="" ns3:_="">
    <xsd:import namespace="0ab54e14-4f01-45cc-8ca0-b87eadd13abc"/>
    <xsd:import namespace="8bc0dc42-fc8b-4925-8276-50413ded98f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SearchProperties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ab54e14-4f01-45cc-8ca0-b87eadd13ab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1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bc0dc42-fc8b-4925-8276-50413ded98f8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65B4C5B-BAD4-40FA-AD0C-D83811E3D20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ab54e14-4f01-45cc-8ca0-b87eadd13abc"/>
    <ds:schemaRef ds:uri="8bc0dc42-fc8b-4925-8276-50413ded98f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03602D0-6C2D-45D8-8A45-369DAA3EC639}">
  <ds:schemaRefs>
    <ds:schemaRef ds:uri="http://purl.org/dc/dcmitype/"/>
    <ds:schemaRef ds:uri="http://schemas.microsoft.com/office/2006/metadata/properties"/>
    <ds:schemaRef ds:uri="0ab54e14-4f01-45cc-8ca0-b87eadd13abc"/>
    <ds:schemaRef ds:uri="8bc0dc42-fc8b-4925-8276-50413ded98f8"/>
    <ds:schemaRef ds:uri="http://schemas.microsoft.com/office/infopath/2007/PartnerControls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http://www.w3.org/XML/1998/namespace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765EE86B-2120-4DE1-95BF-6942F44C8E2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17</vt:i4>
      </vt:variant>
    </vt:vector>
  </HeadingPairs>
  <TitlesOfParts>
    <vt:vector size="20" baseType="lpstr">
      <vt:lpstr>Listes</vt:lpstr>
      <vt:lpstr>Saisie</vt:lpstr>
      <vt:lpstr>Feuil1</vt:lpstr>
      <vt:lpstr>AGENTS</vt:lpstr>
      <vt:lpstr>AIDE_SOCIALE_ASG_OA_SASPA</vt:lpstr>
      <vt:lpstr>ASS._DE_COORD</vt:lpstr>
      <vt:lpstr>CATEGORIE</vt:lpstr>
      <vt:lpstr>Couleur_cellule</vt:lpstr>
      <vt:lpstr>Couleur_ligne_entière</vt:lpstr>
      <vt:lpstr>DETAIL_PA_PH</vt:lpstr>
      <vt:lpstr>FRONT_BACK</vt:lpstr>
      <vt:lpstr>Listes</vt:lpstr>
      <vt:lpstr>MATIN_APM</vt:lpstr>
      <vt:lpstr>Origine</vt:lpstr>
      <vt:lpstr>OUI_NON</vt:lpstr>
      <vt:lpstr>PA_PH</vt:lpstr>
      <vt:lpstr>Reception</vt:lpstr>
      <vt:lpstr>SAISIE_IODAS</vt:lpstr>
      <vt:lpstr>Si_ASS_de_COORD</vt:lpstr>
      <vt:lpstr>SOCIAL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MOURON  SABRINA</dc:creator>
  <cp:lastModifiedBy>MOURON  SABRINA</cp:lastModifiedBy>
  <dcterms:created xsi:type="dcterms:W3CDTF">2024-06-20T13:10:54Z</dcterms:created>
  <dcterms:modified xsi:type="dcterms:W3CDTF">2024-08-12T08:39:19Z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0x0101002ED4B9BED2B17545BADD61E66908A1D7</vt:lpwstr>
  </property>
</Properties>
</file>