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1.xml" ContentType="application/vnd.openxmlformats-officedocument.drawing+xml"/>
  <Override PartName="/xl/activeX/activeX1.xml" ContentType="application/vnd.ms-office.activeX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smouron.MAIRIE-LILLE\Desktop\"/>
    </mc:Choice>
  </mc:AlternateContent>
  <xr:revisionPtr revIDLastSave="0" documentId="13_ncr:1_{A6AE9140-51F9-4CC3-9482-2A84F7C0D0D7}" xr6:coauthVersionLast="47" xr6:coauthVersionMax="47" xr10:uidLastSave="{00000000-0000-0000-0000-000000000000}"/>
  <bookViews>
    <workbookView xWindow="-24120" yWindow="-120" windowWidth="24240" windowHeight="13290" xr2:uid="{53840E12-60D7-46E6-9F42-533CA787D4D2}"/>
  </bookViews>
  <sheets>
    <sheet name="Listes" sheetId="1" r:id="rId1"/>
    <sheet name="Feuil2" sheetId="2" r:id="rId2"/>
    <sheet name="Feuil1" sheetId="3" r:id="rId3"/>
  </sheets>
  <functionGroups builtInGroupCount="19"/>
  <definedNames>
    <definedName name="_xlnm._FilterDatabase" localSheetId="1" hidden="1">Feuil2!$A$1:$AA$32</definedName>
    <definedName name="AGENTS">Listes!$J$3:$J$7</definedName>
    <definedName name="AIDE_SOCIALE_ASG_OA_SASPA">Listes!$R$3:$R$9</definedName>
    <definedName name="ASS._DE_COORD">Listes!$Q$3:$Q$12</definedName>
    <definedName name="CATEGORIE">Listes!$P$3:$P$6</definedName>
    <definedName name="FRONT_BACK">Listes!$K$3:$K$5</definedName>
    <definedName name="Listes">Listes!$J$2:$T$2</definedName>
    <definedName name="Origine">Listes!$M$3:$M$9</definedName>
    <definedName name="PA_PH">Listes!$T$3:$T$13</definedName>
    <definedName name="Reception">Listes!$L$3:$L$9</definedName>
    <definedName name="SAISIE_IODAS">Listes!$O$3:$O$4</definedName>
    <definedName name="Si_ASS_de_COORD">Listes!$V$3:$V$14</definedName>
    <definedName name="SOCIAL">Listes!$S$3:$S$7</definedName>
    <definedName name="VRAI_FAUX">Listes!$N$3:$N$4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36" i="3" l="1"/>
  <c r="P35" i="3"/>
  <c r="P34" i="3"/>
  <c r="P33" i="3"/>
  <c r="P32" i="3"/>
  <c r="P31" i="3"/>
  <c r="P30" i="3"/>
  <c r="P29" i="3"/>
  <c r="P28" i="3"/>
  <c r="P27" i="3"/>
  <c r="P25" i="3"/>
  <c r="P24" i="3"/>
  <c r="P23" i="3"/>
  <c r="P22" i="3"/>
  <c r="P21" i="3"/>
  <c r="P19" i="3"/>
  <c r="P18" i="3"/>
  <c r="P16" i="3"/>
  <c r="P15" i="3"/>
  <c r="P14" i="3"/>
  <c r="P13" i="3"/>
  <c r="P11" i="3"/>
  <c r="P10" i="3"/>
  <c r="P9" i="3"/>
  <c r="P8" i="3"/>
  <c r="P7" i="3"/>
  <c r="P6" i="3"/>
  <c r="P5" i="3"/>
  <c r="P3" i="3"/>
  <c r="P2" i="3"/>
  <c r="L37" i="3"/>
  <c r="L36" i="3"/>
  <c r="L35" i="3"/>
  <c r="L34" i="3"/>
  <c r="L33" i="3"/>
  <c r="L32" i="3"/>
  <c r="L31" i="3"/>
  <c r="L29" i="3"/>
  <c r="L28" i="3"/>
  <c r="L27" i="3"/>
  <c r="H24" i="3"/>
  <c r="L25" i="3"/>
  <c r="L24" i="3"/>
  <c r="L23" i="3"/>
  <c r="L22" i="3"/>
  <c r="L21" i="3"/>
  <c r="L19" i="3"/>
  <c r="L18" i="3"/>
  <c r="L17" i="3"/>
  <c r="L16" i="3"/>
  <c r="L15" i="3"/>
  <c r="L14" i="3"/>
  <c r="L13" i="3"/>
  <c r="L11" i="3"/>
  <c r="L10" i="3"/>
  <c r="L9" i="3"/>
  <c r="L8" i="3"/>
  <c r="L7" i="3"/>
  <c r="L6" i="3"/>
  <c r="L5" i="3"/>
  <c r="L4" i="3"/>
  <c r="L3" i="3"/>
  <c r="L2" i="3"/>
  <c r="P37" i="3"/>
  <c r="P17" i="3"/>
  <c r="P4" i="3"/>
  <c r="L30" i="3"/>
  <c r="H37" i="3"/>
  <c r="H36" i="3"/>
  <c r="H35" i="3"/>
  <c r="H34" i="3"/>
  <c r="H33" i="3"/>
  <c r="H32" i="3"/>
  <c r="H31" i="3"/>
  <c r="H30" i="3"/>
  <c r="H29" i="3"/>
  <c r="H28" i="3"/>
  <c r="H27" i="3"/>
  <c r="H25" i="3"/>
  <c r="D24" i="3"/>
  <c r="H23" i="3"/>
  <c r="H22" i="3"/>
  <c r="H21" i="3"/>
  <c r="H19" i="3"/>
  <c r="H18" i="3"/>
  <c r="H17" i="3"/>
  <c r="H16" i="3"/>
  <c r="H15" i="3"/>
  <c r="H14" i="3"/>
  <c r="H13" i="3"/>
  <c r="H11" i="3"/>
  <c r="H10" i="3"/>
  <c r="H9" i="3"/>
  <c r="H8" i="3"/>
  <c r="H7" i="3"/>
  <c r="H6" i="3"/>
  <c r="H5" i="3"/>
  <c r="H4" i="3"/>
  <c r="H3" i="3"/>
  <c r="H2" i="3"/>
  <c r="D37" i="3"/>
  <c r="D36" i="3"/>
  <c r="D35" i="3"/>
  <c r="D34" i="3"/>
  <c r="D33" i="3"/>
  <c r="D32" i="3"/>
  <c r="D31" i="3"/>
  <c r="D30" i="3"/>
  <c r="D29" i="3"/>
  <c r="D28" i="3"/>
  <c r="D27" i="3"/>
  <c r="D25" i="3"/>
  <c r="D23" i="3"/>
  <c r="D22" i="3"/>
  <c r="D21" i="3"/>
  <c r="D19" i="3"/>
  <c r="D18" i="3"/>
  <c r="D17" i="3"/>
  <c r="D16" i="3"/>
  <c r="D15" i="3"/>
  <c r="D14" i="3"/>
  <c r="D13" i="3"/>
  <c r="D11" i="3"/>
  <c r="D10" i="3"/>
  <c r="D9" i="3"/>
  <c r="D8" i="3"/>
  <c r="D7" i="3"/>
  <c r="D6" i="3"/>
  <c r="D5" i="3"/>
  <c r="D4" i="3"/>
  <c r="D3" i="3"/>
  <c r="D2" i="3"/>
  <c r="P38" i="3" l="1"/>
  <c r="P20" i="3"/>
  <c r="P12" i="3"/>
  <c r="L38" i="3"/>
  <c r="L20" i="3"/>
  <c r="L12" i="3"/>
  <c r="L26" i="3"/>
  <c r="P26" i="3"/>
  <c r="H38" i="3"/>
  <c r="H26" i="3"/>
  <c r="H20" i="3"/>
  <c r="H12" i="3"/>
  <c r="P41" i="3" l="1"/>
  <c r="L41" i="3"/>
  <c r="H41" i="3"/>
  <c r="D38" i="3"/>
  <c r="A38" i="3" s="1"/>
  <c r="D20" i="3"/>
  <c r="A20" i="3" s="1"/>
  <c r="D12" i="3"/>
  <c r="A12" i="3" s="1"/>
  <c r="D26" i="3"/>
  <c r="A26" i="3" s="1"/>
  <c r="D41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  <author>tc={C974E25E-7D43-4182-AEA2-1FA046B70E08}</author>
  </authors>
  <commentList>
    <comment ref="C2" authorId="0" shapeId="0" xr:uid="{5B98A885-F5DF-4D5B-AAF4-B3C3199434DD}">
      <text>
        <r>
          <rPr>
            <b/>
            <sz val="9"/>
            <color indexed="81"/>
            <rFont val="Tahoma"/>
            <family val="2"/>
          </rPr>
          <t xml:space="preserve">Accepté :
</t>
        </r>
        <r>
          <rPr>
            <sz val="9"/>
            <color indexed="81"/>
            <rFont val="Tahoma"/>
            <family val="2"/>
          </rPr>
          <t>ListBox</t>
        </r>
      </text>
    </comment>
    <comment ref="H2" authorId="0" shapeId="0" xr:uid="{77D23BFD-0739-4570-9F00-BE35F1DFD41D}">
      <text>
        <r>
          <rPr>
            <b/>
            <sz val="9"/>
            <color indexed="81"/>
            <rFont val="Tahoma"/>
            <family val="2"/>
          </rPr>
          <t xml:space="preserve">cellule Mère
</t>
        </r>
        <r>
          <rPr>
            <sz val="9"/>
            <color indexed="81"/>
            <rFont val="Tahoma"/>
            <family val="2"/>
          </rPr>
          <t>fixe : ref A1
relative : offset lig, col</t>
        </r>
      </text>
    </comment>
    <comment ref="V3" authorId="1" shapeId="0" xr:uid="{C974E25E-7D43-4182-AEA2-1FA046B70E0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Standard_message pris
Standard_transfert 
Secrétariat_accueil RDV
Secrétariat_accueil DOCS</t>
      </text>
    </comment>
  </commentList>
</comments>
</file>

<file path=xl/sharedStrings.xml><?xml version="1.0" encoding="utf-8"?>
<sst xmlns="http://schemas.openxmlformats.org/spreadsheetml/2006/main" count="587" uniqueCount="201">
  <si>
    <t>ASS. DE COORD</t>
  </si>
  <si>
    <t>SOCIAL</t>
  </si>
  <si>
    <t>PA_PH</t>
  </si>
  <si>
    <t>Standard_message pris</t>
  </si>
  <si>
    <t>Dépôt dossier SASPA</t>
  </si>
  <si>
    <t>Appel SES</t>
  </si>
  <si>
    <t>Ecoute</t>
  </si>
  <si>
    <t>Standard_transfert vers CLIC/RA</t>
  </si>
  <si>
    <t>Dépôt dossier ASG</t>
  </si>
  <si>
    <t>Informations, Explications</t>
  </si>
  <si>
    <t>Secrétariat_accueil RDV CLIC/RA</t>
  </si>
  <si>
    <t xml:space="preserve">Dépôt formalité OA </t>
  </si>
  <si>
    <t>Réorientation MQ</t>
  </si>
  <si>
    <t>Envoi/remise documentation (listing …)</t>
  </si>
  <si>
    <t>Secrétariat_accueil DOCS CLIC/RA</t>
  </si>
  <si>
    <t>Info sur dossier SASPA en cours ou à constituer</t>
  </si>
  <si>
    <t>Traitement de la demande</t>
  </si>
  <si>
    <t xml:space="preserve">Secrétariat_info de fonctionnement </t>
  </si>
  <si>
    <t xml:space="preserve">Info sur dossier ASG en cours ou à constituer </t>
  </si>
  <si>
    <t>Aide à la complétude</t>
  </si>
  <si>
    <t xml:space="preserve">Secrétariat_inscription </t>
  </si>
  <si>
    <t xml:space="preserve">Info sur formalité d'OA </t>
  </si>
  <si>
    <t>Réorientation vers partenaires</t>
  </si>
  <si>
    <t>Signalement</t>
  </si>
  <si>
    <t>Secrétariat_réorientation PLATEFORME TELEPHONIQUE</t>
  </si>
  <si>
    <t>Consultation IODAS</t>
  </si>
  <si>
    <t>Secrétariat_réorientation AUTRE</t>
  </si>
  <si>
    <t>Autre</t>
  </si>
  <si>
    <t>VRAI_FAUX</t>
  </si>
  <si>
    <t xml:space="preserve">SAISIE IODAS </t>
  </si>
  <si>
    <t>Christelle</t>
  </si>
  <si>
    <t>FRONT</t>
  </si>
  <si>
    <t>Acc physique</t>
  </si>
  <si>
    <t>La personne elle-même</t>
  </si>
  <si>
    <t>PA</t>
  </si>
  <si>
    <t>A FAIRE</t>
  </si>
  <si>
    <t>Fabienne</t>
  </si>
  <si>
    <t>BACK</t>
  </si>
  <si>
    <t>Téléphone</t>
  </si>
  <si>
    <t xml:space="preserve">Famille </t>
  </si>
  <si>
    <t>PH</t>
  </si>
  <si>
    <t>OK FAIT</t>
  </si>
  <si>
    <t>Nordine</t>
  </si>
  <si>
    <t>TT</t>
  </si>
  <si>
    <t>Répondeur</t>
  </si>
  <si>
    <t>Voisinage</t>
  </si>
  <si>
    <t>Patricia</t>
  </si>
  <si>
    <t xml:space="preserve">E mail </t>
  </si>
  <si>
    <t>Ami ou autre tiers</t>
  </si>
  <si>
    <t>Faiza</t>
  </si>
  <si>
    <t>Courrier externe</t>
  </si>
  <si>
    <t>Professionnel / Partenaire</t>
  </si>
  <si>
    <t>AUTRE</t>
  </si>
  <si>
    <t xml:space="preserve">Courrier interne </t>
  </si>
  <si>
    <t>Mairie de Lille / CCAS</t>
  </si>
  <si>
    <t xml:space="preserve">DATE </t>
  </si>
  <si>
    <t>HEURE</t>
  </si>
  <si>
    <t>Mode de réception  </t>
  </si>
  <si>
    <r>
      <rPr>
        <sz val="10"/>
        <color rgb="FFFF0000"/>
        <rFont val="Calibri"/>
        <family val="2"/>
        <scheme val="minor"/>
      </rPr>
      <t>PAS DE MESSAGE</t>
    </r>
    <r>
      <rPr>
        <sz val="10"/>
        <rFont val="Calibri"/>
        <family val="2"/>
        <scheme val="minor"/>
      </rPr>
      <t xml:space="preserve"> suite  consultation du répondeur : </t>
    </r>
    <r>
      <rPr>
        <b/>
        <sz val="10"/>
        <color rgb="FFFF0000"/>
        <rFont val="Calibri"/>
        <family val="2"/>
        <scheme val="minor"/>
      </rPr>
      <t>indiquer VRAI</t>
    </r>
    <r>
      <rPr>
        <sz val="10"/>
        <rFont val="Calibri"/>
        <family val="2"/>
        <scheme val="minor"/>
      </rPr>
      <t xml:space="preserve">  </t>
    </r>
  </si>
  <si>
    <t xml:space="preserve">DATE et HEURE
 du message  </t>
  </si>
  <si>
    <t xml:space="preserve">Date de naisance 
de la personne concernée
 par la demande </t>
  </si>
  <si>
    <t xml:space="preserve">Demande </t>
  </si>
  <si>
    <t>Catégorie</t>
  </si>
  <si>
    <t>DUREE en min</t>
  </si>
  <si>
    <t xml:space="preserve">remise du formulaire de demande de logement social </t>
  </si>
  <si>
    <t>souhaitait avoir l'urbanisme</t>
  </si>
  <si>
    <t>Agents</t>
  </si>
  <si>
    <t>Liste utilisée</t>
  </si>
  <si>
    <t>Références</t>
  </si>
  <si>
    <t>=Feuil2!C2:C10000</t>
  </si>
  <si>
    <t>=Feuil2!E2:E10000</t>
  </si>
  <si>
    <t>=Feuil2!F2:F10000</t>
  </si>
  <si>
    <t>=Feuil2!G2:G10000</t>
  </si>
  <si>
    <t>=Feuil2!I2:I10000</t>
  </si>
  <si>
    <t>Largeur</t>
  </si>
  <si>
    <t>Hauteur</t>
  </si>
  <si>
    <t>Multi</t>
  </si>
  <si>
    <t>Séparateur</t>
  </si>
  <si>
    <t>=Feuil2!Q2:Q10000</t>
  </si>
  <si>
    <t>,</t>
  </si>
  <si>
    <t>Listbox</t>
  </si>
  <si>
    <t>Définitions Plages utilisant une liste à sélection multiple</t>
  </si>
  <si>
    <t>AGENTS</t>
  </si>
  <si>
    <t>CATEGORIE</t>
  </si>
  <si>
    <t>Listes</t>
  </si>
  <si>
    <t>Type objet</t>
  </si>
  <si>
    <t>en cascade</t>
  </si>
  <si>
    <t>0,-1</t>
  </si>
  <si>
    <t>ACTIONS</t>
  </si>
  <si>
    <t xml:space="preserve">
</t>
  </si>
  <si>
    <t xml:space="preserve">Dépôt dossier ASG
Info sur formalité d'OA </t>
  </si>
  <si>
    <t>Appel SES
Réorientation MQ</t>
  </si>
  <si>
    <t>Autre AIDE SOCIALE</t>
  </si>
  <si>
    <t>AUTRE ASS. DE COORD</t>
  </si>
  <si>
    <t>Autre PA_PH</t>
  </si>
  <si>
    <t>Autre SOCIAL</t>
  </si>
  <si>
    <t>Secrétariat_info de fonctionnement</t>
  </si>
  <si>
    <t>Secrétariat_inscription</t>
  </si>
  <si>
    <t>Secrétariat_réorientation VERS SERVICES DU CCAS</t>
  </si>
  <si>
    <t>Dépôt formalité OA</t>
  </si>
  <si>
    <t>Info sur dossier ASG en cours ou à constituer</t>
  </si>
  <si>
    <t>Info sur formalité d'OA</t>
  </si>
  <si>
    <t>Intervention physique SES</t>
  </si>
  <si>
    <t>Envoi/remise formulaire</t>
  </si>
  <si>
    <t>Mail ou prise de RDV MDPH</t>
  </si>
  <si>
    <t>Mise à disposition du service</t>
  </si>
  <si>
    <t>TOTAL</t>
  </si>
  <si>
    <t>ASS._DE_COORD</t>
  </si>
  <si>
    <t>Origine</t>
  </si>
  <si>
    <t>SI_PA_PH</t>
  </si>
  <si>
    <t>Reception</t>
  </si>
  <si>
    <t>FRONT_BACK</t>
  </si>
  <si>
    <t xml:space="preserve"> PA 
ou 
PH</t>
  </si>
  <si>
    <t>Si ASS. 
de 
COORD</t>
  </si>
  <si>
    <t>Julia</t>
  </si>
  <si>
    <t>Djouher</t>
  </si>
  <si>
    <t>Delphine</t>
  </si>
  <si>
    <t>Flory</t>
  </si>
  <si>
    <t>Vanessa</t>
  </si>
  <si>
    <t>Mathilde</t>
  </si>
  <si>
    <t>Sonia</t>
  </si>
  <si>
    <t xml:space="preserve">Nadia </t>
  </si>
  <si>
    <t>Guillaume</t>
  </si>
  <si>
    <t>Angela</t>
  </si>
  <si>
    <t>Envoi/remise documentation (listing …)
Envoi/remise formulaire
Aide à la complétude</t>
  </si>
  <si>
    <t xml:space="preserve">Coordonnées 
(adresse, téléphone, mail) </t>
  </si>
  <si>
    <t>=Feuil2!X2:X10000</t>
  </si>
  <si>
    <t>Si_ASS_de_COORD</t>
  </si>
  <si>
    <t>SAISIE_IODAS</t>
  </si>
  <si>
    <t>=Feuil2!Y2:Y10000</t>
  </si>
  <si>
    <t>=Feuil2!R2:R10000</t>
  </si>
  <si>
    <t>Ecoute
Informations, Explications
Envoi/remise formulaire</t>
  </si>
  <si>
    <t>Ecoute
Informations, Explications
Consultation IODAS
Mail ou prise de RDV MDPH</t>
  </si>
  <si>
    <t>=Feuil2!W2:W10000</t>
  </si>
  <si>
    <t>Appel SES
Intervention physique SES</t>
  </si>
  <si>
    <t>Djouher
Vanessa</t>
  </si>
  <si>
    <t>DEMANDE EN COURS
 (A TRAITER ou EN COURS DE REPONSE)</t>
  </si>
  <si>
    <t>FRONT/BACK/TT</t>
  </si>
  <si>
    <t xml:space="preserve">Identité  
(Nom d'usage + née XX  et prénom) 
  </t>
  </si>
  <si>
    <t>AGENT</t>
  </si>
  <si>
    <t xml:space="preserve">Si AGENT
=AUTRE
Précisez </t>
  </si>
  <si>
    <r>
      <t xml:space="preserve">  Identité de la personne </t>
    </r>
    <r>
      <rPr>
        <b/>
        <sz val="14"/>
        <color rgb="FFFF0000"/>
        <rFont val="Calibri"/>
        <family val="2"/>
        <scheme val="minor"/>
      </rPr>
      <t>concernée par la demande</t>
    </r>
    <r>
      <rPr>
        <b/>
        <sz val="14"/>
        <color rgb="FF000000"/>
        <rFont val="Calibri"/>
        <family val="2"/>
        <scheme val="minor"/>
      </rPr>
      <t xml:space="preserve">
(Nom d'usage + née XX  et prénom)</t>
    </r>
  </si>
  <si>
    <r>
      <t>Coordonnées de la personne</t>
    </r>
    <r>
      <rPr>
        <b/>
        <sz val="14"/>
        <color rgb="FFFF0000"/>
        <rFont val="Calibri"/>
        <family val="2"/>
        <scheme val="minor"/>
      </rPr>
      <t xml:space="preserve"> concernée par la demande</t>
    </r>
    <r>
      <rPr>
        <b/>
        <sz val="14"/>
        <color rgb="FF000000"/>
        <rFont val="Calibri"/>
        <family val="2"/>
        <scheme val="minor"/>
      </rPr>
      <t xml:space="preserve">  
(adresse, téléphone, mail) </t>
    </r>
  </si>
  <si>
    <t>AIDE_SOCIALE_ASG_OA_SASPA</t>
  </si>
  <si>
    <t>Si PA : signalement
VRAI_FAUX</t>
  </si>
  <si>
    <t xml:space="preserve">SAISIE LOGICLIC
OK FAIT
 ou 
A FAIRE </t>
  </si>
  <si>
    <t>SAISIE IODAS : 
OK FAIT
 ou 
A FAIRE</t>
  </si>
  <si>
    <t>=Feuil2!S2:S10000</t>
  </si>
  <si>
    <t>=Feuil2!V2:V10000</t>
  </si>
  <si>
    <t xml:space="preserve">Mère isolée à la rue avec ses 2 enfants </t>
  </si>
  <si>
    <t>Dossier DUAPA + liste des SAAD</t>
  </si>
  <si>
    <t xml:space="preserve">dossier vérifié :  complet </t>
  </si>
  <si>
    <t xml:space="preserve">aide financière- </t>
  </si>
  <si>
    <t xml:space="preserve">aidant fatigué </t>
  </si>
  <si>
    <t>Démarche  RAPO conseillée</t>
  </si>
  <si>
    <t>refuse de répondre à la formalité d'OA</t>
  </si>
  <si>
    <t xml:space="preserve">AIDE SOCIALE
(ASG, OA et SASPA) </t>
  </si>
  <si>
    <t>Sabrina</t>
  </si>
  <si>
    <t>envoyée par MQ de Fives</t>
  </si>
  <si>
    <t>pour l'état civil</t>
  </si>
  <si>
    <t>horaires du services</t>
  </si>
  <si>
    <t>pour conférence</t>
  </si>
  <si>
    <t>Ecoute
Envoi/remise documentation (listing …)</t>
  </si>
  <si>
    <t>mondial assistance</t>
  </si>
  <si>
    <t>avis d'impot déposé</t>
  </si>
  <si>
    <t>Madame demande à être rappellée</t>
  </si>
  <si>
    <t xml:space="preserve">veut parler aveant la VAD avec sa référente </t>
  </si>
  <si>
    <t>ne comprend pas la décision refus d'AAH et PCH</t>
  </si>
  <si>
    <t>demande information sur RQTH</t>
  </si>
  <si>
    <t>SESPA - Francoise</t>
  </si>
  <si>
    <t>Total général</t>
  </si>
  <si>
    <t>Étiquettes de lignes</t>
  </si>
  <si>
    <t>ACTIVITE TOTALE</t>
  </si>
  <si>
    <t>mars</t>
  </si>
  <si>
    <t>avr</t>
  </si>
  <si>
    <t>mai</t>
  </si>
  <si>
    <t>juin</t>
  </si>
  <si>
    <t>ACTIVITE</t>
  </si>
  <si>
    <t>MOIS 2024</t>
  </si>
  <si>
    <t>REPARTITION FRONT/BACK/TT</t>
  </si>
  <si>
    <t xml:space="preserve"> Mode de réception  </t>
  </si>
  <si>
    <t>TOTAL GENERAL des ACTIONS</t>
  </si>
  <si>
    <t>Précision sur la réponse apportée</t>
  </si>
  <si>
    <t xml:space="preserve">déposé un dossier de SASPA au guichet 15 ce jour </t>
  </si>
  <si>
    <t xml:space="preserve">refuse de répondre à la formalité d'OA la concernant </t>
  </si>
  <si>
    <t xml:space="preserve">souahite accéder à un logement social pour sa famille car sont 4 dans un T2 dans le privé </t>
  </si>
  <si>
    <t>Envoi/remise documentation (listing …)
Envoi/remise formulaire
Mail ou prise de RDV MDPH</t>
  </si>
  <si>
    <t>NORDINE</t>
  </si>
  <si>
    <t>FABIENNE</t>
  </si>
  <si>
    <t>PATRICIA</t>
  </si>
  <si>
    <t xml:space="preserve">CHRISTELLE </t>
  </si>
  <si>
    <t>TOTAL ASS.DE COORD</t>
  </si>
  <si>
    <t>TOTAL SOCIAL</t>
  </si>
  <si>
    <t>TOTAL PA_PH</t>
  </si>
  <si>
    <t xml:space="preserve">TOTAL AIDE SOCIALE </t>
  </si>
  <si>
    <t>E mail</t>
  </si>
  <si>
    <t>Courrier interne</t>
  </si>
  <si>
    <t>Famille</t>
  </si>
  <si>
    <t>VRAI</t>
  </si>
  <si>
    <t>FAUX</t>
  </si>
  <si>
    <t>Nadia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</si>
</sst>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B0F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E2EFDA"/>
        <bgColor indexed="64"/>
      </patternFill>
    </fill>
    <fill>
      <gradientFill degree="90">
        <stop position="0">
          <color rgb="FFF8CBAD"/>
        </stop>
        <stop position="1">
          <color rgb="FFEECDF7"/>
        </stop>
      </gradientFill>
    </fill>
    <fill>
      <patternFill patternType="solid">
        <fgColor rgb="FFF8CBA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0D0D0D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0" fillId="2" borderId="0" xfId="0" applyFill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49" fontId="0" fillId="2" borderId="0" xfId="0" applyNumberFormat="1" applyFill="1"/>
    <xf numFmtId="0" fontId="7" fillId="0" borderId="0" xfId="0" applyFont="1" applyAlignment="1">
      <alignment vertical="center"/>
    </xf>
    <xf numFmtId="0" fontId="4" fillId="0" borderId="0" xfId="0" applyFont="1"/>
    <xf numFmtId="164" fontId="0" fillId="0" borderId="4" xfId="0" applyNumberFormat="1" applyBorder="1" applyAlignment="1">
      <alignment vertical="center" wrapText="1"/>
    </xf>
    <xf numFmtId="165" fontId="0" fillId="0" borderId="3" xfId="0" applyNumberFormat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3" xfId="0" applyBorder="1"/>
    <xf numFmtId="0" fontId="11" fillId="7" borderId="3" xfId="0" applyFont="1" applyFill="1" applyBorder="1" applyAlignment="1">
      <alignment vertical="center" wrapText="1"/>
    </xf>
    <xf numFmtId="164" fontId="0" fillId="0" borderId="5" xfId="0" applyNumberFormat="1" applyBorder="1" applyAlignment="1">
      <alignment vertical="center" wrapText="1"/>
    </xf>
    <xf numFmtId="165" fontId="0" fillId="0" borderId="6" xfId="0" applyNumberFormat="1" applyBorder="1" applyAlignment="1">
      <alignment vertic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quotePrefix="1"/>
    <xf numFmtId="0" fontId="6" fillId="0" borderId="0" xfId="0" applyFont="1" applyAlignment="1">
      <alignment vertical="center"/>
    </xf>
    <xf numFmtId="0" fontId="1" fillId="0" borderId="0" xfId="0" applyFont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12" fillId="0" borderId="0" xfId="0" applyFont="1"/>
    <xf numFmtId="0" fontId="0" fillId="8" borderId="0" xfId="0" applyFill="1"/>
    <xf numFmtId="0" fontId="1" fillId="2" borderId="0" xfId="0" applyFont="1" applyFill="1"/>
    <xf numFmtId="0" fontId="1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wrapText="1"/>
    </xf>
    <xf numFmtId="0" fontId="0" fillId="0" borderId="7" xfId="0" applyBorder="1"/>
    <xf numFmtId="0" fontId="16" fillId="0" borderId="0" xfId="0" applyFont="1" applyAlignment="1">
      <alignment horizontal="right"/>
    </xf>
    <xf numFmtId="0" fontId="1" fillId="2" borderId="0" xfId="0" applyFont="1" applyFill="1" applyAlignment="1">
      <alignment wrapText="1"/>
    </xf>
    <xf numFmtId="0" fontId="1" fillId="0" borderId="0" xfId="0" applyFont="1" applyAlignment="1">
      <alignment horizontal="center" vertical="center" wrapText="1"/>
    </xf>
    <xf numFmtId="0" fontId="2" fillId="0" borderId="3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49" fontId="8" fillId="2" borderId="9" xfId="0" applyNumberFormat="1" applyFont="1" applyFill="1" applyBorder="1" applyAlignment="1">
      <alignment horizontal="center" vertical="center" wrapText="1"/>
    </xf>
    <xf numFmtId="0" fontId="0" fillId="2" borderId="9" xfId="0" applyFill="1" applyBorder="1"/>
    <xf numFmtId="0" fontId="0" fillId="0" borderId="8" xfId="0" applyBorder="1" applyAlignment="1">
      <alignment vertical="center" wrapText="1"/>
    </xf>
    <xf numFmtId="0" fontId="0" fillId="0" borderId="8" xfId="0" applyBorder="1"/>
    <xf numFmtId="0" fontId="0" fillId="7" borderId="8" xfId="0" applyFill="1" applyBorder="1" applyAlignment="1">
      <alignment horizontal="left" vertical="center" wrapText="1"/>
    </xf>
    <xf numFmtId="0" fontId="0" fillId="7" borderId="8" xfId="0" applyFill="1" applyBorder="1" applyAlignment="1">
      <alignment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0" fillId="0" borderId="7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3" borderId="15" xfId="0" applyFill="1" applyBorder="1" applyAlignment="1">
      <alignment horizontal="center" vertical="center"/>
    </xf>
    <xf numFmtId="0" fontId="11" fillId="3" borderId="15" xfId="0" applyFont="1" applyFill="1" applyBorder="1" applyAlignment="1">
      <alignment vertical="center"/>
    </xf>
    <xf numFmtId="0" fontId="8" fillId="0" borderId="9" xfId="0" applyFont="1" applyBorder="1" applyAlignment="1">
      <alignment horizontal="center" vertical="center" wrapText="1"/>
    </xf>
    <xf numFmtId="49" fontId="8" fillId="0" borderId="18" xfId="0" applyNumberFormat="1" applyFont="1" applyBorder="1" applyAlignment="1">
      <alignment horizontal="center" vertical="center" wrapText="1"/>
    </xf>
    <xf numFmtId="0" fontId="0" fillId="0" borderId="18" xfId="0" applyBorder="1" applyAlignment="1">
      <alignment vertical="center"/>
    </xf>
    <xf numFmtId="0" fontId="0" fillId="0" borderId="18" xfId="0" applyBorder="1"/>
    <xf numFmtId="0" fontId="11" fillId="0" borderId="9" xfId="0" applyFont="1" applyBorder="1" applyAlignment="1">
      <alignment vertical="center" wrapText="1"/>
    </xf>
    <xf numFmtId="0" fontId="11" fillId="0" borderId="9" xfId="0" applyFont="1" applyBorder="1" applyAlignment="1">
      <alignment vertical="center"/>
    </xf>
    <xf numFmtId="0" fontId="18" fillId="0" borderId="2" xfId="0" applyFont="1" applyBorder="1" applyAlignment="1">
      <alignment horizontal="center" vertical="center" wrapText="1"/>
    </xf>
    <xf numFmtId="0" fontId="19" fillId="0" borderId="3" xfId="0" applyFont="1" applyBorder="1" applyAlignment="1">
      <alignment vertical="center" wrapText="1"/>
    </xf>
    <xf numFmtId="0" fontId="19" fillId="0" borderId="6" xfId="0" applyFont="1" applyBorder="1" applyAlignment="1">
      <alignment vertical="center" wrapText="1"/>
    </xf>
    <xf numFmtId="0" fontId="19" fillId="0" borderId="0" xfId="0" applyFont="1" applyAlignment="1">
      <alignment vertical="center"/>
    </xf>
    <xf numFmtId="49" fontId="19" fillId="4" borderId="16" xfId="0" applyNumberFormat="1" applyFont="1" applyFill="1" applyBorder="1" applyAlignment="1">
      <alignment horizontal="center" vertical="center" wrapText="1"/>
    </xf>
    <xf numFmtId="49" fontId="19" fillId="0" borderId="8" xfId="0" applyNumberFormat="1" applyFont="1" applyBorder="1" applyAlignment="1">
      <alignment vertical="center" wrapText="1"/>
    </xf>
    <xf numFmtId="49" fontId="19" fillId="0" borderId="17" xfId="0" applyNumberFormat="1" applyFont="1" applyBorder="1" applyAlignment="1">
      <alignment vertical="center" wrapText="1"/>
    </xf>
    <xf numFmtId="49" fontId="19" fillId="0" borderId="14" xfId="0" applyNumberFormat="1" applyFont="1" applyBorder="1" applyAlignment="1">
      <alignment vertical="center"/>
    </xf>
    <xf numFmtId="0" fontId="11" fillId="3" borderId="15" xfId="0" applyFont="1" applyFill="1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9" fontId="17" fillId="12" borderId="12" xfId="0" applyNumberFormat="1" applyFont="1" applyFill="1" applyBorder="1" applyAlignment="1">
      <alignment horizontal="center" vertical="center" wrapText="1"/>
    </xf>
    <xf numFmtId="0" fontId="21" fillId="0" borderId="2" xfId="0" applyFont="1" applyBorder="1" applyAlignment="1">
      <alignment horizontal="center" vertical="center" wrapText="1"/>
    </xf>
    <xf numFmtId="164" fontId="18" fillId="0" borderId="1" xfId="0" applyNumberFormat="1" applyFont="1" applyBorder="1" applyAlignment="1">
      <alignment horizontal="center" vertical="center" wrapText="1"/>
    </xf>
    <xf numFmtId="165" fontId="18" fillId="0" borderId="2" xfId="0" applyNumberFormat="1" applyFont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21" fillId="16" borderId="3" xfId="0" applyFont="1" applyFill="1" applyBorder="1" applyAlignment="1">
      <alignment horizontal="center" vertical="center" wrapText="1"/>
    </xf>
    <xf numFmtId="0" fontId="18" fillId="15" borderId="3" xfId="0" applyFont="1" applyFill="1" applyBorder="1" applyAlignment="1">
      <alignment horizontal="center" vertical="center" wrapText="1"/>
    </xf>
    <xf numFmtId="0" fontId="21" fillId="2" borderId="7" xfId="0" applyFont="1" applyFill="1" applyBorder="1" applyAlignment="1">
      <alignment horizontal="center" vertical="center" wrapText="1"/>
    </xf>
    <xf numFmtId="0" fontId="19" fillId="0" borderId="0" xfId="0" applyFont="1"/>
    <xf numFmtId="0" fontId="22" fillId="5" borderId="3" xfId="0" applyFont="1" applyFill="1" applyBorder="1" applyAlignment="1">
      <alignment horizontal="center" vertical="center" wrapText="1"/>
    </xf>
    <xf numFmtId="0" fontId="24" fillId="5" borderId="7" xfId="0" applyFont="1" applyFill="1" applyBorder="1" applyAlignment="1">
      <alignment horizontal="center" vertical="center" wrapText="1"/>
    </xf>
    <xf numFmtId="0" fontId="25" fillId="13" borderId="0" xfId="0" applyFont="1" applyFill="1" applyAlignment="1">
      <alignment horizontal="center" vertical="center"/>
    </xf>
    <xf numFmtId="0" fontId="25" fillId="14" borderId="3" xfId="0" applyFont="1" applyFill="1" applyBorder="1" applyAlignment="1">
      <alignment horizontal="center" vertical="center" wrapText="1"/>
    </xf>
    <xf numFmtId="0" fontId="25" fillId="6" borderId="8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5" fillId="9" borderId="12" xfId="0" applyFont="1" applyFill="1" applyBorder="1" applyAlignment="1">
      <alignment horizontal="center" vertical="center" wrapText="1"/>
    </xf>
    <xf numFmtId="0" fontId="5" fillId="11" borderId="12" xfId="0" applyFont="1" applyFill="1" applyBorder="1" applyAlignment="1">
      <alignment horizontal="center" vertical="center" wrapText="1"/>
    </xf>
    <xf numFmtId="0" fontId="1" fillId="9" borderId="0" xfId="0" applyFont="1" applyFill="1" applyAlignment="1">
      <alignment vertical="center" wrapText="1"/>
    </xf>
    <xf numFmtId="0" fontId="3" fillId="9" borderId="0" xfId="0" applyFont="1" applyFill="1"/>
    <xf numFmtId="0" fontId="0" fillId="9" borderId="0" xfId="0" applyFill="1" applyAlignment="1">
      <alignment wrapText="1"/>
    </xf>
    <xf numFmtId="0" fontId="16" fillId="9" borderId="0" xfId="0" applyFont="1" applyFill="1" applyAlignment="1">
      <alignment horizontal="right"/>
    </xf>
    <xf numFmtId="0" fontId="1" fillId="17" borderId="0" xfId="0" applyFont="1" applyFill="1" applyAlignment="1">
      <alignment vertical="center" wrapText="1"/>
    </xf>
    <xf numFmtId="0" fontId="3" fillId="17" borderId="0" xfId="0" applyFont="1" applyFill="1"/>
    <xf numFmtId="0" fontId="0" fillId="17" borderId="0" xfId="0" applyFill="1"/>
    <xf numFmtId="0" fontId="0" fillId="17" borderId="0" xfId="0" applyFill="1" applyAlignment="1">
      <alignment wrapText="1"/>
    </xf>
    <xf numFmtId="0" fontId="16" fillId="17" borderId="0" xfId="0" applyFont="1" applyFill="1" applyAlignment="1">
      <alignment horizontal="right"/>
    </xf>
    <xf numFmtId="0" fontId="1" fillId="10" borderId="0" xfId="0" applyFont="1" applyFill="1" applyAlignment="1">
      <alignment vertical="center" wrapText="1"/>
    </xf>
    <xf numFmtId="0" fontId="3" fillId="10" borderId="0" xfId="0" applyFont="1" applyFill="1"/>
    <xf numFmtId="0" fontId="0" fillId="10" borderId="0" xfId="0" applyFill="1"/>
    <xf numFmtId="0" fontId="0" fillId="10" borderId="0" xfId="0" applyFill="1" applyAlignment="1">
      <alignment wrapText="1"/>
    </xf>
    <xf numFmtId="0" fontId="16" fillId="10" borderId="0" xfId="0" applyFont="1" applyFill="1" applyAlignment="1">
      <alignment horizontal="right"/>
    </xf>
    <xf numFmtId="0" fontId="21" fillId="0" borderId="10" xfId="0" applyFont="1" applyBorder="1" applyAlignment="1">
      <alignment horizontal="center" vertical="center" wrapText="1"/>
    </xf>
    <xf numFmtId="0" fontId="11" fillId="0" borderId="7" xfId="0" applyFont="1" applyBorder="1" applyAlignment="1">
      <alignment vertical="center" wrapText="1"/>
    </xf>
    <xf numFmtId="0" fontId="11" fillId="0" borderId="11" xfId="0" applyFont="1" applyBorder="1" applyAlignment="1">
      <alignment vertical="center" wrapText="1"/>
    </xf>
    <xf numFmtId="0" fontId="11" fillId="0" borderId="0" xfId="0" applyFont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20" fillId="0" borderId="0" xfId="0" applyFont="1" applyAlignment="1">
      <alignment horizontal="center" vertical="center"/>
    </xf>
    <xf numFmtId="0" fontId="20" fillId="0" borderId="0" xfId="0" applyFont="1" applyAlignment="1">
      <alignment horizontal="center"/>
    </xf>
    <xf numFmtId="0" fontId="20" fillId="0" borderId="0" xfId="0" pivotButton="1" applyFont="1"/>
    <xf numFmtId="0" fontId="0" fillId="18" borderId="15" xfId="0" applyFill="1" applyBorder="1" applyAlignment="1">
      <alignment horizontal="center" vertical="center"/>
    </xf>
    <xf numFmtId="0" fontId="11" fillId="18" borderId="15" xfId="0" applyFont="1" applyFill="1" applyBorder="1" applyAlignment="1">
      <alignment vertical="center"/>
    </xf>
    <xf numFmtId="0" fontId="11" fillId="18" borderId="12" xfId="0" applyFont="1" applyFill="1" applyBorder="1" applyAlignment="1">
      <alignment horizontal="center" vertical="center" wrapText="1"/>
    </xf>
    <xf numFmtId="0" fontId="11" fillId="18" borderId="15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9" borderId="0" xfId="0" applyFill="1" applyAlignment="1">
      <alignment horizontal="center"/>
    </xf>
    <xf numFmtId="0" fontId="16" fillId="9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/>
    </xf>
    <xf numFmtId="0" fontId="0" fillId="17" borderId="0" xfId="0" applyFill="1" applyAlignment="1">
      <alignment horizontal="center"/>
    </xf>
    <xf numFmtId="0" fontId="16" fillId="17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16" fillId="10" borderId="0" xfId="0" applyFont="1" applyFill="1" applyAlignment="1">
      <alignment horizontal="center"/>
    </xf>
    <xf numFmtId="0" fontId="16" fillId="0" borderId="0" xfId="0" applyFont="1" applyAlignment="1">
      <alignment horizontal="center" wrapText="1"/>
    </xf>
    <xf numFmtId="0" fontId="26" fillId="0" borderId="0" xfId="0" applyFont="1"/>
    <xf numFmtId="0" fontId="20" fillId="0" borderId="0" xfId="0" applyFont="1" applyAlignment="1">
      <alignment horizontal="right" wrapText="1"/>
    </xf>
    <xf numFmtId="0" fontId="26" fillId="0" borderId="0" xfId="0" applyFont="1" applyAlignment="1">
      <alignment horizontal="center"/>
    </xf>
  </cellXfs>
  <cellStyles count="1">
    <cellStyle name="Normal" xfId="0" builtinId="0"/>
  </cellStyles>
  <dxfs count="68">
    <dxf>
      <font>
        <color rgb="FFFF0000"/>
      </font>
    </dxf>
    <dxf>
      <alignment vertical="center"/>
    </dxf>
    <dxf>
      <alignment horizontal="center"/>
    </dxf>
    <dxf>
      <alignment horizontal="center"/>
    </dxf>
    <dxf>
      <font>
        <color rgb="FFFF0000"/>
      </font>
    </dxf>
    <dxf>
      <font>
        <color rgb="FFFF0000"/>
      </font>
    </dxf>
    <dxf>
      <alignment horizontal="center"/>
    </dxf>
    <dxf>
      <alignment horizontal="center"/>
    </dxf>
    <dxf>
      <font>
        <color rgb="FFFF0000"/>
      </font>
    </dxf>
    <dxf>
      <font>
        <color rgb="FFFF0000"/>
      </font>
    </dxf>
    <dxf>
      <alignment horizontal="center"/>
    </dxf>
    <dxf>
      <alignment horizontal="center"/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BDD7EE"/>
        </patternFill>
      </fill>
    </dxf>
    <dxf>
      <font>
        <color auto="1"/>
      </font>
      <fill>
        <patternFill patternType="solid">
          <fgColor auto="1"/>
          <bgColor rgb="FFF8CBAD"/>
        </patternFill>
      </fill>
    </dxf>
    <dxf>
      <font>
        <color auto="1"/>
      </font>
      <fill>
        <patternFill patternType="solid">
          <fgColor auto="1"/>
          <bgColor rgb="FFEECDF7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 patternType="solid">
          <fgColor auto="1"/>
          <bgColor theme="5" tint="0.79998168889431442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 patternType="solid">
          <fgColor auto="1"/>
          <bgColor theme="5" tint="0.79998168889431442"/>
        </patternFill>
      </fill>
    </dxf>
    <dxf>
      <font>
        <color auto="1"/>
      </font>
      <fill>
        <patternFill>
          <bgColor rgb="FFE2EFDA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8CBAD"/>
        </patternFill>
      </fill>
    </dxf>
    <dxf>
      <fill>
        <patternFill>
          <bgColor rgb="FFEECDF7"/>
        </patternFill>
      </fill>
    </dxf>
    <dxf>
      <fill>
        <patternFill>
          <bgColor rgb="FFF8CBAD"/>
        </patternFill>
      </fill>
    </dxf>
    <dxf>
      <font>
        <color auto="1"/>
      </font>
      <fill>
        <patternFill>
          <bgColor rgb="FFBDD7EE"/>
        </patternFill>
      </fill>
    </dxf>
    <dxf>
      <font>
        <color auto="1"/>
      </font>
      <fill>
        <patternFill>
          <bgColor rgb="FFE2EFDA"/>
        </patternFill>
      </fill>
    </dxf>
    <dxf>
      <font>
        <color theme="0"/>
      </font>
      <fill>
        <patternFill patternType="solid">
          <fgColor auto="1"/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E2EFDA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BDD7EE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EECDF7"/>
      <color rgb="FFFFFFFF"/>
      <color rgb="FFF8CBAD"/>
      <color rgb="FFBDD7EE"/>
      <color rgb="FFE2EF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11206</xdr:colOff>
          <xdr:row>4</xdr:row>
          <xdr:rowOff>53788</xdr:rowOff>
        </xdr:from>
        <xdr:to>
          <xdr:col>22</xdr:col>
          <xdr:colOff>468406</xdr:colOff>
          <xdr:row>4</xdr:row>
          <xdr:rowOff>648148</xdr:rowOff>
        </xdr:to>
        <xdr:sp macro="" textlink="">
          <xdr:nvSpPr>
            <xdr:cNvPr id="2069" name="lbxListe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1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MOURON  SABRINA" id="{A3E1130B-0535-4A37-A814-A5CB426EB63D}" userId="S::smouron@mairie-lille.fr::b4f77a56-9d46-4405-9f07-2bc877c240ab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mouron" refreshedDate="45471.61212395833" createdVersion="8" refreshedVersion="8" minRefreshableVersion="3" recordCount="1003" xr:uid="{6984CE3A-C902-4008-BA86-54385BFE8B71}">
  <cacheSource type="worksheet">
    <worksheetSource ref="A1:Y1048576" sheet="Feuil2"/>
  </cacheSource>
  <cacheFields count="27">
    <cacheField name="DATE " numFmtId="164">
      <sharedItems containsNonDate="0" containsDate="1" containsString="0" containsBlank="1" minDate="2024-03-31T00:00:00" maxDate="2024-06-28T00:00:00" count="18">
        <d v="2024-05-31T00:00:00"/>
        <d v="2024-06-01T00:00:00"/>
        <d v="2024-06-05T00:00:00"/>
        <d v="2024-05-16T00:00:00"/>
        <d v="2024-03-31T00:00:00"/>
        <d v="2024-05-25T00:00:00"/>
        <d v="2024-06-15T00:00:00"/>
        <d v="2024-04-01T00:00:00"/>
        <d v="2024-05-28T00:00:00"/>
        <d v="2024-04-02T00:00:00"/>
        <d v="2024-06-18T00:00:00"/>
        <d v="2024-04-12T00:00:00"/>
        <d v="2024-06-25T00:00:00"/>
        <d v="2024-06-27T00:00:00"/>
        <d v="2024-04-13T00:00:00"/>
        <d v="2024-04-30T00:00:00"/>
        <d v="2024-04-16T00:00:00"/>
        <m/>
      </sharedItems>
      <fieldGroup par="26"/>
    </cacheField>
    <cacheField name="HEURE" numFmtId="165">
      <sharedItems containsNonDate="0" containsString="0" containsBlank="1"/>
    </cacheField>
    <cacheField name="AGENT" numFmtId="0">
      <sharedItems containsBlank="1" count="7">
        <s v="Nordine"/>
        <s v="AUTRE"/>
        <s v="Fabienne"/>
        <s v="Christelle"/>
        <s v="Patricia"/>
        <m/>
        <s v="Faiza" u="1"/>
      </sharedItems>
    </cacheField>
    <cacheField name="Si AGENT_x000a_=AUTRE_x000a_Précisez " numFmtId="0">
      <sharedItems containsBlank="1"/>
    </cacheField>
    <cacheField name="FRONT/BACK/TT" numFmtId="0">
      <sharedItems containsBlank="1" count="4">
        <s v="FRONT"/>
        <s v="BACK"/>
        <s v="TT"/>
        <m/>
      </sharedItems>
    </cacheField>
    <cacheField name="Mode de réception  " numFmtId="49">
      <sharedItems containsBlank="1" count="7">
        <s v="Répondeur"/>
        <s v="Téléphone"/>
        <s v="Acc physique"/>
        <s v="Courrier interne "/>
        <s v="Courrier externe"/>
        <s v="E mail "/>
        <m/>
      </sharedItems>
    </cacheField>
    <cacheField name="PAS DE MESSAGE suite  consultation du répondeur : indiquer VRAI  " numFmtId="0">
      <sharedItems containsBlank="1"/>
    </cacheField>
    <cacheField name="DATE et HEURE_x000a_ du message  " numFmtId="0">
      <sharedItems containsNonDate="0" containsString="0" containsBlank="1"/>
    </cacheField>
    <cacheField name="Origine" numFmtId="0">
      <sharedItems containsBlank="1"/>
    </cacheField>
    <cacheField name="Identité  _x000a_(Nom d'usage + née XX  et prénom) _x000a_  " numFmtId="0">
      <sharedItems containsNonDate="0" containsString="0" containsBlank="1"/>
    </cacheField>
    <cacheField name="Coordonnées _x000a_(adresse, téléphone, mail) " numFmtId="0">
      <sharedItems containsNonDate="0" containsString="0" containsBlank="1"/>
    </cacheField>
    <cacheField name="  Identité de la personne concernée par la demande_x000a_(Nom d'usage + née XX  et prénom)" numFmtId="0">
      <sharedItems containsNonDate="0" containsString="0" containsBlank="1"/>
    </cacheField>
    <cacheField name="Coordonnées de la personne concernée par la demande  _x000a_(adresse, téléphone, mail) " numFmtId="0">
      <sharedItems containsNonDate="0" containsString="0" containsBlank="1"/>
    </cacheField>
    <cacheField name="Date de naisance _x000a_de la personne concernée_x000a_ par la demande " numFmtId="0">
      <sharedItems containsNonDate="0" containsString="0" containsBlank="1"/>
    </cacheField>
    <cacheField name="Demande " numFmtId="0">
      <sharedItems containsBlank="1"/>
    </cacheField>
    <cacheField name="DEMANDE EN COURS_x000a_ (A TRAITER ou EN COURS DE REPONSE)" numFmtId="0">
      <sharedItems containsBlank="1"/>
    </cacheField>
    <cacheField name="Catégorie" numFmtId="0">
      <sharedItems containsBlank="1"/>
    </cacheField>
    <cacheField name="ACTIONS" numFmtId="0">
      <sharedItems containsBlank="1"/>
    </cacheField>
    <cacheField name="Si ASS. _x000a_de _x000a_COORD" numFmtId="0">
      <sharedItems containsBlank="1"/>
    </cacheField>
    <cacheField name="Ma" numFmtId="0">
      <sharedItems containsBlank="1"/>
    </cacheField>
    <cacheField name="DUREE en min" numFmtId="0">
      <sharedItems containsNonDate="0" containsString="0" containsBlank="1"/>
    </cacheField>
    <cacheField name=" PA _x000a_ou _x000a_PH" numFmtId="0">
      <sharedItems containsBlank="1"/>
    </cacheField>
    <cacheField name="Si PA : signalement_x000a_VRAI_FAUX" numFmtId="0">
      <sharedItems containsBlank="1"/>
    </cacheField>
    <cacheField name="SAISIE LOGICLIC_x000a_OK FAIT_x000a_ ou _x000a_A FAIRE " numFmtId="0">
      <sharedItems containsBlank="1"/>
    </cacheField>
    <cacheField name="SAISIE IODAS : _x000a_OK FAIT_x000a_ ou _x000a_A FAIRE" numFmtId="0">
      <sharedItems containsBlank="1"/>
    </cacheField>
    <cacheField name="Jours (DATE )" numFmtId="0" databaseField="0">
      <fieldGroup base="0">
        <rangePr groupBy="days" startDate="2024-03-31T00:00:00" endDate="2024-06-28T00:00:00"/>
        <groupItems count="368">
          <s v="&lt;31/03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8/06/2024"/>
        </groupItems>
      </fieldGroup>
    </cacheField>
    <cacheField name="Mois (DATE )" numFmtId="0" databaseField="0">
      <fieldGroup base="0">
        <rangePr groupBy="months" startDate="2024-03-31T00:00:00" endDate="2024-06-28T00:00:00"/>
        <groupItems count="14">
          <s v="&lt;31/03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/06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3">
  <r>
    <x v="0"/>
    <m/>
    <x v="0"/>
    <m/>
    <x v="0"/>
    <x v="0"/>
    <b v="1"/>
    <m/>
    <s v="La personne elle-même"/>
    <m/>
    <m/>
    <m/>
    <m/>
    <m/>
    <s v="Monsieur DUDU souahite accéder à un logement social pour sa famille car sont 4 dans un T2 dans le privé "/>
    <b v="1"/>
    <s v="SOCIAL"/>
    <s v="Appel SES_x000a_Intervention physique SES"/>
    <m/>
    <s v="remise du formulaire de demande de logement social "/>
    <m/>
    <m/>
    <m/>
    <m/>
    <m/>
  </r>
  <r>
    <x v="1"/>
    <m/>
    <x v="1"/>
    <s v="Faiza"/>
    <x v="1"/>
    <x v="1"/>
    <m/>
    <m/>
    <s v="Famille "/>
    <m/>
    <m/>
    <m/>
    <m/>
    <m/>
    <s v="veut parler aveant la VAD avec sa référente "/>
    <b v="1"/>
    <s v="ASS._DE_COORD"/>
    <s v="Standard_message pris"/>
    <s v="Djouher"/>
    <s v="Madame demande à être rappellée"/>
    <m/>
    <m/>
    <m/>
    <m/>
    <m/>
  </r>
  <r>
    <x v="2"/>
    <m/>
    <x v="2"/>
    <m/>
    <x v="0"/>
    <x v="0"/>
    <b v="0"/>
    <m/>
    <s v="Voisinage"/>
    <m/>
    <m/>
    <m/>
    <m/>
    <m/>
    <s v="Melle XX refuse de répondre à la formalité d'OA la concernant "/>
    <b v="0"/>
    <s v="AIDE_SOCIALE_ASG_OA_SASPA"/>
    <s v="Info sur formalité d'OA"/>
    <m/>
    <s v="refuse de répondre à la formalité d'OA"/>
    <m/>
    <m/>
    <m/>
    <m/>
    <m/>
  </r>
  <r>
    <x v="3"/>
    <m/>
    <x v="3"/>
    <m/>
    <x v="1"/>
    <x v="0"/>
    <b v="1"/>
    <m/>
    <s v="La personne elle-même"/>
    <m/>
    <m/>
    <m/>
    <m/>
    <m/>
    <s v="ne comprend pas la décision refus d'AAH et PCH"/>
    <b v="1"/>
    <s v="PA_PH"/>
    <s v="Ecoute_x000a_Informations, Explications_x000a_Consultation IODAS_x000a_Mail ou prise de RDV MDPH"/>
    <m/>
    <s v="Démarche  RAPO conseillée"/>
    <m/>
    <s v="PH"/>
    <m/>
    <m/>
    <s v="A FAIRE"/>
  </r>
  <r>
    <x v="4"/>
    <m/>
    <x v="4"/>
    <m/>
    <x v="2"/>
    <x v="2"/>
    <m/>
    <m/>
    <s v="Professionnel / Partenaire"/>
    <m/>
    <m/>
    <m/>
    <m/>
    <m/>
    <s v="demande information sur RQTH"/>
    <b v="1"/>
    <s v="PA_PH"/>
    <s v="Ecoute_x000a_Informations, Explications_x000a_Envoi/remise formulaire"/>
    <m/>
    <s v="aidant fatigué "/>
    <m/>
    <s v="PH"/>
    <m/>
    <m/>
    <s v="OK FAIT"/>
  </r>
  <r>
    <x v="5"/>
    <m/>
    <x v="0"/>
    <m/>
    <x v="0"/>
    <x v="2"/>
    <m/>
    <m/>
    <s v="Famille "/>
    <m/>
    <m/>
    <m/>
    <m/>
    <m/>
    <m/>
    <b v="0"/>
    <s v="AIDE_SOCIALE_ASG_OA_SASPA"/>
    <s v="Dépôt dossier ASG_x000a_Info sur formalité d'OA "/>
    <m/>
    <s v="envoyée par MQ de Fives"/>
    <m/>
    <m/>
    <m/>
    <m/>
    <m/>
  </r>
  <r>
    <x v="6"/>
    <m/>
    <x v="2"/>
    <m/>
    <x v="1"/>
    <x v="3"/>
    <m/>
    <m/>
    <s v="Ami ou autre tiers"/>
    <m/>
    <m/>
    <m/>
    <m/>
    <m/>
    <m/>
    <b v="0"/>
    <s v="ASS._DE_COORD"/>
    <s v="Secrétariat_réorientation VERS SERVICES DU CCAS"/>
    <m/>
    <s v="SESPA - Francoise"/>
    <m/>
    <m/>
    <m/>
    <m/>
    <m/>
  </r>
  <r>
    <x v="7"/>
    <m/>
    <x v="4"/>
    <m/>
    <x v="1"/>
    <x v="4"/>
    <m/>
    <m/>
    <s v="La personne elle-même"/>
    <m/>
    <m/>
    <m/>
    <m/>
    <m/>
    <s v="Mr BIDULE a déposé un dossier de SASPA au guichet 15 ce jour "/>
    <b v="0"/>
    <s v="PA_PH"/>
    <s v="Dépôt dossier SASPA"/>
    <m/>
    <s v="dossier vérifié :  complet "/>
    <m/>
    <s v="PA"/>
    <b v="1"/>
    <s v="OK FAIT"/>
    <s v="OK FAIT"/>
  </r>
  <r>
    <x v="8"/>
    <m/>
    <x v="0"/>
    <m/>
    <x v="0"/>
    <x v="5"/>
    <m/>
    <m/>
    <s v="Mairie de Lille / CCAS"/>
    <m/>
    <m/>
    <m/>
    <m/>
    <m/>
    <s v="souhaitait avoir l'urbanisme"/>
    <b v="1"/>
    <s v="ASS._DE_COORD"/>
    <s v="Standard_transfert vers CLIC/RA"/>
    <s v="Djouher_x000a_Vanessa"/>
    <m/>
    <m/>
    <m/>
    <m/>
    <m/>
    <m/>
  </r>
  <r>
    <x v="9"/>
    <m/>
    <x v="3"/>
    <m/>
    <x v="0"/>
    <x v="1"/>
    <m/>
    <m/>
    <s v="Famille "/>
    <m/>
    <m/>
    <m/>
    <m/>
    <m/>
    <m/>
    <b v="0"/>
    <s v="SOCIAL"/>
    <s v="Appel SES_x000a_Réorientation MQ"/>
    <m/>
    <s v="aide financière- "/>
    <m/>
    <m/>
    <m/>
    <m/>
    <m/>
  </r>
  <r>
    <x v="10"/>
    <m/>
    <x v="4"/>
    <m/>
    <x v="2"/>
    <x v="0"/>
    <b v="0"/>
    <m/>
    <s v="Famille "/>
    <m/>
    <m/>
    <m/>
    <m/>
    <m/>
    <m/>
    <b v="1"/>
    <s v="ASS._DE_COORD"/>
    <s v="Secrétariat_accueil RDV CLIC/RA"/>
    <s v="Nadia "/>
    <m/>
    <m/>
    <m/>
    <m/>
    <m/>
    <m/>
  </r>
  <r>
    <x v="11"/>
    <m/>
    <x v="3"/>
    <m/>
    <x v="1"/>
    <x v="0"/>
    <b v="1"/>
    <m/>
    <s v="Famille "/>
    <m/>
    <m/>
    <m/>
    <m/>
    <m/>
    <m/>
    <b v="0"/>
    <s v="PA_PH"/>
    <s v="Ecoute_x000a_Envoi/remise documentation (listing …)"/>
    <m/>
    <s v="mondial assistance"/>
    <m/>
    <s v="PH"/>
    <m/>
    <m/>
    <s v="A FAIRE"/>
  </r>
  <r>
    <x v="12"/>
    <m/>
    <x v="1"/>
    <s v="Sabrina"/>
    <x v="1"/>
    <x v="0"/>
    <b v="1"/>
    <m/>
    <s v="Mairie de Lille / CCAS"/>
    <m/>
    <m/>
    <m/>
    <m/>
    <m/>
    <m/>
    <b v="1"/>
    <s v="SOCIAL"/>
    <s v="Appel SES_x000a_Intervention physique SES"/>
    <m/>
    <s v="Mère isolée à la rue avec ses 2 enfants "/>
    <m/>
    <m/>
    <m/>
    <m/>
    <m/>
  </r>
  <r>
    <x v="10"/>
    <m/>
    <x v="3"/>
    <m/>
    <x v="1"/>
    <x v="0"/>
    <b v="0"/>
    <m/>
    <s v="La personne elle-même"/>
    <m/>
    <m/>
    <m/>
    <m/>
    <m/>
    <m/>
    <b v="0"/>
    <s v="ASS._DE_COORD"/>
    <s v="Secrétariat_accueil RDV CLIC/RA"/>
    <s v="Delphine"/>
    <m/>
    <m/>
    <m/>
    <m/>
    <m/>
    <m/>
  </r>
  <r>
    <x v="13"/>
    <m/>
    <x v="2"/>
    <m/>
    <x v="0"/>
    <x v="0"/>
    <b v="1"/>
    <m/>
    <s v="Famille "/>
    <m/>
    <m/>
    <m/>
    <m/>
    <m/>
    <m/>
    <b v="0"/>
    <s v="PA_PH"/>
    <s v="Envoi/remise documentation (listing …)_x000a_Envoi/remise formulaire_x000a_Aide à la complétude"/>
    <m/>
    <s v="Dossier DUAPA + liste des SAAD"/>
    <m/>
    <s v="PA"/>
    <b v="1"/>
    <s v="A FAIRE"/>
    <s v="OK FAIT"/>
  </r>
  <r>
    <x v="0"/>
    <m/>
    <x v="2"/>
    <m/>
    <x v="0"/>
    <x v="0"/>
    <b v="1"/>
    <m/>
    <s v="Voisinage"/>
    <m/>
    <m/>
    <m/>
    <m/>
    <m/>
    <m/>
    <b v="0"/>
    <s v="ASS._DE_COORD"/>
    <s v="Secrétariat_info de fonctionnement"/>
    <m/>
    <s v="horaires du services"/>
    <m/>
    <m/>
    <m/>
    <m/>
    <m/>
  </r>
  <r>
    <x v="14"/>
    <m/>
    <x v="0"/>
    <m/>
    <x v="0"/>
    <x v="0"/>
    <b v="0"/>
    <m/>
    <s v="La personne elle-même"/>
    <m/>
    <m/>
    <m/>
    <m/>
    <m/>
    <m/>
    <b v="0"/>
    <s v="ASS._DE_COORD"/>
    <s v="Secrétariat_accueil DOCS CLIC/RA"/>
    <s v="Flory"/>
    <s v="avis d'impot déposé"/>
    <m/>
    <m/>
    <m/>
    <m/>
    <m/>
  </r>
  <r>
    <x v="15"/>
    <m/>
    <x v="2"/>
    <m/>
    <x v="0"/>
    <x v="1"/>
    <m/>
    <m/>
    <s v="Autre"/>
    <m/>
    <m/>
    <m/>
    <m/>
    <m/>
    <m/>
    <b v="0"/>
    <s v="ASS._DE_COORD"/>
    <s v="Secrétariat_inscription"/>
    <m/>
    <s v="pour conférence"/>
    <m/>
    <m/>
    <m/>
    <m/>
    <m/>
  </r>
  <r>
    <x v="16"/>
    <m/>
    <x v="3"/>
    <m/>
    <x v="1"/>
    <x v="4"/>
    <m/>
    <m/>
    <s v="Ami ou autre tiers"/>
    <m/>
    <m/>
    <m/>
    <m/>
    <m/>
    <m/>
    <b v="1"/>
    <s v="ASS._DE_COORD"/>
    <s v="Secrétariat_réorientation PLATEFORME TELEPHONIQUE"/>
    <m/>
    <s v="pour l'état civil"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F39A5A-A609-4E59-A07B-0AA552399B70}" name="Tableau croisé dynamique5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MOIS 2024">
  <location ref="F45:K54" firstHeaderRow="1" firstDataRow="4" firstDataCol="1"/>
  <pivotFields count="27">
    <pivotField axis="axisCol"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axis="axisRow" dataField="1"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2"/>
  </rowFields>
  <rowItems count="6">
    <i>
      <x/>
    </i>
    <i>
      <x v="1"/>
    </i>
    <i>
      <x v="2"/>
    </i>
    <i>
      <x v="4"/>
    </i>
    <i>
      <x v="5"/>
    </i>
    <i t="grand">
      <x/>
    </i>
  </rowItems>
  <colFields count="3">
    <field x="26"/>
    <field x="25"/>
    <field x="0"/>
  </colFields>
  <colItems count="5">
    <i>
      <x v="3"/>
    </i>
    <i>
      <x v="4"/>
    </i>
    <i>
      <x v="5"/>
    </i>
    <i>
      <x v="6"/>
    </i>
    <i t="grand">
      <x/>
    </i>
  </colItems>
  <dataFields count="1">
    <dataField name="ACTIVITE" fld="2" subtotal="count" baseField="0" baseItem="0"/>
  </dataFields>
  <formats count="3">
    <format dxfId="2">
      <pivotArea grandCol="1" outline="0" collapsedLevelsAreSubtotals="1" fieldPosition="0"/>
    </format>
    <format dxfId="1">
      <pivotArea grandCol="1" outline="0" collapsedLevelsAreSubtotals="1" fieldPosition="0"/>
    </format>
    <format dxfId="0">
      <pivotArea grandCol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625552-47B9-4355-8CAD-94A0291781FE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45:C51" firstHeaderRow="1" firstDataRow="1" firstDataCol="1"/>
  <pivotFields count="27">
    <pivotField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axis="axisRow" dataField="1"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2"/>
  </rowFields>
  <rowItems count="6">
    <i>
      <x/>
    </i>
    <i>
      <x v="1"/>
    </i>
    <i>
      <x v="2"/>
    </i>
    <i>
      <x v="4"/>
    </i>
    <i>
      <x v="5"/>
    </i>
    <i t="grand">
      <x/>
    </i>
  </rowItems>
  <colItems count="1">
    <i/>
  </colItems>
  <dataFields count="1">
    <dataField name="ACTIVITE TOTALE" fld="2" subtotal="count" baseField="0" baseItem="0"/>
  </dataFields>
  <formats count="5">
    <format dxfId="7">
      <pivotArea outline="0" collapsedLevelsAreSubtotals="1" fieldPosition="0"/>
    </format>
    <format dxfId="6">
      <pivotArea dataOnly="0" labelOnly="1" outline="0" axis="axisValues" fieldPosition="0"/>
    </format>
    <format dxfId="5">
      <pivotArea outline="0" collapsedLevelsAreSubtotals="1" fieldPosition="0"/>
    </format>
    <format dxfId="4">
      <pivotArea dataOnly="0" labelOnly="1" outline="0" axis="axisValues" fieldPosition="0"/>
    </format>
    <format dxfId="3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BED8C3-E61D-479A-B224-88D74E1803E4}" name="Tableau croisé dynamique6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REPARTITION FRONT/BACK/TT">
  <location ref="G56:K64" firstHeaderRow="1" firstDataRow="2" firstDataCol="1"/>
  <pivotFields count="27">
    <pivotField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axis="axisCol" showAll="0">
      <items count="5">
        <item x="1"/>
        <item x="0"/>
        <item x="2"/>
        <item h="1" x="3"/>
        <item t="default"/>
      </items>
    </pivotField>
    <pivotField axis="axisRow" dataField="1" showAll="0">
      <items count="8">
        <item x="2"/>
        <item x="4"/>
        <item x="3"/>
        <item x="5"/>
        <item x="0"/>
        <item x="1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5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4"/>
  </colFields>
  <colItems count="4">
    <i>
      <x/>
    </i>
    <i>
      <x v="1"/>
    </i>
    <i>
      <x v="2"/>
    </i>
    <i t="grand">
      <x/>
    </i>
  </colItems>
  <dataFields count="1">
    <dataField name=" Mode de réception  " fld="5" subtotal="count" baseField="0" baseItem="0"/>
  </dataFields>
  <formats count="4">
    <format dxfId="11">
      <pivotArea grandCol="1" outline="0" collapsedLevelsAreSubtotals="1" fieldPosition="0"/>
    </format>
    <format dxfId="10">
      <pivotArea dataOnly="0" labelOnly="1" grandCol="1" outline="0" fieldPosition="0"/>
    </format>
    <format dxfId="9">
      <pivotArea field="4" dataOnly="0" grandCol="1" outline="0" axis="axisCol" fieldPosition="0">
        <references count="1">
          <reference field="4" count="0"/>
        </references>
      </pivotArea>
    </format>
    <format dxfId="8">
      <pivotArea field="4" type="button" dataOnly="0" labelOnly="1" outline="0" axis="axisCol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V3" dT="2024-06-24T14:41:26.84" personId="{A3E1130B-0535-4A37-A814-A5CB426EB63D}" id="{C974E25E-7D43-4182-AEA2-1FA046B70E08}">
    <text>Standard_message pris
Standard_transfert 
Secrétariat_accueil RDV
Secrétariat_accueil DOCS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3204A-57A7-46C6-AF2D-DC5C44BF7251}">
  <sheetPr codeName="Feuil1"/>
  <dimension ref="A1:W75"/>
  <sheetViews>
    <sheetView tabSelected="1" topLeftCell="P1" workbookViewId="0">
      <selection activeCell="V16" sqref="V16"/>
    </sheetView>
  </sheetViews>
  <sheetFormatPr baseColWidth="10" defaultRowHeight="14.4" x14ac:dyDescent="0.3"/>
  <cols>
    <col min="1" max="1" width="18" customWidth="1"/>
    <col min="2" max="2" width="17.44140625" bestFit="1" customWidth="1"/>
    <col min="3" max="3" width="7.88671875" customWidth="1"/>
    <col min="4" max="4" width="6.88671875" bestFit="1" customWidth="1"/>
    <col min="5" max="5" width="7.33203125" bestFit="1" customWidth="1"/>
    <col min="6" max="6" width="5" bestFit="1" customWidth="1"/>
    <col min="7" max="7" width="9.44140625" bestFit="1" customWidth="1"/>
    <col min="8" max="8" width="9.44140625" customWidth="1"/>
    <col min="9" max="9" width="3" style="28" customWidth="1"/>
    <col min="10" max="10" width="9.33203125" style="3" customWidth="1"/>
    <col min="11" max="11" width="12.109375" style="3" bestFit="1" customWidth="1"/>
    <col min="12" max="12" width="15.44140625" style="3" bestFit="1" customWidth="1"/>
    <col min="13" max="13" width="24.33203125" style="3" customWidth="1"/>
    <col min="14" max="14" width="10.33203125" style="3" bestFit="1" customWidth="1"/>
    <col min="15" max="15" width="12.88671875" style="3" bestFit="1" customWidth="1"/>
    <col min="16" max="16" width="38" bestFit="1" customWidth="1"/>
    <col min="17" max="17" width="45" bestFit="1" customWidth="1"/>
    <col min="18" max="18" width="44.44140625" bestFit="1" customWidth="1"/>
    <col min="19" max="19" width="21.5546875" bestFit="1" customWidth="1"/>
    <col min="20" max="20" width="32" bestFit="1" customWidth="1"/>
  </cols>
  <sheetData>
    <row r="1" spans="1:23" x14ac:dyDescent="0.3">
      <c r="A1" s="27" t="s">
        <v>81</v>
      </c>
      <c r="J1" s="27" t="s">
        <v>84</v>
      </c>
    </row>
    <row r="2" spans="1:23" ht="28.8" x14ac:dyDescent="0.3">
      <c r="A2" s="24" t="s">
        <v>68</v>
      </c>
      <c r="B2" s="24" t="s">
        <v>67</v>
      </c>
      <c r="C2" t="s">
        <v>85</v>
      </c>
      <c r="D2" t="s">
        <v>74</v>
      </c>
      <c r="E2" t="s">
        <v>75</v>
      </c>
      <c r="F2" t="s">
        <v>76</v>
      </c>
      <c r="G2" t="s">
        <v>77</v>
      </c>
      <c r="H2" t="s">
        <v>86</v>
      </c>
      <c r="J2" s="1" t="s">
        <v>82</v>
      </c>
      <c r="K2" s="4" t="s">
        <v>111</v>
      </c>
      <c r="L2" s="5" t="s">
        <v>110</v>
      </c>
      <c r="M2" s="5" t="s">
        <v>108</v>
      </c>
      <c r="N2" s="6" t="s">
        <v>28</v>
      </c>
      <c r="O2" s="1" t="s">
        <v>29</v>
      </c>
      <c r="P2" s="4" t="s">
        <v>83</v>
      </c>
      <c r="Q2" s="30" t="s">
        <v>107</v>
      </c>
      <c r="R2" s="29" t="s">
        <v>143</v>
      </c>
      <c r="S2" s="30" t="s">
        <v>1</v>
      </c>
      <c r="T2" s="31" t="s">
        <v>2</v>
      </c>
      <c r="U2" s="24" t="s">
        <v>109</v>
      </c>
      <c r="V2" s="36" t="s">
        <v>127</v>
      </c>
    </row>
    <row r="3" spans="1:23" x14ac:dyDescent="0.3">
      <c r="A3" s="22" t="s">
        <v>69</v>
      </c>
      <c r="B3" t="s">
        <v>66</v>
      </c>
      <c r="C3" t="s">
        <v>80</v>
      </c>
      <c r="D3">
        <v>150</v>
      </c>
      <c r="E3">
        <v>150</v>
      </c>
      <c r="F3">
        <v>0</v>
      </c>
      <c r="G3" t="s">
        <v>79</v>
      </c>
      <c r="J3" s="2" t="s">
        <v>30</v>
      </c>
      <c r="K3" s="2" t="s">
        <v>31</v>
      </c>
      <c r="L3" s="3" t="s">
        <v>32</v>
      </c>
      <c r="M3" s="3" t="s">
        <v>33</v>
      </c>
      <c r="N3" s="7" t="s">
        <v>198</v>
      </c>
      <c r="O3" s="2" t="s">
        <v>35</v>
      </c>
      <c r="P3" s="25" t="s">
        <v>107</v>
      </c>
      <c r="Q3" s="2" t="s">
        <v>3</v>
      </c>
      <c r="R3" s="3" t="s">
        <v>4</v>
      </c>
      <c r="S3" s="2" t="s">
        <v>5</v>
      </c>
      <c r="T3" s="2" t="s">
        <v>6</v>
      </c>
      <c r="U3" s="2" t="s">
        <v>34</v>
      </c>
      <c r="V3" s="3" t="s">
        <v>116</v>
      </c>
    </row>
    <row r="4" spans="1:23" x14ac:dyDescent="0.3">
      <c r="A4" s="22" t="s">
        <v>70</v>
      </c>
      <c r="B4" s="6" t="s">
        <v>111</v>
      </c>
      <c r="C4" t="s">
        <v>80</v>
      </c>
      <c r="D4">
        <v>150</v>
      </c>
      <c r="E4">
        <v>50</v>
      </c>
      <c r="F4">
        <v>0</v>
      </c>
      <c r="G4" t="s">
        <v>79</v>
      </c>
      <c r="J4" s="2" t="s">
        <v>36</v>
      </c>
      <c r="K4" s="2" t="s">
        <v>37</v>
      </c>
      <c r="L4" s="2" t="s">
        <v>38</v>
      </c>
      <c r="M4" s="3" t="s">
        <v>197</v>
      </c>
      <c r="N4" s="7" t="s">
        <v>199</v>
      </c>
      <c r="O4" s="2" t="s">
        <v>41</v>
      </c>
      <c r="P4" s="25" t="s">
        <v>143</v>
      </c>
      <c r="Q4" s="2" t="s">
        <v>7</v>
      </c>
      <c r="R4" s="3" t="s">
        <v>8</v>
      </c>
      <c r="S4" s="2" t="s">
        <v>102</v>
      </c>
      <c r="T4" s="2" t="s">
        <v>9</v>
      </c>
      <c r="U4" s="2" t="s">
        <v>40</v>
      </c>
      <c r="V4" s="3" t="s">
        <v>115</v>
      </c>
    </row>
    <row r="5" spans="1:23" x14ac:dyDescent="0.3">
      <c r="A5" s="22" t="s">
        <v>71</v>
      </c>
      <c r="B5" s="23" t="s">
        <v>110</v>
      </c>
      <c r="C5" t="s">
        <v>80</v>
      </c>
      <c r="D5">
        <v>150</v>
      </c>
      <c r="E5">
        <v>100</v>
      </c>
      <c r="F5">
        <v>0</v>
      </c>
      <c r="G5" t="s">
        <v>79</v>
      </c>
      <c r="J5" s="2" t="s">
        <v>42</v>
      </c>
      <c r="K5" s="2" t="s">
        <v>43</v>
      </c>
      <c r="L5" s="2" t="s">
        <v>44</v>
      </c>
      <c r="M5" s="3" t="s">
        <v>45</v>
      </c>
      <c r="P5" s="25" t="s">
        <v>1</v>
      </c>
      <c r="Q5" s="2" t="s">
        <v>10</v>
      </c>
      <c r="R5" s="3" t="s">
        <v>99</v>
      </c>
      <c r="S5" s="2" t="s">
        <v>12</v>
      </c>
      <c r="T5" s="2" t="s">
        <v>13</v>
      </c>
      <c r="V5" s="3" t="s">
        <v>117</v>
      </c>
    </row>
    <row r="6" spans="1:23" x14ac:dyDescent="0.3">
      <c r="A6" s="22" t="s">
        <v>72</v>
      </c>
      <c r="B6" t="s">
        <v>28</v>
      </c>
      <c r="C6" t="s">
        <v>80</v>
      </c>
      <c r="D6">
        <v>50</v>
      </c>
      <c r="E6">
        <v>50</v>
      </c>
      <c r="F6">
        <v>0</v>
      </c>
      <c r="G6" t="s">
        <v>79</v>
      </c>
      <c r="J6" s="2" t="s">
        <v>46</v>
      </c>
      <c r="L6" s="2" t="s">
        <v>195</v>
      </c>
      <c r="M6" s="3" t="s">
        <v>48</v>
      </c>
      <c r="O6" s="2"/>
      <c r="P6" s="26" t="s">
        <v>2</v>
      </c>
      <c r="Q6" s="2" t="s">
        <v>14</v>
      </c>
      <c r="R6" s="3" t="s">
        <v>15</v>
      </c>
      <c r="S6" s="2" t="s">
        <v>16</v>
      </c>
      <c r="T6" s="2" t="s">
        <v>103</v>
      </c>
      <c r="V6" s="3" t="s">
        <v>114</v>
      </c>
    </row>
    <row r="7" spans="1:23" x14ac:dyDescent="0.3">
      <c r="A7" s="22" t="s">
        <v>73</v>
      </c>
      <c r="B7" s="23" t="s">
        <v>108</v>
      </c>
      <c r="C7" t="s">
        <v>80</v>
      </c>
      <c r="D7">
        <v>150</v>
      </c>
      <c r="E7">
        <v>100</v>
      </c>
      <c r="F7">
        <v>0</v>
      </c>
      <c r="G7" t="s">
        <v>79</v>
      </c>
      <c r="J7" s="2" t="s">
        <v>52</v>
      </c>
      <c r="K7" s="2"/>
      <c r="L7" s="2" t="s">
        <v>50</v>
      </c>
      <c r="M7" s="3" t="s">
        <v>51</v>
      </c>
      <c r="O7" s="2"/>
      <c r="Q7" s="2" t="s">
        <v>96</v>
      </c>
      <c r="R7" s="3" t="s">
        <v>100</v>
      </c>
      <c r="S7" s="3" t="s">
        <v>95</v>
      </c>
      <c r="T7" s="3" t="s">
        <v>19</v>
      </c>
      <c r="V7" s="3" t="s">
        <v>119</v>
      </c>
      <c r="W7" s="3"/>
    </row>
    <row r="8" spans="1:23" x14ac:dyDescent="0.3">
      <c r="A8" s="22" t="s">
        <v>78</v>
      </c>
      <c r="B8" t="s">
        <v>83</v>
      </c>
      <c r="C8" t="s">
        <v>80</v>
      </c>
      <c r="D8">
        <v>230</v>
      </c>
      <c r="E8">
        <v>70</v>
      </c>
      <c r="F8">
        <v>0</v>
      </c>
      <c r="G8" t="s">
        <v>79</v>
      </c>
      <c r="K8" s="2"/>
      <c r="L8" s="2" t="s">
        <v>196</v>
      </c>
      <c r="M8" s="3" t="s">
        <v>54</v>
      </c>
      <c r="O8" s="2"/>
      <c r="Q8" s="2" t="s">
        <v>97</v>
      </c>
      <c r="R8" s="3" t="s">
        <v>101</v>
      </c>
      <c r="S8" s="3"/>
      <c r="T8" s="2" t="s">
        <v>22</v>
      </c>
      <c r="V8" s="3" t="s">
        <v>200</v>
      </c>
    </row>
    <row r="9" spans="1:23" ht="28.8" x14ac:dyDescent="0.3">
      <c r="A9" s="22" t="s">
        <v>130</v>
      </c>
      <c r="C9" t="s">
        <v>80</v>
      </c>
      <c r="D9">
        <v>270</v>
      </c>
      <c r="E9">
        <v>180</v>
      </c>
      <c r="F9">
        <v>1</v>
      </c>
      <c r="G9" s="32" t="s">
        <v>89</v>
      </c>
      <c r="H9" t="s">
        <v>87</v>
      </c>
      <c r="K9" s="2"/>
      <c r="L9" s="2" t="s">
        <v>27</v>
      </c>
      <c r="M9" s="3" t="s">
        <v>27</v>
      </c>
      <c r="O9" s="2"/>
      <c r="Q9" s="2" t="s">
        <v>98</v>
      </c>
      <c r="R9" s="3" t="s">
        <v>92</v>
      </c>
      <c r="S9" s="3"/>
      <c r="T9" s="2" t="s">
        <v>23</v>
      </c>
      <c r="V9" s="3" t="s">
        <v>120</v>
      </c>
    </row>
    <row r="10" spans="1:23" ht="28.8" x14ac:dyDescent="0.3">
      <c r="A10" s="22" t="s">
        <v>130</v>
      </c>
      <c r="C10" t="s">
        <v>80</v>
      </c>
      <c r="D10">
        <v>270</v>
      </c>
      <c r="E10">
        <v>180</v>
      </c>
      <c r="F10">
        <v>1</v>
      </c>
      <c r="G10" s="32" t="s">
        <v>89</v>
      </c>
      <c r="H10" t="s">
        <v>87</v>
      </c>
      <c r="J10" s="2"/>
      <c r="K10" s="2"/>
      <c r="O10" s="2"/>
      <c r="Q10" s="2" t="s">
        <v>24</v>
      </c>
      <c r="R10" s="2"/>
      <c r="S10" s="2"/>
      <c r="T10" s="2" t="s">
        <v>25</v>
      </c>
      <c r="V10" s="3" t="s">
        <v>118</v>
      </c>
    </row>
    <row r="11" spans="1:23" ht="28.8" x14ac:dyDescent="0.3">
      <c r="A11" s="22" t="s">
        <v>130</v>
      </c>
      <c r="C11" t="s">
        <v>80</v>
      </c>
      <c r="D11">
        <v>270</v>
      </c>
      <c r="E11">
        <v>180</v>
      </c>
      <c r="F11">
        <v>1</v>
      </c>
      <c r="G11" s="32" t="s">
        <v>89</v>
      </c>
      <c r="H11" t="s">
        <v>87</v>
      </c>
      <c r="J11" s="2"/>
      <c r="K11" s="2"/>
      <c r="L11" s="2"/>
      <c r="O11" s="2"/>
      <c r="Q11" s="2" t="s">
        <v>26</v>
      </c>
      <c r="R11" s="2"/>
      <c r="S11" s="2"/>
      <c r="T11" s="2" t="s">
        <v>104</v>
      </c>
      <c r="V11" s="3" t="s">
        <v>122</v>
      </c>
    </row>
    <row r="12" spans="1:23" ht="28.8" x14ac:dyDescent="0.3">
      <c r="A12" s="22" t="s">
        <v>130</v>
      </c>
      <c r="C12" t="s">
        <v>80</v>
      </c>
      <c r="D12">
        <v>270</v>
      </c>
      <c r="E12">
        <v>180</v>
      </c>
      <c r="F12">
        <v>1</v>
      </c>
      <c r="G12" s="32" t="s">
        <v>89</v>
      </c>
      <c r="H12" t="s">
        <v>87</v>
      </c>
      <c r="J12" s="2"/>
      <c r="K12" s="2"/>
      <c r="L12" s="2"/>
      <c r="O12" s="2"/>
      <c r="Q12" s="2" t="s">
        <v>93</v>
      </c>
      <c r="R12" s="2"/>
      <c r="S12" s="2"/>
      <c r="T12" s="3" t="s">
        <v>105</v>
      </c>
      <c r="V12" s="3" t="s">
        <v>123</v>
      </c>
    </row>
    <row r="13" spans="1:23" x14ac:dyDescent="0.3">
      <c r="A13" s="22" t="s">
        <v>129</v>
      </c>
      <c r="B13" s="25" t="s">
        <v>128</v>
      </c>
      <c r="C13" t="s">
        <v>80</v>
      </c>
      <c r="D13">
        <v>50</v>
      </c>
      <c r="E13">
        <v>70</v>
      </c>
      <c r="F13">
        <v>0</v>
      </c>
      <c r="G13" t="s">
        <v>79</v>
      </c>
      <c r="J13" s="2"/>
      <c r="K13" s="2"/>
      <c r="L13" s="2"/>
      <c r="O13" s="2"/>
      <c r="Q13" s="2"/>
      <c r="R13" s="2"/>
      <c r="S13" s="2"/>
      <c r="T13" s="2" t="s">
        <v>94</v>
      </c>
      <c r="V13" s="2" t="s">
        <v>157</v>
      </c>
    </row>
    <row r="14" spans="1:23" ht="28.8" x14ac:dyDescent="0.3">
      <c r="A14" s="22" t="s">
        <v>147</v>
      </c>
      <c r="B14" t="s">
        <v>127</v>
      </c>
      <c r="C14" t="s">
        <v>80</v>
      </c>
      <c r="D14">
        <v>150</v>
      </c>
      <c r="E14">
        <v>170</v>
      </c>
      <c r="F14">
        <v>1</v>
      </c>
      <c r="G14" s="32" t="s">
        <v>89</v>
      </c>
      <c r="J14" s="2"/>
      <c r="K14" s="2"/>
      <c r="L14" s="2"/>
      <c r="O14" s="2"/>
      <c r="V14" s="2" t="s">
        <v>27</v>
      </c>
    </row>
    <row r="15" spans="1:23" x14ac:dyDescent="0.3">
      <c r="A15" s="22" t="s">
        <v>126</v>
      </c>
      <c r="B15" s="25" t="s">
        <v>128</v>
      </c>
      <c r="C15" t="s">
        <v>80</v>
      </c>
      <c r="D15">
        <v>50</v>
      </c>
      <c r="E15">
        <v>70</v>
      </c>
      <c r="F15">
        <v>0</v>
      </c>
      <c r="G15" t="s">
        <v>79</v>
      </c>
      <c r="K15" s="2"/>
      <c r="L15" s="2"/>
      <c r="O15" s="2"/>
    </row>
    <row r="16" spans="1:23" x14ac:dyDescent="0.3">
      <c r="A16" s="22" t="s">
        <v>133</v>
      </c>
      <c r="B16" t="s">
        <v>28</v>
      </c>
      <c r="C16" t="s">
        <v>80</v>
      </c>
      <c r="D16">
        <v>50</v>
      </c>
      <c r="E16">
        <v>50</v>
      </c>
      <c r="F16">
        <v>0</v>
      </c>
      <c r="G16" s="32" t="s">
        <v>79</v>
      </c>
      <c r="O16" s="2"/>
    </row>
    <row r="17" spans="1:15" x14ac:dyDescent="0.3">
      <c r="A17" s="22" t="s">
        <v>148</v>
      </c>
      <c r="B17" t="s">
        <v>109</v>
      </c>
      <c r="C17" t="s">
        <v>80</v>
      </c>
      <c r="D17">
        <v>50</v>
      </c>
      <c r="E17">
        <v>50</v>
      </c>
      <c r="F17">
        <v>0</v>
      </c>
      <c r="G17" s="32" t="s">
        <v>79</v>
      </c>
      <c r="O17" s="2"/>
    </row>
    <row r="18" spans="1:15" x14ac:dyDescent="0.3">
      <c r="J18" s="2"/>
      <c r="K18" s="2"/>
      <c r="L18" s="2"/>
      <c r="N18" s="2"/>
      <c r="O18" s="2"/>
    </row>
    <row r="19" spans="1:15" x14ac:dyDescent="0.3">
      <c r="O19" s="2"/>
    </row>
    <row r="20" spans="1:15" x14ac:dyDescent="0.3">
      <c r="J20" s="2"/>
      <c r="O20" s="2"/>
    </row>
    <row r="21" spans="1:15" x14ac:dyDescent="0.3">
      <c r="J21" s="2"/>
      <c r="O21" s="2"/>
    </row>
    <row r="22" spans="1:15" x14ac:dyDescent="0.3">
      <c r="J22" s="2"/>
    </row>
    <row r="23" spans="1:15" x14ac:dyDescent="0.3">
      <c r="J23" s="2"/>
    </row>
    <row r="24" spans="1:15" x14ac:dyDescent="0.3">
      <c r="J24" s="2"/>
    </row>
    <row r="25" spans="1:15" x14ac:dyDescent="0.3">
      <c r="J25" s="2"/>
      <c r="O25" s="2"/>
    </row>
    <row r="26" spans="1:15" ht="18" x14ac:dyDescent="0.3">
      <c r="J26" s="2"/>
      <c r="N26" s="8"/>
      <c r="O26" s="2"/>
    </row>
    <row r="27" spans="1:15" ht="18" x14ac:dyDescent="0.3">
      <c r="J27" s="2"/>
      <c r="N27" s="8"/>
      <c r="O27" s="2"/>
    </row>
    <row r="28" spans="1:15" ht="18" x14ac:dyDescent="0.3">
      <c r="J28" s="2"/>
      <c r="N28" s="8"/>
      <c r="O28" s="2"/>
    </row>
    <row r="29" spans="1:15" ht="18" x14ac:dyDescent="0.3">
      <c r="J29" s="2"/>
      <c r="N29" s="8"/>
      <c r="O29" s="2"/>
    </row>
    <row r="30" spans="1:15" ht="18" x14ac:dyDescent="0.3">
      <c r="J30" s="2"/>
      <c r="M30" s="2"/>
      <c r="N30" s="8"/>
      <c r="O30" s="2"/>
    </row>
    <row r="31" spans="1:15" ht="18" x14ac:dyDescent="0.3">
      <c r="J31" s="2"/>
      <c r="M31" s="2"/>
      <c r="N31" s="8"/>
      <c r="O31" s="2"/>
    </row>
    <row r="32" spans="1:15" ht="18" x14ac:dyDescent="0.3">
      <c r="J32" s="2"/>
      <c r="M32" s="2"/>
      <c r="N32" s="8"/>
      <c r="O32" s="2"/>
    </row>
    <row r="33" spans="10:15" ht="18" x14ac:dyDescent="0.3">
      <c r="J33" s="2"/>
      <c r="K33" s="2"/>
      <c r="L33" s="2"/>
      <c r="M33" s="2"/>
      <c r="N33" s="8"/>
      <c r="O33" s="2"/>
    </row>
    <row r="34" spans="10:15" x14ac:dyDescent="0.3">
      <c r="J34" s="2"/>
      <c r="K34" s="2"/>
      <c r="L34" s="2"/>
      <c r="M34" s="2"/>
      <c r="O34" s="2"/>
    </row>
    <row r="35" spans="10:15" x14ac:dyDescent="0.3">
      <c r="J35" s="9"/>
      <c r="K35" s="2"/>
      <c r="L35" s="2"/>
      <c r="M35" s="2"/>
      <c r="O35" s="2"/>
    </row>
    <row r="36" spans="10:15" x14ac:dyDescent="0.3">
      <c r="K36" s="2"/>
      <c r="L36" s="2"/>
      <c r="M36" s="2"/>
      <c r="O36" s="2"/>
    </row>
    <row r="37" spans="10:15" x14ac:dyDescent="0.3">
      <c r="K37" s="2"/>
      <c r="L37" s="2"/>
      <c r="M37" s="2"/>
      <c r="N37" s="2"/>
      <c r="O37" s="2"/>
    </row>
    <row r="38" spans="10:15" x14ac:dyDescent="0.3">
      <c r="K38" s="2"/>
      <c r="L38" s="2"/>
      <c r="M38" s="2"/>
      <c r="N38" s="2"/>
      <c r="O38" s="2"/>
    </row>
    <row r="39" spans="10:15" x14ac:dyDescent="0.3">
      <c r="K39" s="2"/>
      <c r="L39" s="2"/>
      <c r="M39" s="2"/>
      <c r="N39" s="2"/>
      <c r="O39" s="2"/>
    </row>
    <row r="40" spans="10:15" x14ac:dyDescent="0.3">
      <c r="K40" s="2"/>
      <c r="L40" s="2"/>
      <c r="M40" s="2"/>
      <c r="N40" s="2"/>
      <c r="O40" s="2"/>
    </row>
    <row r="41" spans="10:15" x14ac:dyDescent="0.3">
      <c r="J41" s="2"/>
      <c r="K41" s="2"/>
      <c r="L41" s="2"/>
      <c r="M41" s="2"/>
      <c r="N41" s="2"/>
      <c r="O41" s="2"/>
    </row>
    <row r="42" spans="10:15" x14ac:dyDescent="0.3">
      <c r="J42" s="2"/>
      <c r="K42" s="2"/>
      <c r="L42" s="2"/>
      <c r="M42" s="2"/>
      <c r="N42" s="2"/>
      <c r="O42" s="2"/>
    </row>
    <row r="43" spans="10:15" x14ac:dyDescent="0.3">
      <c r="J43" s="2"/>
      <c r="K43" s="2"/>
      <c r="L43" s="2"/>
      <c r="M43" s="2"/>
      <c r="N43" s="2"/>
      <c r="O43" s="2"/>
    </row>
    <row r="44" spans="10:15" x14ac:dyDescent="0.3">
      <c r="J44" s="2"/>
      <c r="K44" s="2"/>
      <c r="L44" s="2"/>
      <c r="M44" s="2"/>
      <c r="N44" s="2"/>
      <c r="O44" s="2"/>
    </row>
    <row r="45" spans="10:15" x14ac:dyDescent="0.3">
      <c r="J45" s="2"/>
      <c r="K45" s="2"/>
      <c r="L45" s="2"/>
      <c r="M45" s="2"/>
      <c r="N45" s="2"/>
      <c r="O45" s="2"/>
    </row>
    <row r="46" spans="10:15" x14ac:dyDescent="0.3">
      <c r="J46" s="2"/>
      <c r="K46" s="2"/>
      <c r="L46" s="2"/>
      <c r="M46" s="2"/>
      <c r="N46" s="2"/>
      <c r="O46" s="2"/>
    </row>
    <row r="47" spans="10:15" x14ac:dyDescent="0.3">
      <c r="J47" s="2"/>
      <c r="K47" s="2"/>
      <c r="L47" s="2"/>
      <c r="M47" s="2"/>
      <c r="N47" s="2"/>
      <c r="O47" s="2"/>
    </row>
    <row r="48" spans="10:15" x14ac:dyDescent="0.3">
      <c r="J48" s="2"/>
      <c r="K48" s="2"/>
      <c r="L48" s="2"/>
      <c r="M48" s="2"/>
      <c r="N48" s="2"/>
      <c r="O48" s="2"/>
    </row>
    <row r="49" spans="10:15" x14ac:dyDescent="0.3">
      <c r="J49" s="2"/>
      <c r="K49" s="2"/>
      <c r="L49" s="2"/>
      <c r="M49" s="2"/>
      <c r="N49" s="2"/>
      <c r="O49" s="2"/>
    </row>
    <row r="50" spans="10:15" x14ac:dyDescent="0.3">
      <c r="J50" s="2"/>
      <c r="K50" s="2"/>
      <c r="L50" s="2"/>
      <c r="M50" s="2"/>
      <c r="N50" s="2"/>
      <c r="O50" s="2"/>
    </row>
    <row r="51" spans="10:15" x14ac:dyDescent="0.3">
      <c r="J51" s="2"/>
      <c r="K51" s="2"/>
      <c r="L51" s="2"/>
      <c r="M51" s="2"/>
      <c r="N51" s="2"/>
      <c r="O51" s="2"/>
    </row>
    <row r="52" spans="10:15" x14ac:dyDescent="0.3">
      <c r="J52" s="2"/>
      <c r="K52" s="2"/>
      <c r="L52" s="2"/>
      <c r="M52" s="2"/>
      <c r="N52" s="2"/>
      <c r="O52" s="2"/>
    </row>
    <row r="53" spans="10:15" x14ac:dyDescent="0.3">
      <c r="J53" s="2"/>
      <c r="K53" s="2"/>
      <c r="L53" s="2"/>
      <c r="M53" s="2"/>
      <c r="N53" s="2"/>
      <c r="O53" s="2"/>
    </row>
    <row r="54" spans="10:15" x14ac:dyDescent="0.3">
      <c r="J54" s="2"/>
      <c r="K54" s="2"/>
      <c r="L54" s="2"/>
      <c r="M54" s="2"/>
      <c r="N54" s="2"/>
      <c r="O54" s="2"/>
    </row>
    <row r="55" spans="10:15" x14ac:dyDescent="0.3">
      <c r="J55" s="2"/>
      <c r="K55" s="2"/>
      <c r="L55" s="2"/>
      <c r="M55" s="2"/>
      <c r="N55" s="2"/>
      <c r="O55" s="2"/>
    </row>
    <row r="56" spans="10:15" x14ac:dyDescent="0.3">
      <c r="J56" s="2"/>
      <c r="K56" s="2"/>
      <c r="L56" s="2"/>
      <c r="M56" s="2"/>
      <c r="N56" s="2"/>
      <c r="O56" s="2"/>
    </row>
    <row r="57" spans="10:15" x14ac:dyDescent="0.3">
      <c r="J57" s="2"/>
      <c r="K57" s="2"/>
      <c r="L57" s="2"/>
      <c r="M57" s="2"/>
      <c r="N57" s="2"/>
      <c r="O57" s="2"/>
    </row>
    <row r="58" spans="10:15" x14ac:dyDescent="0.3">
      <c r="J58" s="2"/>
      <c r="K58" s="2"/>
      <c r="L58" s="2"/>
      <c r="M58" s="2"/>
      <c r="N58" s="2"/>
      <c r="O58" s="2"/>
    </row>
    <row r="59" spans="10:15" x14ac:dyDescent="0.3">
      <c r="J59" s="2"/>
      <c r="K59" s="2"/>
      <c r="L59" s="2"/>
      <c r="M59" s="2"/>
      <c r="N59" s="2"/>
      <c r="O59" s="2"/>
    </row>
    <row r="60" spans="10:15" x14ac:dyDescent="0.3">
      <c r="J60" s="2"/>
      <c r="K60" s="2"/>
      <c r="L60" s="2"/>
      <c r="M60" s="2"/>
      <c r="N60" s="2"/>
      <c r="O60" s="2"/>
    </row>
    <row r="61" spans="10:15" x14ac:dyDescent="0.3">
      <c r="J61" s="2"/>
      <c r="K61" s="2"/>
      <c r="L61" s="2"/>
      <c r="M61" s="2"/>
      <c r="N61" s="2"/>
      <c r="O61" s="2"/>
    </row>
    <row r="62" spans="10:15" x14ac:dyDescent="0.3">
      <c r="J62" s="2"/>
      <c r="K62" s="2"/>
      <c r="L62" s="2"/>
      <c r="M62" s="2"/>
      <c r="N62" s="2"/>
      <c r="O62" s="2"/>
    </row>
    <row r="63" spans="10:15" x14ac:dyDescent="0.3">
      <c r="J63" s="2"/>
      <c r="K63" s="2"/>
      <c r="L63" s="2"/>
      <c r="M63" s="2"/>
      <c r="N63" s="2"/>
      <c r="O63" s="2"/>
    </row>
    <row r="64" spans="10:15" x14ac:dyDescent="0.3">
      <c r="J64" s="2"/>
      <c r="K64" s="2"/>
      <c r="L64" s="2"/>
      <c r="M64" s="2"/>
      <c r="N64" s="2"/>
      <c r="O64" s="2"/>
    </row>
    <row r="65" spans="10:15" x14ac:dyDescent="0.3">
      <c r="J65" s="2"/>
      <c r="K65" s="2"/>
      <c r="L65" s="2"/>
      <c r="M65" s="2"/>
      <c r="N65" s="2"/>
      <c r="O65" s="2"/>
    </row>
    <row r="66" spans="10:15" x14ac:dyDescent="0.3">
      <c r="J66" s="2"/>
      <c r="K66" s="2"/>
      <c r="L66" s="2"/>
      <c r="M66" s="2"/>
      <c r="N66" s="2"/>
      <c r="O66" s="2"/>
    </row>
    <row r="67" spans="10:15" x14ac:dyDescent="0.3">
      <c r="J67" s="2"/>
      <c r="K67" s="2"/>
      <c r="L67" s="2"/>
      <c r="M67" s="2"/>
      <c r="N67" s="2"/>
      <c r="O67" s="2"/>
    </row>
    <row r="68" spans="10:15" x14ac:dyDescent="0.3">
      <c r="J68" s="2"/>
      <c r="K68" s="2"/>
      <c r="L68" s="2"/>
      <c r="M68" s="2"/>
      <c r="N68" s="2"/>
      <c r="O68" s="2"/>
    </row>
    <row r="69" spans="10:15" x14ac:dyDescent="0.3">
      <c r="J69" s="2"/>
      <c r="K69" s="2"/>
      <c r="L69" s="2"/>
      <c r="M69" s="2"/>
      <c r="N69" s="2"/>
      <c r="O69" s="2"/>
    </row>
    <row r="70" spans="10:15" x14ac:dyDescent="0.3">
      <c r="J70" s="2"/>
      <c r="K70" s="2"/>
      <c r="L70" s="2"/>
      <c r="M70" s="2"/>
      <c r="N70" s="2"/>
      <c r="O70" s="2"/>
    </row>
    <row r="71" spans="10:15" x14ac:dyDescent="0.3">
      <c r="J71" s="2"/>
      <c r="K71" s="2"/>
      <c r="L71" s="2"/>
      <c r="M71" s="2"/>
      <c r="N71" s="2"/>
      <c r="O71" s="2"/>
    </row>
    <row r="72" spans="10:15" x14ac:dyDescent="0.3">
      <c r="J72" s="2"/>
      <c r="K72" s="2"/>
      <c r="L72" s="2"/>
      <c r="M72" s="2"/>
      <c r="N72" s="2"/>
      <c r="O72" s="2"/>
    </row>
    <row r="73" spans="10:15" x14ac:dyDescent="0.3">
      <c r="J73" s="2"/>
      <c r="K73" s="2"/>
      <c r="L73" s="2"/>
      <c r="M73" s="2"/>
      <c r="N73" s="2"/>
      <c r="O73" s="2"/>
    </row>
    <row r="74" spans="10:15" x14ac:dyDescent="0.3">
      <c r="J74" s="2"/>
      <c r="K74" s="2"/>
      <c r="L74" s="2"/>
      <c r="M74" s="2"/>
      <c r="N74" s="2"/>
      <c r="O74" s="2"/>
    </row>
    <row r="75" spans="10:15" x14ac:dyDescent="0.3">
      <c r="J75" s="2"/>
      <c r="K75" s="2"/>
      <c r="L75" s="2"/>
      <c r="M75" s="2"/>
      <c r="N75" s="2"/>
      <c r="O75" s="2"/>
    </row>
  </sheetData>
  <phoneticPr fontId="15" type="noConversion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10DB63-235A-40C9-818A-985C3E225AEF}">
  <sheetPr codeName="Feuil2"/>
  <dimension ref="A1:AA1003"/>
  <sheetViews>
    <sheetView zoomScale="85" zoomScaleNormal="85" workbookViewId="0">
      <pane xSplit="5" ySplit="1" topLeftCell="N2" activePane="bottomRight" state="frozen"/>
      <selection pane="topRight" activeCell="F1" sqref="F1"/>
      <selection pane="bottomLeft" activeCell="A2" sqref="A2"/>
      <selection pane="bottomRight" activeCell="V5" sqref="V5"/>
    </sheetView>
  </sheetViews>
  <sheetFormatPr baseColWidth="10" defaultRowHeight="14.4" x14ac:dyDescent="0.3"/>
  <cols>
    <col min="1" max="1" width="8.5546875" style="17" bestFit="1" customWidth="1"/>
    <col min="2" max="2" width="8.33203125" style="18" customWidth="1"/>
    <col min="3" max="3" width="9.33203125" style="60" customWidth="1"/>
    <col min="4" max="4" width="10.33203125" style="20" customWidth="1"/>
    <col min="5" max="5" width="9.33203125" style="102" customWidth="1"/>
    <col min="6" max="6" width="10.88671875" style="64" customWidth="1"/>
    <col min="7" max="7" width="11.44140625" style="56" customWidth="1"/>
    <col min="8" max="8" width="8.6640625" style="54" customWidth="1"/>
    <col min="9" max="9" width="13.5546875" style="40" customWidth="1"/>
    <col min="10" max="10" width="22.44140625" style="13" customWidth="1"/>
    <col min="11" max="11" width="25.33203125" style="13" customWidth="1"/>
    <col min="12" max="12" width="38" style="13" customWidth="1"/>
    <col min="13" max="13" width="26.6640625" style="13" customWidth="1"/>
    <col min="14" max="14" width="20.33203125" style="33" customWidth="1"/>
    <col min="15" max="15" width="54.6640625" style="42" customWidth="1"/>
    <col min="16" max="16" width="10.44140625" style="66" customWidth="1"/>
    <col min="17" max="17" width="21.44140625" style="19" customWidth="1"/>
    <col min="18" max="18" width="46.5546875" style="12" customWidth="1"/>
    <col min="19" max="19" width="9.88671875" style="67" customWidth="1"/>
    <col min="20" max="20" width="34.33203125" style="12" customWidth="1"/>
    <col min="21" max="21" width="8.5546875" style="21" customWidth="1"/>
    <col min="22" max="22" width="7.33203125" style="49" customWidth="1"/>
    <col min="23" max="23" width="13.5546875" style="50" customWidth="1"/>
    <col min="24" max="25" width="11.5546875" style="65" customWidth="1"/>
  </cols>
  <sheetData>
    <row r="1" spans="1:27" s="76" customFormat="1" ht="110.4" x14ac:dyDescent="0.3">
      <c r="A1" s="70" t="s">
        <v>55</v>
      </c>
      <c r="B1" s="71" t="s">
        <v>56</v>
      </c>
      <c r="C1" s="57" t="s">
        <v>139</v>
      </c>
      <c r="D1" s="69" t="s">
        <v>140</v>
      </c>
      <c r="E1" s="99" t="s">
        <v>137</v>
      </c>
      <c r="F1" s="61" t="s">
        <v>57</v>
      </c>
      <c r="G1" s="51" t="s">
        <v>58</v>
      </c>
      <c r="H1" s="52" t="s">
        <v>59</v>
      </c>
      <c r="I1" s="72" t="s">
        <v>108</v>
      </c>
      <c r="J1" s="73" t="s">
        <v>138</v>
      </c>
      <c r="K1" s="73" t="s">
        <v>125</v>
      </c>
      <c r="L1" s="77" t="s">
        <v>141</v>
      </c>
      <c r="M1" s="77" t="s">
        <v>142</v>
      </c>
      <c r="N1" s="78" t="s">
        <v>60</v>
      </c>
      <c r="O1" s="81" t="s">
        <v>61</v>
      </c>
      <c r="P1" s="68" t="s">
        <v>136</v>
      </c>
      <c r="Q1" s="79" t="s">
        <v>62</v>
      </c>
      <c r="R1" s="80" t="s">
        <v>88</v>
      </c>
      <c r="S1" s="83" t="s">
        <v>113</v>
      </c>
      <c r="T1" s="74" t="s">
        <v>182</v>
      </c>
      <c r="U1" s="75" t="s">
        <v>63</v>
      </c>
      <c r="V1" s="112" t="s">
        <v>112</v>
      </c>
      <c r="W1" s="84" t="s">
        <v>144</v>
      </c>
      <c r="X1" s="112" t="s">
        <v>145</v>
      </c>
      <c r="Y1" s="112" t="s">
        <v>146</v>
      </c>
    </row>
    <row r="2" spans="1:27" s="19" customFormat="1" ht="28.8" x14ac:dyDescent="0.3">
      <c r="A2" s="10">
        <v>45443</v>
      </c>
      <c r="B2" s="11"/>
      <c r="C2" s="58" t="s">
        <v>42</v>
      </c>
      <c r="D2" s="37"/>
      <c r="E2" s="100" t="s">
        <v>37</v>
      </c>
      <c r="F2" s="62" t="s">
        <v>44</v>
      </c>
      <c r="G2" s="51" t="b">
        <v>1</v>
      </c>
      <c r="H2" s="53"/>
      <c r="I2" s="39" t="s">
        <v>33</v>
      </c>
      <c r="J2" s="47"/>
      <c r="K2" s="47"/>
      <c r="L2" s="47"/>
      <c r="M2" s="47"/>
      <c r="N2" s="46"/>
      <c r="O2" s="41" t="s">
        <v>185</v>
      </c>
      <c r="P2" s="66" t="b">
        <v>1</v>
      </c>
      <c r="Q2" s="48" t="s">
        <v>1</v>
      </c>
      <c r="R2" s="12" t="s">
        <v>134</v>
      </c>
      <c r="S2" s="67"/>
      <c r="T2" s="14" t="s">
        <v>64</v>
      </c>
      <c r="U2" s="45"/>
      <c r="V2" s="108"/>
      <c r="W2" s="109"/>
      <c r="X2" s="110"/>
      <c r="Y2" s="110"/>
      <c r="AA2"/>
    </row>
    <row r="3" spans="1:27" x14ac:dyDescent="0.3">
      <c r="A3" s="10">
        <v>45444</v>
      </c>
      <c r="B3" s="11"/>
      <c r="C3" s="58" t="s">
        <v>52</v>
      </c>
      <c r="D3" s="37" t="s">
        <v>49</v>
      </c>
      <c r="E3" s="100" t="s">
        <v>37</v>
      </c>
      <c r="F3" s="62" t="s">
        <v>38</v>
      </c>
      <c r="G3" s="51"/>
      <c r="I3" s="39" t="s">
        <v>39</v>
      </c>
      <c r="O3" s="42" t="s">
        <v>166</v>
      </c>
      <c r="P3" s="67" t="b">
        <v>1</v>
      </c>
      <c r="Q3" s="48" t="s">
        <v>107</v>
      </c>
      <c r="R3" s="12" t="s">
        <v>3</v>
      </c>
      <c r="S3" s="67" t="s">
        <v>115</v>
      </c>
      <c r="T3" s="12" t="s">
        <v>165</v>
      </c>
      <c r="U3" s="45"/>
      <c r="V3" s="108"/>
      <c r="W3" s="109"/>
      <c r="X3" s="110"/>
      <c r="Y3" s="110"/>
    </row>
    <row r="4" spans="1:27" x14ac:dyDescent="0.3">
      <c r="A4" s="10">
        <v>45448</v>
      </c>
      <c r="B4" s="11"/>
      <c r="C4" s="58" t="s">
        <v>36</v>
      </c>
      <c r="D4" s="37"/>
      <c r="E4" s="100" t="s">
        <v>31</v>
      </c>
      <c r="F4" s="62" t="s">
        <v>44</v>
      </c>
      <c r="G4" s="51" t="b">
        <v>0</v>
      </c>
      <c r="I4" s="39" t="s">
        <v>45</v>
      </c>
      <c r="O4" s="42" t="s">
        <v>184</v>
      </c>
      <c r="P4" s="66" t="b">
        <v>0</v>
      </c>
      <c r="Q4" s="48" t="s">
        <v>143</v>
      </c>
      <c r="R4" s="12" t="s">
        <v>101</v>
      </c>
      <c r="T4" s="12" t="s">
        <v>155</v>
      </c>
      <c r="U4" s="45"/>
      <c r="V4" s="108"/>
      <c r="W4" s="109"/>
      <c r="X4" s="110"/>
      <c r="Y4" s="110"/>
    </row>
    <row r="5" spans="1:27" ht="57.6" x14ac:dyDescent="0.3">
      <c r="A5" s="10">
        <v>45428</v>
      </c>
      <c r="B5" s="11"/>
      <c r="C5" s="58" t="s">
        <v>30</v>
      </c>
      <c r="D5" s="37"/>
      <c r="E5" s="100" t="s">
        <v>37</v>
      </c>
      <c r="F5" s="62" t="s">
        <v>44</v>
      </c>
      <c r="G5" s="51" t="b">
        <v>1</v>
      </c>
      <c r="I5" s="39" t="s">
        <v>33</v>
      </c>
      <c r="O5" s="41" t="s">
        <v>167</v>
      </c>
      <c r="P5" s="66" t="b">
        <v>1</v>
      </c>
      <c r="Q5" s="48" t="s">
        <v>2</v>
      </c>
      <c r="R5" s="12" t="s">
        <v>132</v>
      </c>
      <c r="T5" s="12" t="s">
        <v>154</v>
      </c>
      <c r="U5" s="45"/>
      <c r="V5" s="108" t="s">
        <v>40</v>
      </c>
      <c r="W5" s="109"/>
      <c r="X5" s="110"/>
      <c r="Y5" s="110" t="s">
        <v>35</v>
      </c>
    </row>
    <row r="6" spans="1:27" ht="43.2" x14ac:dyDescent="0.3">
      <c r="A6" s="10">
        <v>45382</v>
      </c>
      <c r="B6" s="11"/>
      <c r="C6" s="58" t="s">
        <v>46</v>
      </c>
      <c r="D6" s="37"/>
      <c r="E6" s="100" t="s">
        <v>43</v>
      </c>
      <c r="F6" s="62" t="s">
        <v>32</v>
      </c>
      <c r="G6" s="55"/>
      <c r="I6" s="39" t="s">
        <v>51</v>
      </c>
      <c r="O6" s="41" t="s">
        <v>168</v>
      </c>
      <c r="P6" s="66" t="b">
        <v>1</v>
      </c>
      <c r="Q6" s="48" t="s">
        <v>2</v>
      </c>
      <c r="R6" s="12" t="s">
        <v>131</v>
      </c>
      <c r="T6" s="12" t="s">
        <v>153</v>
      </c>
      <c r="U6" s="45"/>
      <c r="V6" s="108" t="s">
        <v>40</v>
      </c>
      <c r="W6" s="109"/>
      <c r="X6" s="110"/>
      <c r="Y6" s="110" t="s">
        <v>41</v>
      </c>
    </row>
    <row r="7" spans="1:27" ht="28.8" x14ac:dyDescent="0.3">
      <c r="A7" s="10">
        <v>45437</v>
      </c>
      <c r="B7" s="11"/>
      <c r="C7" s="58" t="s">
        <v>42</v>
      </c>
      <c r="D7" s="37"/>
      <c r="E7" s="100" t="s">
        <v>31</v>
      </c>
      <c r="F7" s="62" t="s">
        <v>32</v>
      </c>
      <c r="G7" s="55"/>
      <c r="I7" s="39" t="s">
        <v>39</v>
      </c>
      <c r="P7" s="67" t="b">
        <v>0</v>
      </c>
      <c r="Q7" s="48" t="s">
        <v>143</v>
      </c>
      <c r="R7" s="12" t="s">
        <v>90</v>
      </c>
      <c r="T7" s="12" t="s">
        <v>158</v>
      </c>
      <c r="U7" s="45"/>
      <c r="V7" s="108"/>
      <c r="W7" s="109"/>
      <c r="X7" s="110"/>
      <c r="Y7" s="110"/>
    </row>
    <row r="8" spans="1:27" ht="27.6" x14ac:dyDescent="0.3">
      <c r="A8" s="10">
        <v>45458</v>
      </c>
      <c r="B8" s="11"/>
      <c r="C8" s="58" t="s">
        <v>36</v>
      </c>
      <c r="D8" s="37"/>
      <c r="E8" s="100" t="s">
        <v>37</v>
      </c>
      <c r="F8" s="62" t="s">
        <v>53</v>
      </c>
      <c r="G8" s="55"/>
      <c r="I8" s="39" t="s">
        <v>48</v>
      </c>
      <c r="O8" s="43"/>
      <c r="P8" s="66" t="b">
        <v>0</v>
      </c>
      <c r="Q8" s="48" t="s">
        <v>107</v>
      </c>
      <c r="R8" s="12" t="s">
        <v>98</v>
      </c>
      <c r="S8" s="82"/>
      <c r="T8" s="12" t="s">
        <v>169</v>
      </c>
      <c r="U8" s="45"/>
      <c r="V8" s="108"/>
      <c r="W8" s="109"/>
      <c r="X8" s="110"/>
      <c r="Y8" s="110"/>
    </row>
    <row r="9" spans="1:27" ht="27.6" x14ac:dyDescent="0.3">
      <c r="A9" s="10">
        <v>45383</v>
      </c>
      <c r="B9" s="11"/>
      <c r="C9" s="58" t="s">
        <v>46</v>
      </c>
      <c r="D9" s="37"/>
      <c r="E9" s="100" t="s">
        <v>37</v>
      </c>
      <c r="F9" s="62" t="s">
        <v>50</v>
      </c>
      <c r="G9" s="55"/>
      <c r="I9" s="39" t="s">
        <v>33</v>
      </c>
      <c r="O9" s="44" t="s">
        <v>183</v>
      </c>
      <c r="P9" s="66" t="b">
        <v>0</v>
      </c>
      <c r="Q9" s="48" t="s">
        <v>2</v>
      </c>
      <c r="R9" s="12" t="s">
        <v>4</v>
      </c>
      <c r="T9" s="12" t="s">
        <v>151</v>
      </c>
      <c r="U9" s="45"/>
      <c r="V9" s="108" t="s">
        <v>34</v>
      </c>
      <c r="W9" s="109" t="b">
        <v>1</v>
      </c>
      <c r="X9" s="110" t="s">
        <v>41</v>
      </c>
      <c r="Y9" s="110" t="s">
        <v>41</v>
      </c>
    </row>
    <row r="10" spans="1:27" ht="28.8" x14ac:dyDescent="0.3">
      <c r="A10" s="10">
        <v>45440</v>
      </c>
      <c r="B10" s="11"/>
      <c r="C10" s="58" t="s">
        <v>42</v>
      </c>
      <c r="D10" s="37"/>
      <c r="E10" s="100" t="s">
        <v>31</v>
      </c>
      <c r="F10" s="62" t="s">
        <v>47</v>
      </c>
      <c r="G10" s="55"/>
      <c r="I10" s="39" t="s">
        <v>54</v>
      </c>
      <c r="O10" s="43" t="s">
        <v>65</v>
      </c>
      <c r="P10" s="66" t="b">
        <v>1</v>
      </c>
      <c r="Q10" s="48" t="s">
        <v>107</v>
      </c>
      <c r="R10" s="12" t="s">
        <v>7</v>
      </c>
      <c r="S10" s="82" t="s">
        <v>135</v>
      </c>
      <c r="U10" s="45"/>
      <c r="V10" s="108"/>
      <c r="W10" s="109"/>
      <c r="X10" s="110"/>
      <c r="Y10" s="110"/>
    </row>
    <row r="11" spans="1:27" ht="28.8" x14ac:dyDescent="0.3">
      <c r="A11" s="10">
        <v>45384</v>
      </c>
      <c r="B11" s="11"/>
      <c r="C11" s="58" t="s">
        <v>30</v>
      </c>
      <c r="D11" s="37"/>
      <c r="E11" s="100" t="s">
        <v>31</v>
      </c>
      <c r="F11" s="62" t="s">
        <v>38</v>
      </c>
      <c r="G11" s="55"/>
      <c r="I11" s="39" t="s">
        <v>39</v>
      </c>
      <c r="O11" s="41"/>
      <c r="P11" s="66" t="b">
        <v>0</v>
      </c>
      <c r="Q11" s="48" t="s">
        <v>1</v>
      </c>
      <c r="R11" s="12" t="s">
        <v>91</v>
      </c>
      <c r="T11" s="12" t="s">
        <v>152</v>
      </c>
      <c r="U11" s="45"/>
      <c r="V11" s="108"/>
      <c r="W11" s="109"/>
      <c r="X11" s="110"/>
      <c r="Y11" s="110"/>
    </row>
    <row r="12" spans="1:27" x14ac:dyDescent="0.3">
      <c r="A12" s="10">
        <v>45461</v>
      </c>
      <c r="B12" s="11"/>
      <c r="C12" s="58" t="s">
        <v>46</v>
      </c>
      <c r="D12" s="37"/>
      <c r="E12" s="100" t="s">
        <v>43</v>
      </c>
      <c r="F12" s="62" t="s">
        <v>44</v>
      </c>
      <c r="G12" s="51" t="b">
        <v>0</v>
      </c>
      <c r="I12" s="39" t="s">
        <v>39</v>
      </c>
      <c r="P12" s="66" t="b">
        <v>1</v>
      </c>
      <c r="Q12" s="48" t="s">
        <v>107</v>
      </c>
      <c r="R12" s="12" t="s">
        <v>10</v>
      </c>
      <c r="S12" s="67" t="s">
        <v>121</v>
      </c>
      <c r="U12" s="45"/>
      <c r="V12" s="108"/>
      <c r="W12" s="109"/>
      <c r="X12" s="110"/>
      <c r="Y12" s="110"/>
    </row>
    <row r="13" spans="1:27" ht="28.8" x14ac:dyDescent="0.3">
      <c r="A13" s="10">
        <v>45394</v>
      </c>
      <c r="B13" s="11"/>
      <c r="C13" s="58" t="s">
        <v>30</v>
      </c>
      <c r="D13" s="37"/>
      <c r="E13" s="100" t="s">
        <v>37</v>
      </c>
      <c r="F13" s="62" t="s">
        <v>44</v>
      </c>
      <c r="G13" s="51" t="b">
        <v>1</v>
      </c>
      <c r="I13" s="39" t="s">
        <v>39</v>
      </c>
      <c r="P13" s="66" t="b">
        <v>0</v>
      </c>
      <c r="Q13" s="48" t="s">
        <v>2</v>
      </c>
      <c r="R13" s="12" t="s">
        <v>162</v>
      </c>
      <c r="S13" s="82"/>
      <c r="T13" s="12" t="s">
        <v>163</v>
      </c>
      <c r="U13" s="45"/>
      <c r="V13" s="108" t="s">
        <v>40</v>
      </c>
      <c r="W13" s="109"/>
      <c r="X13" s="110"/>
      <c r="Y13" s="110" t="s">
        <v>35</v>
      </c>
    </row>
    <row r="14" spans="1:27" ht="28.8" x14ac:dyDescent="0.3">
      <c r="A14" s="10">
        <v>45468</v>
      </c>
      <c r="B14" s="11"/>
      <c r="C14" s="58" t="s">
        <v>52</v>
      </c>
      <c r="D14" s="37" t="s">
        <v>157</v>
      </c>
      <c r="E14" s="100" t="s">
        <v>37</v>
      </c>
      <c r="F14" s="62" t="s">
        <v>44</v>
      </c>
      <c r="G14" s="51" t="b">
        <v>1</v>
      </c>
      <c r="I14" s="39" t="s">
        <v>54</v>
      </c>
      <c r="P14" s="66" t="b">
        <v>1</v>
      </c>
      <c r="Q14" s="48" t="s">
        <v>1</v>
      </c>
      <c r="R14" s="12" t="s">
        <v>134</v>
      </c>
      <c r="T14" s="12" t="s">
        <v>149</v>
      </c>
      <c r="U14" s="45"/>
      <c r="V14" s="108"/>
      <c r="W14" s="109"/>
      <c r="X14" s="110"/>
      <c r="Y14" s="110"/>
    </row>
    <row r="15" spans="1:27" ht="27.6" x14ac:dyDescent="0.3">
      <c r="A15" s="10">
        <v>45461</v>
      </c>
      <c r="B15" s="11"/>
      <c r="C15" s="58" t="s">
        <v>30</v>
      </c>
      <c r="D15" s="37"/>
      <c r="E15" s="100" t="s">
        <v>37</v>
      </c>
      <c r="F15" s="62" t="s">
        <v>44</v>
      </c>
      <c r="G15" s="51" t="b">
        <v>0</v>
      </c>
      <c r="I15" s="39" t="s">
        <v>33</v>
      </c>
      <c r="P15" s="66" t="b">
        <v>0</v>
      </c>
      <c r="Q15" s="48" t="s">
        <v>107</v>
      </c>
      <c r="R15" s="12" t="s">
        <v>10</v>
      </c>
      <c r="S15" s="67" t="s">
        <v>116</v>
      </c>
      <c r="U15" s="45"/>
      <c r="V15" s="108"/>
      <c r="W15" s="109"/>
      <c r="X15" s="110"/>
      <c r="Y15" s="110"/>
    </row>
    <row r="16" spans="1:27" ht="43.2" x14ac:dyDescent="0.3">
      <c r="A16" s="10">
        <v>45470</v>
      </c>
      <c r="B16" s="11"/>
      <c r="C16" s="58" t="s">
        <v>36</v>
      </c>
      <c r="D16" s="37"/>
      <c r="E16" s="100" t="s">
        <v>31</v>
      </c>
      <c r="F16" s="62" t="s">
        <v>44</v>
      </c>
      <c r="G16" s="55" t="b">
        <v>1</v>
      </c>
      <c r="I16" s="39" t="s">
        <v>39</v>
      </c>
      <c r="P16" s="66" t="b">
        <v>0</v>
      </c>
      <c r="Q16" s="48" t="s">
        <v>2</v>
      </c>
      <c r="R16" s="12" t="s">
        <v>124</v>
      </c>
      <c r="T16" s="12" t="s">
        <v>150</v>
      </c>
      <c r="U16" s="45"/>
      <c r="V16" s="108" t="s">
        <v>34</v>
      </c>
      <c r="W16" s="109" t="b">
        <v>1</v>
      </c>
      <c r="X16" s="111" t="s">
        <v>35</v>
      </c>
      <c r="Y16" s="111" t="s">
        <v>41</v>
      </c>
    </row>
    <row r="17" spans="1:25" x14ac:dyDescent="0.3">
      <c r="A17" s="10">
        <v>45443</v>
      </c>
      <c r="B17" s="11"/>
      <c r="C17" s="58" t="s">
        <v>36</v>
      </c>
      <c r="D17" s="37"/>
      <c r="E17" s="100" t="s">
        <v>31</v>
      </c>
      <c r="F17" s="62" t="s">
        <v>44</v>
      </c>
      <c r="G17" s="55" t="b">
        <v>1</v>
      </c>
      <c r="I17" s="39" t="s">
        <v>45</v>
      </c>
      <c r="P17" s="66" t="b">
        <v>0</v>
      </c>
      <c r="Q17" s="48" t="s">
        <v>107</v>
      </c>
      <c r="R17" s="12" t="s">
        <v>96</v>
      </c>
      <c r="T17" s="12" t="s">
        <v>160</v>
      </c>
      <c r="U17" s="45"/>
      <c r="V17" s="108"/>
      <c r="W17" s="109"/>
      <c r="X17" s="111"/>
      <c r="Y17" s="111"/>
    </row>
    <row r="18" spans="1:25" ht="27.6" x14ac:dyDescent="0.3">
      <c r="A18" s="10">
        <v>45395</v>
      </c>
      <c r="B18" s="11"/>
      <c r="C18" s="58" t="s">
        <v>42</v>
      </c>
      <c r="D18" s="37"/>
      <c r="E18" s="100" t="s">
        <v>31</v>
      </c>
      <c r="F18" s="62" t="s">
        <v>44</v>
      </c>
      <c r="G18" s="55" t="b">
        <v>0</v>
      </c>
      <c r="I18" s="39" t="s">
        <v>33</v>
      </c>
      <c r="P18" s="66" t="b">
        <v>0</v>
      </c>
      <c r="Q18" s="48" t="s">
        <v>107</v>
      </c>
      <c r="R18" s="12" t="s">
        <v>14</v>
      </c>
      <c r="S18" s="67" t="s">
        <v>117</v>
      </c>
      <c r="T18" s="12" t="s">
        <v>164</v>
      </c>
      <c r="U18" s="45"/>
      <c r="V18" s="108"/>
      <c r="W18" s="109"/>
      <c r="X18" s="111"/>
      <c r="Y18" s="111"/>
    </row>
    <row r="19" spans="1:25" x14ac:dyDescent="0.3">
      <c r="A19" s="10">
        <v>45412</v>
      </c>
      <c r="B19" s="11"/>
      <c r="C19" s="58" t="s">
        <v>42</v>
      </c>
      <c r="D19" s="37"/>
      <c r="E19" s="100" t="s">
        <v>31</v>
      </c>
      <c r="F19" s="62" t="s">
        <v>38</v>
      </c>
      <c r="G19" s="55"/>
      <c r="I19" s="39" t="s">
        <v>27</v>
      </c>
      <c r="P19" s="66" t="b">
        <v>0</v>
      </c>
      <c r="Q19" s="48" t="s">
        <v>107</v>
      </c>
      <c r="R19" s="12" t="s">
        <v>97</v>
      </c>
      <c r="T19" s="12" t="s">
        <v>161</v>
      </c>
      <c r="U19" s="45"/>
      <c r="V19" s="108"/>
      <c r="W19" s="109"/>
      <c r="X19" s="111"/>
      <c r="Y19" s="111"/>
    </row>
    <row r="20" spans="1:25" ht="28.8" x14ac:dyDescent="0.3">
      <c r="A20" s="10">
        <v>45398</v>
      </c>
      <c r="B20" s="11"/>
      <c r="C20" s="58" t="s">
        <v>30</v>
      </c>
      <c r="D20" s="37"/>
      <c r="E20" s="100" t="s">
        <v>37</v>
      </c>
      <c r="F20" s="62" t="s">
        <v>50</v>
      </c>
      <c r="G20" s="55"/>
      <c r="I20" s="39" t="s">
        <v>48</v>
      </c>
      <c r="P20" s="66" t="b">
        <v>1</v>
      </c>
      <c r="Q20" s="48" t="s">
        <v>107</v>
      </c>
      <c r="R20" s="12" t="s">
        <v>24</v>
      </c>
      <c r="T20" s="12" t="s">
        <v>159</v>
      </c>
      <c r="U20" s="45"/>
      <c r="V20" s="108"/>
      <c r="W20" s="109"/>
      <c r="X20" s="111"/>
      <c r="Y20" s="111"/>
    </row>
    <row r="21" spans="1:25" ht="43.2" x14ac:dyDescent="0.3">
      <c r="A21" s="10"/>
      <c r="B21" s="11"/>
      <c r="C21" s="58" t="s">
        <v>52</v>
      </c>
      <c r="D21" s="37"/>
      <c r="E21" s="100"/>
      <c r="F21" s="62" t="s">
        <v>44</v>
      </c>
      <c r="G21" s="55">
        <v>0</v>
      </c>
      <c r="I21" s="39" t="s">
        <v>51</v>
      </c>
      <c r="P21" s="66" t="b">
        <v>1</v>
      </c>
      <c r="Q21" s="48" t="s">
        <v>2</v>
      </c>
      <c r="R21" s="12" t="s">
        <v>186</v>
      </c>
      <c r="U21" s="45"/>
      <c r="V21" s="108" t="s">
        <v>34</v>
      </c>
      <c r="W21" s="109" t="b">
        <v>1</v>
      </c>
      <c r="X21" s="111" t="s">
        <v>41</v>
      </c>
      <c r="Y21" s="111" t="s">
        <v>35</v>
      </c>
    </row>
    <row r="22" spans="1:25" x14ac:dyDescent="0.3">
      <c r="A22" s="10"/>
      <c r="B22" s="11"/>
      <c r="C22" s="58" t="s">
        <v>30</v>
      </c>
      <c r="D22" s="37"/>
      <c r="E22" s="100"/>
      <c r="F22" s="62"/>
      <c r="G22" s="55"/>
      <c r="I22" s="39"/>
      <c r="Q22" s="48" t="s">
        <v>107</v>
      </c>
      <c r="R22" s="12" t="s">
        <v>26</v>
      </c>
      <c r="S22" s="82"/>
      <c r="U22" s="45"/>
      <c r="V22" s="108"/>
      <c r="W22" s="109"/>
      <c r="X22" s="111"/>
      <c r="Y22" s="111"/>
    </row>
    <row r="23" spans="1:25" x14ac:dyDescent="0.3">
      <c r="A23" s="10"/>
      <c r="B23" s="11"/>
      <c r="C23" s="58"/>
      <c r="D23" s="37"/>
      <c r="E23" s="100"/>
      <c r="F23" s="62"/>
      <c r="G23" s="55"/>
      <c r="I23" s="39"/>
      <c r="Q23" s="48" t="s">
        <v>107</v>
      </c>
      <c r="R23" s="12" t="s">
        <v>3</v>
      </c>
      <c r="U23" s="45"/>
      <c r="V23" s="108"/>
      <c r="W23" s="109"/>
      <c r="X23" s="111"/>
      <c r="Y23" s="111"/>
    </row>
    <row r="24" spans="1:25" x14ac:dyDescent="0.3">
      <c r="A24" s="10"/>
      <c r="B24" s="11"/>
      <c r="C24" s="58" t="s">
        <v>36</v>
      </c>
      <c r="D24" s="37"/>
      <c r="E24" s="100"/>
      <c r="F24" s="62"/>
      <c r="G24" s="55"/>
      <c r="I24" s="39"/>
      <c r="Q24" s="48" t="s">
        <v>107</v>
      </c>
      <c r="R24" s="12" t="s">
        <v>10</v>
      </c>
      <c r="U24" s="45"/>
      <c r="V24" s="108"/>
      <c r="W24" s="109"/>
      <c r="X24" s="111"/>
      <c r="Y24" s="111"/>
    </row>
    <row r="25" spans="1:25" x14ac:dyDescent="0.3">
      <c r="A25" s="10"/>
      <c r="B25" s="11"/>
      <c r="C25" s="58"/>
      <c r="D25" s="37"/>
      <c r="E25" s="100"/>
      <c r="F25" s="62"/>
      <c r="G25" s="55"/>
      <c r="I25" s="39"/>
      <c r="Q25" s="48" t="s">
        <v>107</v>
      </c>
      <c r="R25" s="12" t="s">
        <v>7</v>
      </c>
      <c r="U25" s="45"/>
      <c r="V25" s="108"/>
      <c r="W25" s="109"/>
      <c r="X25" s="111"/>
      <c r="Y25" s="111"/>
    </row>
    <row r="26" spans="1:25" x14ac:dyDescent="0.3">
      <c r="A26" s="10"/>
      <c r="B26" s="11"/>
      <c r="C26" s="58"/>
      <c r="D26" s="37"/>
      <c r="E26" s="100"/>
      <c r="F26" s="62"/>
      <c r="G26" s="55"/>
      <c r="I26" s="39"/>
      <c r="Q26" s="48" t="s">
        <v>107</v>
      </c>
      <c r="R26" s="12" t="s">
        <v>14</v>
      </c>
      <c r="S26" s="82"/>
      <c r="U26" s="45"/>
      <c r="V26" s="108"/>
      <c r="W26" s="109"/>
      <c r="X26" s="111"/>
      <c r="Y26" s="111"/>
    </row>
    <row r="27" spans="1:25" x14ac:dyDescent="0.3">
      <c r="A27" s="10"/>
      <c r="B27" s="11"/>
      <c r="C27" s="58" t="s">
        <v>42</v>
      </c>
      <c r="D27" s="37"/>
      <c r="E27" s="100"/>
      <c r="F27" s="62"/>
      <c r="G27" s="55"/>
      <c r="I27" s="39"/>
      <c r="Q27" s="48" t="s">
        <v>107</v>
      </c>
      <c r="R27" s="12" t="s">
        <v>96</v>
      </c>
      <c r="U27" s="45"/>
      <c r="V27" s="108"/>
      <c r="W27" s="109"/>
      <c r="X27" s="111"/>
      <c r="Y27" s="111"/>
    </row>
    <row r="28" spans="1:25" x14ac:dyDescent="0.3">
      <c r="A28" s="10"/>
      <c r="B28" s="11"/>
      <c r="C28" s="58"/>
      <c r="D28" s="37"/>
      <c r="E28" s="100"/>
      <c r="F28" s="62"/>
      <c r="G28" s="55"/>
      <c r="I28" s="39"/>
      <c r="Q28" s="48" t="s">
        <v>107</v>
      </c>
      <c r="R28" s="12" t="s">
        <v>97</v>
      </c>
      <c r="U28" s="45"/>
      <c r="V28" s="108"/>
      <c r="W28" s="109"/>
      <c r="X28" s="111"/>
      <c r="Y28" s="111"/>
    </row>
    <row r="29" spans="1:25" x14ac:dyDescent="0.3">
      <c r="A29" s="10"/>
      <c r="B29" s="11"/>
      <c r="C29" s="58" t="s">
        <v>46</v>
      </c>
      <c r="D29" s="37"/>
      <c r="E29" s="100"/>
      <c r="F29" s="62"/>
      <c r="G29" s="55"/>
      <c r="I29" s="39"/>
      <c r="Q29" s="48" t="s">
        <v>107</v>
      </c>
      <c r="R29" s="12" t="s">
        <v>98</v>
      </c>
      <c r="U29" s="45"/>
      <c r="V29" s="108"/>
      <c r="W29" s="109"/>
      <c r="X29" s="111"/>
      <c r="Y29" s="111"/>
    </row>
    <row r="30" spans="1:25" ht="28.8" x14ac:dyDescent="0.3">
      <c r="A30" s="10"/>
      <c r="B30" s="11"/>
      <c r="C30" s="58"/>
      <c r="D30" s="37"/>
      <c r="E30" s="100"/>
      <c r="F30" s="62"/>
      <c r="G30" s="55"/>
      <c r="I30" s="39"/>
      <c r="Q30" s="48" t="s">
        <v>107</v>
      </c>
      <c r="R30" s="12" t="s">
        <v>24</v>
      </c>
      <c r="U30" s="45"/>
      <c r="V30" s="108"/>
      <c r="W30" s="109"/>
      <c r="X30" s="111"/>
      <c r="Y30" s="111"/>
    </row>
    <row r="31" spans="1:25" x14ac:dyDescent="0.3">
      <c r="A31" s="10"/>
      <c r="B31" s="11"/>
      <c r="C31" s="58"/>
      <c r="D31" s="37"/>
      <c r="E31" s="100"/>
      <c r="F31" s="62"/>
      <c r="G31" s="55"/>
      <c r="I31" s="39"/>
      <c r="Q31" s="48" t="s">
        <v>107</v>
      </c>
      <c r="R31" s="12" t="s">
        <v>26</v>
      </c>
      <c r="U31" s="45"/>
      <c r="V31" s="108"/>
      <c r="W31" s="109"/>
      <c r="X31" s="111"/>
      <c r="Y31" s="111"/>
    </row>
    <row r="32" spans="1:25" x14ac:dyDescent="0.3">
      <c r="A32" s="10"/>
      <c r="B32" s="11"/>
      <c r="C32" s="58"/>
      <c r="D32" s="37"/>
      <c r="E32" s="100"/>
      <c r="F32" s="62"/>
      <c r="G32" s="55"/>
      <c r="I32" s="39"/>
      <c r="Q32" s="48" t="s">
        <v>107</v>
      </c>
      <c r="R32" s="12" t="s">
        <v>93</v>
      </c>
      <c r="U32" s="45"/>
      <c r="V32" s="108"/>
      <c r="W32" s="109"/>
      <c r="X32" s="111"/>
      <c r="Y32" s="111"/>
    </row>
    <row r="33" spans="1:25" x14ac:dyDescent="0.3">
      <c r="A33" s="10"/>
      <c r="B33" s="11"/>
      <c r="C33" s="58"/>
      <c r="D33" s="37"/>
      <c r="E33" s="100"/>
      <c r="F33" s="62"/>
      <c r="G33" s="55"/>
      <c r="I33" s="39"/>
      <c r="Q33" s="48"/>
      <c r="U33" s="45"/>
      <c r="V33" s="108"/>
      <c r="W33" s="109"/>
      <c r="X33" s="111"/>
      <c r="Y33" s="111"/>
    </row>
    <row r="34" spans="1:25" x14ac:dyDescent="0.3">
      <c r="A34" s="10"/>
      <c r="B34" s="11"/>
      <c r="C34" s="58"/>
      <c r="D34" s="37"/>
      <c r="E34" s="100"/>
      <c r="F34" s="62"/>
      <c r="G34" s="55"/>
      <c r="I34" s="39"/>
      <c r="Q34" s="48"/>
      <c r="U34" s="45"/>
      <c r="V34" s="108"/>
      <c r="W34" s="109"/>
      <c r="X34" s="111"/>
      <c r="Y34" s="111"/>
    </row>
    <row r="35" spans="1:25" x14ac:dyDescent="0.3">
      <c r="A35" s="10"/>
      <c r="B35" s="11"/>
      <c r="C35" s="58"/>
      <c r="D35" s="37"/>
      <c r="E35" s="100"/>
      <c r="F35" s="62"/>
      <c r="G35" s="55"/>
      <c r="I35" s="39"/>
      <c r="Q35" s="48"/>
      <c r="U35" s="45"/>
      <c r="V35" s="108"/>
      <c r="W35" s="109"/>
      <c r="X35" s="111"/>
      <c r="Y35" s="111"/>
    </row>
    <row r="36" spans="1:25" x14ac:dyDescent="0.3">
      <c r="A36" s="10"/>
      <c r="B36" s="11"/>
      <c r="C36" s="58"/>
      <c r="D36" s="37"/>
      <c r="E36" s="100"/>
      <c r="F36" s="62"/>
      <c r="G36" s="55"/>
      <c r="I36" s="39"/>
      <c r="Q36" s="48"/>
      <c r="U36" s="45"/>
      <c r="V36" s="108"/>
      <c r="W36" s="109"/>
      <c r="X36" s="111"/>
      <c r="Y36" s="111"/>
    </row>
    <row r="37" spans="1:25" x14ac:dyDescent="0.3">
      <c r="A37" s="10"/>
      <c r="B37" s="11"/>
      <c r="C37" s="58"/>
      <c r="D37" s="37"/>
      <c r="E37" s="100"/>
      <c r="F37" s="62"/>
      <c r="G37" s="55"/>
      <c r="I37" s="39"/>
      <c r="Q37" s="48"/>
      <c r="U37" s="45"/>
      <c r="V37" s="108"/>
      <c r="W37" s="109"/>
      <c r="X37" s="111"/>
      <c r="Y37" s="111"/>
    </row>
    <row r="38" spans="1:25" x14ac:dyDescent="0.3">
      <c r="A38" s="10"/>
      <c r="B38" s="11"/>
      <c r="C38" s="58"/>
      <c r="D38" s="37"/>
      <c r="E38" s="100"/>
      <c r="F38" s="62"/>
      <c r="G38" s="55"/>
      <c r="I38" s="39"/>
      <c r="Q38" s="48"/>
      <c r="U38" s="45"/>
      <c r="V38" s="108"/>
      <c r="W38" s="109"/>
      <c r="X38" s="111"/>
      <c r="Y38" s="111"/>
    </row>
    <row r="39" spans="1:25" x14ac:dyDescent="0.3">
      <c r="A39" s="10"/>
      <c r="B39" s="11"/>
      <c r="C39" s="58"/>
      <c r="D39" s="37"/>
      <c r="E39" s="100"/>
      <c r="F39" s="62"/>
      <c r="G39" s="55"/>
      <c r="I39" s="39"/>
      <c r="Q39" s="48"/>
      <c r="U39" s="45"/>
      <c r="V39" s="108"/>
      <c r="W39" s="109"/>
      <c r="X39" s="111"/>
      <c r="Y39" s="111"/>
    </row>
    <row r="40" spans="1:25" x14ac:dyDescent="0.3">
      <c r="A40" s="10"/>
      <c r="B40" s="11"/>
      <c r="C40" s="58"/>
      <c r="D40" s="37"/>
      <c r="E40" s="100"/>
      <c r="F40" s="62"/>
      <c r="G40" s="55"/>
      <c r="I40" s="39"/>
      <c r="Q40" s="48"/>
      <c r="U40" s="45"/>
      <c r="V40" s="108"/>
      <c r="W40" s="109"/>
      <c r="X40" s="111"/>
      <c r="Y40" s="111"/>
    </row>
    <row r="41" spans="1:25" x14ac:dyDescent="0.3">
      <c r="A41" s="10"/>
      <c r="B41" s="11"/>
      <c r="C41" s="58"/>
      <c r="D41" s="37"/>
      <c r="E41" s="100"/>
      <c r="F41" s="62"/>
      <c r="G41" s="55"/>
      <c r="I41" s="39"/>
      <c r="Q41" s="48"/>
      <c r="U41" s="45"/>
      <c r="V41" s="108"/>
      <c r="W41" s="109"/>
      <c r="X41" s="111"/>
      <c r="Y41" s="111"/>
    </row>
    <row r="42" spans="1:25" x14ac:dyDescent="0.3">
      <c r="A42" s="10"/>
      <c r="B42" s="11"/>
      <c r="C42" s="58"/>
      <c r="D42" s="37"/>
      <c r="E42" s="100"/>
      <c r="F42" s="62"/>
      <c r="G42" s="55"/>
      <c r="I42" s="39"/>
      <c r="Q42" s="48"/>
      <c r="U42" s="45"/>
      <c r="V42" s="108"/>
      <c r="W42" s="109"/>
      <c r="X42" s="111"/>
      <c r="Y42" s="111"/>
    </row>
    <row r="43" spans="1:25" x14ac:dyDescent="0.3">
      <c r="A43" s="10"/>
      <c r="B43" s="11"/>
      <c r="C43" s="58"/>
      <c r="D43" s="37"/>
      <c r="E43" s="100"/>
      <c r="F43" s="62"/>
      <c r="G43" s="55"/>
      <c r="I43" s="39"/>
      <c r="Q43" s="48"/>
      <c r="U43" s="45"/>
      <c r="V43" s="108"/>
      <c r="W43" s="109"/>
      <c r="X43" s="111"/>
      <c r="Y43" s="111"/>
    </row>
    <row r="44" spans="1:25" x14ac:dyDescent="0.3">
      <c r="A44" s="10"/>
      <c r="B44" s="11"/>
      <c r="C44" s="58"/>
      <c r="D44" s="37"/>
      <c r="E44" s="100"/>
      <c r="F44" s="62"/>
      <c r="G44" s="55"/>
      <c r="I44" s="39"/>
      <c r="Q44" s="48"/>
      <c r="U44" s="45"/>
      <c r="V44" s="108"/>
      <c r="W44" s="109"/>
      <c r="X44" s="111"/>
      <c r="Y44" s="111"/>
    </row>
    <row r="45" spans="1:25" x14ac:dyDescent="0.3">
      <c r="A45" s="10"/>
      <c r="B45" s="11"/>
      <c r="C45" s="58"/>
      <c r="D45" s="37"/>
      <c r="E45" s="100"/>
      <c r="F45" s="62"/>
      <c r="G45" s="55"/>
      <c r="I45" s="39"/>
      <c r="Q45" s="48"/>
      <c r="U45" s="45"/>
      <c r="V45" s="108"/>
      <c r="W45" s="109"/>
      <c r="X45" s="111"/>
      <c r="Y45" s="111"/>
    </row>
    <row r="46" spans="1:25" x14ac:dyDescent="0.3">
      <c r="A46" s="10"/>
      <c r="B46" s="11"/>
      <c r="C46" s="58"/>
      <c r="D46" s="37"/>
      <c r="E46" s="100"/>
      <c r="F46" s="62"/>
      <c r="G46" s="55"/>
      <c r="I46" s="39"/>
      <c r="Q46" s="48"/>
      <c r="U46" s="45"/>
      <c r="V46" s="108"/>
      <c r="W46" s="109"/>
      <c r="X46" s="111"/>
      <c r="Y46" s="111"/>
    </row>
    <row r="47" spans="1:25" x14ac:dyDescent="0.3">
      <c r="A47" s="10"/>
      <c r="B47" s="11"/>
      <c r="C47" s="58"/>
      <c r="D47" s="37"/>
      <c r="E47" s="100"/>
      <c r="F47" s="62"/>
      <c r="G47" s="55"/>
      <c r="I47" s="39"/>
      <c r="Q47" s="48"/>
      <c r="U47" s="45"/>
      <c r="V47" s="108"/>
      <c r="W47" s="109"/>
      <c r="X47" s="111"/>
      <c r="Y47" s="111"/>
    </row>
    <row r="48" spans="1:25" x14ac:dyDescent="0.3">
      <c r="A48" s="10"/>
      <c r="B48" s="11"/>
      <c r="C48" s="58"/>
      <c r="D48" s="37"/>
      <c r="E48" s="100"/>
      <c r="F48" s="62"/>
      <c r="G48" s="55"/>
      <c r="I48" s="39"/>
      <c r="Q48" s="48"/>
      <c r="U48" s="45"/>
      <c r="V48" s="108"/>
      <c r="W48" s="109"/>
      <c r="X48" s="111"/>
      <c r="Y48" s="111"/>
    </row>
    <row r="49" spans="1:25" x14ac:dyDescent="0.3">
      <c r="A49" s="10"/>
      <c r="B49" s="11"/>
      <c r="C49" s="58"/>
      <c r="D49" s="37"/>
      <c r="E49" s="100"/>
      <c r="F49" s="62"/>
      <c r="G49" s="55"/>
      <c r="I49" s="39"/>
      <c r="Q49" s="48"/>
      <c r="U49" s="45"/>
      <c r="V49" s="108"/>
      <c r="W49" s="109"/>
      <c r="X49" s="111"/>
      <c r="Y49" s="111"/>
    </row>
    <row r="50" spans="1:25" x14ac:dyDescent="0.3">
      <c r="A50" s="10"/>
      <c r="B50" s="11"/>
      <c r="C50" s="58"/>
      <c r="D50" s="37"/>
      <c r="E50" s="100"/>
      <c r="F50" s="62"/>
      <c r="G50" s="55"/>
      <c r="I50" s="39"/>
      <c r="Q50" s="48"/>
      <c r="U50" s="45"/>
      <c r="V50" s="108"/>
      <c r="W50" s="109"/>
      <c r="X50" s="111"/>
      <c r="Y50" s="111"/>
    </row>
    <row r="51" spans="1:25" x14ac:dyDescent="0.3">
      <c r="A51" s="10"/>
      <c r="B51" s="11"/>
      <c r="C51" s="58"/>
      <c r="D51" s="37"/>
      <c r="E51" s="100"/>
      <c r="F51" s="62"/>
      <c r="G51" s="55"/>
      <c r="I51" s="39"/>
      <c r="Q51" s="48"/>
      <c r="U51" s="45"/>
      <c r="V51" s="108"/>
      <c r="W51" s="109"/>
      <c r="X51" s="111"/>
      <c r="Y51" s="111"/>
    </row>
    <row r="52" spans="1:25" x14ac:dyDescent="0.3">
      <c r="A52" s="10"/>
      <c r="B52" s="11"/>
      <c r="C52" s="58"/>
      <c r="D52" s="37"/>
      <c r="E52" s="100"/>
      <c r="F52" s="62"/>
      <c r="G52" s="55"/>
      <c r="I52" s="39"/>
      <c r="Q52" s="48"/>
      <c r="U52" s="45"/>
      <c r="V52" s="108"/>
      <c r="W52" s="109"/>
      <c r="X52" s="111"/>
      <c r="Y52" s="111"/>
    </row>
    <row r="53" spans="1:25" x14ac:dyDescent="0.3">
      <c r="A53" s="10"/>
      <c r="B53" s="11"/>
      <c r="C53" s="58"/>
      <c r="D53" s="37"/>
      <c r="E53" s="100"/>
      <c r="F53" s="62"/>
      <c r="G53" s="55"/>
      <c r="I53" s="39"/>
      <c r="Q53" s="48"/>
      <c r="U53" s="45"/>
      <c r="V53" s="108"/>
      <c r="W53" s="109"/>
      <c r="X53" s="111"/>
      <c r="Y53" s="111"/>
    </row>
    <row r="54" spans="1:25" x14ac:dyDescent="0.3">
      <c r="A54" s="10"/>
      <c r="B54" s="11"/>
      <c r="C54" s="58"/>
      <c r="D54" s="37"/>
      <c r="E54" s="100"/>
      <c r="F54" s="62"/>
      <c r="G54" s="55"/>
      <c r="I54" s="39"/>
      <c r="Q54" s="48"/>
      <c r="U54" s="45"/>
      <c r="V54" s="108"/>
      <c r="W54" s="109"/>
      <c r="X54" s="111"/>
      <c r="Y54" s="111"/>
    </row>
    <row r="55" spans="1:25" x14ac:dyDescent="0.3">
      <c r="A55" s="10"/>
      <c r="B55" s="11"/>
      <c r="C55" s="58"/>
      <c r="D55" s="37"/>
      <c r="E55" s="100"/>
      <c r="F55" s="62"/>
      <c r="G55" s="55"/>
      <c r="I55" s="39"/>
      <c r="Q55" s="48"/>
      <c r="U55" s="45"/>
      <c r="V55" s="108"/>
      <c r="W55" s="109"/>
      <c r="X55" s="111"/>
      <c r="Y55" s="111"/>
    </row>
    <row r="56" spans="1:25" x14ac:dyDescent="0.3">
      <c r="A56" s="10"/>
      <c r="B56" s="11"/>
      <c r="C56" s="58"/>
      <c r="D56" s="37"/>
      <c r="E56" s="100"/>
      <c r="F56" s="62"/>
      <c r="G56" s="55"/>
      <c r="I56" s="39"/>
      <c r="Q56" s="48"/>
      <c r="U56" s="45"/>
      <c r="V56" s="108"/>
      <c r="W56" s="109"/>
      <c r="X56" s="111"/>
      <c r="Y56" s="111"/>
    </row>
    <row r="57" spans="1:25" x14ac:dyDescent="0.3">
      <c r="A57" s="10"/>
      <c r="B57" s="11"/>
      <c r="C57" s="58"/>
      <c r="D57" s="37"/>
      <c r="E57" s="100"/>
      <c r="F57" s="62"/>
      <c r="G57" s="55"/>
      <c r="I57" s="39"/>
      <c r="Q57" s="48"/>
      <c r="U57" s="45"/>
      <c r="V57" s="108"/>
      <c r="W57" s="109"/>
      <c r="X57" s="111"/>
      <c r="Y57" s="111"/>
    </row>
    <row r="58" spans="1:25" x14ac:dyDescent="0.3">
      <c r="A58" s="10"/>
      <c r="B58" s="11"/>
      <c r="C58" s="58"/>
      <c r="D58" s="37"/>
      <c r="E58" s="100"/>
      <c r="F58" s="62"/>
      <c r="G58" s="55"/>
      <c r="I58" s="39"/>
      <c r="Q58" s="48"/>
      <c r="U58" s="45"/>
      <c r="V58" s="108"/>
      <c r="W58" s="109"/>
      <c r="X58" s="111"/>
      <c r="Y58" s="111"/>
    </row>
    <row r="59" spans="1:25" x14ac:dyDescent="0.3">
      <c r="A59" s="10"/>
      <c r="B59" s="11"/>
      <c r="C59" s="58"/>
      <c r="D59" s="37"/>
      <c r="E59" s="100"/>
      <c r="F59" s="62"/>
      <c r="G59" s="55"/>
      <c r="I59" s="39"/>
      <c r="Q59" s="48"/>
      <c r="U59" s="45"/>
      <c r="V59" s="108"/>
      <c r="W59" s="109"/>
      <c r="X59" s="111"/>
      <c r="Y59" s="111"/>
    </row>
    <row r="60" spans="1:25" x14ac:dyDescent="0.3">
      <c r="A60" s="10"/>
      <c r="B60" s="11"/>
      <c r="C60" s="58"/>
      <c r="D60" s="37"/>
      <c r="E60" s="100"/>
      <c r="F60" s="62"/>
      <c r="G60" s="55"/>
      <c r="I60" s="39"/>
      <c r="Q60" s="48"/>
      <c r="U60" s="45"/>
      <c r="V60" s="108"/>
      <c r="W60" s="109"/>
      <c r="X60" s="111"/>
      <c r="Y60" s="111"/>
    </row>
    <row r="61" spans="1:25" x14ac:dyDescent="0.3">
      <c r="A61" s="10"/>
      <c r="B61" s="11"/>
      <c r="C61" s="58"/>
      <c r="D61" s="37"/>
      <c r="E61" s="100"/>
      <c r="F61" s="62"/>
      <c r="G61" s="55"/>
      <c r="I61" s="39"/>
      <c r="Q61" s="48"/>
      <c r="U61" s="45"/>
      <c r="V61" s="108"/>
      <c r="W61" s="109"/>
      <c r="X61" s="111"/>
      <c r="Y61" s="111"/>
    </row>
    <row r="62" spans="1:25" x14ac:dyDescent="0.3">
      <c r="A62" s="10"/>
      <c r="B62" s="11"/>
      <c r="C62" s="58"/>
      <c r="D62" s="37"/>
      <c r="E62" s="100"/>
      <c r="F62" s="62"/>
      <c r="G62" s="55"/>
      <c r="I62" s="39"/>
      <c r="Q62" s="48"/>
      <c r="U62" s="45"/>
      <c r="V62" s="108"/>
      <c r="W62" s="109"/>
      <c r="X62" s="111"/>
      <c r="Y62" s="111"/>
    </row>
    <row r="63" spans="1:25" x14ac:dyDescent="0.3">
      <c r="A63" s="10"/>
      <c r="B63" s="11"/>
      <c r="C63" s="58"/>
      <c r="D63" s="37"/>
      <c r="E63" s="100"/>
      <c r="F63" s="62"/>
      <c r="G63" s="55"/>
      <c r="I63" s="39"/>
      <c r="Q63" s="48"/>
      <c r="U63" s="45"/>
      <c r="V63" s="108"/>
      <c r="W63" s="109"/>
      <c r="X63" s="111"/>
      <c r="Y63" s="111"/>
    </row>
    <row r="64" spans="1:25" x14ac:dyDescent="0.3">
      <c r="A64" s="10"/>
      <c r="B64" s="11"/>
      <c r="C64" s="58"/>
      <c r="D64" s="37"/>
      <c r="E64" s="100"/>
      <c r="F64" s="62"/>
      <c r="G64" s="55"/>
      <c r="I64" s="39"/>
      <c r="Q64" s="48"/>
      <c r="U64" s="45"/>
      <c r="V64" s="108"/>
      <c r="W64" s="109"/>
      <c r="X64" s="111"/>
      <c r="Y64" s="111"/>
    </row>
    <row r="65" spans="1:25" x14ac:dyDescent="0.3">
      <c r="A65" s="10"/>
      <c r="B65" s="11"/>
      <c r="C65" s="58"/>
      <c r="D65" s="37"/>
      <c r="E65" s="100"/>
      <c r="F65" s="62"/>
      <c r="G65" s="55"/>
      <c r="I65" s="39"/>
      <c r="Q65" s="48"/>
      <c r="U65" s="45"/>
      <c r="V65" s="108"/>
      <c r="W65" s="109"/>
      <c r="X65" s="111"/>
      <c r="Y65" s="111"/>
    </row>
    <row r="66" spans="1:25" x14ac:dyDescent="0.3">
      <c r="A66" s="10"/>
      <c r="B66" s="11"/>
      <c r="C66" s="58"/>
      <c r="D66" s="37"/>
      <c r="E66" s="100"/>
      <c r="F66" s="62"/>
      <c r="G66" s="55"/>
      <c r="I66" s="39"/>
      <c r="Q66" s="48"/>
      <c r="U66" s="45"/>
      <c r="V66" s="108"/>
      <c r="W66" s="109"/>
      <c r="X66" s="111"/>
      <c r="Y66" s="111"/>
    </row>
    <row r="67" spans="1:25" x14ac:dyDescent="0.3">
      <c r="A67" s="10"/>
      <c r="B67" s="11"/>
      <c r="C67" s="58"/>
      <c r="D67" s="37"/>
      <c r="E67" s="100"/>
      <c r="F67" s="62"/>
      <c r="G67" s="55"/>
      <c r="I67" s="39"/>
      <c r="Q67" s="48"/>
      <c r="U67" s="45"/>
      <c r="V67" s="108"/>
      <c r="W67" s="109"/>
      <c r="X67" s="111"/>
      <c r="Y67" s="111"/>
    </row>
    <row r="68" spans="1:25" x14ac:dyDescent="0.3">
      <c r="A68" s="10"/>
      <c r="B68" s="11"/>
      <c r="C68" s="58"/>
      <c r="D68" s="37"/>
      <c r="E68" s="100"/>
      <c r="F68" s="62"/>
      <c r="G68" s="55"/>
      <c r="I68" s="39"/>
      <c r="Q68" s="48"/>
      <c r="U68" s="45"/>
      <c r="V68" s="108"/>
      <c r="W68" s="109"/>
      <c r="X68" s="111"/>
      <c r="Y68" s="111"/>
    </row>
    <row r="69" spans="1:25" x14ac:dyDescent="0.3">
      <c r="A69" s="10"/>
      <c r="B69" s="11"/>
      <c r="C69" s="58"/>
      <c r="D69" s="37"/>
      <c r="E69" s="100"/>
      <c r="F69" s="62"/>
      <c r="G69" s="55"/>
      <c r="I69" s="39"/>
      <c r="Q69" s="48"/>
      <c r="U69" s="45"/>
      <c r="V69" s="108"/>
      <c r="W69" s="109"/>
      <c r="X69" s="111"/>
      <c r="Y69" s="111"/>
    </row>
    <row r="70" spans="1:25" x14ac:dyDescent="0.3">
      <c r="A70" s="10"/>
      <c r="B70" s="11"/>
      <c r="C70" s="58"/>
      <c r="D70" s="37"/>
      <c r="E70" s="100"/>
      <c r="F70" s="62"/>
      <c r="G70" s="55"/>
      <c r="I70" s="39"/>
      <c r="Q70" s="48"/>
      <c r="U70" s="45"/>
      <c r="V70" s="108"/>
      <c r="W70" s="109"/>
      <c r="X70" s="111"/>
      <c r="Y70" s="111"/>
    </row>
    <row r="71" spans="1:25" x14ac:dyDescent="0.3">
      <c r="A71" s="10"/>
      <c r="B71" s="11"/>
      <c r="C71" s="58"/>
      <c r="D71" s="37"/>
      <c r="E71" s="100"/>
      <c r="F71" s="62"/>
      <c r="G71" s="55"/>
      <c r="I71" s="39"/>
      <c r="Q71" s="48"/>
      <c r="U71" s="45"/>
      <c r="V71" s="108"/>
      <c r="W71" s="109"/>
      <c r="X71" s="111"/>
      <c r="Y71" s="111"/>
    </row>
    <row r="72" spans="1:25" x14ac:dyDescent="0.3">
      <c r="A72" s="10"/>
      <c r="B72" s="11"/>
      <c r="C72" s="58"/>
      <c r="D72" s="37"/>
      <c r="E72" s="100"/>
      <c r="F72" s="62"/>
      <c r="G72" s="55"/>
      <c r="I72" s="39"/>
      <c r="Q72" s="48"/>
      <c r="U72" s="45"/>
      <c r="V72" s="108"/>
      <c r="W72" s="109"/>
      <c r="X72" s="111"/>
      <c r="Y72" s="111"/>
    </row>
    <row r="73" spans="1:25" x14ac:dyDescent="0.3">
      <c r="A73" s="10"/>
      <c r="B73" s="11"/>
      <c r="C73" s="58"/>
      <c r="D73" s="37"/>
      <c r="E73" s="100"/>
      <c r="F73" s="62"/>
      <c r="G73" s="55"/>
      <c r="I73" s="39"/>
      <c r="Q73" s="48"/>
      <c r="U73" s="45"/>
      <c r="V73" s="108"/>
      <c r="W73" s="109"/>
      <c r="X73" s="111"/>
      <c r="Y73" s="111"/>
    </row>
    <row r="74" spans="1:25" x14ac:dyDescent="0.3">
      <c r="A74" s="10"/>
      <c r="B74" s="11"/>
      <c r="C74" s="58"/>
      <c r="D74" s="37"/>
      <c r="E74" s="100"/>
      <c r="F74" s="62"/>
      <c r="G74" s="55"/>
      <c r="I74" s="39"/>
      <c r="Q74" s="48"/>
      <c r="U74" s="45"/>
      <c r="V74" s="108"/>
      <c r="W74" s="109"/>
      <c r="X74" s="111"/>
      <c r="Y74" s="111"/>
    </row>
    <row r="75" spans="1:25" x14ac:dyDescent="0.3">
      <c r="A75" s="10"/>
      <c r="B75" s="11"/>
      <c r="C75" s="58"/>
      <c r="D75" s="37"/>
      <c r="E75" s="100"/>
      <c r="F75" s="62"/>
      <c r="G75" s="55"/>
      <c r="I75" s="39"/>
      <c r="Q75" s="48"/>
      <c r="U75" s="45"/>
      <c r="V75" s="108"/>
      <c r="W75" s="109"/>
      <c r="X75" s="111"/>
      <c r="Y75" s="111"/>
    </row>
    <row r="76" spans="1:25" x14ac:dyDescent="0.3">
      <c r="A76" s="10"/>
      <c r="B76" s="11"/>
      <c r="C76" s="58"/>
      <c r="D76" s="37"/>
      <c r="E76" s="100"/>
      <c r="F76" s="62"/>
      <c r="G76" s="55"/>
      <c r="I76" s="39"/>
      <c r="Q76" s="48"/>
      <c r="U76" s="45"/>
      <c r="V76" s="108"/>
      <c r="W76" s="109"/>
      <c r="X76" s="111"/>
      <c r="Y76" s="111"/>
    </row>
    <row r="77" spans="1:25" x14ac:dyDescent="0.3">
      <c r="A77" s="10"/>
      <c r="B77" s="11"/>
      <c r="C77" s="58"/>
      <c r="D77" s="37"/>
      <c r="E77" s="100"/>
      <c r="F77" s="62"/>
      <c r="G77" s="55"/>
      <c r="I77" s="39"/>
      <c r="Q77" s="48"/>
      <c r="U77" s="45"/>
      <c r="V77" s="108"/>
      <c r="W77" s="109"/>
      <c r="X77" s="111"/>
      <c r="Y77" s="111"/>
    </row>
    <row r="78" spans="1:25" x14ac:dyDescent="0.3">
      <c r="A78" s="10"/>
      <c r="B78" s="11"/>
      <c r="C78" s="58"/>
      <c r="D78" s="37"/>
      <c r="E78" s="100"/>
      <c r="F78" s="62"/>
      <c r="G78" s="55"/>
      <c r="I78" s="39"/>
      <c r="Q78" s="48"/>
      <c r="U78" s="45"/>
      <c r="V78" s="108"/>
      <c r="W78" s="109"/>
      <c r="X78" s="111"/>
      <c r="Y78" s="111"/>
    </row>
    <row r="79" spans="1:25" x14ac:dyDescent="0.3">
      <c r="A79" s="10"/>
      <c r="B79" s="11"/>
      <c r="C79" s="58"/>
      <c r="D79" s="37"/>
      <c r="E79" s="100"/>
      <c r="F79" s="62"/>
      <c r="G79" s="55"/>
      <c r="I79" s="39"/>
      <c r="Q79" s="48"/>
      <c r="U79" s="45"/>
      <c r="V79" s="108"/>
      <c r="W79" s="109"/>
      <c r="X79" s="111"/>
      <c r="Y79" s="111"/>
    </row>
    <row r="80" spans="1:25" x14ac:dyDescent="0.3">
      <c r="A80" s="10"/>
      <c r="B80" s="11"/>
      <c r="C80" s="58"/>
      <c r="D80" s="37"/>
      <c r="E80" s="100"/>
      <c r="F80" s="62"/>
      <c r="G80" s="55"/>
      <c r="I80" s="39"/>
      <c r="Q80" s="48"/>
      <c r="U80" s="45"/>
      <c r="V80" s="108"/>
      <c r="W80" s="109"/>
      <c r="X80" s="111"/>
      <c r="Y80" s="111"/>
    </row>
    <row r="81" spans="1:25" x14ac:dyDescent="0.3">
      <c r="A81" s="10"/>
      <c r="B81" s="11"/>
      <c r="C81" s="58"/>
      <c r="D81" s="37"/>
      <c r="E81" s="100"/>
      <c r="F81" s="62"/>
      <c r="G81" s="55"/>
      <c r="I81" s="39"/>
      <c r="Q81" s="48"/>
      <c r="U81" s="45"/>
      <c r="V81" s="108"/>
      <c r="W81" s="109"/>
      <c r="X81" s="111"/>
      <c r="Y81" s="111"/>
    </row>
    <row r="82" spans="1:25" x14ac:dyDescent="0.3">
      <c r="A82" s="10"/>
      <c r="B82" s="11"/>
      <c r="C82" s="58"/>
      <c r="D82" s="37"/>
      <c r="E82" s="100"/>
      <c r="F82" s="62"/>
      <c r="G82" s="55"/>
      <c r="I82" s="39"/>
      <c r="Q82" s="48"/>
      <c r="U82" s="45"/>
      <c r="V82" s="108"/>
      <c r="W82" s="109"/>
      <c r="X82" s="111"/>
      <c r="Y82" s="111"/>
    </row>
    <row r="83" spans="1:25" x14ac:dyDescent="0.3">
      <c r="A83" s="10"/>
      <c r="B83" s="11"/>
      <c r="C83" s="58"/>
      <c r="D83" s="37"/>
      <c r="E83" s="100"/>
      <c r="F83" s="62"/>
      <c r="G83" s="55"/>
      <c r="I83" s="39"/>
      <c r="Q83" s="48"/>
      <c r="U83" s="45"/>
      <c r="V83" s="108"/>
      <c r="W83" s="109"/>
      <c r="X83" s="111"/>
      <c r="Y83" s="111"/>
    </row>
    <row r="84" spans="1:25" x14ac:dyDescent="0.3">
      <c r="A84" s="10"/>
      <c r="B84" s="11"/>
      <c r="C84" s="58"/>
      <c r="D84" s="37"/>
      <c r="E84" s="100"/>
      <c r="F84" s="62"/>
      <c r="G84" s="55"/>
      <c r="I84" s="39"/>
      <c r="Q84" s="48"/>
      <c r="U84" s="45"/>
      <c r="V84" s="108"/>
      <c r="W84" s="109"/>
      <c r="X84" s="111"/>
      <c r="Y84" s="111"/>
    </row>
    <row r="85" spans="1:25" x14ac:dyDescent="0.3">
      <c r="A85" s="10"/>
      <c r="B85" s="11"/>
      <c r="C85" s="58"/>
      <c r="D85" s="37"/>
      <c r="E85" s="100"/>
      <c r="F85" s="62"/>
      <c r="G85" s="55"/>
      <c r="I85" s="39"/>
      <c r="Q85" s="48"/>
      <c r="U85" s="45"/>
      <c r="V85" s="108"/>
      <c r="W85" s="109"/>
      <c r="X85" s="111"/>
      <c r="Y85" s="111"/>
    </row>
    <row r="86" spans="1:25" x14ac:dyDescent="0.3">
      <c r="A86" s="10"/>
      <c r="B86" s="11"/>
      <c r="C86" s="58"/>
      <c r="D86" s="37"/>
      <c r="E86" s="100"/>
      <c r="F86" s="62"/>
      <c r="G86" s="55"/>
      <c r="I86" s="39"/>
      <c r="Q86" s="48"/>
      <c r="U86" s="45"/>
      <c r="V86" s="108"/>
      <c r="W86" s="109"/>
      <c r="X86" s="111"/>
      <c r="Y86" s="111"/>
    </row>
    <row r="87" spans="1:25" x14ac:dyDescent="0.3">
      <c r="A87" s="10"/>
      <c r="B87" s="11"/>
      <c r="C87" s="58"/>
      <c r="D87" s="37"/>
      <c r="E87" s="100"/>
      <c r="F87" s="62"/>
      <c r="G87" s="55"/>
      <c r="I87" s="39"/>
      <c r="Q87" s="48"/>
      <c r="U87" s="45"/>
      <c r="V87" s="108"/>
      <c r="W87" s="109"/>
      <c r="X87" s="111"/>
      <c r="Y87" s="111"/>
    </row>
    <row r="88" spans="1:25" x14ac:dyDescent="0.3">
      <c r="A88" s="10"/>
      <c r="B88" s="11"/>
      <c r="C88" s="58"/>
      <c r="D88" s="37"/>
      <c r="E88" s="100"/>
      <c r="F88" s="62"/>
      <c r="G88" s="55"/>
      <c r="I88" s="39"/>
      <c r="Q88" s="48"/>
      <c r="U88" s="45"/>
      <c r="V88" s="108"/>
      <c r="W88" s="109"/>
      <c r="X88" s="111"/>
      <c r="Y88" s="111"/>
    </row>
    <row r="89" spans="1:25" x14ac:dyDescent="0.3">
      <c r="A89" s="10"/>
      <c r="B89" s="11"/>
      <c r="C89" s="58"/>
      <c r="D89" s="37"/>
      <c r="E89" s="100"/>
      <c r="F89" s="62"/>
      <c r="G89" s="55"/>
      <c r="I89" s="39"/>
      <c r="Q89" s="48"/>
      <c r="U89" s="45"/>
      <c r="V89" s="108"/>
      <c r="W89" s="109"/>
      <c r="X89" s="111"/>
      <c r="Y89" s="111"/>
    </row>
    <row r="90" spans="1:25" x14ac:dyDescent="0.3">
      <c r="A90" s="10"/>
      <c r="B90" s="11"/>
      <c r="C90" s="58"/>
      <c r="D90" s="37"/>
      <c r="E90" s="100"/>
      <c r="F90" s="62"/>
      <c r="G90" s="55"/>
      <c r="I90" s="39"/>
      <c r="Q90" s="48"/>
      <c r="U90" s="45"/>
      <c r="V90" s="108"/>
      <c r="W90" s="109"/>
      <c r="X90" s="111"/>
      <c r="Y90" s="111"/>
    </row>
    <row r="91" spans="1:25" x14ac:dyDescent="0.3">
      <c r="A91" s="10"/>
      <c r="B91" s="11"/>
      <c r="C91" s="58"/>
      <c r="D91" s="37"/>
      <c r="E91" s="100"/>
      <c r="F91" s="62"/>
      <c r="G91" s="55"/>
      <c r="I91" s="39"/>
      <c r="Q91" s="48"/>
      <c r="U91" s="45"/>
      <c r="V91" s="108"/>
      <c r="W91" s="109"/>
      <c r="X91" s="111"/>
      <c r="Y91" s="111"/>
    </row>
    <row r="92" spans="1:25" x14ac:dyDescent="0.3">
      <c r="A92" s="10"/>
      <c r="B92" s="11"/>
      <c r="C92" s="58"/>
      <c r="D92" s="37"/>
      <c r="E92" s="100"/>
      <c r="F92" s="62"/>
      <c r="G92" s="55"/>
      <c r="I92" s="39"/>
      <c r="Q92" s="48"/>
      <c r="U92" s="45"/>
      <c r="V92" s="108"/>
      <c r="W92" s="109"/>
      <c r="X92" s="111"/>
      <c r="Y92" s="111"/>
    </row>
    <row r="93" spans="1:25" x14ac:dyDescent="0.3">
      <c r="A93" s="10"/>
      <c r="B93" s="11"/>
      <c r="C93" s="58"/>
      <c r="D93" s="37"/>
      <c r="E93" s="100"/>
      <c r="F93" s="62"/>
      <c r="G93" s="55"/>
      <c r="I93" s="39"/>
      <c r="Q93" s="48"/>
      <c r="U93" s="45"/>
      <c r="V93" s="108"/>
      <c r="W93" s="109"/>
      <c r="X93" s="111"/>
      <c r="Y93" s="111"/>
    </row>
    <row r="94" spans="1:25" x14ac:dyDescent="0.3">
      <c r="A94" s="10"/>
      <c r="B94" s="11"/>
      <c r="C94" s="58"/>
      <c r="D94" s="37"/>
      <c r="E94" s="100"/>
      <c r="F94" s="62"/>
      <c r="G94" s="55"/>
      <c r="I94" s="39"/>
      <c r="Q94" s="48"/>
      <c r="U94" s="45"/>
      <c r="V94" s="108"/>
      <c r="W94" s="109"/>
      <c r="X94" s="111"/>
      <c r="Y94" s="111"/>
    </row>
    <row r="95" spans="1:25" x14ac:dyDescent="0.3">
      <c r="A95" s="10"/>
      <c r="B95" s="11"/>
      <c r="C95" s="58"/>
      <c r="D95" s="37"/>
      <c r="E95" s="100"/>
      <c r="F95" s="62"/>
      <c r="G95" s="55"/>
      <c r="I95" s="39"/>
      <c r="Q95" s="48"/>
      <c r="U95" s="45"/>
      <c r="V95" s="108"/>
      <c r="W95" s="109"/>
      <c r="X95" s="111"/>
      <c r="Y95" s="111"/>
    </row>
    <row r="96" spans="1:25" x14ac:dyDescent="0.3">
      <c r="A96" s="10"/>
      <c r="B96" s="11"/>
      <c r="C96" s="58"/>
      <c r="D96" s="37"/>
      <c r="E96" s="100"/>
      <c r="F96" s="62"/>
      <c r="G96" s="55"/>
      <c r="I96" s="39"/>
      <c r="Q96" s="48"/>
      <c r="U96" s="45"/>
      <c r="V96" s="108"/>
      <c r="W96" s="109"/>
      <c r="X96" s="111"/>
      <c r="Y96" s="111"/>
    </row>
    <row r="97" spans="1:25" x14ac:dyDescent="0.3">
      <c r="A97" s="10"/>
      <c r="B97" s="11"/>
      <c r="C97" s="58"/>
      <c r="D97" s="37"/>
      <c r="E97" s="100"/>
      <c r="F97" s="62"/>
      <c r="G97" s="55"/>
      <c r="I97" s="39"/>
      <c r="Q97" s="48"/>
      <c r="U97" s="45"/>
      <c r="V97" s="108"/>
      <c r="W97" s="109"/>
      <c r="X97" s="111"/>
      <c r="Y97" s="111"/>
    </row>
    <row r="98" spans="1:25" x14ac:dyDescent="0.3">
      <c r="A98" s="10"/>
      <c r="B98" s="11"/>
      <c r="C98" s="58"/>
      <c r="D98" s="37"/>
      <c r="E98" s="100"/>
      <c r="F98" s="62"/>
      <c r="G98" s="55"/>
      <c r="I98" s="39"/>
      <c r="Q98" s="48"/>
      <c r="U98" s="45"/>
      <c r="V98" s="108"/>
      <c r="W98" s="109"/>
      <c r="X98" s="111"/>
      <c r="Y98" s="111"/>
    </row>
    <row r="99" spans="1:25" x14ac:dyDescent="0.3">
      <c r="A99" s="10"/>
      <c r="B99" s="11"/>
      <c r="C99" s="58"/>
      <c r="D99" s="37"/>
      <c r="E99" s="100"/>
      <c r="F99" s="62"/>
      <c r="G99" s="55"/>
      <c r="I99" s="39"/>
      <c r="Q99" s="48"/>
      <c r="U99" s="45"/>
      <c r="V99" s="108"/>
      <c r="W99" s="109"/>
      <c r="X99" s="111"/>
      <c r="Y99" s="111"/>
    </row>
    <row r="100" spans="1:25" x14ac:dyDescent="0.3">
      <c r="A100" s="10"/>
      <c r="B100" s="11"/>
      <c r="C100" s="58"/>
      <c r="D100" s="37"/>
      <c r="E100" s="100"/>
      <c r="F100" s="62"/>
      <c r="G100" s="55"/>
      <c r="I100" s="39"/>
      <c r="Q100" s="48"/>
      <c r="U100" s="45"/>
      <c r="V100" s="108"/>
      <c r="W100" s="109"/>
      <c r="X100" s="111"/>
      <c r="Y100" s="111"/>
    </row>
    <row r="101" spans="1:25" x14ac:dyDescent="0.3">
      <c r="A101" s="10"/>
      <c r="B101" s="11"/>
      <c r="C101" s="58"/>
      <c r="D101" s="37"/>
      <c r="E101" s="100"/>
      <c r="F101" s="62"/>
      <c r="G101" s="55"/>
      <c r="I101" s="39"/>
      <c r="Q101" s="48"/>
      <c r="U101" s="45"/>
      <c r="V101" s="108"/>
      <c r="W101" s="109"/>
      <c r="X101" s="111"/>
      <c r="Y101" s="111"/>
    </row>
    <row r="102" spans="1:25" x14ac:dyDescent="0.3">
      <c r="A102" s="10"/>
      <c r="B102" s="11"/>
      <c r="C102" s="58"/>
      <c r="D102" s="37"/>
      <c r="E102" s="100"/>
      <c r="F102" s="62"/>
      <c r="G102" s="55"/>
      <c r="I102" s="39"/>
      <c r="Q102" s="48"/>
      <c r="U102" s="45"/>
      <c r="V102" s="108"/>
      <c r="W102" s="109"/>
      <c r="X102" s="111"/>
      <c r="Y102" s="111"/>
    </row>
    <row r="103" spans="1:25" x14ac:dyDescent="0.3">
      <c r="A103" s="10"/>
      <c r="B103" s="11"/>
      <c r="C103" s="58"/>
      <c r="D103" s="37"/>
      <c r="E103" s="100"/>
      <c r="F103" s="62"/>
      <c r="G103" s="55"/>
      <c r="I103" s="39"/>
      <c r="Q103" s="48"/>
      <c r="U103" s="45"/>
      <c r="V103" s="108"/>
      <c r="W103" s="109"/>
      <c r="X103" s="111"/>
      <c r="Y103" s="111"/>
    </row>
    <row r="104" spans="1:25" x14ac:dyDescent="0.3">
      <c r="A104" s="10"/>
      <c r="B104" s="11"/>
      <c r="C104" s="58"/>
      <c r="D104" s="37"/>
      <c r="E104" s="100"/>
      <c r="F104" s="62"/>
      <c r="G104" s="55"/>
      <c r="I104" s="39"/>
      <c r="Q104" s="48"/>
      <c r="U104" s="45"/>
      <c r="V104" s="108"/>
      <c r="W104" s="109"/>
      <c r="X104" s="111"/>
      <c r="Y104" s="111"/>
    </row>
    <row r="105" spans="1:25" x14ac:dyDescent="0.3">
      <c r="A105" s="10"/>
      <c r="B105" s="11"/>
      <c r="C105" s="58"/>
      <c r="D105" s="37"/>
      <c r="E105" s="100"/>
      <c r="F105" s="62"/>
      <c r="G105" s="55"/>
      <c r="I105" s="39"/>
      <c r="Q105" s="48"/>
      <c r="U105" s="45"/>
      <c r="V105" s="108"/>
      <c r="W105" s="109"/>
      <c r="X105" s="111"/>
      <c r="Y105" s="111"/>
    </row>
    <row r="106" spans="1:25" x14ac:dyDescent="0.3">
      <c r="A106" s="10"/>
      <c r="B106" s="11"/>
      <c r="C106" s="58"/>
      <c r="D106" s="37"/>
      <c r="E106" s="100"/>
      <c r="F106" s="62"/>
      <c r="G106" s="55"/>
      <c r="I106" s="39"/>
      <c r="Q106" s="48"/>
      <c r="U106" s="45"/>
      <c r="V106" s="108"/>
      <c r="W106" s="109"/>
      <c r="X106" s="111"/>
      <c r="Y106" s="111"/>
    </row>
    <row r="107" spans="1:25" x14ac:dyDescent="0.3">
      <c r="A107" s="10"/>
      <c r="B107" s="11"/>
      <c r="C107" s="58"/>
      <c r="D107" s="37"/>
      <c r="E107" s="100"/>
      <c r="F107" s="62"/>
      <c r="G107" s="55"/>
      <c r="I107" s="39"/>
      <c r="Q107" s="48"/>
      <c r="U107" s="45"/>
      <c r="V107" s="108"/>
      <c r="W107" s="109"/>
      <c r="X107" s="111"/>
      <c r="Y107" s="111"/>
    </row>
    <row r="108" spans="1:25" x14ac:dyDescent="0.3">
      <c r="A108" s="10"/>
      <c r="B108" s="11"/>
      <c r="C108" s="58"/>
      <c r="D108" s="37"/>
      <c r="E108" s="100"/>
      <c r="F108" s="62"/>
      <c r="G108" s="55"/>
      <c r="I108" s="39"/>
      <c r="Q108" s="48"/>
      <c r="U108" s="45"/>
      <c r="V108" s="108"/>
      <c r="W108" s="109"/>
      <c r="X108" s="111"/>
      <c r="Y108" s="111"/>
    </row>
    <row r="109" spans="1:25" x14ac:dyDescent="0.3">
      <c r="A109" s="10"/>
      <c r="B109" s="11"/>
      <c r="C109" s="58"/>
      <c r="D109" s="37"/>
      <c r="E109" s="100"/>
      <c r="F109" s="62"/>
      <c r="G109" s="55"/>
      <c r="I109" s="39"/>
      <c r="Q109" s="48"/>
      <c r="U109" s="45"/>
      <c r="V109" s="108"/>
      <c r="W109" s="109"/>
      <c r="X109" s="111"/>
      <c r="Y109" s="111"/>
    </row>
    <row r="110" spans="1:25" x14ac:dyDescent="0.3">
      <c r="A110" s="10"/>
      <c r="B110" s="11"/>
      <c r="C110" s="58"/>
      <c r="D110" s="37"/>
      <c r="E110" s="100"/>
      <c r="F110" s="62"/>
      <c r="G110" s="55"/>
      <c r="I110" s="39"/>
      <c r="Q110" s="48"/>
      <c r="U110" s="45"/>
      <c r="V110" s="108"/>
      <c r="W110" s="109"/>
      <c r="X110" s="111"/>
      <c r="Y110" s="111"/>
    </row>
    <row r="111" spans="1:25" x14ac:dyDescent="0.3">
      <c r="A111" s="10"/>
      <c r="B111" s="11"/>
      <c r="C111" s="58"/>
      <c r="D111" s="37"/>
      <c r="E111" s="100"/>
      <c r="F111" s="62"/>
      <c r="G111" s="55"/>
      <c r="I111" s="39"/>
      <c r="Q111" s="48"/>
      <c r="U111" s="45"/>
      <c r="V111" s="108"/>
      <c r="W111" s="109"/>
      <c r="X111" s="111"/>
      <c r="Y111" s="111"/>
    </row>
    <row r="112" spans="1:25" x14ac:dyDescent="0.3">
      <c r="A112" s="10"/>
      <c r="B112" s="11"/>
      <c r="C112" s="58"/>
      <c r="D112" s="37"/>
      <c r="E112" s="100"/>
      <c r="F112" s="62"/>
      <c r="G112" s="55"/>
      <c r="I112" s="39"/>
      <c r="Q112" s="48"/>
      <c r="U112" s="45"/>
      <c r="V112" s="108"/>
      <c r="W112" s="109"/>
      <c r="X112" s="111"/>
      <c r="Y112" s="111"/>
    </row>
    <row r="113" spans="1:25" x14ac:dyDescent="0.3">
      <c r="A113" s="10"/>
      <c r="B113" s="11"/>
      <c r="C113" s="58"/>
      <c r="D113" s="37"/>
      <c r="E113" s="100"/>
      <c r="F113" s="62"/>
      <c r="G113" s="55"/>
      <c r="I113" s="39"/>
      <c r="Q113" s="48"/>
      <c r="U113" s="45"/>
      <c r="V113" s="108"/>
      <c r="W113" s="109"/>
      <c r="X113" s="111"/>
      <c r="Y113" s="111"/>
    </row>
    <row r="114" spans="1:25" x14ac:dyDescent="0.3">
      <c r="A114" s="10"/>
      <c r="B114" s="11"/>
      <c r="C114" s="58"/>
      <c r="D114" s="37"/>
      <c r="E114" s="100"/>
      <c r="F114" s="62"/>
      <c r="G114" s="55"/>
      <c r="I114" s="39"/>
      <c r="Q114" s="48"/>
      <c r="U114" s="45"/>
      <c r="V114" s="108"/>
      <c r="W114" s="109"/>
      <c r="X114" s="111"/>
      <c r="Y114" s="111"/>
    </row>
    <row r="115" spans="1:25" x14ac:dyDescent="0.3">
      <c r="A115" s="10"/>
      <c r="B115" s="11"/>
      <c r="C115" s="58"/>
      <c r="D115" s="37"/>
      <c r="E115" s="100"/>
      <c r="F115" s="62"/>
      <c r="G115" s="55"/>
      <c r="I115" s="39"/>
      <c r="Q115" s="48"/>
      <c r="U115" s="45"/>
      <c r="V115" s="108"/>
      <c r="W115" s="109"/>
      <c r="X115" s="111"/>
      <c r="Y115" s="111"/>
    </row>
    <row r="116" spans="1:25" x14ac:dyDescent="0.3">
      <c r="A116" s="10"/>
      <c r="B116" s="11"/>
      <c r="C116" s="58"/>
      <c r="D116" s="37"/>
      <c r="E116" s="100"/>
      <c r="F116" s="62"/>
      <c r="G116" s="55"/>
      <c r="I116" s="39"/>
      <c r="Q116" s="48"/>
      <c r="U116" s="45"/>
      <c r="V116" s="108"/>
      <c r="W116" s="109"/>
      <c r="X116" s="111"/>
      <c r="Y116" s="111"/>
    </row>
    <row r="117" spans="1:25" x14ac:dyDescent="0.3">
      <c r="A117" s="10"/>
      <c r="B117" s="11"/>
      <c r="C117" s="58"/>
      <c r="D117" s="37"/>
      <c r="E117" s="100"/>
      <c r="F117" s="62"/>
      <c r="G117" s="55"/>
      <c r="I117" s="39"/>
      <c r="Q117" s="48"/>
      <c r="U117" s="45"/>
      <c r="V117" s="108"/>
      <c r="W117" s="109"/>
      <c r="X117" s="111"/>
      <c r="Y117" s="111"/>
    </row>
    <row r="118" spans="1:25" x14ac:dyDescent="0.3">
      <c r="A118" s="10"/>
      <c r="B118" s="11"/>
      <c r="C118" s="58"/>
      <c r="D118" s="37"/>
      <c r="E118" s="100"/>
      <c r="F118" s="62"/>
      <c r="G118" s="55"/>
      <c r="I118" s="39"/>
      <c r="Q118" s="48"/>
      <c r="U118" s="45"/>
      <c r="V118" s="108"/>
      <c r="W118" s="109"/>
      <c r="X118" s="111"/>
      <c r="Y118" s="111"/>
    </row>
    <row r="119" spans="1:25" x14ac:dyDescent="0.3">
      <c r="A119" s="10"/>
      <c r="B119" s="11"/>
      <c r="C119" s="58"/>
      <c r="D119" s="37"/>
      <c r="E119" s="100"/>
      <c r="F119" s="62"/>
      <c r="G119" s="55"/>
      <c r="I119" s="39"/>
      <c r="Q119" s="48"/>
      <c r="U119" s="45"/>
      <c r="V119" s="108"/>
      <c r="W119" s="109"/>
      <c r="X119" s="111"/>
      <c r="Y119" s="111"/>
    </row>
    <row r="120" spans="1:25" x14ac:dyDescent="0.3">
      <c r="A120" s="10"/>
      <c r="B120" s="11"/>
      <c r="C120" s="58"/>
      <c r="D120" s="37"/>
      <c r="E120" s="100"/>
      <c r="F120" s="62"/>
      <c r="G120" s="55"/>
      <c r="I120" s="39"/>
      <c r="Q120" s="48"/>
      <c r="U120" s="45"/>
      <c r="V120" s="108"/>
      <c r="W120" s="109"/>
      <c r="X120" s="111"/>
      <c r="Y120" s="111"/>
    </row>
    <row r="121" spans="1:25" x14ac:dyDescent="0.3">
      <c r="A121" s="10"/>
      <c r="B121" s="11"/>
      <c r="C121" s="58"/>
      <c r="D121" s="37"/>
      <c r="E121" s="100"/>
      <c r="F121" s="62"/>
      <c r="G121" s="55"/>
      <c r="I121" s="39"/>
      <c r="Q121" s="48"/>
      <c r="U121" s="45"/>
      <c r="V121" s="108"/>
      <c r="W121" s="109"/>
      <c r="X121" s="111"/>
      <c r="Y121" s="111"/>
    </row>
    <row r="122" spans="1:25" x14ac:dyDescent="0.3">
      <c r="A122" s="10"/>
      <c r="B122" s="11"/>
      <c r="C122" s="58"/>
      <c r="D122" s="37"/>
      <c r="E122" s="100"/>
      <c r="F122" s="62"/>
      <c r="G122" s="55"/>
      <c r="I122" s="39"/>
      <c r="Q122" s="48"/>
      <c r="U122" s="45"/>
      <c r="V122" s="108"/>
      <c r="W122" s="109"/>
      <c r="X122" s="111"/>
      <c r="Y122" s="111"/>
    </row>
    <row r="123" spans="1:25" x14ac:dyDescent="0.3">
      <c r="A123" s="10"/>
      <c r="B123" s="11"/>
      <c r="C123" s="58"/>
      <c r="D123" s="37"/>
      <c r="E123" s="100"/>
      <c r="F123" s="62"/>
      <c r="G123" s="55"/>
      <c r="I123" s="39"/>
      <c r="Q123" s="48"/>
      <c r="U123" s="45"/>
      <c r="V123" s="108"/>
      <c r="W123" s="109"/>
      <c r="X123" s="111"/>
      <c r="Y123" s="111"/>
    </row>
    <row r="124" spans="1:25" x14ac:dyDescent="0.3">
      <c r="A124" s="10"/>
      <c r="B124" s="11"/>
      <c r="C124" s="58"/>
      <c r="D124" s="37"/>
      <c r="E124" s="100"/>
      <c r="F124" s="62"/>
      <c r="G124" s="55"/>
      <c r="I124" s="39"/>
      <c r="Q124" s="48"/>
      <c r="U124" s="45"/>
      <c r="V124" s="108"/>
      <c r="W124" s="109"/>
      <c r="X124" s="111"/>
      <c r="Y124" s="111"/>
    </row>
    <row r="125" spans="1:25" x14ac:dyDescent="0.3">
      <c r="A125" s="10"/>
      <c r="B125" s="11"/>
      <c r="C125" s="58"/>
      <c r="D125" s="37"/>
      <c r="E125" s="100"/>
      <c r="F125" s="62"/>
      <c r="G125" s="55"/>
      <c r="I125" s="39"/>
      <c r="Q125" s="48"/>
      <c r="U125" s="45"/>
      <c r="V125" s="108"/>
      <c r="W125" s="109"/>
      <c r="X125" s="111"/>
      <c r="Y125" s="111"/>
    </row>
    <row r="126" spans="1:25" x14ac:dyDescent="0.3">
      <c r="A126" s="10"/>
      <c r="B126" s="11"/>
      <c r="C126" s="58"/>
      <c r="D126" s="37"/>
      <c r="E126" s="100"/>
      <c r="F126" s="62"/>
      <c r="G126" s="55"/>
      <c r="I126" s="39"/>
      <c r="Q126" s="48"/>
      <c r="U126" s="45"/>
      <c r="V126" s="108"/>
      <c r="W126" s="109"/>
      <c r="X126" s="111"/>
      <c r="Y126" s="111"/>
    </row>
    <row r="127" spans="1:25" x14ac:dyDescent="0.3">
      <c r="A127" s="10"/>
      <c r="B127" s="11"/>
      <c r="C127" s="58"/>
      <c r="D127" s="37"/>
      <c r="E127" s="100"/>
      <c r="F127" s="62"/>
      <c r="G127" s="55"/>
      <c r="I127" s="39"/>
      <c r="Q127" s="48"/>
      <c r="U127" s="45"/>
      <c r="V127" s="108"/>
      <c r="W127" s="109"/>
      <c r="X127" s="111"/>
      <c r="Y127" s="111"/>
    </row>
    <row r="128" spans="1:25" x14ac:dyDescent="0.3">
      <c r="A128" s="10"/>
      <c r="B128" s="11"/>
      <c r="C128" s="58"/>
      <c r="D128" s="37"/>
      <c r="E128" s="100"/>
      <c r="F128" s="62"/>
      <c r="G128" s="55"/>
      <c r="I128" s="39"/>
      <c r="Q128" s="48"/>
      <c r="U128" s="45"/>
      <c r="V128" s="108"/>
      <c r="W128" s="109"/>
      <c r="X128" s="111"/>
      <c r="Y128" s="111"/>
    </row>
    <row r="129" spans="1:25" x14ac:dyDescent="0.3">
      <c r="A129" s="10"/>
      <c r="B129" s="11"/>
      <c r="C129" s="58"/>
      <c r="D129" s="37"/>
      <c r="E129" s="100"/>
      <c r="F129" s="62"/>
      <c r="G129" s="55"/>
      <c r="I129" s="39"/>
      <c r="Q129" s="48"/>
      <c r="U129" s="45"/>
      <c r="V129" s="108"/>
      <c r="W129" s="109"/>
      <c r="X129" s="111"/>
      <c r="Y129" s="111"/>
    </row>
    <row r="130" spans="1:25" x14ac:dyDescent="0.3">
      <c r="A130" s="10"/>
      <c r="B130" s="11"/>
      <c r="C130" s="58"/>
      <c r="D130" s="37"/>
      <c r="E130" s="100"/>
      <c r="F130" s="62"/>
      <c r="G130" s="55"/>
      <c r="I130" s="39"/>
      <c r="Q130" s="48"/>
      <c r="U130" s="45"/>
      <c r="V130" s="108"/>
      <c r="W130" s="109"/>
      <c r="X130" s="111"/>
      <c r="Y130" s="111"/>
    </row>
    <row r="131" spans="1:25" x14ac:dyDescent="0.3">
      <c r="A131" s="10"/>
      <c r="B131" s="11"/>
      <c r="C131" s="58"/>
      <c r="D131" s="37"/>
      <c r="E131" s="100"/>
      <c r="F131" s="62"/>
      <c r="G131" s="55"/>
      <c r="I131" s="39"/>
      <c r="Q131" s="48"/>
      <c r="U131" s="45"/>
      <c r="V131" s="108"/>
      <c r="W131" s="109"/>
      <c r="X131" s="111"/>
      <c r="Y131" s="111"/>
    </row>
    <row r="132" spans="1:25" x14ac:dyDescent="0.3">
      <c r="A132" s="10"/>
      <c r="B132" s="11"/>
      <c r="C132" s="58"/>
      <c r="D132" s="37"/>
      <c r="E132" s="100"/>
      <c r="F132" s="62"/>
      <c r="G132" s="55"/>
      <c r="I132" s="39"/>
      <c r="Q132" s="48"/>
      <c r="U132" s="45"/>
      <c r="V132" s="108"/>
      <c r="W132" s="109"/>
      <c r="X132" s="111"/>
      <c r="Y132" s="111"/>
    </row>
    <row r="133" spans="1:25" x14ac:dyDescent="0.3">
      <c r="A133" s="10"/>
      <c r="B133" s="11"/>
      <c r="C133" s="58"/>
      <c r="D133" s="37"/>
      <c r="E133" s="100"/>
      <c r="F133" s="62"/>
      <c r="G133" s="55"/>
      <c r="I133" s="39"/>
      <c r="Q133" s="48"/>
      <c r="U133" s="45"/>
      <c r="V133" s="108"/>
      <c r="W133" s="109"/>
      <c r="X133" s="111"/>
      <c r="Y133" s="111"/>
    </row>
    <row r="134" spans="1:25" x14ac:dyDescent="0.3">
      <c r="A134" s="10"/>
      <c r="B134" s="11"/>
      <c r="C134" s="58"/>
      <c r="D134" s="37"/>
      <c r="E134" s="100"/>
      <c r="F134" s="62"/>
      <c r="G134" s="55"/>
      <c r="I134" s="39"/>
      <c r="Q134" s="48"/>
      <c r="U134" s="45"/>
      <c r="V134" s="108"/>
      <c r="W134" s="109"/>
      <c r="X134" s="111"/>
      <c r="Y134" s="111"/>
    </row>
    <row r="135" spans="1:25" x14ac:dyDescent="0.3">
      <c r="A135" s="10"/>
      <c r="B135" s="11"/>
      <c r="C135" s="58"/>
      <c r="D135" s="37"/>
      <c r="E135" s="100"/>
      <c r="F135" s="62"/>
      <c r="G135" s="55"/>
      <c r="I135" s="39"/>
      <c r="Q135" s="48"/>
      <c r="U135" s="45"/>
      <c r="V135" s="108"/>
      <c r="W135" s="109"/>
      <c r="X135" s="111"/>
      <c r="Y135" s="111"/>
    </row>
    <row r="136" spans="1:25" x14ac:dyDescent="0.3">
      <c r="A136" s="10"/>
      <c r="B136" s="11"/>
      <c r="C136" s="58"/>
      <c r="D136" s="37"/>
      <c r="E136" s="100"/>
      <c r="F136" s="62"/>
      <c r="G136" s="55"/>
      <c r="I136" s="39"/>
      <c r="Q136" s="48"/>
      <c r="U136" s="45"/>
      <c r="V136" s="108"/>
      <c r="W136" s="109"/>
      <c r="X136" s="111"/>
      <c r="Y136" s="111"/>
    </row>
    <row r="137" spans="1:25" x14ac:dyDescent="0.3">
      <c r="A137" s="10"/>
      <c r="B137" s="11"/>
      <c r="C137" s="58"/>
      <c r="D137" s="37"/>
      <c r="E137" s="100"/>
      <c r="F137" s="62"/>
      <c r="G137" s="55"/>
      <c r="I137" s="39"/>
      <c r="Q137" s="48"/>
      <c r="U137" s="45"/>
      <c r="V137" s="108"/>
      <c r="W137" s="109"/>
      <c r="X137" s="111"/>
      <c r="Y137" s="111"/>
    </row>
    <row r="138" spans="1:25" x14ac:dyDescent="0.3">
      <c r="A138" s="10"/>
      <c r="B138" s="11"/>
      <c r="C138" s="58"/>
      <c r="D138" s="37"/>
      <c r="E138" s="100"/>
      <c r="F138" s="62"/>
      <c r="G138" s="55"/>
      <c r="I138" s="39"/>
      <c r="Q138" s="48"/>
      <c r="U138" s="45"/>
      <c r="V138" s="108"/>
      <c r="W138" s="109"/>
      <c r="X138" s="111"/>
      <c r="Y138" s="111"/>
    </row>
    <row r="139" spans="1:25" x14ac:dyDescent="0.3">
      <c r="A139" s="10"/>
      <c r="B139" s="11"/>
      <c r="C139" s="58"/>
      <c r="D139" s="37"/>
      <c r="E139" s="100"/>
      <c r="F139" s="62"/>
      <c r="G139" s="55"/>
      <c r="I139" s="39"/>
      <c r="Q139" s="48"/>
      <c r="U139" s="45"/>
      <c r="V139" s="108"/>
      <c r="W139" s="109"/>
      <c r="X139" s="111"/>
      <c r="Y139" s="111"/>
    </row>
    <row r="140" spans="1:25" x14ac:dyDescent="0.3">
      <c r="A140" s="10"/>
      <c r="B140" s="11"/>
      <c r="C140" s="58"/>
      <c r="D140" s="37"/>
      <c r="E140" s="100"/>
      <c r="F140" s="62"/>
      <c r="G140" s="55"/>
      <c r="I140" s="39"/>
      <c r="Q140" s="48"/>
      <c r="U140" s="45"/>
      <c r="V140" s="108"/>
      <c r="W140" s="109"/>
      <c r="X140" s="111"/>
      <c r="Y140" s="111"/>
    </row>
    <row r="141" spans="1:25" x14ac:dyDescent="0.3">
      <c r="A141" s="10"/>
      <c r="B141" s="11"/>
      <c r="C141" s="58"/>
      <c r="D141" s="37"/>
      <c r="E141" s="100"/>
      <c r="F141" s="62"/>
      <c r="G141" s="55"/>
      <c r="I141" s="39"/>
      <c r="Q141" s="48"/>
      <c r="U141" s="45"/>
      <c r="V141" s="108"/>
      <c r="W141" s="109"/>
      <c r="X141" s="111"/>
      <c r="Y141" s="111"/>
    </row>
    <row r="142" spans="1:25" x14ac:dyDescent="0.3">
      <c r="A142" s="10"/>
      <c r="B142" s="11"/>
      <c r="C142" s="58"/>
      <c r="D142" s="37"/>
      <c r="E142" s="100"/>
      <c r="F142" s="62"/>
      <c r="G142" s="55"/>
      <c r="I142" s="39"/>
      <c r="Q142" s="48"/>
      <c r="U142" s="45"/>
      <c r="V142" s="108"/>
      <c r="W142" s="109"/>
      <c r="X142" s="111"/>
      <c r="Y142" s="111"/>
    </row>
    <row r="143" spans="1:25" x14ac:dyDescent="0.3">
      <c r="A143" s="10"/>
      <c r="B143" s="11"/>
      <c r="C143" s="58"/>
      <c r="D143" s="37"/>
      <c r="E143" s="100"/>
      <c r="F143" s="62"/>
      <c r="G143" s="55"/>
      <c r="I143" s="39"/>
      <c r="Q143" s="48"/>
      <c r="U143" s="45"/>
      <c r="V143" s="108"/>
      <c r="W143" s="109"/>
      <c r="X143" s="111"/>
      <c r="Y143" s="111"/>
    </row>
    <row r="144" spans="1:25" x14ac:dyDescent="0.3">
      <c r="A144" s="10"/>
      <c r="B144" s="11"/>
      <c r="C144" s="58"/>
      <c r="D144" s="37"/>
      <c r="E144" s="100"/>
      <c r="F144" s="62"/>
      <c r="G144" s="55"/>
      <c r="I144" s="39"/>
      <c r="Q144" s="48"/>
      <c r="U144" s="45"/>
      <c r="V144" s="108"/>
      <c r="W144" s="109"/>
      <c r="X144" s="111"/>
      <c r="Y144" s="111"/>
    </row>
    <row r="145" spans="1:25" x14ac:dyDescent="0.3">
      <c r="A145" s="10"/>
      <c r="B145" s="11"/>
      <c r="C145" s="58"/>
      <c r="D145" s="37"/>
      <c r="E145" s="100"/>
      <c r="F145" s="62"/>
      <c r="G145" s="55"/>
      <c r="I145" s="39"/>
      <c r="Q145" s="48"/>
      <c r="U145" s="45"/>
      <c r="V145" s="108"/>
      <c r="W145" s="109"/>
      <c r="X145" s="111"/>
      <c r="Y145" s="111"/>
    </row>
    <row r="146" spans="1:25" x14ac:dyDescent="0.3">
      <c r="A146" s="10"/>
      <c r="B146" s="11"/>
      <c r="C146" s="58"/>
      <c r="D146" s="37"/>
      <c r="E146" s="100"/>
      <c r="F146" s="62"/>
      <c r="G146" s="55"/>
      <c r="I146" s="39"/>
      <c r="Q146" s="48"/>
      <c r="U146" s="45"/>
      <c r="V146" s="108"/>
      <c r="W146" s="109"/>
      <c r="X146" s="111"/>
      <c r="Y146" s="111"/>
    </row>
    <row r="147" spans="1:25" x14ac:dyDescent="0.3">
      <c r="A147" s="10"/>
      <c r="B147" s="11"/>
      <c r="C147" s="58"/>
      <c r="D147" s="37"/>
      <c r="E147" s="100"/>
      <c r="F147" s="62"/>
      <c r="G147" s="55"/>
      <c r="I147" s="39"/>
      <c r="Q147" s="48"/>
      <c r="U147" s="45"/>
      <c r="V147" s="108"/>
      <c r="W147" s="109"/>
      <c r="X147" s="111"/>
      <c r="Y147" s="111"/>
    </row>
    <row r="148" spans="1:25" x14ac:dyDescent="0.3">
      <c r="A148" s="10"/>
      <c r="B148" s="11"/>
      <c r="C148" s="58"/>
      <c r="D148" s="37"/>
      <c r="E148" s="100"/>
      <c r="F148" s="62"/>
      <c r="G148" s="55"/>
      <c r="I148" s="39"/>
      <c r="Q148" s="48"/>
      <c r="U148" s="45"/>
      <c r="V148" s="108"/>
      <c r="W148" s="109"/>
      <c r="X148" s="111"/>
      <c r="Y148" s="111"/>
    </row>
    <row r="149" spans="1:25" x14ac:dyDescent="0.3">
      <c r="A149" s="10"/>
      <c r="B149" s="11"/>
      <c r="C149" s="58"/>
      <c r="D149" s="37"/>
      <c r="E149" s="100"/>
      <c r="F149" s="62"/>
      <c r="G149" s="55"/>
      <c r="I149" s="39"/>
      <c r="Q149" s="48"/>
      <c r="U149" s="45"/>
      <c r="V149" s="108"/>
      <c r="W149" s="109"/>
      <c r="X149" s="111"/>
      <c r="Y149" s="111"/>
    </row>
    <row r="150" spans="1:25" x14ac:dyDescent="0.3">
      <c r="A150" s="10"/>
      <c r="B150" s="11"/>
      <c r="C150" s="58"/>
      <c r="D150" s="37"/>
      <c r="E150" s="100"/>
      <c r="F150" s="62"/>
      <c r="G150" s="55"/>
      <c r="I150" s="39"/>
      <c r="Q150" s="48"/>
      <c r="U150" s="45"/>
      <c r="V150" s="108"/>
      <c r="W150" s="109"/>
      <c r="X150" s="111"/>
      <c r="Y150" s="111"/>
    </row>
    <row r="151" spans="1:25" x14ac:dyDescent="0.3">
      <c r="A151" s="10"/>
      <c r="B151" s="11"/>
      <c r="C151" s="58"/>
      <c r="D151" s="37"/>
      <c r="E151" s="100"/>
      <c r="F151" s="62"/>
      <c r="G151" s="55"/>
      <c r="I151" s="39"/>
      <c r="Q151" s="48"/>
      <c r="U151" s="45"/>
      <c r="V151" s="108"/>
      <c r="W151" s="109"/>
      <c r="X151" s="111"/>
      <c r="Y151" s="111"/>
    </row>
    <row r="152" spans="1:25" x14ac:dyDescent="0.3">
      <c r="A152" s="10"/>
      <c r="B152" s="11"/>
      <c r="C152" s="58"/>
      <c r="D152" s="37"/>
      <c r="E152" s="100"/>
      <c r="F152" s="62"/>
      <c r="G152" s="55"/>
      <c r="I152" s="39"/>
      <c r="Q152" s="48"/>
      <c r="U152" s="45"/>
      <c r="V152" s="108"/>
      <c r="W152" s="109"/>
      <c r="X152" s="111"/>
      <c r="Y152" s="111"/>
    </row>
    <row r="153" spans="1:25" x14ac:dyDescent="0.3">
      <c r="A153" s="10"/>
      <c r="B153" s="11"/>
      <c r="C153" s="58"/>
      <c r="D153" s="37"/>
      <c r="E153" s="100"/>
      <c r="F153" s="62"/>
      <c r="G153" s="55"/>
      <c r="I153" s="39"/>
      <c r="Q153" s="48"/>
      <c r="U153" s="45"/>
      <c r="V153" s="108"/>
      <c r="W153" s="109"/>
      <c r="X153" s="111"/>
      <c r="Y153" s="111"/>
    </row>
    <row r="154" spans="1:25" x14ac:dyDescent="0.3">
      <c r="A154" s="10"/>
      <c r="B154" s="11"/>
      <c r="C154" s="58"/>
      <c r="D154" s="37"/>
      <c r="E154" s="100"/>
      <c r="F154" s="62"/>
      <c r="G154" s="55"/>
      <c r="I154" s="39"/>
      <c r="Q154" s="48"/>
      <c r="U154" s="45"/>
      <c r="V154" s="108"/>
      <c r="W154" s="109"/>
      <c r="X154" s="111"/>
      <c r="Y154" s="111"/>
    </row>
    <row r="155" spans="1:25" x14ac:dyDescent="0.3">
      <c r="A155" s="10"/>
      <c r="B155" s="11"/>
      <c r="C155" s="58"/>
      <c r="D155" s="37"/>
      <c r="E155" s="100"/>
      <c r="F155" s="62"/>
      <c r="G155" s="55"/>
      <c r="I155" s="39"/>
      <c r="Q155" s="48"/>
      <c r="U155" s="45"/>
      <c r="V155" s="108"/>
      <c r="W155" s="109"/>
      <c r="X155" s="111"/>
      <c r="Y155" s="111"/>
    </row>
    <row r="156" spans="1:25" x14ac:dyDescent="0.3">
      <c r="A156" s="10"/>
      <c r="B156" s="11"/>
      <c r="C156" s="58"/>
      <c r="D156" s="37"/>
      <c r="E156" s="100"/>
      <c r="F156" s="62"/>
      <c r="G156" s="55"/>
      <c r="I156" s="39"/>
      <c r="Q156" s="48"/>
      <c r="U156" s="45"/>
      <c r="V156" s="108"/>
      <c r="W156" s="109"/>
      <c r="X156" s="111"/>
      <c r="Y156" s="111"/>
    </row>
    <row r="157" spans="1:25" x14ac:dyDescent="0.3">
      <c r="A157" s="10"/>
      <c r="B157" s="11"/>
      <c r="C157" s="58"/>
      <c r="D157" s="37"/>
      <c r="E157" s="100"/>
      <c r="F157" s="62"/>
      <c r="G157" s="55"/>
      <c r="I157" s="39"/>
      <c r="Q157" s="48"/>
      <c r="U157" s="45"/>
      <c r="V157" s="108"/>
      <c r="W157" s="109"/>
      <c r="X157" s="111"/>
      <c r="Y157" s="111"/>
    </row>
    <row r="158" spans="1:25" x14ac:dyDescent="0.3">
      <c r="A158" s="10"/>
      <c r="B158" s="11"/>
      <c r="C158" s="58"/>
      <c r="D158" s="37"/>
      <c r="E158" s="100"/>
      <c r="F158" s="62"/>
      <c r="G158" s="55"/>
      <c r="I158" s="39"/>
      <c r="Q158" s="48"/>
      <c r="U158" s="45"/>
      <c r="V158" s="108"/>
      <c r="W158" s="109"/>
      <c r="X158" s="111"/>
      <c r="Y158" s="111"/>
    </row>
    <row r="159" spans="1:25" x14ac:dyDescent="0.3">
      <c r="A159" s="10"/>
      <c r="B159" s="11"/>
      <c r="C159" s="58"/>
      <c r="D159" s="37"/>
      <c r="E159" s="100"/>
      <c r="F159" s="62"/>
      <c r="G159" s="55"/>
      <c r="I159" s="39"/>
      <c r="Q159" s="48"/>
      <c r="U159" s="45"/>
      <c r="V159" s="108"/>
      <c r="W159" s="109"/>
      <c r="X159" s="111"/>
      <c r="Y159" s="111"/>
    </row>
    <row r="160" spans="1:25" x14ac:dyDescent="0.3">
      <c r="A160" s="10"/>
      <c r="B160" s="11"/>
      <c r="C160" s="58"/>
      <c r="D160" s="37"/>
      <c r="E160" s="100"/>
      <c r="F160" s="62"/>
      <c r="G160" s="55"/>
      <c r="I160" s="39"/>
      <c r="Q160" s="48"/>
      <c r="U160" s="45"/>
      <c r="V160" s="108"/>
      <c r="W160" s="109"/>
      <c r="X160" s="111"/>
      <c r="Y160" s="111"/>
    </row>
    <row r="161" spans="1:25" x14ac:dyDescent="0.3">
      <c r="A161" s="10"/>
      <c r="B161" s="11"/>
      <c r="C161" s="58"/>
      <c r="D161" s="37"/>
      <c r="E161" s="100"/>
      <c r="F161" s="62"/>
      <c r="G161" s="55"/>
      <c r="I161" s="39"/>
      <c r="Q161" s="48"/>
      <c r="U161" s="45"/>
      <c r="V161" s="108"/>
      <c r="W161" s="109"/>
      <c r="X161" s="111"/>
      <c r="Y161" s="111"/>
    </row>
    <row r="162" spans="1:25" x14ac:dyDescent="0.3">
      <c r="A162" s="10"/>
      <c r="B162" s="11"/>
      <c r="C162" s="58"/>
      <c r="D162" s="37"/>
      <c r="E162" s="100"/>
      <c r="F162" s="62"/>
      <c r="G162" s="55"/>
      <c r="I162" s="39"/>
      <c r="Q162" s="48"/>
      <c r="U162" s="45"/>
      <c r="V162" s="108"/>
      <c r="W162" s="109"/>
      <c r="X162" s="111"/>
      <c r="Y162" s="111"/>
    </row>
    <row r="163" spans="1:25" x14ac:dyDescent="0.3">
      <c r="A163" s="10"/>
      <c r="B163" s="11"/>
      <c r="C163" s="58"/>
      <c r="D163" s="37"/>
      <c r="E163" s="100"/>
      <c r="F163" s="62"/>
      <c r="G163" s="55"/>
      <c r="I163" s="39"/>
      <c r="Q163" s="48"/>
      <c r="U163" s="45"/>
      <c r="V163" s="108"/>
      <c r="W163" s="109"/>
      <c r="X163" s="111"/>
      <c r="Y163" s="111"/>
    </row>
    <row r="164" spans="1:25" x14ac:dyDescent="0.3">
      <c r="A164" s="10"/>
      <c r="B164" s="11"/>
      <c r="C164" s="58"/>
      <c r="D164" s="37"/>
      <c r="E164" s="100"/>
      <c r="F164" s="62"/>
      <c r="G164" s="55"/>
      <c r="I164" s="39"/>
      <c r="Q164" s="48"/>
      <c r="U164" s="45"/>
      <c r="V164" s="108"/>
      <c r="W164" s="109"/>
      <c r="X164" s="111"/>
      <c r="Y164" s="111"/>
    </row>
    <row r="165" spans="1:25" x14ac:dyDescent="0.3">
      <c r="A165" s="10"/>
      <c r="B165" s="11"/>
      <c r="C165" s="58"/>
      <c r="D165" s="37"/>
      <c r="E165" s="100"/>
      <c r="F165" s="62"/>
      <c r="G165" s="55"/>
      <c r="I165" s="39"/>
      <c r="Q165" s="48"/>
      <c r="U165" s="45"/>
      <c r="V165" s="108"/>
      <c r="W165" s="109"/>
      <c r="X165" s="111"/>
      <c r="Y165" s="111"/>
    </row>
    <row r="166" spans="1:25" x14ac:dyDescent="0.3">
      <c r="A166" s="10"/>
      <c r="B166" s="11"/>
      <c r="C166" s="58"/>
      <c r="D166" s="37"/>
      <c r="E166" s="100"/>
      <c r="F166" s="62"/>
      <c r="G166" s="55"/>
      <c r="I166" s="39"/>
      <c r="Q166" s="48"/>
      <c r="U166" s="45"/>
      <c r="V166" s="108"/>
      <c r="W166" s="109"/>
      <c r="X166" s="111"/>
      <c r="Y166" s="111"/>
    </row>
    <row r="167" spans="1:25" x14ac:dyDescent="0.3">
      <c r="A167" s="10"/>
      <c r="B167" s="11"/>
      <c r="C167" s="58"/>
      <c r="D167" s="37"/>
      <c r="E167" s="100"/>
      <c r="F167" s="62"/>
      <c r="G167" s="55"/>
      <c r="I167" s="39"/>
      <c r="Q167" s="48"/>
      <c r="U167" s="45"/>
      <c r="V167" s="108"/>
      <c r="W167" s="109"/>
      <c r="X167" s="111"/>
      <c r="Y167" s="111"/>
    </row>
    <row r="168" spans="1:25" x14ac:dyDescent="0.3">
      <c r="A168" s="10"/>
      <c r="B168" s="11"/>
      <c r="C168" s="58"/>
      <c r="D168" s="37"/>
      <c r="E168" s="100"/>
      <c r="F168" s="62"/>
      <c r="G168" s="55"/>
      <c r="I168" s="39"/>
      <c r="Q168" s="48"/>
      <c r="U168" s="45"/>
      <c r="V168" s="108"/>
      <c r="W168" s="109"/>
      <c r="X168" s="111"/>
      <c r="Y168" s="111"/>
    </row>
    <row r="169" spans="1:25" x14ac:dyDescent="0.3">
      <c r="A169" s="10"/>
      <c r="B169" s="11"/>
      <c r="C169" s="58"/>
      <c r="D169" s="37"/>
      <c r="E169" s="100"/>
      <c r="F169" s="62"/>
      <c r="G169" s="55"/>
      <c r="I169" s="39"/>
      <c r="Q169" s="48"/>
      <c r="U169" s="45"/>
      <c r="V169" s="108"/>
      <c r="W169" s="109"/>
      <c r="X169" s="111"/>
      <c r="Y169" s="111"/>
    </row>
    <row r="170" spans="1:25" x14ac:dyDescent="0.3">
      <c r="A170" s="10"/>
      <c r="B170" s="11"/>
      <c r="C170" s="58"/>
      <c r="D170" s="37"/>
      <c r="E170" s="100"/>
      <c r="F170" s="62"/>
      <c r="G170" s="55"/>
      <c r="I170" s="39"/>
      <c r="Q170" s="48"/>
      <c r="U170" s="45"/>
      <c r="V170" s="108"/>
      <c r="W170" s="109"/>
      <c r="X170" s="111"/>
      <c r="Y170" s="111"/>
    </row>
    <row r="171" spans="1:25" x14ac:dyDescent="0.3">
      <c r="A171" s="10"/>
      <c r="B171" s="11"/>
      <c r="C171" s="58"/>
      <c r="D171" s="37"/>
      <c r="E171" s="100"/>
      <c r="F171" s="62"/>
      <c r="G171" s="55"/>
      <c r="I171" s="39"/>
      <c r="Q171" s="48"/>
      <c r="U171" s="45"/>
      <c r="V171" s="108"/>
      <c r="W171" s="109"/>
      <c r="X171" s="111"/>
      <c r="Y171" s="111"/>
    </row>
    <row r="172" spans="1:25" x14ac:dyDescent="0.3">
      <c r="A172" s="10"/>
      <c r="B172" s="11"/>
      <c r="C172" s="58"/>
      <c r="D172" s="37"/>
      <c r="E172" s="100"/>
      <c r="F172" s="62"/>
      <c r="G172" s="55"/>
      <c r="I172" s="39"/>
      <c r="Q172" s="48"/>
      <c r="U172" s="45"/>
      <c r="V172" s="108"/>
      <c r="W172" s="109"/>
      <c r="X172" s="111"/>
      <c r="Y172" s="111"/>
    </row>
    <row r="173" spans="1:25" x14ac:dyDescent="0.3">
      <c r="A173" s="10"/>
      <c r="B173" s="11"/>
      <c r="C173" s="58"/>
      <c r="D173" s="37"/>
      <c r="E173" s="100"/>
      <c r="F173" s="62"/>
      <c r="G173" s="55"/>
      <c r="I173" s="39"/>
      <c r="Q173" s="48"/>
      <c r="U173" s="45"/>
      <c r="V173" s="108"/>
      <c r="W173" s="109"/>
      <c r="X173" s="111"/>
      <c r="Y173" s="111"/>
    </row>
    <row r="174" spans="1:25" x14ac:dyDescent="0.3">
      <c r="A174" s="10"/>
      <c r="B174" s="11"/>
      <c r="C174" s="58"/>
      <c r="D174" s="37"/>
      <c r="E174" s="100"/>
      <c r="F174" s="62"/>
      <c r="G174" s="55"/>
      <c r="I174" s="39"/>
      <c r="Q174" s="48"/>
      <c r="U174" s="45"/>
      <c r="V174" s="108"/>
      <c r="W174" s="109"/>
      <c r="X174" s="111"/>
      <c r="Y174" s="111"/>
    </row>
    <row r="175" spans="1:25" x14ac:dyDescent="0.3">
      <c r="A175" s="10"/>
      <c r="B175" s="11"/>
      <c r="C175" s="58"/>
      <c r="D175" s="37"/>
      <c r="E175" s="100"/>
      <c r="F175" s="62"/>
      <c r="G175" s="55"/>
      <c r="I175" s="39"/>
      <c r="Q175" s="48"/>
      <c r="U175" s="45"/>
      <c r="V175" s="108"/>
      <c r="W175" s="109"/>
      <c r="X175" s="111"/>
      <c r="Y175" s="111"/>
    </row>
    <row r="176" spans="1:25" x14ac:dyDescent="0.3">
      <c r="A176" s="10"/>
      <c r="B176" s="11"/>
      <c r="C176" s="58"/>
      <c r="D176" s="37"/>
      <c r="E176" s="100"/>
      <c r="F176" s="62"/>
      <c r="G176" s="55"/>
      <c r="I176" s="39"/>
      <c r="Q176" s="48"/>
      <c r="U176" s="45"/>
      <c r="V176" s="108"/>
      <c r="W176" s="109"/>
      <c r="X176" s="111"/>
      <c r="Y176" s="111"/>
    </row>
    <row r="177" spans="1:25" x14ac:dyDescent="0.3">
      <c r="A177" s="10"/>
      <c r="B177" s="11"/>
      <c r="C177" s="58"/>
      <c r="D177" s="37"/>
      <c r="E177" s="100"/>
      <c r="F177" s="62"/>
      <c r="G177" s="55"/>
      <c r="I177" s="39"/>
      <c r="Q177" s="48"/>
      <c r="U177" s="45"/>
      <c r="V177" s="108"/>
      <c r="W177" s="109"/>
      <c r="X177" s="111"/>
      <c r="Y177" s="111"/>
    </row>
    <row r="178" spans="1:25" x14ac:dyDescent="0.3">
      <c r="A178" s="10"/>
      <c r="B178" s="11"/>
      <c r="C178" s="58"/>
      <c r="D178" s="37"/>
      <c r="E178" s="100"/>
      <c r="F178" s="62"/>
      <c r="G178" s="55"/>
      <c r="I178" s="39"/>
      <c r="Q178" s="48"/>
      <c r="U178" s="45"/>
      <c r="V178" s="108"/>
      <c r="W178" s="109"/>
      <c r="X178" s="111"/>
      <c r="Y178" s="111"/>
    </row>
    <row r="179" spans="1:25" x14ac:dyDescent="0.3">
      <c r="A179" s="10"/>
      <c r="B179" s="11"/>
      <c r="C179" s="58"/>
      <c r="D179" s="37"/>
      <c r="E179" s="100"/>
      <c r="F179" s="62"/>
      <c r="G179" s="55"/>
      <c r="I179" s="39"/>
      <c r="Q179" s="48"/>
      <c r="U179" s="45"/>
      <c r="V179" s="108"/>
      <c r="W179" s="109"/>
      <c r="X179" s="111"/>
      <c r="Y179" s="111"/>
    </row>
    <row r="180" spans="1:25" x14ac:dyDescent="0.3">
      <c r="A180" s="10"/>
      <c r="B180" s="11"/>
      <c r="C180" s="58"/>
      <c r="D180" s="37"/>
      <c r="E180" s="100"/>
      <c r="F180" s="62"/>
      <c r="G180" s="55"/>
      <c r="I180" s="39"/>
      <c r="Q180" s="48"/>
      <c r="U180" s="45"/>
      <c r="V180" s="108"/>
      <c r="W180" s="109"/>
      <c r="X180" s="111"/>
      <c r="Y180" s="111"/>
    </row>
    <row r="181" spans="1:25" x14ac:dyDescent="0.3">
      <c r="A181" s="10"/>
      <c r="B181" s="11"/>
      <c r="C181" s="58"/>
      <c r="D181" s="37"/>
      <c r="E181" s="100"/>
      <c r="F181" s="62"/>
      <c r="G181" s="55"/>
      <c r="I181" s="39"/>
      <c r="Q181" s="48"/>
      <c r="U181" s="45"/>
      <c r="V181" s="108"/>
      <c r="W181" s="109"/>
      <c r="X181" s="111"/>
      <c r="Y181" s="111"/>
    </row>
    <row r="182" spans="1:25" x14ac:dyDescent="0.3">
      <c r="A182" s="10"/>
      <c r="B182" s="11"/>
      <c r="C182" s="58"/>
      <c r="D182" s="37"/>
      <c r="E182" s="100"/>
      <c r="F182" s="62"/>
      <c r="G182" s="55"/>
      <c r="I182" s="39"/>
      <c r="Q182" s="48"/>
      <c r="U182" s="45"/>
      <c r="V182" s="108"/>
      <c r="W182" s="109"/>
      <c r="X182" s="111"/>
      <c r="Y182" s="111"/>
    </row>
    <row r="183" spans="1:25" x14ac:dyDescent="0.3">
      <c r="A183" s="10"/>
      <c r="B183" s="11"/>
      <c r="C183" s="58"/>
      <c r="D183" s="37"/>
      <c r="E183" s="100"/>
      <c r="F183" s="62"/>
      <c r="G183" s="55"/>
      <c r="I183" s="39"/>
      <c r="Q183" s="48"/>
      <c r="U183" s="45"/>
      <c r="V183" s="108"/>
      <c r="W183" s="109"/>
      <c r="X183" s="111"/>
      <c r="Y183" s="111"/>
    </row>
    <row r="184" spans="1:25" x14ac:dyDescent="0.3">
      <c r="A184" s="10"/>
      <c r="B184" s="11"/>
      <c r="C184" s="58"/>
      <c r="D184" s="37"/>
      <c r="E184" s="100"/>
      <c r="F184" s="62"/>
      <c r="G184" s="55"/>
      <c r="I184" s="39"/>
      <c r="Q184" s="48"/>
      <c r="U184" s="45"/>
      <c r="V184" s="108"/>
      <c r="W184" s="109"/>
      <c r="X184" s="111"/>
      <c r="Y184" s="111"/>
    </row>
    <row r="185" spans="1:25" x14ac:dyDescent="0.3">
      <c r="A185" s="10"/>
      <c r="B185" s="11"/>
      <c r="C185" s="58"/>
      <c r="D185" s="37"/>
      <c r="E185" s="100"/>
      <c r="F185" s="62"/>
      <c r="G185" s="55"/>
      <c r="I185" s="39"/>
      <c r="Q185" s="48"/>
      <c r="U185" s="45"/>
      <c r="V185" s="108"/>
      <c r="W185" s="109"/>
      <c r="X185" s="111"/>
      <c r="Y185" s="111"/>
    </row>
    <row r="186" spans="1:25" x14ac:dyDescent="0.3">
      <c r="A186" s="10"/>
      <c r="B186" s="11"/>
      <c r="C186" s="58"/>
      <c r="D186" s="37"/>
      <c r="E186" s="100"/>
      <c r="F186" s="62"/>
      <c r="G186" s="55"/>
      <c r="I186" s="39"/>
      <c r="Q186" s="48"/>
      <c r="U186" s="45"/>
      <c r="V186" s="108"/>
      <c r="W186" s="109"/>
      <c r="X186" s="111"/>
      <c r="Y186" s="111"/>
    </row>
    <row r="187" spans="1:25" x14ac:dyDescent="0.3">
      <c r="A187" s="10"/>
      <c r="B187" s="11"/>
      <c r="C187" s="58"/>
      <c r="D187" s="37"/>
      <c r="E187" s="100"/>
      <c r="F187" s="62"/>
      <c r="G187" s="55"/>
      <c r="I187" s="39"/>
      <c r="Q187" s="48"/>
      <c r="U187" s="45"/>
      <c r="V187" s="108"/>
      <c r="W187" s="109"/>
      <c r="X187" s="111"/>
      <c r="Y187" s="111"/>
    </row>
    <row r="188" spans="1:25" x14ac:dyDescent="0.3">
      <c r="A188" s="10"/>
      <c r="B188" s="11"/>
      <c r="C188" s="58"/>
      <c r="D188" s="37"/>
      <c r="E188" s="100"/>
      <c r="F188" s="62"/>
      <c r="G188" s="55"/>
      <c r="I188" s="39"/>
      <c r="Q188" s="48"/>
      <c r="U188" s="45"/>
      <c r="V188" s="108"/>
      <c r="W188" s="109"/>
      <c r="X188" s="111"/>
      <c r="Y188" s="111"/>
    </row>
    <row r="189" spans="1:25" x14ac:dyDescent="0.3">
      <c r="A189" s="10"/>
      <c r="B189" s="11"/>
      <c r="C189" s="58"/>
      <c r="D189" s="37"/>
      <c r="E189" s="100"/>
      <c r="F189" s="62"/>
      <c r="G189" s="55"/>
      <c r="I189" s="39"/>
      <c r="Q189" s="48"/>
      <c r="U189" s="45"/>
      <c r="V189" s="108"/>
      <c r="W189" s="109"/>
      <c r="X189" s="111"/>
      <c r="Y189" s="111"/>
    </row>
    <row r="190" spans="1:25" x14ac:dyDescent="0.3">
      <c r="A190" s="10"/>
      <c r="B190" s="11"/>
      <c r="C190" s="58"/>
      <c r="D190" s="37"/>
      <c r="E190" s="100"/>
      <c r="F190" s="62"/>
      <c r="G190" s="55"/>
      <c r="I190" s="39"/>
      <c r="Q190" s="48"/>
      <c r="U190" s="45"/>
      <c r="V190" s="108"/>
      <c r="W190" s="109"/>
      <c r="X190" s="111"/>
      <c r="Y190" s="111"/>
    </row>
    <row r="191" spans="1:25" x14ac:dyDescent="0.3">
      <c r="A191" s="10"/>
      <c r="B191" s="11"/>
      <c r="C191" s="58"/>
      <c r="D191" s="37"/>
      <c r="E191" s="100"/>
      <c r="F191" s="62"/>
      <c r="G191" s="55"/>
      <c r="I191" s="39"/>
      <c r="Q191" s="48"/>
      <c r="U191" s="45"/>
      <c r="V191" s="108"/>
      <c r="W191" s="109"/>
      <c r="X191" s="111"/>
      <c r="Y191" s="111"/>
    </row>
    <row r="192" spans="1:25" x14ac:dyDescent="0.3">
      <c r="A192" s="10"/>
      <c r="B192" s="11"/>
      <c r="C192" s="58"/>
      <c r="D192" s="37"/>
      <c r="E192" s="100"/>
      <c r="F192" s="62"/>
      <c r="G192" s="55"/>
      <c r="I192" s="39"/>
      <c r="Q192" s="48"/>
      <c r="U192" s="45"/>
      <c r="V192" s="108"/>
      <c r="W192" s="109"/>
      <c r="X192" s="111"/>
      <c r="Y192" s="111"/>
    </row>
    <row r="193" spans="1:25" x14ac:dyDescent="0.3">
      <c r="A193" s="10"/>
      <c r="B193" s="11"/>
      <c r="C193" s="58"/>
      <c r="D193" s="37"/>
      <c r="E193" s="100"/>
      <c r="F193" s="62"/>
      <c r="G193" s="55"/>
      <c r="I193" s="39"/>
      <c r="Q193" s="48"/>
      <c r="U193" s="45"/>
      <c r="V193" s="108"/>
      <c r="W193" s="109"/>
      <c r="X193" s="111"/>
      <c r="Y193" s="111"/>
    </row>
    <row r="194" spans="1:25" x14ac:dyDescent="0.3">
      <c r="A194" s="10"/>
      <c r="B194" s="11"/>
      <c r="C194" s="58"/>
      <c r="D194" s="37"/>
      <c r="E194" s="100"/>
      <c r="F194" s="62"/>
      <c r="G194" s="55"/>
      <c r="I194" s="39"/>
      <c r="Q194" s="48"/>
      <c r="U194" s="45"/>
      <c r="V194" s="108"/>
      <c r="W194" s="109"/>
      <c r="X194" s="111"/>
      <c r="Y194" s="111"/>
    </row>
    <row r="195" spans="1:25" x14ac:dyDescent="0.3">
      <c r="A195" s="10"/>
      <c r="B195" s="11"/>
      <c r="C195" s="58"/>
      <c r="D195" s="37"/>
      <c r="E195" s="100"/>
      <c r="F195" s="62"/>
      <c r="G195" s="55"/>
      <c r="I195" s="39"/>
      <c r="Q195" s="48"/>
      <c r="U195" s="45"/>
      <c r="V195" s="108"/>
      <c r="W195" s="109"/>
      <c r="X195" s="111"/>
      <c r="Y195" s="111"/>
    </row>
    <row r="196" spans="1:25" x14ac:dyDescent="0.3">
      <c r="A196" s="10"/>
      <c r="B196" s="11"/>
      <c r="C196" s="58"/>
      <c r="D196" s="37"/>
      <c r="E196" s="100"/>
      <c r="F196" s="62"/>
      <c r="G196" s="55"/>
      <c r="I196" s="39"/>
      <c r="Q196" s="48"/>
      <c r="U196" s="45"/>
      <c r="V196" s="108"/>
      <c r="W196" s="109"/>
      <c r="X196" s="111"/>
      <c r="Y196" s="111"/>
    </row>
    <row r="197" spans="1:25" x14ac:dyDescent="0.3">
      <c r="A197" s="10"/>
      <c r="B197" s="11"/>
      <c r="C197" s="58"/>
      <c r="D197" s="37"/>
      <c r="E197" s="100"/>
      <c r="F197" s="62"/>
      <c r="G197" s="55"/>
      <c r="I197" s="39"/>
      <c r="Q197" s="48"/>
      <c r="U197" s="45"/>
      <c r="V197" s="108"/>
      <c r="W197" s="109"/>
      <c r="X197" s="111"/>
      <c r="Y197" s="111"/>
    </row>
    <row r="198" spans="1:25" x14ac:dyDescent="0.3">
      <c r="A198" s="10"/>
      <c r="B198" s="11"/>
      <c r="C198" s="58"/>
      <c r="D198" s="37"/>
      <c r="E198" s="100"/>
      <c r="F198" s="62"/>
      <c r="G198" s="55"/>
      <c r="I198" s="39"/>
      <c r="Q198" s="48"/>
      <c r="U198" s="45"/>
      <c r="V198" s="108"/>
      <c r="W198" s="109"/>
      <c r="X198" s="111"/>
      <c r="Y198" s="111"/>
    </row>
    <row r="199" spans="1:25" x14ac:dyDescent="0.3">
      <c r="A199" s="10"/>
      <c r="B199" s="11"/>
      <c r="C199" s="58"/>
      <c r="D199" s="37"/>
      <c r="E199" s="100"/>
      <c r="F199" s="62"/>
      <c r="G199" s="55"/>
      <c r="I199" s="39"/>
      <c r="Q199" s="48"/>
      <c r="U199" s="45"/>
      <c r="V199" s="108"/>
      <c r="W199" s="109"/>
      <c r="X199" s="111"/>
      <c r="Y199" s="111"/>
    </row>
    <row r="200" spans="1:25" x14ac:dyDescent="0.3">
      <c r="A200" s="10"/>
      <c r="B200" s="11"/>
      <c r="C200" s="58"/>
      <c r="D200" s="37"/>
      <c r="E200" s="100"/>
      <c r="F200" s="62"/>
      <c r="G200" s="55"/>
      <c r="I200" s="39"/>
      <c r="Q200" s="48"/>
      <c r="U200" s="45"/>
      <c r="V200" s="108"/>
      <c r="W200" s="109"/>
      <c r="X200" s="111"/>
      <c r="Y200" s="111"/>
    </row>
    <row r="201" spans="1:25" x14ac:dyDescent="0.3">
      <c r="A201" s="10"/>
      <c r="B201" s="11"/>
      <c r="C201" s="58"/>
      <c r="D201" s="37"/>
      <c r="E201" s="100"/>
      <c r="F201" s="62"/>
      <c r="G201" s="55"/>
      <c r="I201" s="39"/>
      <c r="Q201" s="48"/>
      <c r="U201" s="45"/>
      <c r="V201" s="108"/>
      <c r="W201" s="109"/>
      <c r="X201" s="111"/>
      <c r="Y201" s="111"/>
    </row>
    <row r="202" spans="1:25" x14ac:dyDescent="0.3">
      <c r="A202" s="10"/>
      <c r="B202" s="11"/>
      <c r="C202" s="58"/>
      <c r="D202" s="37"/>
      <c r="E202" s="100"/>
      <c r="F202" s="62"/>
      <c r="G202" s="55"/>
      <c r="I202" s="39"/>
      <c r="Q202" s="48"/>
      <c r="U202" s="45"/>
      <c r="V202" s="108"/>
      <c r="W202" s="109"/>
      <c r="X202" s="111"/>
      <c r="Y202" s="111"/>
    </row>
    <row r="203" spans="1:25" x14ac:dyDescent="0.3">
      <c r="A203" s="10"/>
      <c r="B203" s="11"/>
      <c r="C203" s="58"/>
      <c r="D203" s="37"/>
      <c r="E203" s="100"/>
      <c r="F203" s="62"/>
      <c r="G203" s="55"/>
      <c r="I203" s="39"/>
      <c r="Q203" s="48"/>
      <c r="U203" s="45"/>
      <c r="V203" s="108"/>
      <c r="W203" s="109"/>
      <c r="X203" s="111"/>
      <c r="Y203" s="111"/>
    </row>
    <row r="204" spans="1:25" x14ac:dyDescent="0.3">
      <c r="A204" s="10"/>
      <c r="B204" s="11"/>
      <c r="C204" s="58"/>
      <c r="D204" s="37"/>
      <c r="E204" s="100"/>
      <c r="F204" s="62"/>
      <c r="G204" s="55"/>
      <c r="I204" s="39"/>
      <c r="Q204" s="48"/>
      <c r="U204" s="45"/>
      <c r="V204" s="108"/>
      <c r="W204" s="109"/>
      <c r="X204" s="111"/>
      <c r="Y204" s="111"/>
    </row>
    <row r="205" spans="1:25" x14ac:dyDescent="0.3">
      <c r="A205" s="10"/>
      <c r="B205" s="11"/>
      <c r="C205" s="58"/>
      <c r="D205" s="37"/>
      <c r="E205" s="100"/>
      <c r="F205" s="62"/>
      <c r="G205" s="55"/>
      <c r="I205" s="39"/>
      <c r="Q205" s="48"/>
      <c r="U205" s="45"/>
      <c r="V205" s="108"/>
      <c r="W205" s="109"/>
      <c r="X205" s="111"/>
      <c r="Y205" s="111"/>
    </row>
    <row r="206" spans="1:25" x14ac:dyDescent="0.3">
      <c r="A206" s="10"/>
      <c r="B206" s="11"/>
      <c r="C206" s="58"/>
      <c r="D206" s="37"/>
      <c r="E206" s="100"/>
      <c r="F206" s="62"/>
      <c r="G206" s="55"/>
      <c r="I206" s="39"/>
      <c r="Q206" s="48"/>
      <c r="U206" s="45"/>
      <c r="V206" s="108"/>
      <c r="W206" s="109"/>
      <c r="X206" s="111"/>
      <c r="Y206" s="111"/>
    </row>
    <row r="207" spans="1:25" x14ac:dyDescent="0.3">
      <c r="A207" s="10"/>
      <c r="B207" s="11"/>
      <c r="C207" s="58"/>
      <c r="D207" s="37"/>
      <c r="E207" s="100"/>
      <c r="F207" s="62"/>
      <c r="G207" s="55"/>
      <c r="I207" s="39"/>
      <c r="Q207" s="48"/>
      <c r="U207" s="45"/>
      <c r="V207" s="108"/>
      <c r="W207" s="109"/>
      <c r="X207" s="111"/>
      <c r="Y207" s="111"/>
    </row>
    <row r="208" spans="1:25" x14ac:dyDescent="0.3">
      <c r="A208" s="10"/>
      <c r="B208" s="11"/>
      <c r="C208" s="58"/>
      <c r="D208" s="37"/>
      <c r="E208" s="100"/>
      <c r="F208" s="62"/>
      <c r="G208" s="55"/>
      <c r="I208" s="39"/>
      <c r="Q208" s="48"/>
      <c r="U208" s="45"/>
      <c r="V208" s="108"/>
      <c r="W208" s="109"/>
      <c r="X208" s="111"/>
      <c r="Y208" s="111"/>
    </row>
    <row r="209" spans="1:25" x14ac:dyDescent="0.3">
      <c r="A209" s="10"/>
      <c r="B209" s="11"/>
      <c r="C209" s="58"/>
      <c r="D209" s="37"/>
      <c r="E209" s="100"/>
      <c r="F209" s="62"/>
      <c r="G209" s="55"/>
      <c r="I209" s="39"/>
      <c r="Q209" s="48"/>
      <c r="U209" s="45"/>
      <c r="V209" s="108"/>
      <c r="W209" s="109"/>
      <c r="X209" s="111"/>
      <c r="Y209" s="111"/>
    </row>
    <row r="210" spans="1:25" x14ac:dyDescent="0.3">
      <c r="A210" s="10"/>
      <c r="B210" s="11"/>
      <c r="C210" s="58"/>
      <c r="D210" s="37"/>
      <c r="E210" s="100"/>
      <c r="F210" s="62"/>
      <c r="G210" s="55"/>
      <c r="I210" s="39"/>
      <c r="Q210" s="48"/>
      <c r="U210" s="45"/>
      <c r="V210" s="108"/>
      <c r="W210" s="109"/>
      <c r="X210" s="111"/>
      <c r="Y210" s="111"/>
    </row>
    <row r="211" spans="1:25" x14ac:dyDescent="0.3">
      <c r="A211" s="10"/>
      <c r="B211" s="11"/>
      <c r="C211" s="58"/>
      <c r="D211" s="37"/>
      <c r="E211" s="100"/>
      <c r="F211" s="62"/>
      <c r="G211" s="55"/>
      <c r="I211" s="39"/>
      <c r="Q211" s="48"/>
      <c r="U211" s="45"/>
      <c r="V211" s="108"/>
      <c r="W211" s="109"/>
      <c r="X211" s="111"/>
      <c r="Y211" s="111"/>
    </row>
    <row r="212" spans="1:25" x14ac:dyDescent="0.3">
      <c r="A212" s="10"/>
      <c r="B212" s="11"/>
      <c r="C212" s="58"/>
      <c r="D212" s="37"/>
      <c r="E212" s="100"/>
      <c r="F212" s="62"/>
      <c r="G212" s="55"/>
      <c r="I212" s="39"/>
      <c r="Q212" s="48"/>
      <c r="U212" s="45"/>
      <c r="V212" s="108"/>
      <c r="W212" s="109"/>
      <c r="X212" s="111"/>
      <c r="Y212" s="111"/>
    </row>
    <row r="213" spans="1:25" x14ac:dyDescent="0.3">
      <c r="A213" s="10"/>
      <c r="B213" s="11"/>
      <c r="C213" s="58"/>
      <c r="D213" s="37"/>
      <c r="E213" s="100"/>
      <c r="F213" s="62"/>
      <c r="G213" s="55"/>
      <c r="I213" s="39"/>
      <c r="Q213" s="48"/>
      <c r="U213" s="45"/>
      <c r="V213" s="108"/>
      <c r="W213" s="109"/>
      <c r="X213" s="111"/>
      <c r="Y213" s="111"/>
    </row>
    <row r="214" spans="1:25" x14ac:dyDescent="0.3">
      <c r="A214" s="10"/>
      <c r="B214" s="11"/>
      <c r="C214" s="58"/>
      <c r="D214" s="37"/>
      <c r="E214" s="100"/>
      <c r="F214" s="62"/>
      <c r="G214" s="55"/>
      <c r="I214" s="39"/>
      <c r="Q214" s="48"/>
      <c r="U214" s="45"/>
      <c r="V214" s="108"/>
      <c r="W214" s="109"/>
      <c r="X214" s="111"/>
      <c r="Y214" s="111"/>
    </row>
    <row r="215" spans="1:25" x14ac:dyDescent="0.3">
      <c r="A215" s="10"/>
      <c r="B215" s="11"/>
      <c r="C215" s="58"/>
      <c r="D215" s="37"/>
      <c r="E215" s="100"/>
      <c r="F215" s="62"/>
      <c r="G215" s="55"/>
      <c r="I215" s="39"/>
      <c r="Q215" s="48"/>
      <c r="U215" s="45"/>
      <c r="V215" s="108"/>
      <c r="W215" s="109"/>
      <c r="X215" s="111"/>
      <c r="Y215" s="111"/>
    </row>
    <row r="216" spans="1:25" x14ac:dyDescent="0.3">
      <c r="A216" s="10"/>
      <c r="B216" s="11"/>
      <c r="C216" s="58"/>
      <c r="D216" s="37"/>
      <c r="E216" s="100"/>
      <c r="F216" s="62"/>
      <c r="G216" s="55"/>
      <c r="I216" s="39"/>
      <c r="Q216" s="48"/>
      <c r="U216" s="45"/>
      <c r="V216" s="108"/>
      <c r="W216" s="109"/>
      <c r="X216" s="111"/>
      <c r="Y216" s="111"/>
    </row>
    <row r="217" spans="1:25" x14ac:dyDescent="0.3">
      <c r="A217" s="10"/>
      <c r="B217" s="11"/>
      <c r="C217" s="58"/>
      <c r="D217" s="37"/>
      <c r="E217" s="100"/>
      <c r="F217" s="62"/>
      <c r="G217" s="55"/>
      <c r="I217" s="39"/>
      <c r="Q217" s="48"/>
      <c r="U217" s="45"/>
      <c r="V217" s="108"/>
      <c r="W217" s="109"/>
      <c r="X217" s="111"/>
      <c r="Y217" s="111"/>
    </row>
    <row r="218" spans="1:25" x14ac:dyDescent="0.3">
      <c r="A218" s="10"/>
      <c r="B218" s="11"/>
      <c r="C218" s="58"/>
      <c r="D218" s="37"/>
      <c r="E218" s="100"/>
      <c r="F218" s="62"/>
      <c r="G218" s="55"/>
      <c r="I218" s="39"/>
      <c r="Q218" s="48"/>
      <c r="U218" s="45"/>
      <c r="V218" s="108"/>
      <c r="W218" s="109"/>
      <c r="X218" s="111"/>
      <c r="Y218" s="111"/>
    </row>
    <row r="219" spans="1:25" x14ac:dyDescent="0.3">
      <c r="A219" s="10"/>
      <c r="B219" s="11"/>
      <c r="C219" s="58"/>
      <c r="D219" s="37"/>
      <c r="E219" s="100"/>
      <c r="F219" s="62"/>
      <c r="G219" s="55"/>
      <c r="I219" s="39"/>
      <c r="Q219" s="48"/>
      <c r="U219" s="45"/>
      <c r="V219" s="108"/>
      <c r="W219" s="109"/>
      <c r="X219" s="111"/>
      <c r="Y219" s="111"/>
    </row>
    <row r="220" spans="1:25" x14ac:dyDescent="0.3">
      <c r="A220" s="10"/>
      <c r="B220" s="11"/>
      <c r="C220" s="58"/>
      <c r="D220" s="37"/>
      <c r="E220" s="100"/>
      <c r="F220" s="62"/>
      <c r="G220" s="55"/>
      <c r="I220" s="39"/>
      <c r="Q220" s="48"/>
      <c r="U220" s="45"/>
      <c r="V220" s="108"/>
      <c r="W220" s="109"/>
      <c r="X220" s="111"/>
      <c r="Y220" s="111"/>
    </row>
    <row r="221" spans="1:25" x14ac:dyDescent="0.3">
      <c r="A221" s="10"/>
      <c r="B221" s="11"/>
      <c r="C221" s="58"/>
      <c r="D221" s="37"/>
      <c r="E221" s="100"/>
      <c r="F221" s="62"/>
      <c r="G221" s="55"/>
      <c r="I221" s="39"/>
      <c r="Q221" s="48"/>
      <c r="U221" s="45"/>
      <c r="V221" s="108"/>
      <c r="W221" s="109"/>
      <c r="X221" s="111"/>
      <c r="Y221" s="111"/>
    </row>
    <row r="222" spans="1:25" x14ac:dyDescent="0.3">
      <c r="A222" s="10"/>
      <c r="B222" s="11"/>
      <c r="C222" s="58"/>
      <c r="D222" s="37"/>
      <c r="E222" s="100"/>
      <c r="F222" s="62"/>
      <c r="G222" s="55"/>
      <c r="I222" s="39"/>
      <c r="Q222" s="48"/>
      <c r="U222" s="45"/>
      <c r="V222" s="108"/>
      <c r="W222" s="109"/>
      <c r="X222" s="111"/>
      <c r="Y222" s="111"/>
    </row>
    <row r="223" spans="1:25" x14ac:dyDescent="0.3">
      <c r="A223" s="10"/>
      <c r="B223" s="11"/>
      <c r="C223" s="58"/>
      <c r="D223" s="37"/>
      <c r="E223" s="100"/>
      <c r="F223" s="62"/>
      <c r="G223" s="55"/>
      <c r="I223" s="39"/>
      <c r="Q223" s="48"/>
      <c r="U223" s="45"/>
      <c r="V223" s="108"/>
      <c r="W223" s="109"/>
      <c r="X223" s="111"/>
      <c r="Y223" s="111"/>
    </row>
    <row r="224" spans="1:25" x14ac:dyDescent="0.3">
      <c r="A224" s="10"/>
      <c r="B224" s="11"/>
      <c r="C224" s="58"/>
      <c r="D224" s="37"/>
      <c r="E224" s="100"/>
      <c r="F224" s="62"/>
      <c r="G224" s="55"/>
      <c r="I224" s="39"/>
      <c r="Q224" s="48"/>
      <c r="U224" s="45"/>
      <c r="V224" s="108"/>
      <c r="W224" s="109"/>
      <c r="X224" s="111"/>
      <c r="Y224" s="111"/>
    </row>
    <row r="225" spans="1:25" x14ac:dyDescent="0.3">
      <c r="A225" s="10"/>
      <c r="B225" s="11"/>
      <c r="C225" s="58"/>
      <c r="D225" s="37"/>
      <c r="E225" s="100"/>
      <c r="F225" s="62"/>
      <c r="G225" s="55"/>
      <c r="I225" s="39"/>
      <c r="Q225" s="48"/>
      <c r="U225" s="45"/>
      <c r="V225" s="108"/>
      <c r="W225" s="109"/>
      <c r="X225" s="111"/>
      <c r="Y225" s="111"/>
    </row>
    <row r="226" spans="1:25" x14ac:dyDescent="0.3">
      <c r="A226" s="10"/>
      <c r="B226" s="11"/>
      <c r="C226" s="58"/>
      <c r="D226" s="37"/>
      <c r="E226" s="100"/>
      <c r="F226" s="62"/>
      <c r="G226" s="55"/>
      <c r="I226" s="39"/>
      <c r="Q226" s="48"/>
      <c r="U226" s="45"/>
      <c r="V226" s="108"/>
      <c r="W226" s="109"/>
      <c r="X226" s="111"/>
      <c r="Y226" s="111"/>
    </row>
    <row r="227" spans="1:25" x14ac:dyDescent="0.3">
      <c r="A227" s="10"/>
      <c r="B227" s="11"/>
      <c r="C227" s="58"/>
      <c r="D227" s="37"/>
      <c r="E227" s="100"/>
      <c r="F227" s="62"/>
      <c r="G227" s="55"/>
      <c r="I227" s="39"/>
      <c r="Q227" s="48"/>
      <c r="U227" s="45"/>
      <c r="V227" s="108"/>
      <c r="W227" s="109"/>
      <c r="X227" s="111"/>
      <c r="Y227" s="111"/>
    </row>
    <row r="228" spans="1:25" x14ac:dyDescent="0.3">
      <c r="A228" s="10"/>
      <c r="B228" s="11"/>
      <c r="C228" s="58"/>
      <c r="D228" s="37"/>
      <c r="E228" s="100"/>
      <c r="F228" s="62"/>
      <c r="G228" s="55"/>
      <c r="I228" s="39"/>
      <c r="Q228" s="48"/>
      <c r="U228" s="45"/>
      <c r="V228" s="108"/>
      <c r="W228" s="109"/>
      <c r="X228" s="111"/>
      <c r="Y228" s="111"/>
    </row>
    <row r="229" spans="1:25" x14ac:dyDescent="0.3">
      <c r="A229" s="10"/>
      <c r="B229" s="11"/>
      <c r="C229" s="58"/>
      <c r="D229" s="37"/>
      <c r="E229" s="100"/>
      <c r="F229" s="62"/>
      <c r="G229" s="55"/>
      <c r="I229" s="39"/>
      <c r="Q229" s="48"/>
      <c r="U229" s="45"/>
      <c r="V229" s="108"/>
      <c r="W229" s="109"/>
      <c r="X229" s="111"/>
      <c r="Y229" s="111"/>
    </row>
    <row r="230" spans="1:25" x14ac:dyDescent="0.3">
      <c r="A230" s="10"/>
      <c r="B230" s="11"/>
      <c r="C230" s="58"/>
      <c r="D230" s="37"/>
      <c r="E230" s="100"/>
      <c r="F230" s="62"/>
      <c r="G230" s="55"/>
      <c r="I230" s="39"/>
      <c r="Q230" s="48"/>
      <c r="U230" s="45"/>
      <c r="V230" s="108"/>
      <c r="W230" s="109"/>
      <c r="X230" s="111"/>
      <c r="Y230" s="111"/>
    </row>
    <row r="231" spans="1:25" x14ac:dyDescent="0.3">
      <c r="A231" s="10"/>
      <c r="B231" s="11"/>
      <c r="C231" s="58"/>
      <c r="D231" s="37"/>
      <c r="E231" s="100"/>
      <c r="F231" s="62"/>
      <c r="G231" s="55"/>
      <c r="I231" s="39"/>
      <c r="Q231" s="48"/>
      <c r="U231" s="45"/>
      <c r="V231" s="108"/>
      <c r="W231" s="109"/>
      <c r="X231" s="111"/>
      <c r="Y231" s="111"/>
    </row>
    <row r="232" spans="1:25" x14ac:dyDescent="0.3">
      <c r="A232" s="10"/>
      <c r="B232" s="11"/>
      <c r="C232" s="58"/>
      <c r="D232" s="37"/>
      <c r="E232" s="100"/>
      <c r="F232" s="62"/>
      <c r="G232" s="55"/>
      <c r="I232" s="39"/>
      <c r="Q232" s="48"/>
      <c r="U232" s="45"/>
      <c r="V232" s="108"/>
      <c r="W232" s="109"/>
      <c r="X232" s="111"/>
      <c r="Y232" s="111"/>
    </row>
    <row r="233" spans="1:25" x14ac:dyDescent="0.3">
      <c r="A233" s="10"/>
      <c r="B233" s="11"/>
      <c r="C233" s="58"/>
      <c r="D233" s="37"/>
      <c r="E233" s="100"/>
      <c r="F233" s="62"/>
      <c r="G233" s="55"/>
      <c r="I233" s="39"/>
      <c r="Q233" s="48"/>
      <c r="U233" s="45"/>
      <c r="V233" s="108"/>
      <c r="W233" s="109"/>
      <c r="X233" s="111"/>
      <c r="Y233" s="111"/>
    </row>
    <row r="234" spans="1:25" x14ac:dyDescent="0.3">
      <c r="A234" s="10"/>
      <c r="B234" s="11"/>
      <c r="C234" s="58"/>
      <c r="D234" s="37"/>
      <c r="E234" s="100"/>
      <c r="F234" s="62"/>
      <c r="G234" s="55"/>
      <c r="I234" s="39"/>
      <c r="Q234" s="48"/>
      <c r="U234" s="45"/>
      <c r="V234" s="108"/>
      <c r="W234" s="109"/>
      <c r="X234" s="111"/>
      <c r="Y234" s="111"/>
    </row>
    <row r="235" spans="1:25" x14ac:dyDescent="0.3">
      <c r="A235" s="10"/>
      <c r="B235" s="11"/>
      <c r="C235" s="58"/>
      <c r="D235" s="37"/>
      <c r="E235" s="100"/>
      <c r="F235" s="62"/>
      <c r="G235" s="55"/>
      <c r="I235" s="39"/>
      <c r="Q235" s="48"/>
      <c r="U235" s="45"/>
      <c r="V235" s="108"/>
      <c r="W235" s="109"/>
      <c r="X235" s="111"/>
      <c r="Y235" s="111"/>
    </row>
    <row r="236" spans="1:25" x14ac:dyDescent="0.3">
      <c r="A236" s="10"/>
      <c r="B236" s="11"/>
      <c r="C236" s="58"/>
      <c r="D236" s="37"/>
      <c r="E236" s="100"/>
      <c r="F236" s="62"/>
      <c r="G236" s="55"/>
      <c r="I236" s="39"/>
      <c r="Q236" s="48"/>
      <c r="U236" s="45"/>
      <c r="V236" s="108"/>
      <c r="W236" s="109"/>
      <c r="X236" s="111"/>
      <c r="Y236" s="111"/>
    </row>
    <row r="237" spans="1:25" x14ac:dyDescent="0.3">
      <c r="A237" s="10"/>
      <c r="B237" s="11"/>
      <c r="C237" s="58"/>
      <c r="D237" s="37"/>
      <c r="E237" s="100"/>
      <c r="F237" s="62"/>
      <c r="G237" s="55"/>
      <c r="I237" s="39"/>
      <c r="Q237" s="48"/>
      <c r="U237" s="45"/>
      <c r="V237" s="108"/>
      <c r="W237" s="109"/>
      <c r="X237" s="111"/>
      <c r="Y237" s="111"/>
    </row>
    <row r="238" spans="1:25" x14ac:dyDescent="0.3">
      <c r="A238" s="10"/>
      <c r="B238" s="11"/>
      <c r="C238" s="58"/>
      <c r="D238" s="37"/>
      <c r="E238" s="100"/>
      <c r="F238" s="62"/>
      <c r="G238" s="55"/>
      <c r="I238" s="39"/>
      <c r="Q238" s="48"/>
      <c r="U238" s="45"/>
      <c r="V238" s="108"/>
      <c r="W238" s="109"/>
      <c r="X238" s="111"/>
      <c r="Y238" s="111"/>
    </row>
    <row r="239" spans="1:25" x14ac:dyDescent="0.3">
      <c r="A239" s="10"/>
      <c r="B239" s="11"/>
      <c r="C239" s="58"/>
      <c r="D239" s="37"/>
      <c r="E239" s="100"/>
      <c r="F239" s="62"/>
      <c r="G239" s="55"/>
      <c r="I239" s="39"/>
      <c r="Q239" s="48"/>
      <c r="U239" s="45"/>
      <c r="V239" s="108"/>
      <c r="W239" s="109"/>
      <c r="X239" s="111"/>
      <c r="Y239" s="111"/>
    </row>
    <row r="240" spans="1:25" x14ac:dyDescent="0.3">
      <c r="A240" s="10"/>
      <c r="B240" s="11"/>
      <c r="C240" s="58"/>
      <c r="D240" s="37"/>
      <c r="E240" s="100"/>
      <c r="F240" s="62"/>
      <c r="G240" s="55"/>
      <c r="I240" s="39"/>
      <c r="Q240" s="48"/>
      <c r="U240" s="45"/>
      <c r="V240" s="108"/>
      <c r="W240" s="109"/>
      <c r="X240" s="111"/>
      <c r="Y240" s="111"/>
    </row>
    <row r="241" spans="1:25" x14ac:dyDescent="0.3">
      <c r="A241" s="10"/>
      <c r="B241" s="11"/>
      <c r="C241" s="58"/>
      <c r="D241" s="37"/>
      <c r="E241" s="100"/>
      <c r="F241" s="62"/>
      <c r="G241" s="55"/>
      <c r="I241" s="39"/>
      <c r="Q241" s="48"/>
      <c r="U241" s="45"/>
      <c r="V241" s="108"/>
      <c r="W241" s="109"/>
      <c r="X241" s="111"/>
      <c r="Y241" s="111"/>
    </row>
    <row r="242" spans="1:25" x14ac:dyDescent="0.3">
      <c r="A242" s="10"/>
      <c r="B242" s="11"/>
      <c r="C242" s="58"/>
      <c r="D242" s="37"/>
      <c r="E242" s="100"/>
      <c r="F242" s="62"/>
      <c r="G242" s="55"/>
      <c r="I242" s="39"/>
      <c r="Q242" s="48"/>
      <c r="U242" s="45"/>
      <c r="V242" s="108"/>
      <c r="W242" s="109"/>
      <c r="X242" s="111"/>
      <c r="Y242" s="111"/>
    </row>
    <row r="243" spans="1:25" x14ac:dyDescent="0.3">
      <c r="A243" s="10"/>
      <c r="B243" s="11"/>
      <c r="C243" s="58"/>
      <c r="D243" s="37"/>
      <c r="E243" s="100"/>
      <c r="F243" s="62"/>
      <c r="G243" s="55"/>
      <c r="I243" s="39"/>
      <c r="Q243" s="48"/>
      <c r="U243" s="45"/>
      <c r="V243" s="108"/>
      <c r="W243" s="109"/>
      <c r="X243" s="111"/>
      <c r="Y243" s="111"/>
    </row>
    <row r="244" spans="1:25" x14ac:dyDescent="0.3">
      <c r="A244" s="10"/>
      <c r="B244" s="11"/>
      <c r="C244" s="58"/>
      <c r="D244" s="37"/>
      <c r="E244" s="100"/>
      <c r="F244" s="62"/>
      <c r="G244" s="55"/>
      <c r="I244" s="39"/>
      <c r="Q244" s="48"/>
      <c r="U244" s="45"/>
      <c r="V244" s="108"/>
      <c r="W244" s="109"/>
      <c r="X244" s="111"/>
      <c r="Y244" s="111"/>
    </row>
    <row r="245" spans="1:25" x14ac:dyDescent="0.3">
      <c r="A245" s="10"/>
      <c r="B245" s="11"/>
      <c r="C245" s="58"/>
      <c r="D245" s="37"/>
      <c r="E245" s="100"/>
      <c r="F245" s="62"/>
      <c r="G245" s="55"/>
      <c r="I245" s="39"/>
      <c r="Q245" s="48"/>
      <c r="U245" s="45"/>
      <c r="V245" s="108"/>
      <c r="W245" s="109"/>
      <c r="X245" s="111"/>
      <c r="Y245" s="111"/>
    </row>
    <row r="246" spans="1:25" x14ac:dyDescent="0.3">
      <c r="A246" s="10"/>
      <c r="B246" s="11"/>
      <c r="C246" s="58"/>
      <c r="D246" s="37"/>
      <c r="E246" s="100"/>
      <c r="F246" s="62"/>
      <c r="G246" s="55"/>
      <c r="I246" s="39"/>
      <c r="Q246" s="48"/>
      <c r="U246" s="45"/>
      <c r="V246" s="108"/>
      <c r="W246" s="109"/>
      <c r="X246" s="111"/>
      <c r="Y246" s="111"/>
    </row>
    <row r="247" spans="1:25" x14ac:dyDescent="0.3">
      <c r="A247" s="10"/>
      <c r="B247" s="11"/>
      <c r="C247" s="58"/>
      <c r="D247" s="37"/>
      <c r="E247" s="100"/>
      <c r="F247" s="62"/>
      <c r="G247" s="55"/>
      <c r="I247" s="39"/>
      <c r="Q247" s="48"/>
      <c r="U247" s="45"/>
      <c r="V247" s="108"/>
      <c r="W247" s="109"/>
      <c r="X247" s="111"/>
      <c r="Y247" s="111"/>
    </row>
    <row r="248" spans="1:25" x14ac:dyDescent="0.3">
      <c r="A248" s="10"/>
      <c r="B248" s="11"/>
      <c r="C248" s="58"/>
      <c r="D248" s="37"/>
      <c r="E248" s="100"/>
      <c r="F248" s="62"/>
      <c r="G248" s="55"/>
      <c r="I248" s="39"/>
      <c r="Q248" s="48"/>
      <c r="U248" s="45"/>
      <c r="V248" s="108"/>
      <c r="W248" s="109"/>
      <c r="X248" s="111"/>
      <c r="Y248" s="111"/>
    </row>
    <row r="249" spans="1:25" x14ac:dyDescent="0.3">
      <c r="A249" s="10"/>
      <c r="B249" s="11"/>
      <c r="C249" s="58"/>
      <c r="D249" s="37"/>
      <c r="E249" s="100"/>
      <c r="F249" s="62"/>
      <c r="G249" s="55"/>
      <c r="I249" s="39"/>
      <c r="Q249" s="48"/>
      <c r="U249" s="45"/>
      <c r="V249" s="108"/>
      <c r="W249" s="109"/>
      <c r="X249" s="111"/>
      <c r="Y249" s="111"/>
    </row>
    <row r="250" spans="1:25" x14ac:dyDescent="0.3">
      <c r="A250" s="10"/>
      <c r="B250" s="11"/>
      <c r="C250" s="58"/>
      <c r="D250" s="37"/>
      <c r="E250" s="100"/>
      <c r="F250" s="62"/>
      <c r="G250" s="55"/>
      <c r="I250" s="39"/>
      <c r="Q250" s="48"/>
      <c r="U250" s="45"/>
      <c r="V250" s="108"/>
      <c r="W250" s="109"/>
      <c r="X250" s="111"/>
      <c r="Y250" s="111"/>
    </row>
    <row r="251" spans="1:25" x14ac:dyDescent="0.3">
      <c r="A251" s="10"/>
      <c r="B251" s="11"/>
      <c r="C251" s="58"/>
      <c r="D251" s="37"/>
      <c r="E251" s="100"/>
      <c r="F251" s="62"/>
      <c r="G251" s="55"/>
      <c r="I251" s="39"/>
      <c r="Q251" s="48"/>
      <c r="U251" s="45"/>
      <c r="V251" s="108"/>
      <c r="W251" s="109"/>
      <c r="X251" s="111"/>
      <c r="Y251" s="111"/>
    </row>
    <row r="252" spans="1:25" x14ac:dyDescent="0.3">
      <c r="A252" s="10"/>
      <c r="B252" s="11"/>
      <c r="C252" s="58"/>
      <c r="D252" s="37"/>
      <c r="E252" s="100"/>
      <c r="F252" s="62"/>
      <c r="G252" s="55"/>
      <c r="I252" s="39"/>
      <c r="Q252" s="48"/>
      <c r="U252" s="45"/>
      <c r="V252" s="108"/>
      <c r="W252" s="109"/>
      <c r="X252" s="111"/>
      <c r="Y252" s="111"/>
    </row>
    <row r="253" spans="1:25" x14ac:dyDescent="0.3">
      <c r="A253" s="10"/>
      <c r="B253" s="11"/>
      <c r="C253" s="58"/>
      <c r="D253" s="37"/>
      <c r="E253" s="100"/>
      <c r="F253" s="62"/>
      <c r="G253" s="55"/>
      <c r="I253" s="39"/>
      <c r="Q253" s="48"/>
      <c r="U253" s="45"/>
      <c r="V253" s="108"/>
      <c r="W253" s="109"/>
      <c r="X253" s="111"/>
      <c r="Y253" s="111"/>
    </row>
    <row r="254" spans="1:25" x14ac:dyDescent="0.3">
      <c r="A254" s="10"/>
      <c r="B254" s="11"/>
      <c r="C254" s="58"/>
      <c r="D254" s="37"/>
      <c r="E254" s="100"/>
      <c r="F254" s="62"/>
      <c r="G254" s="55"/>
      <c r="I254" s="39"/>
      <c r="Q254" s="48"/>
      <c r="U254" s="45"/>
      <c r="V254" s="108"/>
      <c r="W254" s="109"/>
      <c r="X254" s="111"/>
      <c r="Y254" s="111"/>
    </row>
    <row r="255" spans="1:25" x14ac:dyDescent="0.3">
      <c r="A255" s="10"/>
      <c r="B255" s="11"/>
      <c r="C255" s="58"/>
      <c r="D255" s="37"/>
      <c r="E255" s="100"/>
      <c r="F255" s="62"/>
      <c r="G255" s="55"/>
      <c r="I255" s="39"/>
      <c r="Q255" s="48"/>
      <c r="U255" s="45"/>
      <c r="V255" s="108"/>
      <c r="W255" s="109"/>
      <c r="X255" s="111"/>
      <c r="Y255" s="111"/>
    </row>
    <row r="256" spans="1:25" x14ac:dyDescent="0.3">
      <c r="A256" s="10"/>
      <c r="B256" s="11"/>
      <c r="C256" s="58"/>
      <c r="D256" s="37"/>
      <c r="E256" s="100"/>
      <c r="F256" s="62"/>
      <c r="G256" s="55"/>
      <c r="I256" s="39"/>
      <c r="Q256" s="48"/>
      <c r="U256" s="45"/>
      <c r="V256" s="108"/>
      <c r="W256" s="109"/>
      <c r="X256" s="111"/>
      <c r="Y256" s="111"/>
    </row>
    <row r="257" spans="1:25" x14ac:dyDescent="0.3">
      <c r="A257" s="10"/>
      <c r="B257" s="11"/>
      <c r="C257" s="58"/>
      <c r="D257" s="37"/>
      <c r="E257" s="100"/>
      <c r="F257" s="62"/>
      <c r="G257" s="55"/>
      <c r="I257" s="39"/>
      <c r="Q257" s="48"/>
      <c r="U257" s="45"/>
      <c r="V257" s="108"/>
      <c r="W257" s="109"/>
      <c r="X257" s="111"/>
      <c r="Y257" s="111"/>
    </row>
    <row r="258" spans="1:25" x14ac:dyDescent="0.3">
      <c r="A258" s="10"/>
      <c r="B258" s="11"/>
      <c r="C258" s="58"/>
      <c r="D258" s="37"/>
      <c r="E258" s="100"/>
      <c r="F258" s="62"/>
      <c r="G258" s="55"/>
      <c r="I258" s="39"/>
      <c r="Q258" s="48"/>
      <c r="U258" s="45"/>
      <c r="V258" s="108"/>
      <c r="W258" s="109"/>
      <c r="X258" s="111"/>
      <c r="Y258" s="111"/>
    </row>
    <row r="259" spans="1:25" x14ac:dyDescent="0.3">
      <c r="A259" s="10"/>
      <c r="B259" s="11"/>
      <c r="C259" s="58"/>
      <c r="D259" s="37"/>
      <c r="E259" s="100"/>
      <c r="F259" s="62"/>
      <c r="G259" s="55"/>
      <c r="I259" s="39"/>
      <c r="Q259" s="48"/>
      <c r="U259" s="45"/>
      <c r="V259" s="108"/>
      <c r="W259" s="109"/>
      <c r="X259" s="111"/>
      <c r="Y259" s="111"/>
    </row>
    <row r="260" spans="1:25" x14ac:dyDescent="0.3">
      <c r="A260" s="10"/>
      <c r="B260" s="11"/>
      <c r="C260" s="58"/>
      <c r="D260" s="37"/>
      <c r="E260" s="100"/>
      <c r="F260" s="62"/>
      <c r="G260" s="55"/>
      <c r="I260" s="39"/>
      <c r="Q260" s="48"/>
      <c r="U260" s="45"/>
      <c r="V260" s="108"/>
      <c r="W260" s="109"/>
      <c r="X260" s="111"/>
      <c r="Y260" s="111"/>
    </row>
    <row r="261" spans="1:25" x14ac:dyDescent="0.3">
      <c r="A261" s="10"/>
      <c r="B261" s="11"/>
      <c r="C261" s="58"/>
      <c r="D261" s="37"/>
      <c r="E261" s="100"/>
      <c r="F261" s="62"/>
      <c r="G261" s="55"/>
      <c r="I261" s="39"/>
      <c r="Q261" s="48"/>
      <c r="U261" s="45"/>
      <c r="V261" s="108"/>
      <c r="W261" s="109"/>
      <c r="X261" s="111"/>
      <c r="Y261" s="111"/>
    </row>
    <row r="262" spans="1:25" x14ac:dyDescent="0.3">
      <c r="A262" s="10"/>
      <c r="B262" s="11"/>
      <c r="C262" s="58"/>
      <c r="D262" s="37"/>
      <c r="E262" s="100"/>
      <c r="F262" s="62"/>
      <c r="G262" s="55"/>
      <c r="I262" s="39"/>
      <c r="Q262" s="48"/>
      <c r="U262" s="45"/>
      <c r="V262" s="108"/>
      <c r="W262" s="109"/>
      <c r="X262" s="111"/>
      <c r="Y262" s="111"/>
    </row>
    <row r="263" spans="1:25" x14ac:dyDescent="0.3">
      <c r="A263" s="10"/>
      <c r="B263" s="11"/>
      <c r="C263" s="58"/>
      <c r="D263" s="37"/>
      <c r="E263" s="100"/>
      <c r="F263" s="62"/>
      <c r="G263" s="55"/>
      <c r="I263" s="39"/>
      <c r="Q263" s="48"/>
      <c r="U263" s="45"/>
      <c r="V263" s="108"/>
      <c r="W263" s="109"/>
      <c r="X263" s="111"/>
      <c r="Y263" s="111"/>
    </row>
    <row r="264" spans="1:25" x14ac:dyDescent="0.3">
      <c r="A264" s="10"/>
      <c r="B264" s="11"/>
      <c r="C264" s="58"/>
      <c r="D264" s="37"/>
      <c r="E264" s="100"/>
      <c r="F264" s="62"/>
      <c r="G264" s="55"/>
      <c r="I264" s="39"/>
      <c r="Q264" s="48"/>
      <c r="U264" s="45"/>
      <c r="V264" s="108"/>
      <c r="W264" s="109"/>
      <c r="X264" s="111"/>
      <c r="Y264" s="111"/>
    </row>
    <row r="265" spans="1:25" x14ac:dyDescent="0.3">
      <c r="A265" s="10"/>
      <c r="B265" s="11"/>
      <c r="C265" s="58"/>
      <c r="D265" s="37"/>
      <c r="E265" s="100"/>
      <c r="F265" s="62"/>
      <c r="G265" s="55"/>
      <c r="I265" s="39"/>
      <c r="Q265" s="48"/>
      <c r="U265" s="45"/>
      <c r="V265" s="108"/>
      <c r="W265" s="109"/>
      <c r="X265" s="111"/>
      <c r="Y265" s="111"/>
    </row>
    <row r="266" spans="1:25" x14ac:dyDescent="0.3">
      <c r="A266" s="10"/>
      <c r="B266" s="11"/>
      <c r="C266" s="58"/>
      <c r="D266" s="37"/>
      <c r="E266" s="100"/>
      <c r="F266" s="62"/>
      <c r="G266" s="55"/>
      <c r="I266" s="39"/>
      <c r="Q266" s="48"/>
      <c r="U266" s="45"/>
      <c r="V266" s="108"/>
      <c r="W266" s="109"/>
      <c r="X266" s="111"/>
      <c r="Y266" s="111"/>
    </row>
    <row r="267" spans="1:25" x14ac:dyDescent="0.3">
      <c r="A267" s="10"/>
      <c r="B267" s="11"/>
      <c r="C267" s="58"/>
      <c r="D267" s="37"/>
      <c r="E267" s="100"/>
      <c r="F267" s="62"/>
      <c r="G267" s="55"/>
      <c r="I267" s="39"/>
      <c r="Q267" s="48"/>
      <c r="U267" s="45"/>
      <c r="V267" s="108"/>
      <c r="W267" s="109"/>
      <c r="X267" s="111"/>
      <c r="Y267" s="111"/>
    </row>
    <row r="268" spans="1:25" x14ac:dyDescent="0.3">
      <c r="A268" s="10"/>
      <c r="B268" s="11"/>
      <c r="C268" s="58"/>
      <c r="D268" s="37"/>
      <c r="E268" s="100"/>
      <c r="F268" s="62"/>
      <c r="G268" s="55"/>
      <c r="I268" s="39"/>
      <c r="Q268" s="48"/>
      <c r="U268" s="45"/>
      <c r="V268" s="108"/>
      <c r="W268" s="109"/>
      <c r="X268" s="111"/>
      <c r="Y268" s="111"/>
    </row>
    <row r="269" spans="1:25" x14ac:dyDescent="0.3">
      <c r="A269" s="10"/>
      <c r="B269" s="11"/>
      <c r="C269" s="58"/>
      <c r="D269" s="37"/>
      <c r="E269" s="100"/>
      <c r="F269" s="62"/>
      <c r="G269" s="55"/>
      <c r="I269" s="39"/>
      <c r="Q269" s="48"/>
      <c r="U269" s="45"/>
      <c r="V269" s="108"/>
      <c r="W269" s="109"/>
      <c r="X269" s="111"/>
      <c r="Y269" s="111"/>
    </row>
    <row r="270" spans="1:25" x14ac:dyDescent="0.3">
      <c r="A270" s="10"/>
      <c r="B270" s="11"/>
      <c r="C270" s="58"/>
      <c r="D270" s="37"/>
      <c r="E270" s="100"/>
      <c r="F270" s="62"/>
      <c r="G270" s="55"/>
      <c r="I270" s="39"/>
      <c r="Q270" s="48"/>
      <c r="U270" s="45"/>
      <c r="V270" s="108"/>
      <c r="W270" s="109"/>
      <c r="X270" s="111"/>
      <c r="Y270" s="111"/>
    </row>
    <row r="271" spans="1:25" x14ac:dyDescent="0.3">
      <c r="A271" s="10"/>
      <c r="B271" s="11"/>
      <c r="C271" s="58"/>
      <c r="D271" s="37"/>
      <c r="E271" s="100"/>
      <c r="F271" s="62"/>
      <c r="G271" s="55"/>
      <c r="I271" s="39"/>
      <c r="Q271" s="48"/>
      <c r="U271" s="45"/>
      <c r="V271" s="108"/>
      <c r="W271" s="109"/>
      <c r="X271" s="111"/>
      <c r="Y271" s="111"/>
    </row>
    <row r="272" spans="1:25" x14ac:dyDescent="0.3">
      <c r="A272" s="10"/>
      <c r="B272" s="11"/>
      <c r="C272" s="58"/>
      <c r="D272" s="37"/>
      <c r="E272" s="100"/>
      <c r="F272" s="62"/>
      <c r="G272" s="55"/>
      <c r="I272" s="39"/>
      <c r="Q272" s="48"/>
      <c r="U272" s="45"/>
      <c r="V272" s="108"/>
      <c r="W272" s="109"/>
      <c r="X272" s="111"/>
      <c r="Y272" s="111"/>
    </row>
    <row r="273" spans="1:25" x14ac:dyDescent="0.3">
      <c r="A273" s="10"/>
      <c r="B273" s="11"/>
      <c r="C273" s="58"/>
      <c r="D273" s="37"/>
      <c r="E273" s="100"/>
      <c r="F273" s="62"/>
      <c r="G273" s="55"/>
      <c r="I273" s="39"/>
      <c r="Q273" s="48"/>
      <c r="U273" s="45"/>
      <c r="V273" s="108"/>
      <c r="W273" s="109"/>
      <c r="X273" s="111"/>
      <c r="Y273" s="111"/>
    </row>
    <row r="274" spans="1:25" x14ac:dyDescent="0.3">
      <c r="A274" s="10"/>
      <c r="B274" s="11"/>
      <c r="C274" s="58"/>
      <c r="D274" s="37"/>
      <c r="E274" s="100"/>
      <c r="F274" s="62"/>
      <c r="G274" s="55"/>
      <c r="I274" s="39"/>
      <c r="Q274" s="48"/>
      <c r="U274" s="45"/>
      <c r="V274" s="108"/>
      <c r="W274" s="109"/>
      <c r="X274" s="111"/>
      <c r="Y274" s="111"/>
    </row>
    <row r="275" spans="1:25" x14ac:dyDescent="0.3">
      <c r="A275" s="10"/>
      <c r="B275" s="11"/>
      <c r="C275" s="58"/>
      <c r="D275" s="37"/>
      <c r="E275" s="100"/>
      <c r="F275" s="62"/>
      <c r="G275" s="55"/>
      <c r="I275" s="39"/>
      <c r="Q275" s="48"/>
      <c r="U275" s="45"/>
      <c r="V275" s="108"/>
      <c r="W275" s="109"/>
      <c r="X275" s="111"/>
      <c r="Y275" s="111"/>
    </row>
    <row r="276" spans="1:25" x14ac:dyDescent="0.3">
      <c r="A276" s="10"/>
      <c r="B276" s="11"/>
      <c r="C276" s="58"/>
      <c r="D276" s="37"/>
      <c r="E276" s="100"/>
      <c r="F276" s="62"/>
      <c r="G276" s="55"/>
      <c r="I276" s="39"/>
      <c r="Q276" s="48"/>
      <c r="U276" s="45"/>
      <c r="V276" s="108"/>
      <c r="W276" s="109"/>
      <c r="X276" s="111"/>
      <c r="Y276" s="111"/>
    </row>
    <row r="277" spans="1:25" x14ac:dyDescent="0.3">
      <c r="A277" s="10"/>
      <c r="B277" s="11"/>
      <c r="C277" s="58"/>
      <c r="D277" s="37"/>
      <c r="E277" s="100"/>
      <c r="F277" s="62"/>
      <c r="G277" s="55"/>
      <c r="I277" s="39"/>
      <c r="Q277" s="48"/>
      <c r="U277" s="45"/>
      <c r="V277" s="108"/>
      <c r="W277" s="109"/>
      <c r="X277" s="111"/>
      <c r="Y277" s="111"/>
    </row>
    <row r="278" spans="1:25" x14ac:dyDescent="0.3">
      <c r="A278" s="10"/>
      <c r="B278" s="11"/>
      <c r="C278" s="58"/>
      <c r="D278" s="37"/>
      <c r="E278" s="100"/>
      <c r="F278" s="62"/>
      <c r="G278" s="55"/>
      <c r="I278" s="39"/>
      <c r="Q278" s="48"/>
      <c r="U278" s="45"/>
      <c r="V278" s="108"/>
      <c r="W278" s="109"/>
      <c r="X278" s="111"/>
      <c r="Y278" s="111"/>
    </row>
    <row r="279" spans="1:25" x14ac:dyDescent="0.3">
      <c r="A279" s="10"/>
      <c r="B279" s="11"/>
      <c r="C279" s="58"/>
      <c r="D279" s="37"/>
      <c r="E279" s="100"/>
      <c r="F279" s="62"/>
      <c r="G279" s="55"/>
      <c r="I279" s="39"/>
      <c r="Q279" s="48"/>
      <c r="U279" s="45"/>
      <c r="V279" s="108"/>
      <c r="W279" s="109"/>
      <c r="X279" s="111"/>
      <c r="Y279" s="111"/>
    </row>
    <row r="280" spans="1:25" x14ac:dyDescent="0.3">
      <c r="A280" s="10"/>
      <c r="B280" s="11"/>
      <c r="C280" s="58"/>
      <c r="D280" s="37"/>
      <c r="E280" s="100"/>
      <c r="F280" s="62"/>
      <c r="G280" s="55"/>
      <c r="I280" s="39"/>
      <c r="Q280" s="48"/>
      <c r="U280" s="45"/>
      <c r="V280" s="108"/>
      <c r="W280" s="109"/>
      <c r="X280" s="111"/>
      <c r="Y280" s="111"/>
    </row>
    <row r="281" spans="1:25" x14ac:dyDescent="0.3">
      <c r="A281" s="10"/>
      <c r="B281" s="11"/>
      <c r="C281" s="58"/>
      <c r="D281" s="37"/>
      <c r="E281" s="100"/>
      <c r="F281" s="62"/>
      <c r="G281" s="55"/>
      <c r="I281" s="39"/>
      <c r="Q281" s="48"/>
      <c r="U281" s="45"/>
      <c r="V281" s="108"/>
      <c r="W281" s="109"/>
      <c r="X281" s="111"/>
      <c r="Y281" s="111"/>
    </row>
    <row r="282" spans="1:25" x14ac:dyDescent="0.3">
      <c r="A282" s="10"/>
      <c r="B282" s="11"/>
      <c r="C282" s="58"/>
      <c r="D282" s="37"/>
      <c r="E282" s="100"/>
      <c r="F282" s="62"/>
      <c r="G282" s="55"/>
      <c r="I282" s="39"/>
      <c r="Q282" s="48"/>
      <c r="U282" s="45"/>
      <c r="V282" s="108"/>
      <c r="W282" s="109"/>
      <c r="X282" s="111"/>
      <c r="Y282" s="111"/>
    </row>
    <row r="283" spans="1:25" x14ac:dyDescent="0.3">
      <c r="A283" s="10"/>
      <c r="B283" s="11"/>
      <c r="C283" s="58"/>
      <c r="D283" s="37"/>
      <c r="E283" s="100"/>
      <c r="F283" s="62"/>
      <c r="G283" s="55"/>
      <c r="I283" s="39"/>
      <c r="Q283" s="48"/>
      <c r="U283" s="45"/>
      <c r="V283" s="108"/>
      <c r="W283" s="109"/>
      <c r="X283" s="111"/>
      <c r="Y283" s="111"/>
    </row>
    <row r="284" spans="1:25" x14ac:dyDescent="0.3">
      <c r="A284" s="10"/>
      <c r="B284" s="11"/>
      <c r="C284" s="58"/>
      <c r="D284" s="37"/>
      <c r="E284" s="100"/>
      <c r="F284" s="62"/>
      <c r="G284" s="55"/>
      <c r="I284" s="39"/>
      <c r="Q284" s="48"/>
      <c r="U284" s="45"/>
      <c r="V284" s="108"/>
      <c r="W284" s="109"/>
      <c r="X284" s="111"/>
      <c r="Y284" s="111"/>
    </row>
    <row r="285" spans="1:25" x14ac:dyDescent="0.3">
      <c r="A285" s="10"/>
      <c r="B285" s="11"/>
      <c r="C285" s="58"/>
      <c r="D285" s="37"/>
      <c r="E285" s="100"/>
      <c r="F285" s="62"/>
      <c r="G285" s="55"/>
      <c r="I285" s="39"/>
      <c r="Q285" s="48"/>
      <c r="U285" s="45"/>
      <c r="V285" s="108"/>
      <c r="W285" s="109"/>
      <c r="X285" s="111"/>
      <c r="Y285" s="111"/>
    </row>
    <row r="286" spans="1:25" x14ac:dyDescent="0.3">
      <c r="A286" s="10"/>
      <c r="B286" s="11"/>
      <c r="C286" s="58"/>
      <c r="D286" s="37"/>
      <c r="E286" s="100"/>
      <c r="F286" s="62"/>
      <c r="G286" s="55"/>
      <c r="I286" s="39"/>
      <c r="Q286" s="48"/>
      <c r="U286" s="45"/>
      <c r="V286" s="108"/>
      <c r="W286" s="109"/>
      <c r="X286" s="111"/>
      <c r="Y286" s="111"/>
    </row>
    <row r="287" spans="1:25" x14ac:dyDescent="0.3">
      <c r="A287" s="10"/>
      <c r="B287" s="11"/>
      <c r="C287" s="58"/>
      <c r="D287" s="37"/>
      <c r="E287" s="100"/>
      <c r="F287" s="62"/>
      <c r="G287" s="55"/>
      <c r="I287" s="39"/>
      <c r="Q287" s="48"/>
      <c r="U287" s="45"/>
      <c r="V287" s="108"/>
      <c r="W287" s="109"/>
      <c r="X287" s="111"/>
      <c r="Y287" s="111"/>
    </row>
    <row r="288" spans="1:25" x14ac:dyDescent="0.3">
      <c r="A288" s="10"/>
      <c r="B288" s="11"/>
      <c r="C288" s="58"/>
      <c r="D288" s="37"/>
      <c r="E288" s="100"/>
      <c r="F288" s="62"/>
      <c r="G288" s="55"/>
      <c r="I288" s="39"/>
      <c r="Q288" s="48"/>
      <c r="U288" s="45"/>
      <c r="V288" s="108"/>
      <c r="W288" s="109"/>
      <c r="X288" s="111"/>
      <c r="Y288" s="111"/>
    </row>
    <row r="289" spans="1:25" x14ac:dyDescent="0.3">
      <c r="A289" s="10"/>
      <c r="B289" s="11"/>
      <c r="C289" s="58"/>
      <c r="D289" s="37"/>
      <c r="E289" s="100"/>
      <c r="F289" s="62"/>
      <c r="G289" s="55"/>
      <c r="I289" s="39"/>
      <c r="Q289" s="48"/>
      <c r="U289" s="45"/>
      <c r="V289" s="108"/>
      <c r="W289" s="109"/>
      <c r="X289" s="111"/>
      <c r="Y289" s="111"/>
    </row>
    <row r="290" spans="1:25" x14ac:dyDescent="0.3">
      <c r="A290" s="10"/>
      <c r="B290" s="11"/>
      <c r="C290" s="58"/>
      <c r="D290" s="37"/>
      <c r="E290" s="100"/>
      <c r="F290" s="62"/>
      <c r="G290" s="55"/>
      <c r="I290" s="39"/>
      <c r="Q290" s="48"/>
      <c r="U290" s="45"/>
      <c r="V290" s="108"/>
      <c r="W290" s="109"/>
      <c r="X290" s="111"/>
      <c r="Y290" s="111"/>
    </row>
    <row r="291" spans="1:25" x14ac:dyDescent="0.3">
      <c r="A291" s="10"/>
      <c r="B291" s="11"/>
      <c r="C291" s="58"/>
      <c r="D291" s="37"/>
      <c r="E291" s="100"/>
      <c r="F291" s="62"/>
      <c r="G291" s="55"/>
      <c r="I291" s="39"/>
      <c r="Q291" s="48"/>
      <c r="U291" s="45"/>
      <c r="V291" s="108"/>
      <c r="W291" s="109"/>
      <c r="X291" s="111"/>
      <c r="Y291" s="111"/>
    </row>
    <row r="292" spans="1:25" x14ac:dyDescent="0.3">
      <c r="A292" s="10"/>
      <c r="B292" s="11"/>
      <c r="C292" s="58"/>
      <c r="D292" s="37"/>
      <c r="E292" s="100"/>
      <c r="F292" s="62"/>
      <c r="G292" s="55"/>
      <c r="I292" s="39"/>
      <c r="Q292" s="48"/>
      <c r="U292" s="45"/>
      <c r="V292" s="108"/>
      <c r="W292" s="109"/>
      <c r="X292" s="111"/>
      <c r="Y292" s="111"/>
    </row>
    <row r="293" spans="1:25" x14ac:dyDescent="0.3">
      <c r="A293" s="10"/>
      <c r="B293" s="11"/>
      <c r="C293" s="58"/>
      <c r="D293" s="37"/>
      <c r="E293" s="100"/>
      <c r="F293" s="62"/>
      <c r="G293" s="55"/>
      <c r="I293" s="39"/>
      <c r="Q293" s="48"/>
      <c r="U293" s="45"/>
      <c r="V293" s="108"/>
      <c r="W293" s="109"/>
      <c r="X293" s="111"/>
      <c r="Y293" s="111"/>
    </row>
    <row r="294" spans="1:25" x14ac:dyDescent="0.3">
      <c r="A294" s="10"/>
      <c r="B294" s="11"/>
      <c r="C294" s="58"/>
      <c r="D294" s="37"/>
      <c r="E294" s="100"/>
      <c r="F294" s="62"/>
      <c r="G294" s="55"/>
      <c r="I294" s="39"/>
      <c r="Q294" s="48"/>
      <c r="U294" s="45"/>
      <c r="V294" s="108"/>
      <c r="W294" s="109"/>
      <c r="X294" s="111"/>
      <c r="Y294" s="111"/>
    </row>
    <row r="295" spans="1:25" x14ac:dyDescent="0.3">
      <c r="A295" s="10"/>
      <c r="B295" s="11"/>
      <c r="C295" s="58"/>
      <c r="D295" s="37"/>
      <c r="E295" s="100"/>
      <c r="F295" s="62"/>
      <c r="G295" s="55"/>
      <c r="I295" s="39"/>
      <c r="Q295" s="48"/>
      <c r="U295" s="45"/>
      <c r="V295" s="108"/>
      <c r="W295" s="109"/>
      <c r="X295" s="111"/>
      <c r="Y295" s="111"/>
    </row>
    <row r="296" spans="1:25" x14ac:dyDescent="0.3">
      <c r="A296" s="10"/>
      <c r="B296" s="11"/>
      <c r="C296" s="58"/>
      <c r="D296" s="37"/>
      <c r="E296" s="100"/>
      <c r="F296" s="62"/>
      <c r="G296" s="55"/>
      <c r="I296" s="39"/>
      <c r="Q296" s="48"/>
      <c r="U296" s="45"/>
      <c r="V296" s="108"/>
      <c r="W296" s="109"/>
      <c r="X296" s="111"/>
      <c r="Y296" s="111"/>
    </row>
    <row r="297" spans="1:25" x14ac:dyDescent="0.3">
      <c r="A297" s="10"/>
      <c r="B297" s="11"/>
      <c r="C297" s="58"/>
      <c r="D297" s="37"/>
      <c r="E297" s="100"/>
      <c r="F297" s="62"/>
      <c r="G297" s="55"/>
      <c r="I297" s="39"/>
      <c r="Q297" s="48"/>
      <c r="U297" s="45"/>
      <c r="V297" s="108"/>
      <c r="W297" s="109"/>
      <c r="X297" s="111"/>
      <c r="Y297" s="111"/>
    </row>
    <row r="298" spans="1:25" x14ac:dyDescent="0.3">
      <c r="A298" s="10"/>
      <c r="B298" s="11"/>
      <c r="C298" s="58"/>
      <c r="D298" s="37"/>
      <c r="E298" s="100"/>
      <c r="F298" s="62"/>
      <c r="G298" s="55"/>
      <c r="I298" s="39"/>
      <c r="Q298" s="48"/>
      <c r="U298" s="45"/>
      <c r="V298" s="108"/>
      <c r="W298" s="109"/>
      <c r="X298" s="111"/>
      <c r="Y298" s="111"/>
    </row>
    <row r="299" spans="1:25" x14ac:dyDescent="0.3">
      <c r="A299" s="10"/>
      <c r="B299" s="11"/>
      <c r="C299" s="58"/>
      <c r="D299" s="37"/>
      <c r="E299" s="100"/>
      <c r="F299" s="62"/>
      <c r="G299" s="55"/>
      <c r="I299" s="39"/>
      <c r="Q299" s="48"/>
      <c r="U299" s="45"/>
      <c r="V299" s="108"/>
      <c r="W299" s="109"/>
      <c r="X299" s="111"/>
      <c r="Y299" s="111"/>
    </row>
    <row r="300" spans="1:25" x14ac:dyDescent="0.3">
      <c r="A300" s="10"/>
      <c r="B300" s="11"/>
      <c r="C300" s="58"/>
      <c r="D300" s="37"/>
      <c r="E300" s="100"/>
      <c r="F300" s="62"/>
      <c r="G300" s="55"/>
      <c r="I300" s="39"/>
      <c r="Q300" s="48"/>
      <c r="U300" s="45"/>
      <c r="V300" s="108"/>
      <c r="W300" s="109"/>
      <c r="X300" s="111"/>
      <c r="Y300" s="111"/>
    </row>
    <row r="301" spans="1:25" x14ac:dyDescent="0.3">
      <c r="A301" s="10"/>
      <c r="B301" s="11"/>
      <c r="C301" s="58"/>
      <c r="D301" s="37"/>
      <c r="E301" s="100"/>
      <c r="F301" s="62"/>
      <c r="G301" s="55"/>
      <c r="I301" s="39"/>
      <c r="Q301" s="48"/>
      <c r="U301" s="45"/>
      <c r="V301" s="108"/>
      <c r="W301" s="109"/>
      <c r="X301" s="111"/>
      <c r="Y301" s="111"/>
    </row>
    <row r="302" spans="1:25" x14ac:dyDescent="0.3">
      <c r="A302" s="10"/>
      <c r="B302" s="11"/>
      <c r="C302" s="58"/>
      <c r="D302" s="37"/>
      <c r="E302" s="100"/>
      <c r="F302" s="62"/>
      <c r="G302" s="55"/>
      <c r="I302" s="39"/>
      <c r="Q302" s="48"/>
      <c r="U302" s="45"/>
      <c r="V302" s="108"/>
      <c r="W302" s="109"/>
      <c r="X302" s="111"/>
      <c r="Y302" s="111"/>
    </row>
    <row r="303" spans="1:25" x14ac:dyDescent="0.3">
      <c r="A303" s="10"/>
      <c r="B303" s="11"/>
      <c r="C303" s="58"/>
      <c r="D303" s="37"/>
      <c r="E303" s="100"/>
      <c r="F303" s="62"/>
      <c r="G303" s="55"/>
      <c r="I303" s="39"/>
      <c r="Q303" s="48"/>
      <c r="U303" s="45"/>
      <c r="V303" s="108"/>
      <c r="W303" s="109"/>
      <c r="X303" s="111"/>
      <c r="Y303" s="111"/>
    </row>
    <row r="304" spans="1:25" x14ac:dyDescent="0.3">
      <c r="A304" s="10"/>
      <c r="B304" s="11"/>
      <c r="C304" s="58"/>
      <c r="D304" s="37"/>
      <c r="E304" s="100"/>
      <c r="F304" s="62"/>
      <c r="G304" s="55"/>
      <c r="I304" s="39"/>
      <c r="Q304" s="48"/>
      <c r="U304" s="45"/>
      <c r="V304" s="108"/>
      <c r="W304" s="109"/>
      <c r="X304" s="111"/>
      <c r="Y304" s="111"/>
    </row>
    <row r="305" spans="1:25" x14ac:dyDescent="0.3">
      <c r="A305" s="10"/>
      <c r="B305" s="11"/>
      <c r="C305" s="58"/>
      <c r="D305" s="37"/>
      <c r="E305" s="100"/>
      <c r="F305" s="62"/>
      <c r="G305" s="55"/>
      <c r="I305" s="39"/>
      <c r="Q305" s="48"/>
      <c r="U305" s="45"/>
      <c r="V305" s="108"/>
      <c r="W305" s="109"/>
      <c r="X305" s="111"/>
      <c r="Y305" s="111"/>
    </row>
    <row r="306" spans="1:25" x14ac:dyDescent="0.3">
      <c r="A306" s="10"/>
      <c r="B306" s="11"/>
      <c r="C306" s="58"/>
      <c r="D306" s="37"/>
      <c r="E306" s="100"/>
      <c r="F306" s="62"/>
      <c r="G306" s="55"/>
      <c r="I306" s="39"/>
      <c r="Q306" s="48"/>
      <c r="U306" s="45"/>
      <c r="V306" s="108"/>
      <c r="W306" s="109"/>
      <c r="X306" s="111"/>
      <c r="Y306" s="111"/>
    </row>
    <row r="307" spans="1:25" x14ac:dyDescent="0.3">
      <c r="A307" s="10"/>
      <c r="B307" s="11"/>
      <c r="C307" s="58"/>
      <c r="D307" s="37"/>
      <c r="E307" s="100"/>
      <c r="F307" s="62"/>
      <c r="G307" s="55"/>
      <c r="I307" s="39"/>
      <c r="Q307" s="48"/>
      <c r="U307" s="45"/>
      <c r="V307" s="108"/>
      <c r="W307" s="109"/>
      <c r="X307" s="111"/>
      <c r="Y307" s="111"/>
    </row>
    <row r="308" spans="1:25" x14ac:dyDescent="0.3">
      <c r="A308" s="10"/>
      <c r="B308" s="11"/>
      <c r="C308" s="58"/>
      <c r="D308" s="37"/>
      <c r="E308" s="100"/>
      <c r="F308" s="62"/>
      <c r="G308" s="55"/>
      <c r="I308" s="39"/>
      <c r="Q308" s="48"/>
      <c r="U308" s="45"/>
      <c r="V308" s="108"/>
      <c r="W308" s="109"/>
      <c r="X308" s="111"/>
      <c r="Y308" s="111"/>
    </row>
    <row r="309" spans="1:25" x14ac:dyDescent="0.3">
      <c r="A309" s="10"/>
      <c r="B309" s="11"/>
      <c r="C309" s="58"/>
      <c r="D309" s="37"/>
      <c r="E309" s="100"/>
      <c r="F309" s="62"/>
      <c r="G309" s="55"/>
      <c r="I309" s="39"/>
      <c r="Q309" s="48"/>
      <c r="U309" s="45"/>
      <c r="V309" s="108"/>
      <c r="W309" s="109"/>
      <c r="X309" s="111"/>
      <c r="Y309" s="111"/>
    </row>
    <row r="310" spans="1:25" x14ac:dyDescent="0.3">
      <c r="A310" s="10"/>
      <c r="B310" s="11"/>
      <c r="C310" s="58"/>
      <c r="D310" s="37"/>
      <c r="E310" s="100"/>
      <c r="F310" s="62"/>
      <c r="G310" s="55"/>
      <c r="I310" s="39"/>
      <c r="Q310" s="48"/>
      <c r="U310" s="45"/>
      <c r="V310" s="108"/>
      <c r="W310" s="109"/>
      <c r="X310" s="111"/>
      <c r="Y310" s="111"/>
    </row>
    <row r="311" spans="1:25" x14ac:dyDescent="0.3">
      <c r="A311" s="10"/>
      <c r="B311" s="11"/>
      <c r="C311" s="58"/>
      <c r="D311" s="37"/>
      <c r="E311" s="100"/>
      <c r="F311" s="62"/>
      <c r="G311" s="55"/>
      <c r="I311" s="39"/>
      <c r="Q311" s="48"/>
      <c r="U311" s="45"/>
      <c r="V311" s="108"/>
      <c r="W311" s="109"/>
      <c r="X311" s="111"/>
      <c r="Y311" s="111"/>
    </row>
    <row r="312" spans="1:25" x14ac:dyDescent="0.3">
      <c r="A312" s="10"/>
      <c r="B312" s="11"/>
      <c r="C312" s="58"/>
      <c r="D312" s="37"/>
      <c r="E312" s="100"/>
      <c r="F312" s="62"/>
      <c r="G312" s="55"/>
      <c r="I312" s="39"/>
      <c r="Q312" s="48"/>
      <c r="U312" s="45"/>
      <c r="V312" s="108"/>
      <c r="W312" s="109"/>
      <c r="X312" s="111"/>
      <c r="Y312" s="111"/>
    </row>
    <row r="313" spans="1:25" x14ac:dyDescent="0.3">
      <c r="A313" s="10"/>
      <c r="B313" s="11"/>
      <c r="C313" s="58"/>
      <c r="D313" s="37"/>
      <c r="E313" s="100"/>
      <c r="F313" s="62"/>
      <c r="G313" s="55"/>
      <c r="I313" s="39"/>
      <c r="Q313" s="48"/>
      <c r="U313" s="45"/>
      <c r="V313" s="108"/>
      <c r="W313" s="109"/>
      <c r="X313" s="111"/>
      <c r="Y313" s="111"/>
    </row>
    <row r="314" spans="1:25" x14ac:dyDescent="0.3">
      <c r="A314" s="10"/>
      <c r="B314" s="11"/>
      <c r="C314" s="58"/>
      <c r="D314" s="37"/>
      <c r="E314" s="100"/>
      <c r="F314" s="62"/>
      <c r="G314" s="55"/>
      <c r="I314" s="39"/>
      <c r="Q314" s="48"/>
      <c r="U314" s="45"/>
      <c r="V314" s="108"/>
      <c r="W314" s="109"/>
      <c r="X314" s="111"/>
      <c r="Y314" s="111"/>
    </row>
    <row r="315" spans="1:25" x14ac:dyDescent="0.3">
      <c r="A315" s="10"/>
      <c r="B315" s="11"/>
      <c r="C315" s="58"/>
      <c r="D315" s="37"/>
      <c r="E315" s="100"/>
      <c r="F315" s="62"/>
      <c r="G315" s="55"/>
      <c r="I315" s="39"/>
      <c r="Q315" s="48"/>
      <c r="U315" s="45"/>
      <c r="V315" s="108"/>
      <c r="W315" s="109"/>
      <c r="X315" s="111"/>
      <c r="Y315" s="111"/>
    </row>
    <row r="316" spans="1:25" x14ac:dyDescent="0.3">
      <c r="A316" s="10"/>
      <c r="B316" s="11"/>
      <c r="C316" s="58"/>
      <c r="D316" s="37"/>
      <c r="E316" s="100"/>
      <c r="F316" s="62"/>
      <c r="G316" s="55"/>
      <c r="I316" s="39"/>
      <c r="Q316" s="48"/>
      <c r="U316" s="45"/>
      <c r="V316" s="108"/>
      <c r="W316" s="109"/>
      <c r="X316" s="111"/>
      <c r="Y316" s="111"/>
    </row>
    <row r="317" spans="1:25" x14ac:dyDescent="0.3">
      <c r="A317" s="10"/>
      <c r="B317" s="11"/>
      <c r="C317" s="58"/>
      <c r="D317" s="37"/>
      <c r="E317" s="100"/>
      <c r="F317" s="62"/>
      <c r="G317" s="55"/>
      <c r="I317" s="39"/>
      <c r="Q317" s="48"/>
      <c r="U317" s="45"/>
      <c r="V317" s="108"/>
      <c r="W317" s="109"/>
      <c r="X317" s="111"/>
      <c r="Y317" s="111"/>
    </row>
    <row r="318" spans="1:25" x14ac:dyDescent="0.3">
      <c r="A318" s="10"/>
      <c r="B318" s="11"/>
      <c r="C318" s="58"/>
      <c r="D318" s="37"/>
      <c r="E318" s="100"/>
      <c r="F318" s="62"/>
      <c r="G318" s="55"/>
      <c r="I318" s="39"/>
      <c r="Q318" s="48"/>
      <c r="U318" s="45"/>
      <c r="V318" s="108"/>
      <c r="W318" s="109"/>
      <c r="X318" s="111"/>
      <c r="Y318" s="111"/>
    </row>
    <row r="319" spans="1:25" x14ac:dyDescent="0.3">
      <c r="A319" s="10"/>
      <c r="B319" s="11"/>
      <c r="C319" s="58"/>
      <c r="D319" s="37"/>
      <c r="E319" s="100"/>
      <c r="F319" s="62"/>
      <c r="G319" s="55"/>
      <c r="I319" s="39"/>
      <c r="Q319" s="48"/>
      <c r="U319" s="45"/>
      <c r="V319" s="108"/>
      <c r="W319" s="109"/>
      <c r="X319" s="111"/>
      <c r="Y319" s="111"/>
    </row>
    <row r="320" spans="1:25" x14ac:dyDescent="0.3">
      <c r="A320" s="10"/>
      <c r="B320" s="11"/>
      <c r="C320" s="58"/>
      <c r="D320" s="37"/>
      <c r="E320" s="100"/>
      <c r="F320" s="62"/>
      <c r="G320" s="55"/>
      <c r="I320" s="39"/>
      <c r="Q320" s="48"/>
      <c r="U320" s="45"/>
      <c r="V320" s="108"/>
      <c r="W320" s="109"/>
      <c r="X320" s="111"/>
      <c r="Y320" s="111"/>
    </row>
    <row r="321" spans="1:25" x14ac:dyDescent="0.3">
      <c r="A321" s="10"/>
      <c r="B321" s="11"/>
      <c r="C321" s="58"/>
      <c r="D321" s="37"/>
      <c r="E321" s="100"/>
      <c r="F321" s="62"/>
      <c r="G321" s="55"/>
      <c r="I321" s="39"/>
      <c r="Q321" s="48"/>
      <c r="U321" s="45"/>
      <c r="V321" s="108"/>
      <c r="W321" s="109"/>
      <c r="X321" s="111"/>
      <c r="Y321" s="111"/>
    </row>
    <row r="322" spans="1:25" x14ac:dyDescent="0.3">
      <c r="A322" s="10"/>
      <c r="B322" s="11"/>
      <c r="C322" s="58"/>
      <c r="D322" s="37"/>
      <c r="E322" s="100"/>
      <c r="F322" s="62"/>
      <c r="G322" s="55"/>
      <c r="I322" s="39"/>
      <c r="Q322" s="48"/>
      <c r="U322" s="45"/>
      <c r="V322" s="108"/>
      <c r="W322" s="109"/>
      <c r="X322" s="111"/>
      <c r="Y322" s="111"/>
    </row>
    <row r="323" spans="1:25" x14ac:dyDescent="0.3">
      <c r="A323" s="10"/>
      <c r="B323" s="11"/>
      <c r="C323" s="58"/>
      <c r="D323" s="37"/>
      <c r="E323" s="100"/>
      <c r="F323" s="62"/>
      <c r="G323" s="55"/>
      <c r="I323" s="39"/>
      <c r="Q323" s="48"/>
      <c r="U323" s="45"/>
      <c r="V323" s="108"/>
      <c r="W323" s="109"/>
      <c r="X323" s="111"/>
      <c r="Y323" s="111"/>
    </row>
    <row r="324" spans="1:25" x14ac:dyDescent="0.3">
      <c r="A324" s="10"/>
      <c r="B324" s="11"/>
      <c r="C324" s="58"/>
      <c r="D324" s="37"/>
      <c r="E324" s="100"/>
      <c r="F324" s="62"/>
      <c r="G324" s="55"/>
      <c r="I324" s="39"/>
      <c r="Q324" s="48"/>
      <c r="U324" s="45"/>
      <c r="V324" s="108"/>
      <c r="W324" s="109"/>
      <c r="X324" s="111"/>
      <c r="Y324" s="111"/>
    </row>
    <row r="325" spans="1:25" x14ac:dyDescent="0.3">
      <c r="A325" s="10"/>
      <c r="B325" s="11"/>
      <c r="C325" s="58"/>
      <c r="D325" s="37"/>
      <c r="E325" s="100"/>
      <c r="F325" s="62"/>
      <c r="G325" s="55"/>
      <c r="I325" s="39"/>
      <c r="Q325" s="48"/>
      <c r="U325" s="45"/>
      <c r="V325" s="108"/>
      <c r="W325" s="109"/>
      <c r="X325" s="111"/>
      <c r="Y325" s="111"/>
    </row>
    <row r="326" spans="1:25" x14ac:dyDescent="0.3">
      <c r="A326" s="10"/>
      <c r="B326" s="11"/>
      <c r="C326" s="58"/>
      <c r="D326" s="37"/>
      <c r="E326" s="100"/>
      <c r="F326" s="62"/>
      <c r="G326" s="55"/>
      <c r="I326" s="39"/>
      <c r="Q326" s="48"/>
      <c r="U326" s="45"/>
      <c r="V326" s="108"/>
      <c r="W326" s="109"/>
      <c r="X326" s="111"/>
      <c r="Y326" s="111"/>
    </row>
    <row r="327" spans="1:25" x14ac:dyDescent="0.3">
      <c r="A327" s="10"/>
      <c r="B327" s="11"/>
      <c r="C327" s="58"/>
      <c r="D327" s="37"/>
      <c r="E327" s="100"/>
      <c r="F327" s="62"/>
      <c r="G327" s="55"/>
      <c r="I327" s="39"/>
      <c r="Q327" s="48"/>
      <c r="U327" s="45"/>
      <c r="V327" s="108"/>
      <c r="W327" s="109"/>
      <c r="X327" s="111"/>
      <c r="Y327" s="111"/>
    </row>
    <row r="328" spans="1:25" x14ac:dyDescent="0.3">
      <c r="A328" s="10"/>
      <c r="B328" s="11"/>
      <c r="C328" s="58"/>
      <c r="D328" s="37"/>
      <c r="E328" s="100"/>
      <c r="F328" s="62"/>
      <c r="G328" s="55"/>
      <c r="I328" s="39"/>
      <c r="Q328" s="48"/>
      <c r="U328" s="45"/>
      <c r="V328" s="108"/>
      <c r="W328" s="109"/>
      <c r="X328" s="111"/>
      <c r="Y328" s="111"/>
    </row>
    <row r="329" spans="1:25" x14ac:dyDescent="0.3">
      <c r="A329" s="10"/>
      <c r="B329" s="11"/>
      <c r="C329" s="58"/>
      <c r="D329" s="37"/>
      <c r="E329" s="100"/>
      <c r="F329" s="62"/>
      <c r="G329" s="55"/>
      <c r="I329" s="39"/>
      <c r="Q329" s="48"/>
      <c r="U329" s="45"/>
      <c r="V329" s="108"/>
      <c r="W329" s="109"/>
      <c r="X329" s="111"/>
      <c r="Y329" s="111"/>
    </row>
    <row r="330" spans="1:25" x14ac:dyDescent="0.3">
      <c r="A330" s="10"/>
      <c r="B330" s="11"/>
      <c r="C330" s="58"/>
      <c r="D330" s="37"/>
      <c r="E330" s="100"/>
      <c r="F330" s="62"/>
      <c r="G330" s="55"/>
      <c r="I330" s="39"/>
      <c r="Q330" s="48"/>
      <c r="U330" s="45"/>
      <c r="V330" s="108"/>
      <c r="W330" s="109"/>
      <c r="X330" s="111"/>
      <c r="Y330" s="111"/>
    </row>
    <row r="331" spans="1:25" x14ac:dyDescent="0.3">
      <c r="A331" s="10"/>
      <c r="B331" s="11"/>
      <c r="C331" s="58"/>
      <c r="D331" s="37"/>
      <c r="E331" s="100"/>
      <c r="F331" s="62"/>
      <c r="G331" s="55"/>
      <c r="I331" s="39"/>
      <c r="Q331" s="48"/>
      <c r="U331" s="45"/>
      <c r="V331" s="108"/>
      <c r="W331" s="109"/>
      <c r="X331" s="111"/>
      <c r="Y331" s="111"/>
    </row>
    <row r="332" spans="1:25" x14ac:dyDescent="0.3">
      <c r="A332" s="10"/>
      <c r="B332" s="11"/>
      <c r="C332" s="58"/>
      <c r="D332" s="37"/>
      <c r="E332" s="100"/>
      <c r="F332" s="62"/>
      <c r="G332" s="55"/>
      <c r="I332" s="39"/>
      <c r="Q332" s="48"/>
      <c r="U332" s="45"/>
      <c r="V332" s="108"/>
      <c r="W332" s="109"/>
      <c r="X332" s="111"/>
      <c r="Y332" s="111"/>
    </row>
    <row r="333" spans="1:25" x14ac:dyDescent="0.3">
      <c r="A333" s="10"/>
      <c r="B333" s="11"/>
      <c r="C333" s="58"/>
      <c r="D333" s="37"/>
      <c r="E333" s="100"/>
      <c r="F333" s="62"/>
      <c r="G333" s="55"/>
      <c r="I333" s="39"/>
      <c r="Q333" s="48"/>
      <c r="U333" s="45"/>
      <c r="V333" s="108"/>
      <c r="W333" s="109"/>
      <c r="X333" s="111"/>
      <c r="Y333" s="111"/>
    </row>
    <row r="334" spans="1:25" x14ac:dyDescent="0.3">
      <c r="A334" s="10"/>
      <c r="B334" s="11"/>
      <c r="C334" s="58"/>
      <c r="D334" s="37"/>
      <c r="E334" s="100"/>
      <c r="F334" s="62"/>
      <c r="G334" s="55"/>
      <c r="I334" s="39"/>
      <c r="Q334" s="48"/>
      <c r="U334" s="45"/>
      <c r="V334" s="108"/>
      <c r="W334" s="109"/>
      <c r="X334" s="111"/>
      <c r="Y334" s="111"/>
    </row>
    <row r="335" spans="1:25" x14ac:dyDescent="0.3">
      <c r="A335" s="10"/>
      <c r="B335" s="11"/>
      <c r="C335" s="58"/>
      <c r="D335" s="37"/>
      <c r="E335" s="100"/>
      <c r="F335" s="62"/>
      <c r="G335" s="55"/>
      <c r="I335" s="39"/>
      <c r="Q335" s="48"/>
      <c r="U335" s="45"/>
      <c r="V335" s="108"/>
      <c r="W335" s="109"/>
      <c r="X335" s="111"/>
      <c r="Y335" s="111"/>
    </row>
    <row r="336" spans="1:25" x14ac:dyDescent="0.3">
      <c r="A336" s="10"/>
      <c r="B336" s="11"/>
      <c r="C336" s="58"/>
      <c r="D336" s="37"/>
      <c r="E336" s="100"/>
      <c r="F336" s="62"/>
      <c r="G336" s="55"/>
      <c r="I336" s="39"/>
      <c r="Q336" s="48"/>
      <c r="U336" s="45"/>
      <c r="V336" s="108"/>
      <c r="W336" s="109"/>
      <c r="X336" s="111"/>
      <c r="Y336" s="111"/>
    </row>
    <row r="337" spans="1:25" x14ac:dyDescent="0.3">
      <c r="A337" s="10"/>
      <c r="B337" s="11"/>
      <c r="C337" s="58"/>
      <c r="D337" s="37"/>
      <c r="E337" s="100"/>
      <c r="F337" s="62"/>
      <c r="G337" s="55"/>
      <c r="I337" s="39"/>
      <c r="Q337" s="48"/>
      <c r="U337" s="45"/>
      <c r="V337" s="108"/>
      <c r="W337" s="109"/>
      <c r="X337" s="111"/>
      <c r="Y337" s="111"/>
    </row>
    <row r="338" spans="1:25" x14ac:dyDescent="0.3">
      <c r="A338" s="10"/>
      <c r="B338" s="11"/>
      <c r="C338" s="58"/>
      <c r="D338" s="37"/>
      <c r="E338" s="100"/>
      <c r="F338" s="62"/>
      <c r="G338" s="55"/>
      <c r="I338" s="39"/>
      <c r="Q338" s="48"/>
      <c r="U338" s="45"/>
      <c r="V338" s="108"/>
      <c r="W338" s="109"/>
      <c r="X338" s="111"/>
      <c r="Y338" s="111"/>
    </row>
    <row r="339" spans="1:25" x14ac:dyDescent="0.3">
      <c r="A339" s="10"/>
      <c r="B339" s="11"/>
      <c r="C339" s="58"/>
      <c r="D339" s="37"/>
      <c r="E339" s="100"/>
      <c r="F339" s="62"/>
      <c r="G339" s="55"/>
      <c r="I339" s="39"/>
      <c r="Q339" s="48"/>
      <c r="U339" s="45"/>
      <c r="V339" s="108"/>
      <c r="W339" s="109"/>
      <c r="X339" s="111"/>
      <c r="Y339" s="111"/>
    </row>
    <row r="340" spans="1:25" x14ac:dyDescent="0.3">
      <c r="A340" s="10"/>
      <c r="B340" s="11"/>
      <c r="C340" s="58"/>
      <c r="D340" s="37"/>
      <c r="E340" s="100"/>
      <c r="F340" s="62"/>
      <c r="G340" s="55"/>
      <c r="I340" s="39"/>
      <c r="Q340" s="48"/>
      <c r="U340" s="45"/>
      <c r="V340" s="108"/>
      <c r="W340" s="109"/>
      <c r="X340" s="111"/>
      <c r="Y340" s="111"/>
    </row>
    <row r="341" spans="1:25" x14ac:dyDescent="0.3">
      <c r="A341" s="10"/>
      <c r="B341" s="11"/>
      <c r="C341" s="58"/>
      <c r="D341" s="37"/>
      <c r="E341" s="100"/>
      <c r="F341" s="62"/>
      <c r="G341" s="55"/>
      <c r="I341" s="39"/>
      <c r="Q341" s="48"/>
      <c r="U341" s="45"/>
      <c r="V341" s="108"/>
      <c r="W341" s="109"/>
      <c r="X341" s="111"/>
      <c r="Y341" s="111"/>
    </row>
    <row r="342" spans="1:25" x14ac:dyDescent="0.3">
      <c r="A342" s="10"/>
      <c r="B342" s="11"/>
      <c r="C342" s="58"/>
      <c r="D342" s="37"/>
      <c r="E342" s="100"/>
      <c r="F342" s="62"/>
      <c r="G342" s="55"/>
      <c r="I342" s="39"/>
      <c r="Q342" s="48"/>
      <c r="U342" s="45"/>
      <c r="V342" s="108"/>
      <c r="W342" s="109"/>
      <c r="X342" s="111"/>
      <c r="Y342" s="111"/>
    </row>
    <row r="343" spans="1:25" x14ac:dyDescent="0.3">
      <c r="A343" s="10"/>
      <c r="B343" s="11"/>
      <c r="C343" s="58"/>
      <c r="D343" s="37"/>
      <c r="E343" s="100"/>
      <c r="F343" s="62"/>
      <c r="G343" s="55"/>
      <c r="I343" s="39"/>
      <c r="Q343" s="48"/>
      <c r="U343" s="45"/>
      <c r="V343" s="108"/>
      <c r="W343" s="109"/>
      <c r="X343" s="111"/>
      <c r="Y343" s="111"/>
    </row>
    <row r="344" spans="1:25" x14ac:dyDescent="0.3">
      <c r="A344" s="10"/>
      <c r="B344" s="11"/>
      <c r="C344" s="58"/>
      <c r="D344" s="37"/>
      <c r="E344" s="100"/>
      <c r="F344" s="62"/>
      <c r="G344" s="55"/>
      <c r="I344" s="39"/>
      <c r="Q344" s="48"/>
      <c r="U344" s="45"/>
      <c r="V344" s="108"/>
      <c r="W344" s="109"/>
      <c r="X344" s="111"/>
      <c r="Y344" s="111"/>
    </row>
    <row r="345" spans="1:25" x14ac:dyDescent="0.3">
      <c r="A345" s="10"/>
      <c r="B345" s="11"/>
      <c r="C345" s="58"/>
      <c r="D345" s="37"/>
      <c r="E345" s="100"/>
      <c r="F345" s="62"/>
      <c r="G345" s="55"/>
      <c r="I345" s="39"/>
      <c r="Q345" s="48"/>
      <c r="U345" s="45"/>
      <c r="V345" s="108"/>
      <c r="W345" s="109"/>
      <c r="X345" s="111"/>
      <c r="Y345" s="111"/>
    </row>
    <row r="346" spans="1:25" x14ac:dyDescent="0.3">
      <c r="A346" s="10"/>
      <c r="B346" s="11"/>
      <c r="C346" s="58"/>
      <c r="D346" s="37"/>
      <c r="E346" s="100"/>
      <c r="F346" s="62"/>
      <c r="G346" s="55"/>
      <c r="I346" s="39"/>
      <c r="Q346" s="48"/>
      <c r="U346" s="45"/>
      <c r="V346" s="108"/>
      <c r="W346" s="109"/>
      <c r="X346" s="111"/>
      <c r="Y346" s="111"/>
    </row>
    <row r="347" spans="1:25" x14ac:dyDescent="0.3">
      <c r="A347" s="10"/>
      <c r="B347" s="11"/>
      <c r="C347" s="58"/>
      <c r="D347" s="37"/>
      <c r="E347" s="100"/>
      <c r="F347" s="62"/>
      <c r="G347" s="55"/>
      <c r="I347" s="39"/>
      <c r="Q347" s="48"/>
      <c r="U347" s="45"/>
      <c r="V347" s="108"/>
      <c r="W347" s="109"/>
      <c r="X347" s="111"/>
      <c r="Y347" s="111"/>
    </row>
    <row r="348" spans="1:25" x14ac:dyDescent="0.3">
      <c r="A348" s="10"/>
      <c r="B348" s="11"/>
      <c r="C348" s="58"/>
      <c r="D348" s="37"/>
      <c r="E348" s="100"/>
      <c r="F348" s="62"/>
      <c r="G348" s="55"/>
      <c r="I348" s="39"/>
      <c r="Q348" s="48"/>
      <c r="U348" s="45"/>
      <c r="V348" s="108"/>
      <c r="W348" s="109"/>
      <c r="X348" s="111"/>
      <c r="Y348" s="111"/>
    </row>
    <row r="349" spans="1:25" x14ac:dyDescent="0.3">
      <c r="A349" s="10"/>
      <c r="B349" s="11"/>
      <c r="C349" s="58"/>
      <c r="D349" s="37"/>
      <c r="E349" s="100"/>
      <c r="F349" s="62"/>
      <c r="G349" s="55"/>
      <c r="I349" s="39"/>
      <c r="Q349" s="48"/>
      <c r="U349" s="45"/>
      <c r="V349" s="108"/>
      <c r="W349" s="109"/>
      <c r="X349" s="111"/>
      <c r="Y349" s="111"/>
    </row>
    <row r="350" spans="1:25" x14ac:dyDescent="0.3">
      <c r="A350" s="10"/>
      <c r="B350" s="11"/>
      <c r="C350" s="58"/>
      <c r="D350" s="37"/>
      <c r="E350" s="100"/>
      <c r="F350" s="62"/>
      <c r="G350" s="55"/>
      <c r="I350" s="39"/>
      <c r="Q350" s="48"/>
      <c r="U350" s="45"/>
      <c r="V350" s="108"/>
      <c r="W350" s="109"/>
      <c r="X350" s="111"/>
      <c r="Y350" s="111"/>
    </row>
    <row r="351" spans="1:25" x14ac:dyDescent="0.3">
      <c r="A351" s="10"/>
      <c r="B351" s="11"/>
      <c r="C351" s="58"/>
      <c r="D351" s="37"/>
      <c r="E351" s="100"/>
      <c r="F351" s="62"/>
      <c r="G351" s="55"/>
      <c r="I351" s="39"/>
      <c r="Q351" s="48"/>
      <c r="U351" s="45"/>
      <c r="V351" s="108"/>
      <c r="W351" s="109"/>
      <c r="X351" s="111"/>
      <c r="Y351" s="111"/>
    </row>
    <row r="352" spans="1:25" x14ac:dyDescent="0.3">
      <c r="A352" s="10"/>
      <c r="B352" s="11"/>
      <c r="C352" s="58"/>
      <c r="D352" s="37"/>
      <c r="E352" s="100"/>
      <c r="F352" s="62"/>
      <c r="G352" s="55"/>
      <c r="I352" s="39"/>
      <c r="Q352" s="48"/>
      <c r="U352" s="45"/>
      <c r="V352" s="108"/>
      <c r="W352" s="109"/>
      <c r="X352" s="111"/>
      <c r="Y352" s="111"/>
    </row>
    <row r="353" spans="1:25" x14ac:dyDescent="0.3">
      <c r="A353" s="10"/>
      <c r="B353" s="11"/>
      <c r="C353" s="58"/>
      <c r="D353" s="37"/>
      <c r="E353" s="100"/>
      <c r="F353" s="62"/>
      <c r="G353" s="55"/>
      <c r="I353" s="39"/>
      <c r="Q353" s="48"/>
      <c r="U353" s="45"/>
      <c r="V353" s="108"/>
      <c r="W353" s="109"/>
      <c r="X353" s="111"/>
      <c r="Y353" s="111"/>
    </row>
    <row r="354" spans="1:25" x14ac:dyDescent="0.3">
      <c r="A354" s="10"/>
      <c r="B354" s="11"/>
      <c r="C354" s="58"/>
      <c r="D354" s="37"/>
      <c r="E354" s="100"/>
      <c r="F354" s="62"/>
      <c r="G354" s="55"/>
      <c r="I354" s="39"/>
      <c r="Q354" s="48"/>
      <c r="U354" s="45"/>
      <c r="V354" s="108"/>
      <c r="W354" s="109"/>
      <c r="X354" s="111"/>
      <c r="Y354" s="111"/>
    </row>
    <row r="355" spans="1:25" x14ac:dyDescent="0.3">
      <c r="A355" s="10"/>
      <c r="B355" s="11"/>
      <c r="C355" s="58"/>
      <c r="D355" s="37"/>
      <c r="E355" s="100"/>
      <c r="F355" s="62"/>
      <c r="G355" s="55"/>
      <c r="I355" s="39"/>
      <c r="Q355" s="48"/>
      <c r="U355" s="45"/>
      <c r="V355" s="108"/>
      <c r="W355" s="109"/>
      <c r="X355" s="111"/>
      <c r="Y355" s="111"/>
    </row>
    <row r="356" spans="1:25" x14ac:dyDescent="0.3">
      <c r="A356" s="10"/>
      <c r="B356" s="11"/>
      <c r="C356" s="58"/>
      <c r="D356" s="37"/>
      <c r="E356" s="100"/>
      <c r="F356" s="62"/>
      <c r="G356" s="55"/>
      <c r="I356" s="39"/>
      <c r="Q356" s="48"/>
      <c r="U356" s="45"/>
      <c r="V356" s="108"/>
      <c r="W356" s="109"/>
      <c r="X356" s="111"/>
      <c r="Y356" s="111"/>
    </row>
    <row r="357" spans="1:25" x14ac:dyDescent="0.3">
      <c r="A357" s="10"/>
      <c r="B357" s="11"/>
      <c r="C357" s="58"/>
      <c r="D357" s="37"/>
      <c r="E357" s="100"/>
      <c r="F357" s="62"/>
      <c r="G357" s="55"/>
      <c r="I357" s="39"/>
      <c r="Q357" s="48"/>
      <c r="U357" s="45"/>
      <c r="V357" s="108"/>
      <c r="W357" s="109"/>
      <c r="X357" s="111"/>
      <c r="Y357" s="111"/>
    </row>
    <row r="358" spans="1:25" x14ac:dyDescent="0.3">
      <c r="A358" s="10"/>
      <c r="B358" s="11"/>
      <c r="C358" s="58"/>
      <c r="D358" s="37"/>
      <c r="E358" s="100"/>
      <c r="F358" s="62"/>
      <c r="G358" s="55"/>
      <c r="I358" s="39"/>
      <c r="Q358" s="48"/>
      <c r="U358" s="45"/>
      <c r="V358" s="108"/>
      <c r="W358" s="109"/>
      <c r="X358" s="111"/>
      <c r="Y358" s="111"/>
    </row>
    <row r="359" spans="1:25" x14ac:dyDescent="0.3">
      <c r="A359" s="10"/>
      <c r="B359" s="11"/>
      <c r="C359" s="58"/>
      <c r="D359" s="37"/>
      <c r="E359" s="100"/>
      <c r="F359" s="62"/>
      <c r="G359" s="55"/>
      <c r="I359" s="39"/>
      <c r="Q359" s="48"/>
      <c r="U359" s="45"/>
      <c r="V359" s="108"/>
      <c r="W359" s="109"/>
      <c r="X359" s="111"/>
      <c r="Y359" s="111"/>
    </row>
    <row r="360" spans="1:25" x14ac:dyDescent="0.3">
      <c r="A360" s="10"/>
      <c r="B360" s="11"/>
      <c r="C360" s="58"/>
      <c r="D360" s="37"/>
      <c r="E360" s="100"/>
      <c r="F360" s="62"/>
      <c r="G360" s="55"/>
      <c r="I360" s="39"/>
      <c r="Q360" s="48"/>
      <c r="U360" s="45"/>
      <c r="V360" s="108"/>
      <c r="W360" s="109"/>
      <c r="X360" s="111"/>
      <c r="Y360" s="111"/>
    </row>
    <row r="361" spans="1:25" x14ac:dyDescent="0.3">
      <c r="A361" s="10"/>
      <c r="B361" s="11"/>
      <c r="C361" s="58"/>
      <c r="D361" s="37"/>
      <c r="E361" s="100"/>
      <c r="F361" s="62"/>
      <c r="G361" s="55"/>
      <c r="I361" s="39"/>
      <c r="Q361" s="48"/>
      <c r="U361" s="45"/>
      <c r="V361" s="108"/>
      <c r="W361" s="109"/>
      <c r="X361" s="111"/>
      <c r="Y361" s="111"/>
    </row>
    <row r="362" spans="1:25" x14ac:dyDescent="0.3">
      <c r="A362" s="10"/>
      <c r="B362" s="11"/>
      <c r="C362" s="58"/>
      <c r="D362" s="37"/>
      <c r="E362" s="100"/>
      <c r="F362" s="62"/>
      <c r="G362" s="55"/>
      <c r="I362" s="39"/>
      <c r="Q362" s="48"/>
      <c r="U362" s="45"/>
      <c r="V362" s="108"/>
      <c r="W362" s="109"/>
      <c r="X362" s="111"/>
      <c r="Y362" s="111"/>
    </row>
    <row r="363" spans="1:25" x14ac:dyDescent="0.3">
      <c r="A363" s="10"/>
      <c r="B363" s="11"/>
      <c r="C363" s="58"/>
      <c r="D363" s="37"/>
      <c r="E363" s="100"/>
      <c r="F363" s="62"/>
      <c r="G363" s="55"/>
      <c r="I363" s="39"/>
      <c r="Q363" s="48"/>
      <c r="U363" s="45"/>
      <c r="V363" s="108"/>
      <c r="W363" s="109"/>
      <c r="X363" s="111"/>
      <c r="Y363" s="111"/>
    </row>
    <row r="364" spans="1:25" x14ac:dyDescent="0.3">
      <c r="A364" s="10"/>
      <c r="B364" s="11"/>
      <c r="C364" s="58"/>
      <c r="D364" s="37"/>
      <c r="E364" s="100"/>
      <c r="F364" s="62"/>
      <c r="G364" s="55"/>
      <c r="I364" s="39"/>
      <c r="Q364" s="48"/>
      <c r="U364" s="45"/>
      <c r="V364" s="108"/>
      <c r="W364" s="109"/>
      <c r="X364" s="111"/>
      <c r="Y364" s="111"/>
    </row>
    <row r="365" spans="1:25" x14ac:dyDescent="0.3">
      <c r="A365" s="10"/>
      <c r="B365" s="11"/>
      <c r="C365" s="58"/>
      <c r="D365" s="37"/>
      <c r="E365" s="100"/>
      <c r="F365" s="62"/>
      <c r="G365" s="55"/>
      <c r="I365" s="39"/>
      <c r="Q365" s="48"/>
      <c r="U365" s="45"/>
      <c r="V365" s="108"/>
      <c r="W365" s="109"/>
      <c r="X365" s="111"/>
      <c r="Y365" s="111"/>
    </row>
    <row r="366" spans="1:25" x14ac:dyDescent="0.3">
      <c r="A366" s="10"/>
      <c r="B366" s="11"/>
      <c r="C366" s="58"/>
      <c r="D366" s="37"/>
      <c r="E366" s="100"/>
      <c r="F366" s="62"/>
      <c r="G366" s="55"/>
      <c r="I366" s="39"/>
      <c r="Q366" s="48"/>
      <c r="U366" s="45"/>
      <c r="V366" s="108"/>
      <c r="W366" s="109"/>
      <c r="X366" s="111"/>
      <c r="Y366" s="111"/>
    </row>
    <row r="367" spans="1:25" x14ac:dyDescent="0.3">
      <c r="A367" s="10"/>
      <c r="B367" s="11"/>
      <c r="C367" s="58"/>
      <c r="D367" s="37"/>
      <c r="E367" s="100"/>
      <c r="F367" s="62"/>
      <c r="G367" s="55"/>
      <c r="I367" s="39"/>
      <c r="Q367" s="48"/>
      <c r="U367" s="45"/>
      <c r="V367" s="108"/>
      <c r="W367" s="109"/>
      <c r="X367" s="111"/>
      <c r="Y367" s="111"/>
    </row>
    <row r="368" spans="1:25" x14ac:dyDescent="0.3">
      <c r="A368" s="10"/>
      <c r="B368" s="11"/>
      <c r="C368" s="58"/>
      <c r="D368" s="37"/>
      <c r="E368" s="100"/>
      <c r="F368" s="62"/>
      <c r="G368" s="55"/>
      <c r="I368" s="39"/>
      <c r="Q368" s="48"/>
      <c r="U368" s="45"/>
      <c r="V368" s="108"/>
      <c r="W368" s="109"/>
      <c r="X368" s="111"/>
      <c r="Y368" s="111"/>
    </row>
    <row r="369" spans="1:25" x14ac:dyDescent="0.3">
      <c r="A369" s="10"/>
      <c r="B369" s="11"/>
      <c r="C369" s="58"/>
      <c r="D369" s="37"/>
      <c r="E369" s="100"/>
      <c r="F369" s="62"/>
      <c r="G369" s="55"/>
      <c r="I369" s="39"/>
      <c r="Q369" s="48"/>
      <c r="U369" s="45"/>
      <c r="V369" s="108"/>
      <c r="W369" s="109"/>
      <c r="X369" s="111"/>
      <c r="Y369" s="111"/>
    </row>
    <row r="370" spans="1:25" x14ac:dyDescent="0.3">
      <c r="A370" s="10"/>
      <c r="B370" s="11"/>
      <c r="C370" s="58"/>
      <c r="D370" s="37"/>
      <c r="E370" s="100"/>
      <c r="F370" s="62"/>
      <c r="G370" s="55"/>
      <c r="I370" s="39"/>
      <c r="Q370" s="48"/>
      <c r="U370" s="45"/>
      <c r="V370" s="108"/>
      <c r="W370" s="109"/>
      <c r="X370" s="111"/>
      <c r="Y370" s="111"/>
    </row>
    <row r="371" spans="1:25" x14ac:dyDescent="0.3">
      <c r="A371" s="10"/>
      <c r="B371" s="11"/>
      <c r="C371" s="58"/>
      <c r="D371" s="37"/>
      <c r="E371" s="100"/>
      <c r="F371" s="62"/>
      <c r="G371" s="55"/>
      <c r="I371" s="39"/>
      <c r="Q371" s="48"/>
      <c r="U371" s="45"/>
      <c r="V371" s="108"/>
      <c r="W371" s="109"/>
      <c r="X371" s="111"/>
      <c r="Y371" s="111"/>
    </row>
    <row r="372" spans="1:25" x14ac:dyDescent="0.3">
      <c r="A372" s="10"/>
      <c r="B372" s="11"/>
      <c r="C372" s="58"/>
      <c r="D372" s="37"/>
      <c r="E372" s="100"/>
      <c r="F372" s="62"/>
      <c r="G372" s="55"/>
      <c r="I372" s="39"/>
      <c r="Q372" s="48"/>
      <c r="U372" s="45"/>
      <c r="V372" s="108"/>
      <c r="W372" s="109"/>
      <c r="X372" s="111"/>
      <c r="Y372" s="111"/>
    </row>
    <row r="373" spans="1:25" x14ac:dyDescent="0.3">
      <c r="A373" s="10"/>
      <c r="B373" s="11"/>
      <c r="C373" s="58"/>
      <c r="D373" s="37"/>
      <c r="E373" s="100"/>
      <c r="F373" s="62"/>
      <c r="G373" s="55"/>
      <c r="I373" s="39"/>
      <c r="Q373" s="48"/>
      <c r="U373" s="45"/>
      <c r="V373" s="108"/>
      <c r="W373" s="109"/>
      <c r="X373" s="111"/>
      <c r="Y373" s="111"/>
    </row>
    <row r="374" spans="1:25" x14ac:dyDescent="0.3">
      <c r="A374" s="10"/>
      <c r="B374" s="11"/>
      <c r="C374" s="58"/>
      <c r="D374" s="37"/>
      <c r="E374" s="100"/>
      <c r="F374" s="62"/>
      <c r="G374" s="55"/>
      <c r="I374" s="39"/>
      <c r="Q374" s="48"/>
      <c r="U374" s="45"/>
      <c r="V374" s="108"/>
      <c r="W374" s="109"/>
      <c r="X374" s="111"/>
      <c r="Y374" s="111"/>
    </row>
    <row r="375" spans="1:25" x14ac:dyDescent="0.3">
      <c r="A375" s="10"/>
      <c r="B375" s="11"/>
      <c r="C375" s="58"/>
      <c r="D375" s="37"/>
      <c r="E375" s="100"/>
      <c r="F375" s="62"/>
      <c r="G375" s="55"/>
      <c r="I375" s="39"/>
      <c r="Q375" s="48"/>
      <c r="U375" s="45"/>
      <c r="V375" s="108"/>
      <c r="W375" s="109"/>
      <c r="X375" s="111"/>
      <c r="Y375" s="111"/>
    </row>
    <row r="376" spans="1:25" x14ac:dyDescent="0.3">
      <c r="A376" s="10"/>
      <c r="B376" s="11"/>
      <c r="C376" s="58"/>
      <c r="D376" s="37"/>
      <c r="E376" s="100"/>
      <c r="F376" s="62"/>
      <c r="G376" s="55"/>
      <c r="I376" s="39"/>
      <c r="Q376" s="48"/>
      <c r="U376" s="45"/>
      <c r="V376" s="108"/>
      <c r="W376" s="109"/>
      <c r="X376" s="111"/>
      <c r="Y376" s="111"/>
    </row>
    <row r="377" spans="1:25" x14ac:dyDescent="0.3">
      <c r="A377" s="10"/>
      <c r="B377" s="11"/>
      <c r="C377" s="58"/>
      <c r="D377" s="37"/>
      <c r="E377" s="100"/>
      <c r="F377" s="62"/>
      <c r="G377" s="55"/>
      <c r="I377" s="39"/>
      <c r="Q377" s="48"/>
      <c r="U377" s="45"/>
      <c r="V377" s="108"/>
      <c r="W377" s="109"/>
      <c r="X377" s="111"/>
      <c r="Y377" s="111"/>
    </row>
    <row r="378" spans="1:25" x14ac:dyDescent="0.3">
      <c r="A378" s="10"/>
      <c r="B378" s="11"/>
      <c r="C378" s="58"/>
      <c r="D378" s="37"/>
      <c r="E378" s="100"/>
      <c r="F378" s="62"/>
      <c r="G378" s="55"/>
      <c r="I378" s="39"/>
      <c r="Q378" s="48"/>
      <c r="U378" s="45"/>
      <c r="V378" s="108"/>
      <c r="W378" s="109"/>
      <c r="X378" s="111"/>
      <c r="Y378" s="111"/>
    </row>
    <row r="379" spans="1:25" x14ac:dyDescent="0.3">
      <c r="A379" s="10"/>
      <c r="B379" s="11"/>
      <c r="C379" s="58"/>
      <c r="D379" s="37"/>
      <c r="E379" s="100"/>
      <c r="F379" s="62"/>
      <c r="G379" s="55"/>
      <c r="I379" s="39"/>
      <c r="Q379" s="48"/>
      <c r="U379" s="45"/>
      <c r="V379" s="108"/>
      <c r="W379" s="109"/>
      <c r="X379" s="111"/>
      <c r="Y379" s="111"/>
    </row>
    <row r="380" spans="1:25" x14ac:dyDescent="0.3">
      <c r="A380" s="10"/>
      <c r="B380" s="11"/>
      <c r="C380" s="58"/>
      <c r="D380" s="37"/>
      <c r="E380" s="100"/>
      <c r="F380" s="62"/>
      <c r="G380" s="55"/>
      <c r="I380" s="39"/>
      <c r="Q380" s="48"/>
      <c r="U380" s="45"/>
      <c r="V380" s="108"/>
      <c r="W380" s="109"/>
      <c r="X380" s="111"/>
      <c r="Y380" s="111"/>
    </row>
    <row r="381" spans="1:25" x14ac:dyDescent="0.3">
      <c r="A381" s="10"/>
      <c r="B381" s="11"/>
      <c r="C381" s="58"/>
      <c r="D381" s="37"/>
      <c r="E381" s="100"/>
      <c r="F381" s="62"/>
      <c r="G381" s="55"/>
      <c r="I381" s="39"/>
      <c r="Q381" s="48"/>
      <c r="U381" s="45"/>
      <c r="V381" s="108"/>
      <c r="W381" s="109"/>
      <c r="X381" s="111"/>
      <c r="Y381" s="111"/>
    </row>
    <row r="382" spans="1:25" x14ac:dyDescent="0.3">
      <c r="A382" s="10"/>
      <c r="B382" s="11"/>
      <c r="C382" s="58"/>
      <c r="D382" s="37"/>
      <c r="E382" s="100"/>
      <c r="F382" s="62"/>
      <c r="G382" s="55"/>
      <c r="I382" s="39"/>
      <c r="Q382" s="48"/>
      <c r="U382" s="45"/>
      <c r="V382" s="108"/>
      <c r="W382" s="109"/>
      <c r="X382" s="111"/>
      <c r="Y382" s="111"/>
    </row>
    <row r="383" spans="1:25" x14ac:dyDescent="0.3">
      <c r="A383" s="10"/>
      <c r="B383" s="11"/>
      <c r="C383" s="58"/>
      <c r="D383" s="37"/>
      <c r="E383" s="100"/>
      <c r="F383" s="62"/>
      <c r="G383" s="55"/>
      <c r="I383" s="39"/>
      <c r="Q383" s="48"/>
      <c r="U383" s="45"/>
      <c r="V383" s="108"/>
      <c r="W383" s="109"/>
      <c r="X383" s="111"/>
      <c r="Y383" s="111"/>
    </row>
    <row r="384" spans="1:25" x14ac:dyDescent="0.3">
      <c r="A384" s="10"/>
      <c r="B384" s="11"/>
      <c r="C384" s="58"/>
      <c r="D384" s="37"/>
      <c r="E384" s="100"/>
      <c r="F384" s="62"/>
      <c r="G384" s="55"/>
      <c r="I384" s="39"/>
      <c r="Q384" s="48"/>
      <c r="U384" s="45"/>
      <c r="V384" s="108"/>
      <c r="W384" s="109"/>
      <c r="X384" s="111"/>
      <c r="Y384" s="111"/>
    </row>
    <row r="385" spans="1:25" x14ac:dyDescent="0.3">
      <c r="A385" s="10"/>
      <c r="B385" s="11"/>
      <c r="C385" s="58"/>
      <c r="D385" s="37"/>
      <c r="E385" s="100"/>
      <c r="F385" s="62"/>
      <c r="G385" s="55"/>
      <c r="I385" s="39"/>
      <c r="Q385" s="48"/>
      <c r="U385" s="45"/>
      <c r="V385" s="108"/>
      <c r="W385" s="109"/>
      <c r="X385" s="111"/>
      <c r="Y385" s="111"/>
    </row>
    <row r="386" spans="1:25" x14ac:dyDescent="0.3">
      <c r="A386" s="10"/>
      <c r="B386" s="11"/>
      <c r="C386" s="58"/>
      <c r="D386" s="37"/>
      <c r="E386" s="100"/>
      <c r="F386" s="62"/>
      <c r="G386" s="55"/>
      <c r="I386" s="39"/>
      <c r="Q386" s="48"/>
      <c r="U386" s="45"/>
      <c r="V386" s="108"/>
      <c r="W386" s="109"/>
      <c r="X386" s="111"/>
      <c r="Y386" s="111"/>
    </row>
    <row r="387" spans="1:25" x14ac:dyDescent="0.3">
      <c r="A387" s="10"/>
      <c r="B387" s="11"/>
      <c r="C387" s="58"/>
      <c r="D387" s="37"/>
      <c r="E387" s="100"/>
      <c r="F387" s="62"/>
      <c r="G387" s="55"/>
      <c r="I387" s="39"/>
      <c r="Q387" s="48"/>
      <c r="U387" s="45"/>
      <c r="V387" s="108"/>
      <c r="W387" s="109"/>
      <c r="X387" s="111"/>
      <c r="Y387" s="111"/>
    </row>
    <row r="388" spans="1:25" x14ac:dyDescent="0.3">
      <c r="A388" s="10"/>
      <c r="B388" s="11"/>
      <c r="C388" s="58"/>
      <c r="D388" s="37"/>
      <c r="E388" s="100"/>
      <c r="F388" s="62"/>
      <c r="G388" s="55"/>
      <c r="I388" s="39"/>
      <c r="Q388" s="48"/>
      <c r="U388" s="45"/>
      <c r="V388" s="108"/>
      <c r="W388" s="109"/>
      <c r="X388" s="111"/>
      <c r="Y388" s="111"/>
    </row>
    <row r="389" spans="1:25" x14ac:dyDescent="0.3">
      <c r="A389" s="10"/>
      <c r="B389" s="11"/>
      <c r="C389" s="58"/>
      <c r="D389" s="37"/>
      <c r="E389" s="100"/>
      <c r="F389" s="62"/>
      <c r="G389" s="55"/>
      <c r="I389" s="39"/>
      <c r="Q389" s="48"/>
      <c r="U389" s="45"/>
      <c r="V389" s="108"/>
      <c r="W389" s="109"/>
      <c r="X389" s="111"/>
      <c r="Y389" s="111"/>
    </row>
    <row r="390" spans="1:25" x14ac:dyDescent="0.3">
      <c r="A390" s="10"/>
      <c r="B390" s="11"/>
      <c r="C390" s="58"/>
      <c r="D390" s="37"/>
      <c r="E390" s="100"/>
      <c r="F390" s="62"/>
      <c r="G390" s="55"/>
      <c r="I390" s="39"/>
      <c r="Q390" s="48"/>
      <c r="U390" s="45"/>
      <c r="V390" s="108"/>
      <c r="W390" s="109"/>
      <c r="X390" s="111"/>
      <c r="Y390" s="111"/>
    </row>
    <row r="391" spans="1:25" x14ac:dyDescent="0.3">
      <c r="A391" s="10"/>
      <c r="B391" s="11"/>
      <c r="C391" s="58"/>
      <c r="D391" s="37"/>
      <c r="E391" s="100"/>
      <c r="F391" s="62"/>
      <c r="G391" s="55"/>
      <c r="I391" s="39"/>
      <c r="Q391" s="48"/>
      <c r="U391" s="45"/>
      <c r="V391" s="108"/>
      <c r="W391" s="109"/>
      <c r="X391" s="111"/>
      <c r="Y391" s="111"/>
    </row>
    <row r="392" spans="1:25" x14ac:dyDescent="0.3">
      <c r="A392" s="10"/>
      <c r="B392" s="11"/>
      <c r="C392" s="58"/>
      <c r="D392" s="37"/>
      <c r="E392" s="100"/>
      <c r="F392" s="62"/>
      <c r="G392" s="55"/>
      <c r="I392" s="39"/>
      <c r="Q392" s="48"/>
      <c r="U392" s="45"/>
      <c r="V392" s="108"/>
      <c r="W392" s="109"/>
      <c r="X392" s="111"/>
      <c r="Y392" s="111"/>
    </row>
    <row r="393" spans="1:25" x14ac:dyDescent="0.3">
      <c r="A393" s="10"/>
      <c r="B393" s="11"/>
      <c r="C393" s="58"/>
      <c r="D393" s="37"/>
      <c r="E393" s="100"/>
      <c r="F393" s="62"/>
      <c r="G393" s="55"/>
      <c r="I393" s="39"/>
      <c r="Q393" s="48"/>
      <c r="U393" s="45"/>
      <c r="V393" s="108"/>
      <c r="W393" s="109"/>
      <c r="X393" s="111"/>
      <c r="Y393" s="111"/>
    </row>
    <row r="394" spans="1:25" x14ac:dyDescent="0.3">
      <c r="A394" s="10"/>
      <c r="B394" s="11"/>
      <c r="C394" s="58"/>
      <c r="D394" s="37"/>
      <c r="E394" s="100"/>
      <c r="F394" s="62"/>
      <c r="G394" s="55"/>
      <c r="I394" s="39"/>
      <c r="Q394" s="48"/>
      <c r="U394" s="45"/>
      <c r="V394" s="108"/>
      <c r="W394" s="109"/>
      <c r="X394" s="111"/>
      <c r="Y394" s="111"/>
    </row>
    <row r="395" spans="1:25" x14ac:dyDescent="0.3">
      <c r="A395" s="10"/>
      <c r="B395" s="11"/>
      <c r="C395" s="58"/>
      <c r="D395" s="37"/>
      <c r="E395" s="100"/>
      <c r="F395" s="62"/>
      <c r="G395" s="55"/>
      <c r="I395" s="39"/>
      <c r="Q395" s="48"/>
      <c r="U395" s="45"/>
      <c r="V395" s="108"/>
      <c r="W395" s="109"/>
      <c r="X395" s="111"/>
      <c r="Y395" s="111"/>
    </row>
    <row r="396" spans="1:25" x14ac:dyDescent="0.3">
      <c r="A396" s="10"/>
      <c r="B396" s="11"/>
      <c r="C396" s="58"/>
      <c r="D396" s="37"/>
      <c r="E396" s="100"/>
      <c r="F396" s="62"/>
      <c r="G396" s="55"/>
      <c r="I396" s="39"/>
      <c r="Q396" s="48"/>
      <c r="U396" s="45"/>
      <c r="V396" s="108"/>
      <c r="W396" s="109"/>
      <c r="X396" s="111"/>
      <c r="Y396" s="111"/>
    </row>
    <row r="397" spans="1:25" x14ac:dyDescent="0.3">
      <c r="A397" s="10"/>
      <c r="B397" s="11"/>
      <c r="C397" s="58"/>
      <c r="D397" s="37"/>
      <c r="E397" s="100"/>
      <c r="F397" s="62"/>
      <c r="G397" s="55"/>
      <c r="I397" s="39"/>
      <c r="Q397" s="48"/>
      <c r="U397" s="45"/>
      <c r="V397" s="108"/>
      <c r="W397" s="109"/>
      <c r="X397" s="111"/>
      <c r="Y397" s="111"/>
    </row>
    <row r="398" spans="1:25" x14ac:dyDescent="0.3">
      <c r="A398" s="10"/>
      <c r="B398" s="11"/>
      <c r="C398" s="58"/>
      <c r="D398" s="37"/>
      <c r="E398" s="100"/>
      <c r="F398" s="62"/>
      <c r="G398" s="55"/>
      <c r="I398" s="39"/>
      <c r="Q398" s="48"/>
      <c r="U398" s="45"/>
      <c r="V398" s="108"/>
      <c r="W398" s="109"/>
      <c r="X398" s="111"/>
      <c r="Y398" s="111"/>
    </row>
    <row r="399" spans="1:25" x14ac:dyDescent="0.3">
      <c r="A399" s="10"/>
      <c r="B399" s="11"/>
      <c r="C399" s="58"/>
      <c r="D399" s="37"/>
      <c r="E399" s="100"/>
      <c r="F399" s="62"/>
      <c r="G399" s="55"/>
      <c r="I399" s="39"/>
      <c r="Q399" s="48"/>
      <c r="U399" s="45"/>
      <c r="V399" s="108"/>
      <c r="W399" s="109"/>
      <c r="X399" s="111"/>
      <c r="Y399" s="111"/>
    </row>
    <row r="400" spans="1:25" x14ac:dyDescent="0.3">
      <c r="A400" s="10"/>
      <c r="B400" s="11"/>
      <c r="C400" s="58"/>
      <c r="D400" s="37"/>
      <c r="E400" s="100"/>
      <c r="F400" s="62"/>
      <c r="G400" s="55"/>
      <c r="I400" s="39"/>
      <c r="Q400" s="48"/>
      <c r="U400" s="45"/>
      <c r="V400" s="108"/>
      <c r="W400" s="109"/>
      <c r="X400" s="111"/>
      <c r="Y400" s="111"/>
    </row>
    <row r="401" spans="1:25" x14ac:dyDescent="0.3">
      <c r="A401" s="10"/>
      <c r="B401" s="11"/>
      <c r="C401" s="58"/>
      <c r="D401" s="37"/>
      <c r="E401" s="100"/>
      <c r="F401" s="62"/>
      <c r="G401" s="55"/>
      <c r="I401" s="39"/>
      <c r="Q401" s="48"/>
      <c r="U401" s="45"/>
      <c r="V401" s="108"/>
      <c r="W401" s="109"/>
      <c r="X401" s="111"/>
      <c r="Y401" s="111"/>
    </row>
    <row r="402" spans="1:25" x14ac:dyDescent="0.3">
      <c r="A402" s="10"/>
      <c r="B402" s="11"/>
      <c r="C402" s="58"/>
      <c r="D402" s="37"/>
      <c r="E402" s="100"/>
      <c r="F402" s="62"/>
      <c r="G402" s="55"/>
      <c r="I402" s="39"/>
      <c r="Q402" s="48"/>
      <c r="U402" s="45"/>
      <c r="V402" s="108"/>
      <c r="W402" s="109"/>
      <c r="X402" s="111"/>
      <c r="Y402" s="111"/>
    </row>
    <row r="403" spans="1:25" x14ac:dyDescent="0.3">
      <c r="A403" s="10"/>
      <c r="B403" s="11"/>
      <c r="C403" s="58"/>
      <c r="D403" s="37"/>
      <c r="E403" s="100"/>
      <c r="F403" s="62"/>
      <c r="G403" s="55"/>
      <c r="I403" s="39"/>
      <c r="Q403" s="48"/>
      <c r="U403" s="45"/>
      <c r="V403" s="108"/>
      <c r="W403" s="109"/>
      <c r="X403" s="111"/>
      <c r="Y403" s="111"/>
    </row>
    <row r="404" spans="1:25" x14ac:dyDescent="0.3">
      <c r="A404" s="10"/>
      <c r="B404" s="11"/>
      <c r="C404" s="58"/>
      <c r="D404" s="37"/>
      <c r="E404" s="100"/>
      <c r="F404" s="62"/>
      <c r="G404" s="55"/>
      <c r="I404" s="39"/>
      <c r="Q404" s="48"/>
      <c r="U404" s="45"/>
      <c r="V404" s="108"/>
      <c r="W404" s="109"/>
      <c r="X404" s="111"/>
      <c r="Y404" s="111"/>
    </row>
    <row r="405" spans="1:25" x14ac:dyDescent="0.3">
      <c r="A405" s="10"/>
      <c r="B405" s="11"/>
      <c r="C405" s="58"/>
      <c r="D405" s="37"/>
      <c r="E405" s="100"/>
      <c r="F405" s="62"/>
      <c r="G405" s="55"/>
      <c r="I405" s="39"/>
      <c r="Q405" s="48"/>
      <c r="U405" s="45"/>
      <c r="V405" s="108"/>
      <c r="W405" s="109"/>
      <c r="X405" s="111"/>
      <c r="Y405" s="111"/>
    </row>
    <row r="406" spans="1:25" x14ac:dyDescent="0.3">
      <c r="A406" s="10"/>
      <c r="B406" s="11"/>
      <c r="C406" s="58"/>
      <c r="D406" s="37"/>
      <c r="E406" s="100"/>
      <c r="F406" s="62"/>
      <c r="G406" s="55"/>
      <c r="I406" s="39"/>
      <c r="Q406" s="48"/>
      <c r="U406" s="45"/>
      <c r="V406" s="108"/>
      <c r="W406" s="109"/>
      <c r="X406" s="111"/>
      <c r="Y406" s="111"/>
    </row>
    <row r="407" spans="1:25" x14ac:dyDescent="0.3">
      <c r="A407" s="10"/>
      <c r="B407" s="11"/>
      <c r="C407" s="58"/>
      <c r="D407" s="37"/>
      <c r="E407" s="100"/>
      <c r="F407" s="62"/>
      <c r="G407" s="55"/>
      <c r="I407" s="39"/>
      <c r="Q407" s="48"/>
      <c r="U407" s="45"/>
      <c r="V407" s="108"/>
      <c r="W407" s="109"/>
      <c r="X407" s="111"/>
      <c r="Y407" s="111"/>
    </row>
    <row r="408" spans="1:25" x14ac:dyDescent="0.3">
      <c r="A408" s="10"/>
      <c r="B408" s="11"/>
      <c r="C408" s="58"/>
      <c r="D408" s="37"/>
      <c r="E408" s="100"/>
      <c r="F408" s="62"/>
      <c r="G408" s="55"/>
      <c r="I408" s="39"/>
      <c r="Q408" s="48"/>
      <c r="U408" s="45"/>
      <c r="V408" s="108"/>
      <c r="W408" s="109"/>
      <c r="X408" s="111"/>
      <c r="Y408" s="111"/>
    </row>
    <row r="409" spans="1:25" x14ac:dyDescent="0.3">
      <c r="A409" s="10"/>
      <c r="B409" s="11"/>
      <c r="C409" s="58"/>
      <c r="D409" s="37"/>
      <c r="E409" s="100"/>
      <c r="F409" s="62"/>
      <c r="G409" s="55"/>
      <c r="I409" s="39"/>
      <c r="Q409" s="48"/>
      <c r="U409" s="45"/>
      <c r="V409" s="108"/>
      <c r="W409" s="109"/>
      <c r="X409" s="111"/>
      <c r="Y409" s="111"/>
    </row>
    <row r="410" spans="1:25" x14ac:dyDescent="0.3">
      <c r="A410" s="10"/>
      <c r="B410" s="11"/>
      <c r="C410" s="58"/>
      <c r="D410" s="37"/>
      <c r="E410" s="100"/>
      <c r="F410" s="62"/>
      <c r="G410" s="55"/>
      <c r="I410" s="39"/>
      <c r="Q410" s="48"/>
      <c r="U410" s="45"/>
      <c r="V410" s="108"/>
      <c r="W410" s="109"/>
      <c r="X410" s="111"/>
      <c r="Y410" s="111"/>
    </row>
    <row r="411" spans="1:25" x14ac:dyDescent="0.3">
      <c r="A411" s="10"/>
      <c r="B411" s="11"/>
      <c r="C411" s="58"/>
      <c r="D411" s="37"/>
      <c r="E411" s="100"/>
      <c r="F411" s="62"/>
      <c r="G411" s="55"/>
      <c r="I411" s="39"/>
      <c r="Q411" s="48"/>
      <c r="U411" s="45"/>
      <c r="V411" s="108"/>
      <c r="W411" s="109"/>
      <c r="X411" s="111"/>
      <c r="Y411" s="111"/>
    </row>
    <row r="412" spans="1:25" x14ac:dyDescent="0.3">
      <c r="A412" s="10"/>
      <c r="B412" s="11"/>
      <c r="C412" s="58"/>
      <c r="D412" s="37"/>
      <c r="E412" s="100"/>
      <c r="F412" s="62"/>
      <c r="G412" s="55"/>
      <c r="I412" s="39"/>
      <c r="Q412" s="48"/>
      <c r="U412" s="45"/>
      <c r="V412" s="108"/>
      <c r="W412" s="109"/>
      <c r="X412" s="111"/>
      <c r="Y412" s="111"/>
    </row>
    <row r="413" spans="1:25" x14ac:dyDescent="0.3">
      <c r="A413" s="10"/>
      <c r="B413" s="11"/>
      <c r="C413" s="58"/>
      <c r="D413" s="37"/>
      <c r="E413" s="100"/>
      <c r="F413" s="62"/>
      <c r="G413" s="55"/>
      <c r="I413" s="39"/>
      <c r="Q413" s="48"/>
      <c r="U413" s="45"/>
      <c r="V413" s="108"/>
      <c r="W413" s="109"/>
      <c r="X413" s="111"/>
      <c r="Y413" s="111"/>
    </row>
    <row r="414" spans="1:25" x14ac:dyDescent="0.3">
      <c r="A414" s="10"/>
      <c r="B414" s="11"/>
      <c r="C414" s="58"/>
      <c r="D414" s="37"/>
      <c r="E414" s="100"/>
      <c r="F414" s="62"/>
      <c r="G414" s="55"/>
      <c r="I414" s="39"/>
      <c r="Q414" s="48"/>
      <c r="U414" s="45"/>
      <c r="V414" s="108"/>
      <c r="W414" s="109"/>
      <c r="X414" s="111"/>
      <c r="Y414" s="111"/>
    </row>
    <row r="415" spans="1:25" x14ac:dyDescent="0.3">
      <c r="A415" s="10"/>
      <c r="B415" s="11"/>
      <c r="C415" s="58"/>
      <c r="D415" s="37"/>
      <c r="E415" s="100"/>
      <c r="F415" s="62"/>
      <c r="G415" s="55"/>
      <c r="I415" s="39"/>
      <c r="Q415" s="48"/>
      <c r="U415" s="45"/>
      <c r="V415" s="108"/>
      <c r="W415" s="109"/>
      <c r="X415" s="111"/>
      <c r="Y415" s="111"/>
    </row>
    <row r="416" spans="1:25" x14ac:dyDescent="0.3">
      <c r="A416" s="10"/>
      <c r="B416" s="11"/>
      <c r="C416" s="58"/>
      <c r="D416" s="37"/>
      <c r="E416" s="100"/>
      <c r="F416" s="62"/>
      <c r="G416" s="55"/>
      <c r="I416" s="39"/>
      <c r="Q416" s="48"/>
      <c r="U416" s="45"/>
      <c r="V416" s="108"/>
      <c r="W416" s="109"/>
      <c r="X416" s="111"/>
      <c r="Y416" s="111"/>
    </row>
    <row r="417" spans="1:25" x14ac:dyDescent="0.3">
      <c r="A417" s="10"/>
      <c r="B417" s="11"/>
      <c r="C417" s="58"/>
      <c r="D417" s="37"/>
      <c r="E417" s="100"/>
      <c r="F417" s="62"/>
      <c r="G417" s="55"/>
      <c r="I417" s="39"/>
      <c r="Q417" s="48"/>
      <c r="U417" s="45"/>
      <c r="V417" s="108"/>
      <c r="W417" s="109"/>
      <c r="X417" s="111"/>
      <c r="Y417" s="111"/>
    </row>
    <row r="418" spans="1:25" x14ac:dyDescent="0.3">
      <c r="A418" s="10"/>
      <c r="B418" s="11"/>
      <c r="C418" s="58"/>
      <c r="D418" s="37"/>
      <c r="E418" s="100"/>
      <c r="F418" s="62"/>
      <c r="G418" s="55"/>
      <c r="I418" s="39"/>
      <c r="Q418" s="48"/>
      <c r="U418" s="45"/>
      <c r="V418" s="108"/>
      <c r="W418" s="109"/>
      <c r="X418" s="111"/>
      <c r="Y418" s="111"/>
    </row>
    <row r="419" spans="1:25" x14ac:dyDescent="0.3">
      <c r="A419" s="10"/>
      <c r="B419" s="11"/>
      <c r="C419" s="58"/>
      <c r="D419" s="37"/>
      <c r="E419" s="100"/>
      <c r="F419" s="62"/>
      <c r="G419" s="55"/>
      <c r="I419" s="39"/>
      <c r="Q419" s="48"/>
      <c r="U419" s="45"/>
      <c r="V419" s="108"/>
      <c r="W419" s="109"/>
      <c r="X419" s="111"/>
      <c r="Y419" s="111"/>
    </row>
    <row r="420" spans="1:25" x14ac:dyDescent="0.3">
      <c r="A420" s="10"/>
      <c r="B420" s="11"/>
      <c r="C420" s="58"/>
      <c r="D420" s="37"/>
      <c r="E420" s="100"/>
      <c r="F420" s="62"/>
      <c r="G420" s="55"/>
      <c r="I420" s="39"/>
      <c r="Q420" s="48"/>
      <c r="U420" s="45"/>
      <c r="V420" s="108"/>
      <c r="W420" s="109"/>
      <c r="X420" s="111"/>
      <c r="Y420" s="111"/>
    </row>
    <row r="421" spans="1:25" x14ac:dyDescent="0.3">
      <c r="A421" s="10"/>
      <c r="B421" s="11"/>
      <c r="C421" s="58"/>
      <c r="D421" s="37"/>
      <c r="E421" s="100"/>
      <c r="F421" s="62"/>
      <c r="G421" s="55"/>
      <c r="I421" s="39"/>
      <c r="Q421" s="48"/>
      <c r="U421" s="45"/>
      <c r="V421" s="108"/>
      <c r="W421" s="109"/>
      <c r="X421" s="111"/>
      <c r="Y421" s="111"/>
    </row>
    <row r="422" spans="1:25" x14ac:dyDescent="0.3">
      <c r="A422" s="10"/>
      <c r="B422" s="11"/>
      <c r="C422" s="58"/>
      <c r="D422" s="37"/>
      <c r="E422" s="100"/>
      <c r="F422" s="62"/>
      <c r="G422" s="55"/>
      <c r="I422" s="39"/>
      <c r="Q422" s="48"/>
      <c r="U422" s="45"/>
      <c r="V422" s="108"/>
      <c r="W422" s="109"/>
      <c r="X422" s="111"/>
      <c r="Y422" s="111"/>
    </row>
    <row r="423" spans="1:25" x14ac:dyDescent="0.3">
      <c r="A423" s="10"/>
      <c r="B423" s="11"/>
      <c r="C423" s="58"/>
      <c r="D423" s="37"/>
      <c r="E423" s="100"/>
      <c r="F423" s="62"/>
      <c r="G423" s="55"/>
      <c r="I423" s="39"/>
      <c r="Q423" s="48"/>
      <c r="U423" s="45"/>
      <c r="V423" s="108"/>
      <c r="W423" s="109"/>
      <c r="X423" s="111"/>
      <c r="Y423" s="111"/>
    </row>
    <row r="424" spans="1:25" x14ac:dyDescent="0.3">
      <c r="A424" s="10"/>
      <c r="B424" s="11"/>
      <c r="C424" s="58"/>
      <c r="D424" s="37"/>
      <c r="E424" s="100"/>
      <c r="F424" s="62"/>
      <c r="G424" s="55"/>
      <c r="I424" s="39"/>
      <c r="Q424" s="48"/>
      <c r="U424" s="45"/>
      <c r="V424" s="108"/>
      <c r="W424" s="109"/>
      <c r="X424" s="111"/>
      <c r="Y424" s="111"/>
    </row>
    <row r="425" spans="1:25" x14ac:dyDescent="0.3">
      <c r="A425" s="10"/>
      <c r="B425" s="11"/>
      <c r="C425" s="58"/>
      <c r="D425" s="37"/>
      <c r="E425" s="100"/>
      <c r="F425" s="62"/>
      <c r="G425" s="55"/>
      <c r="I425" s="39"/>
      <c r="Q425" s="48"/>
      <c r="U425" s="45"/>
      <c r="V425" s="108"/>
      <c r="W425" s="109"/>
      <c r="X425" s="111"/>
      <c r="Y425" s="111"/>
    </row>
    <row r="426" spans="1:25" x14ac:dyDescent="0.3">
      <c r="A426" s="10"/>
      <c r="B426" s="11"/>
      <c r="C426" s="58"/>
      <c r="D426" s="37"/>
      <c r="E426" s="100"/>
      <c r="F426" s="62"/>
      <c r="G426" s="55"/>
      <c r="I426" s="39"/>
      <c r="Q426" s="48"/>
      <c r="U426" s="45"/>
      <c r="V426" s="108"/>
      <c r="W426" s="109"/>
      <c r="X426" s="111"/>
      <c r="Y426" s="111"/>
    </row>
    <row r="427" spans="1:25" x14ac:dyDescent="0.3">
      <c r="A427" s="10"/>
      <c r="B427" s="11"/>
      <c r="C427" s="58"/>
      <c r="D427" s="37"/>
      <c r="E427" s="100"/>
      <c r="F427" s="62"/>
      <c r="G427" s="55"/>
      <c r="I427" s="39"/>
      <c r="Q427" s="48"/>
      <c r="U427" s="45"/>
      <c r="V427" s="108"/>
      <c r="W427" s="109"/>
      <c r="X427" s="111"/>
      <c r="Y427" s="111"/>
    </row>
    <row r="428" spans="1:25" x14ac:dyDescent="0.3">
      <c r="A428" s="10"/>
      <c r="B428" s="11"/>
      <c r="C428" s="58"/>
      <c r="D428" s="37"/>
      <c r="E428" s="100"/>
      <c r="F428" s="62"/>
      <c r="G428" s="55"/>
      <c r="I428" s="39"/>
      <c r="Q428" s="48"/>
      <c r="U428" s="45"/>
      <c r="V428" s="108"/>
      <c r="W428" s="109"/>
      <c r="X428" s="111"/>
      <c r="Y428" s="111"/>
    </row>
    <row r="429" spans="1:25" x14ac:dyDescent="0.3">
      <c r="A429" s="10"/>
      <c r="B429" s="11"/>
      <c r="C429" s="58"/>
      <c r="D429" s="37"/>
      <c r="E429" s="100"/>
      <c r="F429" s="62"/>
      <c r="G429" s="55"/>
      <c r="I429" s="39"/>
      <c r="Q429" s="48"/>
      <c r="U429" s="45"/>
      <c r="V429" s="108"/>
      <c r="W429" s="109"/>
      <c r="X429" s="111"/>
      <c r="Y429" s="111"/>
    </row>
    <row r="430" spans="1:25" x14ac:dyDescent="0.3">
      <c r="A430" s="10"/>
      <c r="B430" s="11"/>
      <c r="C430" s="58"/>
      <c r="D430" s="37"/>
      <c r="E430" s="100"/>
      <c r="F430" s="62"/>
      <c r="G430" s="55"/>
      <c r="I430" s="39"/>
      <c r="Q430" s="48"/>
      <c r="U430" s="45"/>
      <c r="V430" s="108"/>
      <c r="W430" s="109"/>
      <c r="X430" s="111"/>
      <c r="Y430" s="111"/>
    </row>
    <row r="431" spans="1:25" x14ac:dyDescent="0.3">
      <c r="A431" s="10"/>
      <c r="B431" s="11"/>
      <c r="C431" s="58"/>
      <c r="D431" s="37"/>
      <c r="E431" s="100"/>
      <c r="F431" s="62"/>
      <c r="G431" s="55"/>
      <c r="I431" s="39"/>
      <c r="Q431" s="48"/>
      <c r="U431" s="45"/>
      <c r="V431" s="108"/>
      <c r="W431" s="109"/>
      <c r="X431" s="111"/>
      <c r="Y431" s="111"/>
    </row>
    <row r="432" spans="1:25" x14ac:dyDescent="0.3">
      <c r="A432" s="10"/>
      <c r="B432" s="11"/>
      <c r="C432" s="58"/>
      <c r="D432" s="37"/>
      <c r="E432" s="100"/>
      <c r="F432" s="62"/>
      <c r="G432" s="55"/>
      <c r="I432" s="39"/>
      <c r="Q432" s="48"/>
      <c r="U432" s="45"/>
      <c r="V432" s="108"/>
      <c r="W432" s="109"/>
      <c r="X432" s="111"/>
      <c r="Y432" s="111"/>
    </row>
    <row r="433" spans="1:25" x14ac:dyDescent="0.3">
      <c r="A433" s="10"/>
      <c r="B433" s="11"/>
      <c r="C433" s="58"/>
      <c r="D433" s="37"/>
      <c r="E433" s="100"/>
      <c r="F433" s="62"/>
      <c r="G433" s="55"/>
      <c r="I433" s="39"/>
      <c r="Q433" s="48"/>
      <c r="U433" s="45"/>
      <c r="V433" s="108"/>
      <c r="W433" s="109"/>
      <c r="X433" s="111"/>
      <c r="Y433" s="111"/>
    </row>
    <row r="434" spans="1:25" x14ac:dyDescent="0.3">
      <c r="A434" s="10"/>
      <c r="B434" s="11"/>
      <c r="C434" s="58"/>
      <c r="D434" s="37"/>
      <c r="E434" s="100"/>
      <c r="F434" s="62"/>
      <c r="G434" s="55"/>
      <c r="I434" s="39"/>
      <c r="Q434" s="48"/>
      <c r="U434" s="45"/>
      <c r="V434" s="108"/>
      <c r="W434" s="109"/>
      <c r="X434" s="111"/>
      <c r="Y434" s="111"/>
    </row>
    <row r="435" spans="1:25" x14ac:dyDescent="0.3">
      <c r="A435" s="10"/>
      <c r="B435" s="11"/>
      <c r="C435" s="58"/>
      <c r="D435" s="37"/>
      <c r="E435" s="100"/>
      <c r="F435" s="62"/>
      <c r="G435" s="55"/>
      <c r="I435" s="39"/>
      <c r="Q435" s="48"/>
      <c r="U435" s="45"/>
      <c r="V435" s="108"/>
      <c r="W435" s="109"/>
      <c r="X435" s="111"/>
      <c r="Y435" s="111"/>
    </row>
    <row r="436" spans="1:25" x14ac:dyDescent="0.3">
      <c r="A436" s="10"/>
      <c r="B436" s="11"/>
      <c r="C436" s="58"/>
      <c r="D436" s="37"/>
      <c r="E436" s="100"/>
      <c r="F436" s="62"/>
      <c r="G436" s="55"/>
      <c r="I436" s="39"/>
      <c r="Q436" s="48"/>
      <c r="U436" s="45"/>
      <c r="V436" s="108"/>
      <c r="W436" s="109"/>
      <c r="X436" s="111"/>
      <c r="Y436" s="111"/>
    </row>
    <row r="437" spans="1:25" x14ac:dyDescent="0.3">
      <c r="A437" s="10"/>
      <c r="B437" s="11"/>
      <c r="C437" s="58"/>
      <c r="D437" s="37"/>
      <c r="E437" s="100"/>
      <c r="F437" s="62"/>
      <c r="G437" s="55"/>
      <c r="I437" s="39"/>
      <c r="Q437" s="48"/>
      <c r="U437" s="45"/>
      <c r="V437" s="108"/>
      <c r="W437" s="109"/>
      <c r="X437" s="111"/>
      <c r="Y437" s="111"/>
    </row>
    <row r="438" spans="1:25" x14ac:dyDescent="0.3">
      <c r="A438" s="10"/>
      <c r="B438" s="11"/>
      <c r="C438" s="58"/>
      <c r="D438" s="37"/>
      <c r="E438" s="100"/>
      <c r="F438" s="62"/>
      <c r="G438" s="55"/>
      <c r="I438" s="39"/>
      <c r="Q438" s="48"/>
      <c r="U438" s="45"/>
      <c r="V438" s="108"/>
      <c r="W438" s="109"/>
      <c r="X438" s="111"/>
      <c r="Y438" s="111"/>
    </row>
    <row r="439" spans="1:25" x14ac:dyDescent="0.3">
      <c r="A439" s="10"/>
      <c r="B439" s="11"/>
      <c r="C439" s="58"/>
      <c r="D439" s="37"/>
      <c r="E439" s="100"/>
      <c r="F439" s="62"/>
      <c r="G439" s="55"/>
      <c r="I439" s="39"/>
      <c r="Q439" s="48"/>
      <c r="U439" s="45"/>
      <c r="V439" s="108"/>
      <c r="W439" s="109"/>
      <c r="X439" s="111"/>
      <c r="Y439" s="111"/>
    </row>
    <row r="440" spans="1:25" x14ac:dyDescent="0.3">
      <c r="A440" s="10"/>
      <c r="B440" s="11"/>
      <c r="C440" s="58"/>
      <c r="D440" s="37"/>
      <c r="E440" s="100"/>
      <c r="F440" s="62"/>
      <c r="G440" s="55"/>
      <c r="I440" s="39"/>
      <c r="Q440" s="48"/>
      <c r="U440" s="45"/>
      <c r="V440" s="108"/>
      <c r="W440" s="109"/>
      <c r="X440" s="111"/>
      <c r="Y440" s="111"/>
    </row>
    <row r="441" spans="1:25" x14ac:dyDescent="0.3">
      <c r="A441" s="10"/>
      <c r="B441" s="11"/>
      <c r="C441" s="58"/>
      <c r="D441" s="37"/>
      <c r="E441" s="100"/>
      <c r="F441" s="62"/>
      <c r="G441" s="55"/>
      <c r="I441" s="39"/>
      <c r="Q441" s="48"/>
      <c r="U441" s="45"/>
      <c r="V441" s="108"/>
      <c r="W441" s="109"/>
      <c r="X441" s="111"/>
      <c r="Y441" s="111"/>
    </row>
    <row r="442" spans="1:25" x14ac:dyDescent="0.3">
      <c r="A442" s="10"/>
      <c r="B442" s="11"/>
      <c r="C442" s="58"/>
      <c r="D442" s="37"/>
      <c r="E442" s="100"/>
      <c r="F442" s="62"/>
      <c r="G442" s="55"/>
      <c r="I442" s="39"/>
      <c r="Q442" s="48"/>
      <c r="U442" s="45"/>
      <c r="V442" s="108"/>
      <c r="W442" s="109"/>
      <c r="X442" s="111"/>
      <c r="Y442" s="111"/>
    </row>
    <row r="443" spans="1:25" x14ac:dyDescent="0.3">
      <c r="A443" s="10"/>
      <c r="B443" s="11"/>
      <c r="C443" s="58"/>
      <c r="D443" s="37"/>
      <c r="E443" s="100"/>
      <c r="F443" s="62"/>
      <c r="G443" s="55"/>
      <c r="I443" s="39"/>
      <c r="Q443" s="48"/>
      <c r="U443" s="45"/>
      <c r="V443" s="108"/>
      <c r="W443" s="109"/>
      <c r="X443" s="111"/>
      <c r="Y443" s="111"/>
    </row>
    <row r="444" spans="1:25" x14ac:dyDescent="0.3">
      <c r="A444" s="10"/>
      <c r="B444" s="11"/>
      <c r="C444" s="58"/>
      <c r="D444" s="37"/>
      <c r="E444" s="100"/>
      <c r="F444" s="62"/>
      <c r="G444" s="55"/>
      <c r="I444" s="39"/>
      <c r="Q444" s="48"/>
      <c r="U444" s="45"/>
      <c r="V444" s="108"/>
      <c r="W444" s="109"/>
      <c r="X444" s="111"/>
      <c r="Y444" s="111"/>
    </row>
    <row r="445" spans="1:25" x14ac:dyDescent="0.3">
      <c r="A445" s="10"/>
      <c r="B445" s="11"/>
      <c r="C445" s="58"/>
      <c r="D445" s="37"/>
      <c r="E445" s="100"/>
      <c r="F445" s="62"/>
      <c r="G445" s="55"/>
      <c r="I445" s="39"/>
      <c r="Q445" s="48"/>
      <c r="U445" s="45"/>
      <c r="V445" s="108"/>
      <c r="W445" s="109"/>
      <c r="X445" s="111"/>
      <c r="Y445" s="111"/>
    </row>
    <row r="446" spans="1:25" x14ac:dyDescent="0.3">
      <c r="A446" s="10"/>
      <c r="B446" s="11"/>
      <c r="C446" s="58"/>
      <c r="D446" s="37"/>
      <c r="E446" s="100"/>
      <c r="F446" s="62"/>
      <c r="G446" s="55"/>
      <c r="I446" s="39"/>
      <c r="Q446" s="48"/>
      <c r="U446" s="45"/>
      <c r="V446" s="108"/>
      <c r="W446" s="109"/>
      <c r="X446" s="111"/>
      <c r="Y446" s="111"/>
    </row>
    <row r="447" spans="1:25" x14ac:dyDescent="0.3">
      <c r="A447" s="10"/>
      <c r="B447" s="11"/>
      <c r="C447" s="58"/>
      <c r="D447" s="37"/>
      <c r="E447" s="100"/>
      <c r="F447" s="62"/>
      <c r="G447" s="55"/>
      <c r="I447" s="39"/>
      <c r="Q447" s="48"/>
      <c r="U447" s="45"/>
      <c r="V447" s="108"/>
      <c r="W447" s="109"/>
      <c r="X447" s="111"/>
      <c r="Y447" s="111"/>
    </row>
    <row r="448" spans="1:25" x14ac:dyDescent="0.3">
      <c r="A448" s="10"/>
      <c r="B448" s="11"/>
      <c r="C448" s="58"/>
      <c r="D448" s="37"/>
      <c r="E448" s="100"/>
      <c r="F448" s="62"/>
      <c r="G448" s="55"/>
      <c r="I448" s="39"/>
      <c r="Q448" s="48"/>
      <c r="U448" s="45"/>
      <c r="V448" s="108"/>
      <c r="W448" s="109"/>
      <c r="X448" s="111"/>
      <c r="Y448" s="111"/>
    </row>
    <row r="449" spans="1:25" x14ac:dyDescent="0.3">
      <c r="A449" s="10"/>
      <c r="B449" s="11"/>
      <c r="C449" s="58"/>
      <c r="D449" s="37"/>
      <c r="E449" s="100"/>
      <c r="F449" s="62"/>
      <c r="G449" s="55"/>
      <c r="I449" s="39"/>
      <c r="Q449" s="48"/>
      <c r="U449" s="45"/>
      <c r="V449" s="108"/>
      <c r="W449" s="109"/>
      <c r="X449" s="111"/>
      <c r="Y449" s="111"/>
    </row>
    <row r="450" spans="1:25" x14ac:dyDescent="0.3">
      <c r="A450" s="10"/>
      <c r="B450" s="11"/>
      <c r="C450" s="58"/>
      <c r="D450" s="37"/>
      <c r="E450" s="100"/>
      <c r="F450" s="62"/>
      <c r="G450" s="55"/>
      <c r="I450" s="39"/>
      <c r="Q450" s="48"/>
      <c r="U450" s="45"/>
      <c r="V450" s="108"/>
      <c r="W450" s="109"/>
      <c r="X450" s="111"/>
      <c r="Y450" s="111"/>
    </row>
    <row r="451" spans="1:25" x14ac:dyDescent="0.3">
      <c r="A451" s="10"/>
      <c r="B451" s="11"/>
      <c r="C451" s="58"/>
      <c r="D451" s="37"/>
      <c r="E451" s="100"/>
      <c r="F451" s="62"/>
      <c r="G451" s="55"/>
      <c r="I451" s="39"/>
      <c r="Q451" s="48"/>
      <c r="U451" s="45"/>
      <c r="V451" s="108"/>
      <c r="W451" s="109"/>
      <c r="X451" s="111"/>
      <c r="Y451" s="111"/>
    </row>
    <row r="452" spans="1:25" x14ac:dyDescent="0.3">
      <c r="A452" s="10"/>
      <c r="B452" s="11"/>
      <c r="C452" s="58"/>
      <c r="D452" s="37"/>
      <c r="E452" s="100"/>
      <c r="F452" s="62"/>
      <c r="G452" s="55"/>
      <c r="I452" s="39"/>
      <c r="Q452" s="48"/>
      <c r="U452" s="45"/>
      <c r="V452" s="108"/>
      <c r="W452" s="109"/>
      <c r="X452" s="111"/>
      <c r="Y452" s="111"/>
    </row>
    <row r="453" spans="1:25" x14ac:dyDescent="0.3">
      <c r="A453" s="10"/>
      <c r="B453" s="11"/>
      <c r="C453" s="58"/>
      <c r="D453" s="37"/>
      <c r="E453" s="100"/>
      <c r="F453" s="62"/>
      <c r="G453" s="55"/>
      <c r="I453" s="39"/>
      <c r="Q453" s="48"/>
      <c r="U453" s="45"/>
      <c r="V453" s="108"/>
      <c r="W453" s="109"/>
      <c r="X453" s="111"/>
      <c r="Y453" s="111"/>
    </row>
    <row r="454" spans="1:25" x14ac:dyDescent="0.3">
      <c r="A454" s="10"/>
      <c r="B454" s="11"/>
      <c r="C454" s="58"/>
      <c r="D454" s="37"/>
      <c r="E454" s="100"/>
      <c r="F454" s="62"/>
      <c r="G454" s="55"/>
      <c r="I454" s="39"/>
      <c r="Q454" s="48"/>
      <c r="U454" s="45"/>
      <c r="V454" s="108"/>
      <c r="W454" s="109"/>
      <c r="X454" s="111"/>
      <c r="Y454" s="111"/>
    </row>
    <row r="455" spans="1:25" x14ac:dyDescent="0.3">
      <c r="A455" s="10"/>
      <c r="B455" s="11"/>
      <c r="C455" s="58"/>
      <c r="D455" s="37"/>
      <c r="E455" s="100"/>
      <c r="F455" s="62"/>
      <c r="G455" s="55"/>
      <c r="I455" s="39"/>
      <c r="Q455" s="48"/>
      <c r="U455" s="45"/>
      <c r="V455" s="108"/>
      <c r="W455" s="109"/>
      <c r="X455" s="111"/>
      <c r="Y455" s="111"/>
    </row>
    <row r="456" spans="1:25" x14ac:dyDescent="0.3">
      <c r="A456" s="10"/>
      <c r="B456" s="11"/>
      <c r="C456" s="58"/>
      <c r="D456" s="37"/>
      <c r="E456" s="100"/>
      <c r="F456" s="62"/>
      <c r="G456" s="55"/>
      <c r="I456" s="39"/>
      <c r="Q456" s="48"/>
      <c r="U456" s="45"/>
      <c r="V456" s="108"/>
      <c r="W456" s="109"/>
      <c r="X456" s="111"/>
      <c r="Y456" s="111"/>
    </row>
    <row r="457" spans="1:25" x14ac:dyDescent="0.3">
      <c r="A457" s="10"/>
      <c r="B457" s="11"/>
      <c r="C457" s="58"/>
      <c r="D457" s="37"/>
      <c r="E457" s="100"/>
      <c r="F457" s="62"/>
      <c r="G457" s="55"/>
      <c r="I457" s="39"/>
      <c r="Q457" s="48"/>
      <c r="U457" s="45"/>
      <c r="V457" s="108"/>
      <c r="W457" s="109"/>
      <c r="X457" s="111"/>
      <c r="Y457" s="111"/>
    </row>
    <row r="458" spans="1:25" x14ac:dyDescent="0.3">
      <c r="A458" s="10"/>
      <c r="B458" s="11"/>
      <c r="C458" s="58"/>
      <c r="D458" s="37"/>
      <c r="E458" s="100"/>
      <c r="F458" s="62"/>
      <c r="G458" s="55"/>
      <c r="I458" s="39"/>
      <c r="Q458" s="48"/>
      <c r="U458" s="45"/>
      <c r="V458" s="108"/>
      <c r="W458" s="109"/>
      <c r="X458" s="111"/>
      <c r="Y458" s="111"/>
    </row>
    <row r="459" spans="1:25" x14ac:dyDescent="0.3">
      <c r="A459" s="10"/>
      <c r="B459" s="11"/>
      <c r="C459" s="58"/>
      <c r="D459" s="37"/>
      <c r="E459" s="100"/>
      <c r="F459" s="62"/>
      <c r="G459" s="55"/>
      <c r="I459" s="39"/>
      <c r="Q459" s="48"/>
      <c r="U459" s="45"/>
      <c r="V459" s="108"/>
      <c r="W459" s="109"/>
      <c r="X459" s="111"/>
      <c r="Y459" s="111"/>
    </row>
    <row r="460" spans="1:25" x14ac:dyDescent="0.3">
      <c r="A460" s="10"/>
      <c r="B460" s="11"/>
      <c r="C460" s="58"/>
      <c r="D460" s="37"/>
      <c r="E460" s="100"/>
      <c r="F460" s="62"/>
      <c r="G460" s="55"/>
      <c r="I460" s="39"/>
      <c r="Q460" s="48"/>
      <c r="U460" s="45"/>
      <c r="V460" s="108"/>
      <c r="W460" s="109"/>
      <c r="X460" s="111"/>
      <c r="Y460" s="111"/>
    </row>
    <row r="461" spans="1:25" x14ac:dyDescent="0.3">
      <c r="A461" s="10"/>
      <c r="B461" s="11"/>
      <c r="C461" s="58"/>
      <c r="D461" s="37"/>
      <c r="E461" s="100"/>
      <c r="F461" s="62"/>
      <c r="G461" s="55"/>
      <c r="I461" s="39"/>
      <c r="Q461" s="48"/>
      <c r="U461" s="45"/>
      <c r="V461" s="108"/>
      <c r="W461" s="109"/>
      <c r="X461" s="111"/>
      <c r="Y461" s="111"/>
    </row>
    <row r="462" spans="1:25" x14ac:dyDescent="0.3">
      <c r="A462" s="10"/>
      <c r="B462" s="11"/>
      <c r="C462" s="58"/>
      <c r="D462" s="37"/>
      <c r="E462" s="100"/>
      <c r="F462" s="62"/>
      <c r="G462" s="55"/>
      <c r="I462" s="39"/>
      <c r="Q462" s="48"/>
      <c r="U462" s="45"/>
      <c r="V462" s="108"/>
      <c r="W462" s="109"/>
      <c r="X462" s="111"/>
      <c r="Y462" s="111"/>
    </row>
    <row r="463" spans="1:25" x14ac:dyDescent="0.3">
      <c r="A463" s="10"/>
      <c r="B463" s="11"/>
      <c r="C463" s="58"/>
      <c r="D463" s="37"/>
      <c r="E463" s="100"/>
      <c r="F463" s="62"/>
      <c r="G463" s="55"/>
      <c r="I463" s="39"/>
      <c r="Q463" s="48"/>
      <c r="U463" s="45"/>
      <c r="V463" s="108"/>
      <c r="W463" s="109"/>
      <c r="X463" s="111"/>
      <c r="Y463" s="111"/>
    </row>
    <row r="464" spans="1:25" x14ac:dyDescent="0.3">
      <c r="A464" s="10"/>
      <c r="B464" s="11"/>
      <c r="C464" s="58"/>
      <c r="D464" s="37"/>
      <c r="E464" s="100"/>
      <c r="F464" s="62"/>
      <c r="G464" s="55"/>
      <c r="I464" s="39"/>
      <c r="Q464" s="48"/>
      <c r="U464" s="45"/>
      <c r="V464" s="108"/>
      <c r="W464" s="109"/>
      <c r="X464" s="111"/>
      <c r="Y464" s="111"/>
    </row>
    <row r="465" spans="1:25" x14ac:dyDescent="0.3">
      <c r="A465" s="10"/>
      <c r="B465" s="11"/>
      <c r="C465" s="58"/>
      <c r="D465" s="37"/>
      <c r="E465" s="100"/>
      <c r="F465" s="62"/>
      <c r="G465" s="55"/>
      <c r="I465" s="39"/>
      <c r="Q465" s="48"/>
      <c r="U465" s="45"/>
      <c r="V465" s="108"/>
      <c r="W465" s="109"/>
      <c r="X465" s="111"/>
      <c r="Y465" s="111"/>
    </row>
    <row r="466" spans="1:25" x14ac:dyDescent="0.3">
      <c r="A466" s="10"/>
      <c r="B466" s="11"/>
      <c r="C466" s="58"/>
      <c r="D466" s="37"/>
      <c r="E466" s="100"/>
      <c r="F466" s="62"/>
      <c r="G466" s="55"/>
      <c r="I466" s="39"/>
      <c r="Q466" s="48"/>
      <c r="U466" s="45"/>
      <c r="V466" s="108"/>
      <c r="W466" s="109"/>
      <c r="X466" s="111"/>
      <c r="Y466" s="111"/>
    </row>
    <row r="467" spans="1:25" x14ac:dyDescent="0.3">
      <c r="A467" s="10"/>
      <c r="B467" s="11"/>
      <c r="C467" s="58"/>
      <c r="D467" s="37"/>
      <c r="E467" s="100"/>
      <c r="F467" s="62"/>
      <c r="G467" s="55"/>
      <c r="I467" s="39"/>
      <c r="Q467" s="48"/>
      <c r="U467" s="45"/>
      <c r="V467" s="108"/>
      <c r="W467" s="109"/>
      <c r="X467" s="111"/>
      <c r="Y467" s="111"/>
    </row>
    <row r="468" spans="1:25" x14ac:dyDescent="0.3">
      <c r="A468" s="10"/>
      <c r="B468" s="11"/>
      <c r="C468" s="58"/>
      <c r="D468" s="37"/>
      <c r="E468" s="100"/>
      <c r="F468" s="62"/>
      <c r="G468" s="55"/>
      <c r="I468" s="39"/>
      <c r="Q468" s="48"/>
      <c r="U468" s="45"/>
      <c r="V468" s="108"/>
      <c r="W468" s="109"/>
      <c r="X468" s="111"/>
      <c r="Y468" s="111"/>
    </row>
    <row r="469" spans="1:25" x14ac:dyDescent="0.3">
      <c r="A469" s="10"/>
      <c r="B469" s="11"/>
      <c r="C469" s="58"/>
      <c r="D469" s="37"/>
      <c r="E469" s="100"/>
      <c r="F469" s="62"/>
      <c r="G469" s="55"/>
      <c r="I469" s="39"/>
      <c r="Q469" s="48"/>
      <c r="U469" s="45"/>
      <c r="V469" s="108"/>
      <c r="W469" s="109"/>
      <c r="X469" s="111"/>
      <c r="Y469" s="111"/>
    </row>
    <row r="470" spans="1:25" x14ac:dyDescent="0.3">
      <c r="A470" s="10"/>
      <c r="B470" s="11"/>
      <c r="C470" s="58"/>
      <c r="D470" s="37"/>
      <c r="E470" s="100"/>
      <c r="F470" s="62"/>
      <c r="G470" s="55"/>
      <c r="I470" s="39"/>
      <c r="Q470" s="48"/>
      <c r="U470" s="45"/>
      <c r="V470" s="108"/>
      <c r="W470" s="109"/>
      <c r="X470" s="111"/>
      <c r="Y470" s="111"/>
    </row>
    <row r="471" spans="1:25" x14ac:dyDescent="0.3">
      <c r="A471" s="10"/>
      <c r="B471" s="11"/>
      <c r="C471" s="58"/>
      <c r="D471" s="37"/>
      <c r="E471" s="100"/>
      <c r="F471" s="62"/>
      <c r="G471" s="55"/>
      <c r="I471" s="39"/>
      <c r="Q471" s="48"/>
      <c r="U471" s="45"/>
      <c r="V471" s="108"/>
      <c r="W471" s="109"/>
      <c r="X471" s="111"/>
      <c r="Y471" s="111"/>
    </row>
    <row r="472" spans="1:25" x14ac:dyDescent="0.3">
      <c r="A472" s="10"/>
      <c r="B472" s="11"/>
      <c r="C472" s="58"/>
      <c r="D472" s="37"/>
      <c r="E472" s="100"/>
      <c r="F472" s="62"/>
      <c r="G472" s="55"/>
      <c r="I472" s="39"/>
      <c r="Q472" s="48"/>
      <c r="U472" s="45"/>
      <c r="V472" s="108"/>
      <c r="W472" s="109"/>
      <c r="X472" s="111"/>
      <c r="Y472" s="111"/>
    </row>
    <row r="473" spans="1:25" x14ac:dyDescent="0.3">
      <c r="A473" s="10"/>
      <c r="B473" s="11"/>
      <c r="C473" s="58"/>
      <c r="D473" s="37"/>
      <c r="E473" s="100"/>
      <c r="F473" s="62"/>
      <c r="G473" s="55"/>
      <c r="I473" s="39"/>
      <c r="Q473" s="48"/>
      <c r="U473" s="45"/>
      <c r="V473" s="108"/>
      <c r="W473" s="109"/>
      <c r="X473" s="111"/>
      <c r="Y473" s="111"/>
    </row>
    <row r="474" spans="1:25" x14ac:dyDescent="0.3">
      <c r="A474" s="10"/>
      <c r="B474" s="11"/>
      <c r="C474" s="58"/>
      <c r="D474" s="37"/>
      <c r="E474" s="100"/>
      <c r="F474" s="62"/>
      <c r="G474" s="55"/>
      <c r="I474" s="39"/>
      <c r="Q474" s="48"/>
      <c r="U474" s="45"/>
      <c r="V474" s="108"/>
      <c r="W474" s="109"/>
      <c r="X474" s="111"/>
      <c r="Y474" s="111"/>
    </row>
    <row r="475" spans="1:25" x14ac:dyDescent="0.3">
      <c r="A475" s="10"/>
      <c r="B475" s="11"/>
      <c r="C475" s="58"/>
      <c r="D475" s="37"/>
      <c r="E475" s="100"/>
      <c r="F475" s="62"/>
      <c r="G475" s="55"/>
      <c r="I475" s="39"/>
      <c r="Q475" s="48"/>
      <c r="U475" s="45"/>
      <c r="V475" s="108"/>
      <c r="W475" s="109"/>
      <c r="X475" s="111"/>
      <c r="Y475" s="111"/>
    </row>
    <row r="476" spans="1:25" x14ac:dyDescent="0.3">
      <c r="A476" s="10"/>
      <c r="B476" s="11"/>
      <c r="C476" s="58"/>
      <c r="D476" s="37"/>
      <c r="E476" s="100"/>
      <c r="F476" s="62"/>
      <c r="G476" s="55"/>
      <c r="I476" s="39"/>
      <c r="Q476" s="48"/>
      <c r="U476" s="45"/>
      <c r="V476" s="108"/>
      <c r="W476" s="109"/>
      <c r="X476" s="111"/>
      <c r="Y476" s="111"/>
    </row>
    <row r="477" spans="1:25" x14ac:dyDescent="0.3">
      <c r="A477" s="10"/>
      <c r="B477" s="11"/>
      <c r="C477" s="58"/>
      <c r="D477" s="37"/>
      <c r="E477" s="100"/>
      <c r="F477" s="62"/>
      <c r="G477" s="55"/>
      <c r="I477" s="39"/>
      <c r="Q477" s="48"/>
      <c r="U477" s="45"/>
      <c r="V477" s="108"/>
      <c r="W477" s="109"/>
      <c r="X477" s="111"/>
      <c r="Y477" s="111"/>
    </row>
    <row r="478" spans="1:25" x14ac:dyDescent="0.3">
      <c r="A478" s="10"/>
      <c r="B478" s="11"/>
      <c r="C478" s="58"/>
      <c r="D478" s="37"/>
      <c r="E478" s="100"/>
      <c r="F478" s="62"/>
      <c r="G478" s="55"/>
      <c r="I478" s="39"/>
      <c r="Q478" s="48"/>
      <c r="U478" s="45"/>
      <c r="V478" s="108"/>
      <c r="W478" s="109"/>
      <c r="X478" s="111"/>
      <c r="Y478" s="111"/>
    </row>
    <row r="479" spans="1:25" x14ac:dyDescent="0.3">
      <c r="A479" s="10"/>
      <c r="B479" s="11"/>
      <c r="C479" s="58"/>
      <c r="D479" s="37"/>
      <c r="E479" s="100"/>
      <c r="F479" s="62"/>
      <c r="G479" s="55"/>
      <c r="I479" s="39"/>
      <c r="Q479" s="48"/>
      <c r="U479" s="45"/>
      <c r="V479" s="108"/>
      <c r="W479" s="109"/>
      <c r="X479" s="111"/>
      <c r="Y479" s="111"/>
    </row>
    <row r="480" spans="1:25" x14ac:dyDescent="0.3">
      <c r="A480" s="10"/>
      <c r="B480" s="11"/>
      <c r="C480" s="58"/>
      <c r="D480" s="37"/>
      <c r="E480" s="100"/>
      <c r="F480" s="62"/>
      <c r="G480" s="55"/>
      <c r="I480" s="39"/>
      <c r="Q480" s="48"/>
      <c r="U480" s="45"/>
      <c r="V480" s="108"/>
      <c r="W480" s="109"/>
      <c r="X480" s="111"/>
      <c r="Y480" s="111"/>
    </row>
    <row r="481" spans="1:25" x14ac:dyDescent="0.3">
      <c r="A481" s="10"/>
      <c r="B481" s="11"/>
      <c r="C481" s="58"/>
      <c r="D481" s="37"/>
      <c r="E481" s="100"/>
      <c r="F481" s="62"/>
      <c r="G481" s="55"/>
      <c r="I481" s="39"/>
      <c r="Q481" s="48"/>
      <c r="U481" s="45"/>
      <c r="V481" s="108"/>
      <c r="W481" s="109"/>
      <c r="X481" s="111"/>
      <c r="Y481" s="111"/>
    </row>
    <row r="482" spans="1:25" x14ac:dyDescent="0.3">
      <c r="A482" s="10"/>
      <c r="B482" s="11"/>
      <c r="C482" s="58"/>
      <c r="D482" s="37"/>
      <c r="E482" s="100"/>
      <c r="F482" s="62"/>
      <c r="G482" s="55"/>
      <c r="I482" s="39"/>
      <c r="Q482" s="48"/>
      <c r="U482" s="45"/>
      <c r="V482" s="108"/>
      <c r="W482" s="109"/>
      <c r="X482" s="111"/>
      <c r="Y482" s="111"/>
    </row>
    <row r="483" spans="1:25" x14ac:dyDescent="0.3">
      <c r="A483" s="10"/>
      <c r="B483" s="11"/>
      <c r="C483" s="58"/>
      <c r="D483" s="37"/>
      <c r="E483" s="100"/>
      <c r="F483" s="62"/>
      <c r="G483" s="55"/>
      <c r="I483" s="39"/>
      <c r="Q483" s="48"/>
      <c r="U483" s="45"/>
      <c r="V483" s="108"/>
      <c r="W483" s="109"/>
      <c r="X483" s="111"/>
      <c r="Y483" s="111"/>
    </row>
    <row r="484" spans="1:25" x14ac:dyDescent="0.3">
      <c r="A484" s="10"/>
      <c r="B484" s="11"/>
      <c r="C484" s="58"/>
      <c r="D484" s="37"/>
      <c r="E484" s="100"/>
      <c r="F484" s="62"/>
      <c r="G484" s="55"/>
      <c r="I484" s="39"/>
      <c r="Q484" s="48"/>
      <c r="U484" s="45"/>
      <c r="V484" s="108"/>
      <c r="W484" s="109"/>
      <c r="X484" s="111"/>
      <c r="Y484" s="111"/>
    </row>
    <row r="485" spans="1:25" x14ac:dyDescent="0.3">
      <c r="A485" s="10"/>
      <c r="B485" s="11"/>
      <c r="C485" s="58"/>
      <c r="D485" s="37"/>
      <c r="E485" s="100"/>
      <c r="F485" s="62"/>
      <c r="G485" s="55"/>
      <c r="I485" s="39"/>
      <c r="Q485" s="48"/>
      <c r="U485" s="45"/>
      <c r="V485" s="108"/>
      <c r="W485" s="109"/>
      <c r="X485" s="111"/>
      <c r="Y485" s="111"/>
    </row>
    <row r="486" spans="1:25" x14ac:dyDescent="0.3">
      <c r="A486" s="10"/>
      <c r="B486" s="11"/>
      <c r="C486" s="58"/>
      <c r="D486" s="37"/>
      <c r="E486" s="100"/>
      <c r="F486" s="62"/>
      <c r="G486" s="55"/>
      <c r="I486" s="39"/>
      <c r="Q486" s="48"/>
      <c r="U486" s="45"/>
      <c r="V486" s="108"/>
      <c r="W486" s="109"/>
      <c r="X486" s="111"/>
      <c r="Y486" s="111"/>
    </row>
    <row r="487" spans="1:25" x14ac:dyDescent="0.3">
      <c r="A487" s="10"/>
      <c r="B487" s="11"/>
      <c r="C487" s="58"/>
      <c r="D487" s="37"/>
      <c r="E487" s="100"/>
      <c r="F487" s="62"/>
      <c r="G487" s="55"/>
      <c r="I487" s="39"/>
      <c r="Q487" s="48"/>
      <c r="U487" s="45"/>
      <c r="V487" s="108"/>
      <c r="W487" s="109"/>
      <c r="X487" s="111"/>
      <c r="Y487" s="111"/>
    </row>
    <row r="488" spans="1:25" x14ac:dyDescent="0.3">
      <c r="A488" s="10"/>
      <c r="B488" s="11"/>
      <c r="C488" s="58"/>
      <c r="D488" s="37"/>
      <c r="E488" s="100"/>
      <c r="F488" s="62"/>
      <c r="G488" s="55"/>
      <c r="I488" s="39"/>
      <c r="Q488" s="48"/>
      <c r="U488" s="45"/>
      <c r="V488" s="108"/>
      <c r="W488" s="109"/>
      <c r="X488" s="111"/>
      <c r="Y488" s="111"/>
    </row>
    <row r="489" spans="1:25" x14ac:dyDescent="0.3">
      <c r="A489" s="10"/>
      <c r="B489" s="11"/>
      <c r="C489" s="58"/>
      <c r="D489" s="37"/>
      <c r="E489" s="100"/>
      <c r="F489" s="62"/>
      <c r="G489" s="55"/>
      <c r="I489" s="39"/>
      <c r="Q489" s="48"/>
      <c r="U489" s="45"/>
      <c r="V489" s="108"/>
      <c r="W489" s="109"/>
      <c r="X489" s="111"/>
      <c r="Y489" s="111"/>
    </row>
    <row r="490" spans="1:25" x14ac:dyDescent="0.3">
      <c r="A490" s="10"/>
      <c r="B490" s="11"/>
      <c r="C490" s="58"/>
      <c r="D490" s="37"/>
      <c r="E490" s="100"/>
      <c r="F490" s="62"/>
      <c r="G490" s="55"/>
      <c r="I490" s="39"/>
      <c r="Q490" s="48"/>
      <c r="U490" s="45"/>
      <c r="V490" s="108"/>
      <c r="W490" s="109"/>
      <c r="X490" s="111"/>
      <c r="Y490" s="111"/>
    </row>
    <row r="491" spans="1:25" x14ac:dyDescent="0.3">
      <c r="A491" s="10"/>
      <c r="B491" s="11"/>
      <c r="C491" s="58"/>
      <c r="D491" s="37"/>
      <c r="E491" s="100"/>
      <c r="F491" s="62"/>
      <c r="G491" s="55"/>
      <c r="I491" s="39"/>
      <c r="Q491" s="48"/>
      <c r="U491" s="45"/>
      <c r="V491" s="108"/>
      <c r="W491" s="109"/>
      <c r="X491" s="111"/>
      <c r="Y491" s="111"/>
    </row>
    <row r="492" spans="1:25" x14ac:dyDescent="0.3">
      <c r="A492" s="10"/>
      <c r="B492" s="11"/>
      <c r="C492" s="58"/>
      <c r="D492" s="37"/>
      <c r="E492" s="100"/>
      <c r="F492" s="62"/>
      <c r="G492" s="55"/>
      <c r="I492" s="39"/>
      <c r="Q492" s="48"/>
      <c r="U492" s="45"/>
      <c r="V492" s="108"/>
      <c r="W492" s="109"/>
      <c r="X492" s="111"/>
      <c r="Y492" s="111"/>
    </row>
    <row r="493" spans="1:25" x14ac:dyDescent="0.3">
      <c r="A493" s="10"/>
      <c r="B493" s="11"/>
      <c r="C493" s="58"/>
      <c r="D493" s="37"/>
      <c r="E493" s="100"/>
      <c r="F493" s="62"/>
      <c r="G493" s="55"/>
      <c r="I493" s="39"/>
      <c r="Q493" s="48"/>
      <c r="U493" s="45"/>
      <c r="V493" s="108"/>
      <c r="W493" s="109"/>
      <c r="X493" s="111"/>
      <c r="Y493" s="111"/>
    </row>
    <row r="494" spans="1:25" x14ac:dyDescent="0.3">
      <c r="A494" s="10"/>
      <c r="B494" s="11"/>
      <c r="C494" s="58"/>
      <c r="D494" s="37"/>
      <c r="E494" s="100"/>
      <c r="F494" s="62"/>
      <c r="G494" s="55"/>
      <c r="I494" s="39"/>
      <c r="Q494" s="48"/>
      <c r="U494" s="45"/>
      <c r="V494" s="108"/>
      <c r="W494" s="109"/>
      <c r="X494" s="111"/>
      <c r="Y494" s="111"/>
    </row>
    <row r="495" spans="1:25" x14ac:dyDescent="0.3">
      <c r="A495" s="10"/>
      <c r="B495" s="11"/>
      <c r="C495" s="58"/>
      <c r="D495" s="37"/>
      <c r="E495" s="100"/>
      <c r="F495" s="62"/>
      <c r="G495" s="55"/>
      <c r="I495" s="39"/>
      <c r="Q495" s="48"/>
      <c r="U495" s="45"/>
      <c r="V495" s="108"/>
      <c r="W495" s="109"/>
      <c r="X495" s="111"/>
      <c r="Y495" s="111"/>
    </row>
    <row r="496" spans="1:25" x14ac:dyDescent="0.3">
      <c r="A496" s="10"/>
      <c r="B496" s="11"/>
      <c r="C496" s="58"/>
      <c r="D496" s="37"/>
      <c r="E496" s="100"/>
      <c r="F496" s="62"/>
      <c r="G496" s="55"/>
      <c r="I496" s="39"/>
      <c r="Q496" s="48"/>
      <c r="U496" s="45"/>
      <c r="V496" s="108"/>
      <c r="W496" s="109"/>
      <c r="X496" s="111"/>
      <c r="Y496" s="111"/>
    </row>
    <row r="497" spans="1:25" x14ac:dyDescent="0.3">
      <c r="A497" s="10"/>
      <c r="B497" s="11"/>
      <c r="C497" s="58"/>
      <c r="D497" s="37"/>
      <c r="E497" s="100"/>
      <c r="F497" s="62"/>
      <c r="G497" s="55"/>
      <c r="I497" s="39"/>
      <c r="Q497" s="48"/>
      <c r="U497" s="45"/>
      <c r="V497" s="108"/>
      <c r="W497" s="109"/>
      <c r="X497" s="111"/>
      <c r="Y497" s="111"/>
    </row>
    <row r="498" spans="1:25" x14ac:dyDescent="0.3">
      <c r="A498" s="10"/>
      <c r="B498" s="11"/>
      <c r="C498" s="58"/>
      <c r="D498" s="37"/>
      <c r="E498" s="100"/>
      <c r="F498" s="62"/>
      <c r="G498" s="55"/>
      <c r="I498" s="39"/>
      <c r="Q498" s="48"/>
      <c r="U498" s="45"/>
      <c r="V498" s="108"/>
      <c r="W498" s="109"/>
      <c r="X498" s="111"/>
      <c r="Y498" s="111"/>
    </row>
    <row r="499" spans="1:25" x14ac:dyDescent="0.3">
      <c r="A499" s="10"/>
      <c r="B499" s="11"/>
      <c r="C499" s="58"/>
      <c r="D499" s="37"/>
      <c r="E499" s="100"/>
      <c r="F499" s="62"/>
      <c r="G499" s="55"/>
      <c r="I499" s="39"/>
      <c r="Q499" s="48"/>
      <c r="U499" s="45"/>
      <c r="V499" s="108"/>
      <c r="W499" s="109"/>
      <c r="X499" s="111"/>
      <c r="Y499" s="111"/>
    </row>
    <row r="500" spans="1:25" x14ac:dyDescent="0.3">
      <c r="A500" s="10"/>
      <c r="B500" s="11"/>
      <c r="C500" s="58"/>
      <c r="D500" s="37"/>
      <c r="E500" s="100"/>
      <c r="F500" s="62"/>
      <c r="G500" s="55"/>
      <c r="I500" s="39"/>
      <c r="Q500" s="48"/>
      <c r="U500" s="45"/>
      <c r="V500" s="108"/>
      <c r="W500" s="109"/>
      <c r="X500" s="111"/>
      <c r="Y500" s="111"/>
    </row>
    <row r="501" spans="1:25" x14ac:dyDescent="0.3">
      <c r="A501" s="10"/>
      <c r="B501" s="11"/>
      <c r="C501" s="58"/>
      <c r="D501" s="37"/>
      <c r="E501" s="100"/>
      <c r="F501" s="62"/>
      <c r="G501" s="55"/>
      <c r="I501" s="39"/>
      <c r="Q501" s="48"/>
      <c r="U501" s="45"/>
      <c r="V501" s="108"/>
      <c r="W501" s="109"/>
      <c r="X501" s="111"/>
      <c r="Y501" s="111"/>
    </row>
    <row r="502" spans="1:25" x14ac:dyDescent="0.3">
      <c r="A502" s="10"/>
      <c r="B502" s="11"/>
      <c r="C502" s="58"/>
      <c r="D502" s="37"/>
      <c r="E502" s="100"/>
      <c r="F502" s="62"/>
      <c r="G502" s="55"/>
      <c r="I502" s="39"/>
      <c r="Q502" s="48"/>
      <c r="U502" s="45"/>
      <c r="V502" s="108"/>
      <c r="W502" s="109"/>
      <c r="X502" s="111"/>
      <c r="Y502" s="111"/>
    </row>
    <row r="503" spans="1:25" x14ac:dyDescent="0.3">
      <c r="A503" s="10"/>
      <c r="B503" s="11"/>
      <c r="C503" s="58"/>
      <c r="D503" s="37"/>
      <c r="E503" s="100"/>
      <c r="F503" s="62"/>
      <c r="G503" s="55"/>
      <c r="I503" s="39"/>
      <c r="Q503" s="48"/>
      <c r="U503" s="45"/>
      <c r="V503" s="108"/>
      <c r="W503" s="109"/>
      <c r="X503" s="111"/>
      <c r="Y503" s="111"/>
    </row>
    <row r="504" spans="1:25" x14ac:dyDescent="0.3">
      <c r="A504" s="10"/>
      <c r="B504" s="11"/>
      <c r="C504" s="58"/>
      <c r="D504" s="37"/>
      <c r="E504" s="100"/>
      <c r="F504" s="62"/>
      <c r="G504" s="55"/>
      <c r="I504" s="39"/>
      <c r="Q504" s="48"/>
      <c r="U504" s="45"/>
      <c r="V504" s="108"/>
      <c r="W504" s="109"/>
      <c r="X504" s="111"/>
      <c r="Y504" s="111"/>
    </row>
    <row r="505" spans="1:25" x14ac:dyDescent="0.3">
      <c r="A505" s="10"/>
      <c r="B505" s="11"/>
      <c r="C505" s="58"/>
      <c r="D505" s="37"/>
      <c r="E505" s="100"/>
      <c r="F505" s="62"/>
      <c r="G505" s="55"/>
      <c r="I505" s="39"/>
      <c r="Q505" s="48"/>
      <c r="U505" s="45"/>
      <c r="V505" s="108"/>
      <c r="W505" s="109"/>
      <c r="X505" s="111"/>
      <c r="Y505" s="111"/>
    </row>
    <row r="506" spans="1:25" x14ac:dyDescent="0.3">
      <c r="A506" s="10"/>
      <c r="B506" s="11"/>
      <c r="C506" s="58"/>
      <c r="D506" s="37"/>
      <c r="E506" s="100"/>
      <c r="F506" s="62"/>
      <c r="G506" s="55"/>
      <c r="I506" s="39"/>
      <c r="Q506" s="48"/>
      <c r="U506" s="45"/>
      <c r="V506" s="108"/>
      <c r="W506" s="109"/>
      <c r="X506" s="111"/>
      <c r="Y506" s="111"/>
    </row>
    <row r="507" spans="1:25" x14ac:dyDescent="0.3">
      <c r="A507" s="10"/>
      <c r="B507" s="11"/>
      <c r="C507" s="58"/>
      <c r="D507" s="37"/>
      <c r="E507" s="100"/>
      <c r="F507" s="62"/>
      <c r="G507" s="55"/>
      <c r="I507" s="39"/>
      <c r="Q507" s="48"/>
      <c r="U507" s="45"/>
      <c r="V507" s="108"/>
      <c r="W507" s="109"/>
      <c r="X507" s="111"/>
      <c r="Y507" s="111"/>
    </row>
    <row r="508" spans="1:25" x14ac:dyDescent="0.3">
      <c r="A508" s="10"/>
      <c r="B508" s="11"/>
      <c r="C508" s="58"/>
      <c r="D508" s="37"/>
      <c r="E508" s="100"/>
      <c r="F508" s="62"/>
      <c r="G508" s="55"/>
      <c r="I508" s="39"/>
      <c r="Q508" s="48"/>
      <c r="U508" s="45"/>
      <c r="V508" s="108"/>
      <c r="W508" s="109"/>
      <c r="X508" s="111"/>
      <c r="Y508" s="111"/>
    </row>
    <row r="509" spans="1:25" x14ac:dyDescent="0.3">
      <c r="A509" s="10"/>
      <c r="B509" s="11"/>
      <c r="C509" s="58"/>
      <c r="D509" s="37"/>
      <c r="E509" s="100"/>
      <c r="F509" s="62"/>
      <c r="G509" s="55"/>
      <c r="I509" s="39"/>
      <c r="Q509" s="48"/>
      <c r="U509" s="45"/>
      <c r="V509" s="108"/>
      <c r="W509" s="109"/>
      <c r="X509" s="111"/>
      <c r="Y509" s="111"/>
    </row>
    <row r="510" spans="1:25" x14ac:dyDescent="0.3">
      <c r="A510" s="10"/>
      <c r="B510" s="11"/>
      <c r="C510" s="58"/>
      <c r="D510" s="37"/>
      <c r="E510" s="100"/>
      <c r="F510" s="62"/>
      <c r="G510" s="55"/>
      <c r="I510" s="39"/>
      <c r="Q510" s="48"/>
      <c r="U510" s="45"/>
      <c r="V510" s="108"/>
      <c r="W510" s="109"/>
      <c r="X510" s="111"/>
      <c r="Y510" s="111"/>
    </row>
    <row r="511" spans="1:25" x14ac:dyDescent="0.3">
      <c r="A511" s="10"/>
      <c r="B511" s="11"/>
      <c r="C511" s="58"/>
      <c r="D511" s="37"/>
      <c r="E511" s="100"/>
      <c r="F511" s="62"/>
      <c r="G511" s="55"/>
      <c r="I511" s="39"/>
      <c r="Q511" s="48"/>
      <c r="U511" s="45"/>
      <c r="V511" s="108"/>
      <c r="W511" s="109"/>
      <c r="X511" s="111"/>
      <c r="Y511" s="111"/>
    </row>
    <row r="512" spans="1:25" x14ac:dyDescent="0.3">
      <c r="A512" s="10"/>
      <c r="B512" s="11"/>
      <c r="C512" s="58"/>
      <c r="D512" s="37"/>
      <c r="E512" s="100"/>
      <c r="F512" s="62"/>
      <c r="G512" s="55"/>
      <c r="I512" s="39"/>
      <c r="Q512" s="48"/>
      <c r="U512" s="45"/>
      <c r="V512" s="108"/>
      <c r="W512" s="109"/>
      <c r="X512" s="111"/>
      <c r="Y512" s="111"/>
    </row>
    <row r="513" spans="1:25" x14ac:dyDescent="0.3">
      <c r="A513" s="10"/>
      <c r="B513" s="11"/>
      <c r="C513" s="58"/>
      <c r="D513" s="37"/>
      <c r="E513" s="100"/>
      <c r="F513" s="62"/>
      <c r="G513" s="55"/>
      <c r="I513" s="39"/>
      <c r="Q513" s="48"/>
      <c r="U513" s="45"/>
      <c r="V513" s="108"/>
      <c r="W513" s="109"/>
      <c r="X513" s="111"/>
      <c r="Y513" s="111"/>
    </row>
    <row r="514" spans="1:25" x14ac:dyDescent="0.3">
      <c r="A514" s="10"/>
      <c r="B514" s="11"/>
      <c r="C514" s="58"/>
      <c r="D514" s="37"/>
      <c r="E514" s="100"/>
      <c r="F514" s="62"/>
      <c r="G514" s="55"/>
      <c r="I514" s="39"/>
      <c r="Q514" s="48"/>
      <c r="U514" s="45"/>
      <c r="V514" s="108"/>
      <c r="W514" s="109"/>
      <c r="X514" s="111"/>
      <c r="Y514" s="111"/>
    </row>
    <row r="515" spans="1:25" x14ac:dyDescent="0.3">
      <c r="A515" s="10"/>
      <c r="B515" s="11"/>
      <c r="C515" s="58"/>
      <c r="D515" s="37"/>
      <c r="E515" s="100"/>
      <c r="F515" s="62"/>
      <c r="G515" s="55"/>
      <c r="I515" s="39"/>
      <c r="Q515" s="48"/>
      <c r="U515" s="45"/>
      <c r="V515" s="108"/>
      <c r="W515" s="109"/>
      <c r="X515" s="111"/>
      <c r="Y515" s="111"/>
    </row>
    <row r="516" spans="1:25" x14ac:dyDescent="0.3">
      <c r="A516" s="10"/>
      <c r="B516" s="11"/>
      <c r="C516" s="58"/>
      <c r="D516" s="37"/>
      <c r="E516" s="100"/>
      <c r="F516" s="62"/>
      <c r="G516" s="55"/>
      <c r="I516" s="39"/>
      <c r="Q516" s="48"/>
      <c r="U516" s="45"/>
      <c r="V516" s="108"/>
      <c r="W516" s="109"/>
      <c r="X516" s="111"/>
      <c r="Y516" s="111"/>
    </row>
    <row r="517" spans="1:25" x14ac:dyDescent="0.3">
      <c r="A517" s="10"/>
      <c r="B517" s="11"/>
      <c r="C517" s="58"/>
      <c r="D517" s="37"/>
      <c r="E517" s="100"/>
      <c r="F517" s="62"/>
      <c r="G517" s="55"/>
      <c r="I517" s="39"/>
      <c r="Q517" s="48"/>
      <c r="U517" s="45"/>
      <c r="V517" s="108"/>
      <c r="W517" s="109"/>
      <c r="X517" s="111"/>
      <c r="Y517" s="111"/>
    </row>
    <row r="518" spans="1:25" x14ac:dyDescent="0.3">
      <c r="A518" s="10"/>
      <c r="B518" s="11"/>
      <c r="C518" s="58"/>
      <c r="D518" s="37"/>
      <c r="E518" s="100"/>
      <c r="F518" s="62"/>
      <c r="G518" s="55"/>
      <c r="I518" s="39"/>
      <c r="Q518" s="48"/>
      <c r="U518" s="45"/>
      <c r="V518" s="108"/>
      <c r="W518" s="109"/>
      <c r="X518" s="111"/>
      <c r="Y518" s="111"/>
    </row>
    <row r="519" spans="1:25" x14ac:dyDescent="0.3">
      <c r="A519" s="10"/>
      <c r="B519" s="11"/>
      <c r="C519" s="58"/>
      <c r="D519" s="37"/>
      <c r="E519" s="100"/>
      <c r="F519" s="62"/>
      <c r="G519" s="55"/>
      <c r="I519" s="39"/>
      <c r="Q519" s="48"/>
      <c r="U519" s="45"/>
      <c r="V519" s="108"/>
      <c r="W519" s="109"/>
      <c r="X519" s="111"/>
      <c r="Y519" s="111"/>
    </row>
    <row r="520" spans="1:25" x14ac:dyDescent="0.3">
      <c r="A520" s="10"/>
      <c r="B520" s="11"/>
      <c r="C520" s="58"/>
      <c r="D520" s="37"/>
      <c r="E520" s="100"/>
      <c r="F520" s="62"/>
      <c r="G520" s="55"/>
      <c r="I520" s="39"/>
      <c r="Q520" s="48"/>
      <c r="U520" s="45"/>
      <c r="V520" s="108"/>
      <c r="W520" s="109"/>
      <c r="X520" s="111"/>
      <c r="Y520" s="111"/>
    </row>
    <row r="521" spans="1:25" x14ac:dyDescent="0.3">
      <c r="A521" s="10"/>
      <c r="B521" s="11"/>
      <c r="C521" s="58"/>
      <c r="D521" s="37"/>
      <c r="E521" s="100"/>
      <c r="F521" s="62"/>
      <c r="G521" s="55"/>
      <c r="I521" s="39"/>
      <c r="Q521" s="48"/>
      <c r="U521" s="45"/>
      <c r="V521" s="108"/>
      <c r="W521" s="109"/>
      <c r="X521" s="111"/>
      <c r="Y521" s="111"/>
    </row>
    <row r="522" spans="1:25" x14ac:dyDescent="0.3">
      <c r="A522" s="10"/>
      <c r="B522" s="11"/>
      <c r="C522" s="58"/>
      <c r="D522" s="37"/>
      <c r="E522" s="100"/>
      <c r="F522" s="62"/>
      <c r="G522" s="55"/>
      <c r="I522" s="39"/>
      <c r="Q522" s="48"/>
      <c r="U522" s="45"/>
      <c r="V522" s="108"/>
      <c r="W522" s="109"/>
      <c r="X522" s="111"/>
      <c r="Y522" s="111"/>
    </row>
    <row r="523" spans="1:25" x14ac:dyDescent="0.3">
      <c r="A523" s="10"/>
      <c r="B523" s="11"/>
      <c r="C523" s="58"/>
      <c r="D523" s="37"/>
      <c r="E523" s="100"/>
      <c r="F523" s="62"/>
      <c r="G523" s="55"/>
      <c r="I523" s="39"/>
      <c r="Q523" s="48"/>
      <c r="U523" s="45"/>
      <c r="V523" s="108"/>
      <c r="W523" s="109"/>
      <c r="X523" s="111"/>
      <c r="Y523" s="111"/>
    </row>
    <row r="524" spans="1:25" x14ac:dyDescent="0.3">
      <c r="A524" s="10"/>
      <c r="B524" s="11"/>
      <c r="C524" s="58"/>
      <c r="D524" s="37"/>
      <c r="E524" s="100"/>
      <c r="F524" s="62"/>
      <c r="G524" s="55"/>
      <c r="I524" s="39"/>
      <c r="Q524" s="48"/>
      <c r="U524" s="45"/>
      <c r="V524" s="108"/>
      <c r="W524" s="109"/>
      <c r="X524" s="111"/>
      <c r="Y524" s="111"/>
    </row>
    <row r="525" spans="1:25" x14ac:dyDescent="0.3">
      <c r="A525" s="10"/>
      <c r="B525" s="11"/>
      <c r="C525" s="58"/>
      <c r="D525" s="37"/>
      <c r="E525" s="100"/>
      <c r="F525" s="62"/>
      <c r="G525" s="55"/>
      <c r="I525" s="39"/>
      <c r="Q525" s="48"/>
      <c r="U525" s="45"/>
      <c r="V525" s="108"/>
      <c r="W525" s="109"/>
      <c r="X525" s="111"/>
      <c r="Y525" s="111"/>
    </row>
    <row r="526" spans="1:25" x14ac:dyDescent="0.3">
      <c r="A526" s="10"/>
      <c r="B526" s="11"/>
      <c r="C526" s="58"/>
      <c r="D526" s="37"/>
      <c r="E526" s="100"/>
      <c r="F526" s="62"/>
      <c r="G526" s="55"/>
      <c r="I526" s="39"/>
      <c r="Q526" s="48"/>
      <c r="U526" s="45"/>
      <c r="V526" s="108"/>
      <c r="W526" s="109"/>
      <c r="X526" s="111"/>
      <c r="Y526" s="111"/>
    </row>
    <row r="527" spans="1:25" x14ac:dyDescent="0.3">
      <c r="A527" s="10"/>
      <c r="B527" s="11"/>
      <c r="C527" s="58"/>
      <c r="D527" s="37"/>
      <c r="E527" s="100"/>
      <c r="F527" s="62"/>
      <c r="G527" s="55"/>
      <c r="I527" s="39"/>
      <c r="Q527" s="48"/>
      <c r="U527" s="45"/>
      <c r="V527" s="108"/>
      <c r="W527" s="109"/>
      <c r="X527" s="111"/>
      <c r="Y527" s="111"/>
    </row>
    <row r="528" spans="1:25" x14ac:dyDescent="0.3">
      <c r="A528" s="10"/>
      <c r="B528" s="11"/>
      <c r="C528" s="58"/>
      <c r="D528" s="37"/>
      <c r="E528" s="100"/>
      <c r="F528" s="62"/>
      <c r="G528" s="55"/>
      <c r="I528" s="39"/>
      <c r="Q528" s="48"/>
      <c r="U528" s="45"/>
      <c r="V528" s="108"/>
      <c r="W528" s="109"/>
      <c r="X528" s="111"/>
      <c r="Y528" s="111"/>
    </row>
    <row r="529" spans="1:25" x14ac:dyDescent="0.3">
      <c r="A529" s="10"/>
      <c r="B529" s="11"/>
      <c r="C529" s="58"/>
      <c r="D529" s="37"/>
      <c r="E529" s="100"/>
      <c r="F529" s="62"/>
      <c r="G529" s="55"/>
      <c r="I529" s="39"/>
      <c r="Q529" s="48"/>
      <c r="U529" s="45"/>
      <c r="V529" s="108"/>
      <c r="W529" s="109"/>
      <c r="X529" s="111"/>
      <c r="Y529" s="111"/>
    </row>
    <row r="530" spans="1:25" x14ac:dyDescent="0.3">
      <c r="A530" s="10"/>
      <c r="B530" s="11"/>
      <c r="C530" s="58"/>
      <c r="D530" s="37"/>
      <c r="E530" s="100"/>
      <c r="F530" s="62"/>
      <c r="G530" s="55"/>
      <c r="I530" s="39"/>
      <c r="Q530" s="48"/>
      <c r="U530" s="45"/>
      <c r="V530" s="108"/>
      <c r="W530" s="109"/>
      <c r="X530" s="111"/>
      <c r="Y530" s="111"/>
    </row>
    <row r="531" spans="1:25" x14ac:dyDescent="0.3">
      <c r="A531" s="10"/>
      <c r="B531" s="11"/>
      <c r="C531" s="58"/>
      <c r="D531" s="37"/>
      <c r="E531" s="100"/>
      <c r="F531" s="62"/>
      <c r="G531" s="55"/>
      <c r="I531" s="39"/>
      <c r="Q531" s="48"/>
      <c r="U531" s="45"/>
      <c r="V531" s="108"/>
      <c r="W531" s="109"/>
      <c r="X531" s="111"/>
      <c r="Y531" s="111"/>
    </row>
    <row r="532" spans="1:25" x14ac:dyDescent="0.3">
      <c r="A532" s="10"/>
      <c r="B532" s="11"/>
      <c r="C532" s="58"/>
      <c r="D532" s="37"/>
      <c r="E532" s="100"/>
      <c r="F532" s="62"/>
      <c r="G532" s="55"/>
      <c r="I532" s="39"/>
      <c r="Q532" s="48"/>
      <c r="U532" s="45"/>
      <c r="V532" s="108"/>
      <c r="W532" s="109"/>
      <c r="X532" s="111"/>
      <c r="Y532" s="111"/>
    </row>
    <row r="533" spans="1:25" x14ac:dyDescent="0.3">
      <c r="A533" s="10"/>
      <c r="B533" s="11"/>
      <c r="C533" s="58"/>
      <c r="D533" s="37"/>
      <c r="E533" s="100"/>
      <c r="F533" s="62"/>
      <c r="G533" s="55"/>
      <c r="I533" s="39"/>
      <c r="Q533" s="48"/>
      <c r="U533" s="45"/>
      <c r="V533" s="108"/>
      <c r="W533" s="109"/>
      <c r="X533" s="111"/>
      <c r="Y533" s="111"/>
    </row>
    <row r="534" spans="1:25" x14ac:dyDescent="0.3">
      <c r="A534" s="10"/>
      <c r="B534" s="11"/>
      <c r="C534" s="58"/>
      <c r="D534" s="37"/>
      <c r="E534" s="100"/>
      <c r="F534" s="62"/>
      <c r="G534" s="55"/>
      <c r="I534" s="39"/>
      <c r="Q534" s="48"/>
      <c r="U534" s="45"/>
      <c r="V534" s="108"/>
      <c r="W534" s="109"/>
      <c r="X534" s="111"/>
      <c r="Y534" s="111"/>
    </row>
    <row r="535" spans="1:25" x14ac:dyDescent="0.3">
      <c r="A535" s="10"/>
      <c r="B535" s="11"/>
      <c r="C535" s="58"/>
      <c r="D535" s="37"/>
      <c r="E535" s="100"/>
      <c r="F535" s="62"/>
      <c r="G535" s="55"/>
      <c r="I535" s="39"/>
      <c r="Q535" s="48"/>
      <c r="U535" s="45"/>
      <c r="V535" s="108"/>
      <c r="W535" s="109"/>
      <c r="X535" s="111"/>
      <c r="Y535" s="111"/>
    </row>
    <row r="536" spans="1:25" x14ac:dyDescent="0.3">
      <c r="A536" s="10"/>
      <c r="B536" s="11"/>
      <c r="C536" s="58"/>
      <c r="D536" s="37"/>
      <c r="E536" s="100"/>
      <c r="F536" s="62"/>
      <c r="G536" s="55"/>
      <c r="I536" s="39"/>
      <c r="Q536" s="48"/>
      <c r="U536" s="45"/>
      <c r="V536" s="108"/>
      <c r="W536" s="109"/>
      <c r="X536" s="111"/>
      <c r="Y536" s="111"/>
    </row>
    <row r="537" spans="1:25" x14ac:dyDescent="0.3">
      <c r="A537" s="10"/>
      <c r="B537" s="11"/>
      <c r="C537" s="58"/>
      <c r="D537" s="37"/>
      <c r="E537" s="100"/>
      <c r="F537" s="62"/>
      <c r="G537" s="55"/>
      <c r="I537" s="39"/>
      <c r="Q537" s="48"/>
      <c r="U537" s="45"/>
      <c r="V537" s="108"/>
      <c r="W537" s="109"/>
      <c r="X537" s="111"/>
      <c r="Y537" s="111"/>
    </row>
    <row r="538" spans="1:25" x14ac:dyDescent="0.3">
      <c r="A538" s="10"/>
      <c r="B538" s="11"/>
      <c r="C538" s="58"/>
      <c r="D538" s="37"/>
      <c r="E538" s="100"/>
      <c r="F538" s="62"/>
      <c r="G538" s="55"/>
      <c r="I538" s="39"/>
      <c r="Q538" s="48"/>
      <c r="U538" s="45"/>
      <c r="V538" s="108"/>
      <c r="W538" s="109"/>
      <c r="X538" s="111"/>
      <c r="Y538" s="111"/>
    </row>
    <row r="539" spans="1:25" x14ac:dyDescent="0.3">
      <c r="A539" s="10"/>
      <c r="B539" s="11"/>
      <c r="C539" s="58"/>
      <c r="D539" s="37"/>
      <c r="E539" s="100"/>
      <c r="F539" s="62"/>
      <c r="G539" s="55"/>
      <c r="I539" s="39"/>
      <c r="Q539" s="48"/>
      <c r="U539" s="45"/>
      <c r="V539" s="108"/>
      <c r="W539" s="109"/>
      <c r="X539" s="111"/>
      <c r="Y539" s="111"/>
    </row>
    <row r="540" spans="1:25" x14ac:dyDescent="0.3">
      <c r="A540" s="10"/>
      <c r="B540" s="11"/>
      <c r="C540" s="58"/>
      <c r="D540" s="37"/>
      <c r="E540" s="100"/>
      <c r="F540" s="62"/>
      <c r="G540" s="55"/>
      <c r="I540" s="39"/>
      <c r="Q540" s="48"/>
      <c r="U540" s="45"/>
      <c r="V540" s="108"/>
      <c r="W540" s="109"/>
      <c r="X540" s="111"/>
      <c r="Y540" s="111"/>
    </row>
    <row r="541" spans="1:25" x14ac:dyDescent="0.3">
      <c r="A541" s="10"/>
      <c r="B541" s="11"/>
      <c r="C541" s="58"/>
      <c r="D541" s="37"/>
      <c r="E541" s="100"/>
      <c r="F541" s="62"/>
      <c r="G541" s="55"/>
      <c r="I541" s="39"/>
      <c r="Q541" s="48"/>
      <c r="U541" s="45"/>
      <c r="V541" s="108"/>
      <c r="W541" s="109"/>
      <c r="X541" s="111"/>
      <c r="Y541" s="111"/>
    </row>
    <row r="542" spans="1:25" x14ac:dyDescent="0.3">
      <c r="A542" s="10"/>
      <c r="B542" s="11"/>
      <c r="C542" s="58"/>
      <c r="D542" s="37"/>
      <c r="E542" s="100"/>
      <c r="F542" s="62"/>
      <c r="G542" s="55"/>
      <c r="I542" s="39"/>
      <c r="Q542" s="48"/>
      <c r="U542" s="45"/>
      <c r="V542" s="108"/>
      <c r="W542" s="109"/>
      <c r="X542" s="111"/>
      <c r="Y542" s="111"/>
    </row>
    <row r="543" spans="1:25" x14ac:dyDescent="0.3">
      <c r="A543" s="10"/>
      <c r="B543" s="11"/>
      <c r="C543" s="58"/>
      <c r="D543" s="37"/>
      <c r="E543" s="100"/>
      <c r="F543" s="62"/>
      <c r="G543" s="55"/>
      <c r="I543" s="39"/>
      <c r="Q543" s="48"/>
      <c r="U543" s="45"/>
      <c r="V543" s="108"/>
      <c r="W543" s="109"/>
      <c r="X543" s="111"/>
      <c r="Y543" s="111"/>
    </row>
    <row r="544" spans="1:25" x14ac:dyDescent="0.3">
      <c r="A544" s="10"/>
      <c r="B544" s="11"/>
      <c r="C544" s="58"/>
      <c r="D544" s="37"/>
      <c r="E544" s="100"/>
      <c r="F544" s="62"/>
      <c r="G544" s="55"/>
      <c r="I544" s="39"/>
      <c r="Q544" s="48"/>
      <c r="U544" s="45"/>
      <c r="V544" s="108"/>
      <c r="W544" s="109"/>
      <c r="X544" s="111"/>
      <c r="Y544" s="111"/>
    </row>
    <row r="545" spans="1:25" x14ac:dyDescent="0.3">
      <c r="A545" s="10"/>
      <c r="B545" s="11"/>
      <c r="C545" s="58"/>
      <c r="D545" s="37"/>
      <c r="E545" s="100"/>
      <c r="F545" s="62"/>
      <c r="G545" s="55"/>
      <c r="I545" s="39"/>
      <c r="Q545" s="48"/>
      <c r="U545" s="45"/>
      <c r="V545" s="108"/>
      <c r="W545" s="109"/>
      <c r="X545" s="111"/>
      <c r="Y545" s="111"/>
    </row>
    <row r="546" spans="1:25" x14ac:dyDescent="0.3">
      <c r="A546" s="10"/>
      <c r="B546" s="11"/>
      <c r="C546" s="58"/>
      <c r="D546" s="37"/>
      <c r="E546" s="100"/>
      <c r="F546" s="62"/>
      <c r="G546" s="55"/>
      <c r="I546" s="39"/>
      <c r="Q546" s="48"/>
      <c r="U546" s="45"/>
      <c r="V546" s="108"/>
      <c r="W546" s="109"/>
      <c r="X546" s="111"/>
      <c r="Y546" s="111"/>
    </row>
    <row r="547" spans="1:25" x14ac:dyDescent="0.3">
      <c r="A547" s="10"/>
      <c r="B547" s="11"/>
      <c r="C547" s="58"/>
      <c r="D547" s="37"/>
      <c r="E547" s="100"/>
      <c r="F547" s="62"/>
      <c r="G547" s="55"/>
      <c r="I547" s="39"/>
      <c r="Q547" s="48"/>
      <c r="U547" s="45"/>
      <c r="V547" s="108"/>
      <c r="W547" s="109"/>
      <c r="X547" s="111"/>
      <c r="Y547" s="111"/>
    </row>
    <row r="548" spans="1:25" x14ac:dyDescent="0.3">
      <c r="A548" s="10"/>
      <c r="B548" s="11"/>
      <c r="C548" s="58"/>
      <c r="D548" s="37"/>
      <c r="E548" s="100"/>
      <c r="F548" s="62"/>
      <c r="G548" s="55"/>
      <c r="I548" s="39"/>
      <c r="Q548" s="48"/>
      <c r="U548" s="45"/>
      <c r="V548" s="108"/>
      <c r="W548" s="109"/>
      <c r="X548" s="111"/>
      <c r="Y548" s="111"/>
    </row>
    <row r="549" spans="1:25" x14ac:dyDescent="0.3">
      <c r="A549" s="10"/>
      <c r="B549" s="11"/>
      <c r="C549" s="58"/>
      <c r="D549" s="37"/>
      <c r="E549" s="100"/>
      <c r="F549" s="62"/>
      <c r="G549" s="55"/>
      <c r="I549" s="39"/>
      <c r="Q549" s="48"/>
      <c r="U549" s="45"/>
      <c r="V549" s="108"/>
      <c r="W549" s="109"/>
      <c r="X549" s="111"/>
      <c r="Y549" s="111"/>
    </row>
    <row r="550" spans="1:25" x14ac:dyDescent="0.3">
      <c r="A550" s="10"/>
      <c r="B550" s="11"/>
      <c r="C550" s="58"/>
      <c r="D550" s="37"/>
      <c r="E550" s="100"/>
      <c r="F550" s="62"/>
      <c r="G550" s="55"/>
      <c r="I550" s="39"/>
      <c r="Q550" s="48"/>
      <c r="U550" s="45"/>
      <c r="V550" s="108"/>
      <c r="W550" s="109"/>
      <c r="X550" s="111"/>
      <c r="Y550" s="111"/>
    </row>
    <row r="551" spans="1:25" x14ac:dyDescent="0.3">
      <c r="A551" s="10"/>
      <c r="B551" s="11"/>
      <c r="C551" s="58"/>
      <c r="D551" s="37"/>
      <c r="E551" s="100"/>
      <c r="F551" s="62"/>
      <c r="G551" s="55"/>
      <c r="I551" s="39"/>
      <c r="Q551" s="48"/>
      <c r="U551" s="45"/>
      <c r="V551" s="108"/>
      <c r="W551" s="109"/>
      <c r="X551" s="111"/>
      <c r="Y551" s="111"/>
    </row>
    <row r="552" spans="1:25" x14ac:dyDescent="0.3">
      <c r="A552" s="10"/>
      <c r="B552" s="11"/>
      <c r="C552" s="58"/>
      <c r="D552" s="37"/>
      <c r="E552" s="100"/>
      <c r="F552" s="62"/>
      <c r="G552" s="55"/>
      <c r="I552" s="39"/>
      <c r="Q552" s="48"/>
      <c r="U552" s="45"/>
      <c r="V552" s="108"/>
      <c r="W552" s="109"/>
      <c r="X552" s="111"/>
      <c r="Y552" s="111"/>
    </row>
    <row r="553" spans="1:25" x14ac:dyDescent="0.3">
      <c r="A553" s="10"/>
      <c r="B553" s="11"/>
      <c r="C553" s="58"/>
      <c r="D553" s="37"/>
      <c r="E553" s="100"/>
      <c r="F553" s="62"/>
      <c r="G553" s="55"/>
      <c r="I553" s="39"/>
      <c r="Q553" s="48"/>
      <c r="U553" s="45"/>
      <c r="V553" s="108"/>
      <c r="W553" s="109"/>
      <c r="X553" s="111"/>
      <c r="Y553" s="111"/>
    </row>
    <row r="554" spans="1:25" x14ac:dyDescent="0.3">
      <c r="A554" s="10"/>
      <c r="B554" s="11"/>
      <c r="C554" s="58"/>
      <c r="D554" s="37"/>
      <c r="E554" s="100"/>
      <c r="F554" s="62"/>
      <c r="G554" s="55"/>
      <c r="I554" s="39"/>
      <c r="Q554" s="48"/>
      <c r="U554" s="45"/>
      <c r="V554" s="108"/>
      <c r="W554" s="109"/>
      <c r="X554" s="111"/>
      <c r="Y554" s="111"/>
    </row>
    <row r="555" spans="1:25" x14ac:dyDescent="0.3">
      <c r="A555" s="10"/>
      <c r="B555" s="11"/>
      <c r="C555" s="58"/>
      <c r="D555" s="37"/>
      <c r="E555" s="100"/>
      <c r="F555" s="62"/>
      <c r="G555" s="55"/>
      <c r="I555" s="39"/>
      <c r="Q555" s="48"/>
      <c r="U555" s="45"/>
      <c r="V555" s="108"/>
      <c r="W555" s="109"/>
      <c r="X555" s="111"/>
      <c r="Y555" s="111"/>
    </row>
    <row r="556" spans="1:25" x14ac:dyDescent="0.3">
      <c r="A556" s="10"/>
      <c r="B556" s="11"/>
      <c r="C556" s="58"/>
      <c r="D556" s="37"/>
      <c r="E556" s="100"/>
      <c r="F556" s="62"/>
      <c r="G556" s="55"/>
      <c r="I556" s="39"/>
      <c r="Q556" s="48"/>
      <c r="U556" s="45"/>
      <c r="V556" s="108"/>
      <c r="W556" s="109"/>
      <c r="X556" s="111"/>
      <c r="Y556" s="111"/>
    </row>
    <row r="557" spans="1:25" x14ac:dyDescent="0.3">
      <c r="A557" s="10"/>
      <c r="B557" s="11"/>
      <c r="C557" s="58"/>
      <c r="D557" s="37"/>
      <c r="E557" s="100"/>
      <c r="F557" s="62"/>
      <c r="G557" s="55"/>
      <c r="I557" s="39"/>
      <c r="Q557" s="48"/>
      <c r="U557" s="45"/>
      <c r="V557" s="108"/>
      <c r="W557" s="109"/>
      <c r="X557" s="111"/>
      <c r="Y557" s="111"/>
    </row>
    <row r="558" spans="1:25" x14ac:dyDescent="0.3">
      <c r="A558" s="10"/>
      <c r="B558" s="11"/>
      <c r="C558" s="58"/>
      <c r="D558" s="37"/>
      <c r="E558" s="100"/>
      <c r="F558" s="62"/>
      <c r="G558" s="55"/>
      <c r="I558" s="39"/>
      <c r="Q558" s="48"/>
      <c r="U558" s="45"/>
      <c r="V558" s="108"/>
      <c r="W558" s="109"/>
      <c r="X558" s="111"/>
      <c r="Y558" s="111"/>
    </row>
    <row r="559" spans="1:25" x14ac:dyDescent="0.3">
      <c r="A559" s="10"/>
      <c r="B559" s="11"/>
      <c r="C559" s="58"/>
      <c r="D559" s="37"/>
      <c r="E559" s="100"/>
      <c r="F559" s="62"/>
      <c r="G559" s="55"/>
      <c r="I559" s="39"/>
      <c r="Q559" s="48"/>
      <c r="U559" s="45"/>
      <c r="V559" s="108"/>
      <c r="W559" s="109"/>
      <c r="X559" s="111"/>
      <c r="Y559" s="111"/>
    </row>
    <row r="560" spans="1:25" x14ac:dyDescent="0.3">
      <c r="A560" s="10"/>
      <c r="B560" s="11"/>
      <c r="C560" s="58"/>
      <c r="D560" s="37"/>
      <c r="E560" s="100"/>
      <c r="F560" s="62"/>
      <c r="G560" s="55"/>
      <c r="I560" s="39"/>
      <c r="Q560" s="48"/>
      <c r="U560" s="45"/>
      <c r="V560" s="108"/>
      <c r="W560" s="109"/>
      <c r="X560" s="111"/>
      <c r="Y560" s="111"/>
    </row>
    <row r="561" spans="1:25" x14ac:dyDescent="0.3">
      <c r="A561" s="10"/>
      <c r="B561" s="11"/>
      <c r="C561" s="58"/>
      <c r="D561" s="37"/>
      <c r="E561" s="100"/>
      <c r="F561" s="62"/>
      <c r="G561" s="55"/>
      <c r="I561" s="39"/>
      <c r="Q561" s="48"/>
      <c r="U561" s="45"/>
      <c r="V561" s="108"/>
      <c r="W561" s="109"/>
      <c r="X561" s="111"/>
      <c r="Y561" s="111"/>
    </row>
    <row r="562" spans="1:25" x14ac:dyDescent="0.3">
      <c r="A562" s="10"/>
      <c r="B562" s="11"/>
      <c r="C562" s="58"/>
      <c r="D562" s="37"/>
      <c r="E562" s="100"/>
      <c r="F562" s="62"/>
      <c r="G562" s="55"/>
      <c r="I562" s="39"/>
      <c r="Q562" s="48"/>
      <c r="U562" s="45"/>
      <c r="V562" s="108"/>
      <c r="W562" s="109"/>
      <c r="X562" s="111"/>
      <c r="Y562" s="111"/>
    </row>
    <row r="563" spans="1:25" x14ac:dyDescent="0.3">
      <c r="A563" s="10"/>
      <c r="B563" s="11"/>
      <c r="C563" s="58"/>
      <c r="D563" s="37"/>
      <c r="E563" s="100"/>
      <c r="F563" s="62"/>
      <c r="G563" s="55"/>
      <c r="I563" s="39"/>
      <c r="Q563" s="48"/>
      <c r="U563" s="45"/>
      <c r="V563" s="108"/>
      <c r="W563" s="109"/>
      <c r="X563" s="111"/>
      <c r="Y563" s="111"/>
    </row>
    <row r="564" spans="1:25" x14ac:dyDescent="0.3">
      <c r="A564" s="10"/>
      <c r="B564" s="11"/>
      <c r="C564" s="58"/>
      <c r="D564" s="37"/>
      <c r="E564" s="100"/>
      <c r="F564" s="62"/>
      <c r="G564" s="55"/>
      <c r="I564" s="39"/>
      <c r="Q564" s="48"/>
      <c r="U564" s="45"/>
      <c r="V564" s="108"/>
      <c r="W564" s="109"/>
      <c r="X564" s="111"/>
      <c r="Y564" s="111"/>
    </row>
    <row r="565" spans="1:25" x14ac:dyDescent="0.3">
      <c r="A565" s="10"/>
      <c r="B565" s="11"/>
      <c r="C565" s="58"/>
      <c r="D565" s="37"/>
      <c r="E565" s="100"/>
      <c r="F565" s="62"/>
      <c r="G565" s="55"/>
      <c r="I565" s="39"/>
      <c r="Q565" s="48"/>
      <c r="U565" s="45"/>
      <c r="V565" s="108"/>
      <c r="W565" s="109"/>
      <c r="X565" s="111"/>
      <c r="Y565" s="111"/>
    </row>
    <row r="566" spans="1:25" x14ac:dyDescent="0.3">
      <c r="A566" s="10"/>
      <c r="B566" s="11"/>
      <c r="C566" s="58"/>
      <c r="D566" s="37"/>
      <c r="E566" s="100"/>
      <c r="F566" s="62"/>
      <c r="G566" s="55"/>
      <c r="I566" s="39"/>
      <c r="Q566" s="48"/>
      <c r="U566" s="45"/>
      <c r="V566" s="108"/>
      <c r="W566" s="109"/>
      <c r="X566" s="111"/>
      <c r="Y566" s="111"/>
    </row>
    <row r="567" spans="1:25" x14ac:dyDescent="0.3">
      <c r="A567" s="10"/>
      <c r="B567" s="11"/>
      <c r="C567" s="58"/>
      <c r="D567" s="37"/>
      <c r="E567" s="100"/>
      <c r="F567" s="62"/>
      <c r="G567" s="55"/>
      <c r="I567" s="39"/>
      <c r="Q567" s="48"/>
      <c r="U567" s="45"/>
      <c r="V567" s="108"/>
      <c r="W567" s="109"/>
      <c r="X567" s="111"/>
      <c r="Y567" s="111"/>
    </row>
    <row r="568" spans="1:25" x14ac:dyDescent="0.3">
      <c r="A568" s="10"/>
      <c r="B568" s="11"/>
      <c r="C568" s="58"/>
      <c r="D568" s="37"/>
      <c r="E568" s="100"/>
      <c r="F568" s="62"/>
      <c r="G568" s="55"/>
      <c r="I568" s="39"/>
      <c r="Q568" s="48"/>
      <c r="U568" s="45"/>
      <c r="V568" s="108"/>
      <c r="W568" s="109"/>
      <c r="X568" s="111"/>
      <c r="Y568" s="111"/>
    </row>
    <row r="569" spans="1:25" x14ac:dyDescent="0.3">
      <c r="A569" s="10"/>
      <c r="B569" s="11"/>
      <c r="C569" s="58"/>
      <c r="D569" s="37"/>
      <c r="E569" s="100"/>
      <c r="F569" s="62"/>
      <c r="G569" s="55"/>
      <c r="I569" s="39"/>
      <c r="Q569" s="48"/>
      <c r="U569" s="45"/>
      <c r="V569" s="108"/>
      <c r="W569" s="109"/>
      <c r="X569" s="111"/>
      <c r="Y569" s="111"/>
    </row>
    <row r="570" spans="1:25" x14ac:dyDescent="0.3">
      <c r="A570" s="10"/>
      <c r="B570" s="11"/>
      <c r="C570" s="58"/>
      <c r="D570" s="37"/>
      <c r="E570" s="100"/>
      <c r="F570" s="62"/>
      <c r="G570" s="55"/>
      <c r="I570" s="39"/>
      <c r="Q570" s="48"/>
      <c r="U570" s="45"/>
      <c r="V570" s="108"/>
      <c r="W570" s="109"/>
      <c r="X570" s="111"/>
      <c r="Y570" s="111"/>
    </row>
    <row r="571" spans="1:25" x14ac:dyDescent="0.3">
      <c r="A571" s="10"/>
      <c r="B571" s="11"/>
      <c r="C571" s="58"/>
      <c r="D571" s="37"/>
      <c r="E571" s="100"/>
      <c r="F571" s="62"/>
      <c r="G571" s="55"/>
      <c r="I571" s="39"/>
      <c r="Q571" s="48"/>
      <c r="U571" s="45"/>
      <c r="V571" s="108"/>
      <c r="W571" s="109"/>
      <c r="X571" s="111"/>
      <c r="Y571" s="111"/>
    </row>
    <row r="572" spans="1:25" x14ac:dyDescent="0.3">
      <c r="A572" s="10"/>
      <c r="B572" s="11"/>
      <c r="C572" s="58"/>
      <c r="D572" s="37"/>
      <c r="E572" s="100"/>
      <c r="F572" s="62"/>
      <c r="G572" s="55"/>
      <c r="I572" s="39"/>
      <c r="Q572" s="48"/>
      <c r="U572" s="45"/>
      <c r="V572" s="108"/>
      <c r="W572" s="109"/>
      <c r="X572" s="111"/>
      <c r="Y572" s="111"/>
    </row>
    <row r="573" spans="1:25" x14ac:dyDescent="0.3">
      <c r="A573" s="10"/>
      <c r="B573" s="11"/>
      <c r="C573" s="58"/>
      <c r="D573" s="37"/>
      <c r="E573" s="100"/>
      <c r="F573" s="62"/>
      <c r="G573" s="55"/>
      <c r="I573" s="39"/>
      <c r="Q573" s="48"/>
      <c r="U573" s="45"/>
      <c r="V573" s="108"/>
      <c r="W573" s="109"/>
      <c r="X573" s="111"/>
      <c r="Y573" s="111"/>
    </row>
    <row r="574" spans="1:25" x14ac:dyDescent="0.3">
      <c r="A574" s="10"/>
      <c r="B574" s="11"/>
      <c r="C574" s="58"/>
      <c r="D574" s="37"/>
      <c r="E574" s="100"/>
      <c r="F574" s="62"/>
      <c r="G574" s="55"/>
      <c r="I574" s="39"/>
      <c r="Q574" s="48"/>
      <c r="U574" s="45"/>
      <c r="V574" s="108"/>
      <c r="W574" s="109"/>
      <c r="X574" s="111"/>
      <c r="Y574" s="111"/>
    </row>
    <row r="575" spans="1:25" x14ac:dyDescent="0.3">
      <c r="A575" s="10"/>
      <c r="B575" s="11"/>
      <c r="C575" s="58"/>
      <c r="D575" s="37"/>
      <c r="E575" s="100"/>
      <c r="F575" s="62"/>
      <c r="G575" s="55"/>
      <c r="I575" s="39"/>
      <c r="Q575" s="48"/>
      <c r="U575" s="45"/>
      <c r="V575" s="108"/>
      <c r="W575" s="109"/>
      <c r="X575" s="111"/>
      <c r="Y575" s="111"/>
    </row>
    <row r="576" spans="1:25" x14ac:dyDescent="0.3">
      <c r="A576" s="10"/>
      <c r="B576" s="11"/>
      <c r="C576" s="58"/>
      <c r="D576" s="37"/>
      <c r="E576" s="100"/>
      <c r="F576" s="62"/>
      <c r="G576" s="55"/>
      <c r="I576" s="39"/>
      <c r="Q576" s="48"/>
      <c r="U576" s="45"/>
      <c r="V576" s="108"/>
      <c r="W576" s="109"/>
      <c r="X576" s="111"/>
      <c r="Y576" s="111"/>
    </row>
    <row r="577" spans="1:25" x14ac:dyDescent="0.3">
      <c r="A577" s="10"/>
      <c r="B577" s="11"/>
      <c r="C577" s="58"/>
      <c r="D577" s="37"/>
      <c r="E577" s="100"/>
      <c r="F577" s="62"/>
      <c r="G577" s="55"/>
      <c r="I577" s="39"/>
      <c r="Q577" s="48"/>
      <c r="U577" s="45"/>
      <c r="V577" s="108"/>
      <c r="W577" s="109"/>
      <c r="X577" s="111"/>
      <c r="Y577" s="111"/>
    </row>
    <row r="578" spans="1:25" x14ac:dyDescent="0.3">
      <c r="A578" s="10"/>
      <c r="B578" s="11"/>
      <c r="C578" s="58"/>
      <c r="D578" s="37"/>
      <c r="E578" s="100"/>
      <c r="F578" s="62"/>
      <c r="G578" s="55"/>
      <c r="I578" s="39"/>
      <c r="Q578" s="48"/>
      <c r="U578" s="45"/>
      <c r="V578" s="108"/>
      <c r="W578" s="109"/>
      <c r="X578" s="111"/>
      <c r="Y578" s="111"/>
    </row>
    <row r="579" spans="1:25" x14ac:dyDescent="0.3">
      <c r="A579" s="10"/>
      <c r="B579" s="11"/>
      <c r="C579" s="58"/>
      <c r="D579" s="37"/>
      <c r="E579" s="100"/>
      <c r="F579" s="62"/>
      <c r="G579" s="55"/>
      <c r="I579" s="39"/>
      <c r="Q579" s="48"/>
      <c r="U579" s="45"/>
      <c r="V579" s="108"/>
      <c r="W579" s="109"/>
      <c r="X579" s="111"/>
      <c r="Y579" s="111"/>
    </row>
    <row r="580" spans="1:25" x14ac:dyDescent="0.3">
      <c r="A580" s="10"/>
      <c r="B580" s="11"/>
      <c r="C580" s="58"/>
      <c r="D580" s="37"/>
      <c r="E580" s="100"/>
      <c r="F580" s="62"/>
      <c r="G580" s="55"/>
      <c r="I580" s="39"/>
      <c r="Q580" s="48"/>
      <c r="U580" s="45"/>
      <c r="V580" s="108"/>
      <c r="W580" s="109"/>
      <c r="X580" s="111"/>
      <c r="Y580" s="111"/>
    </row>
    <row r="581" spans="1:25" x14ac:dyDescent="0.3">
      <c r="A581" s="10"/>
      <c r="B581" s="11"/>
      <c r="C581" s="58"/>
      <c r="D581" s="37"/>
      <c r="E581" s="100"/>
      <c r="F581" s="62"/>
      <c r="G581" s="55"/>
      <c r="I581" s="39"/>
      <c r="Q581" s="48"/>
      <c r="U581" s="45"/>
      <c r="V581" s="108"/>
      <c r="W581" s="109"/>
      <c r="X581" s="111"/>
      <c r="Y581" s="111"/>
    </row>
    <row r="582" spans="1:25" x14ac:dyDescent="0.3">
      <c r="A582" s="10"/>
      <c r="B582" s="11"/>
      <c r="C582" s="58"/>
      <c r="D582" s="37"/>
      <c r="E582" s="100"/>
      <c r="F582" s="62"/>
      <c r="G582" s="55"/>
      <c r="I582" s="39"/>
      <c r="Q582" s="48"/>
      <c r="U582" s="45"/>
      <c r="V582" s="108"/>
      <c r="W582" s="109"/>
      <c r="X582" s="111"/>
      <c r="Y582" s="111"/>
    </row>
    <row r="583" spans="1:25" x14ac:dyDescent="0.3">
      <c r="A583" s="10"/>
      <c r="B583" s="11"/>
      <c r="C583" s="58"/>
      <c r="D583" s="37"/>
      <c r="E583" s="100"/>
      <c r="F583" s="62"/>
      <c r="G583" s="55"/>
      <c r="I583" s="39"/>
      <c r="Q583" s="48"/>
      <c r="U583" s="45"/>
      <c r="V583" s="108"/>
      <c r="W583" s="109"/>
      <c r="X583" s="111"/>
      <c r="Y583" s="111"/>
    </row>
    <row r="584" spans="1:25" x14ac:dyDescent="0.3">
      <c r="A584" s="10"/>
      <c r="B584" s="11"/>
      <c r="C584" s="58"/>
      <c r="D584" s="37"/>
      <c r="E584" s="100"/>
      <c r="F584" s="62"/>
      <c r="G584" s="55"/>
      <c r="I584" s="39"/>
      <c r="Q584" s="48"/>
      <c r="U584" s="45"/>
      <c r="V584" s="108"/>
      <c r="W584" s="109"/>
      <c r="X584" s="111"/>
      <c r="Y584" s="111"/>
    </row>
    <row r="585" spans="1:25" x14ac:dyDescent="0.3">
      <c r="A585" s="10"/>
      <c r="B585" s="11"/>
      <c r="C585" s="58"/>
      <c r="D585" s="37"/>
      <c r="E585" s="100"/>
      <c r="F585" s="62"/>
      <c r="G585" s="55"/>
      <c r="I585" s="39"/>
      <c r="Q585" s="48"/>
      <c r="U585" s="45"/>
      <c r="V585" s="108"/>
      <c r="W585" s="109"/>
      <c r="X585" s="111"/>
      <c r="Y585" s="111"/>
    </row>
    <row r="586" spans="1:25" x14ac:dyDescent="0.3">
      <c r="A586" s="10"/>
      <c r="B586" s="11"/>
      <c r="C586" s="58"/>
      <c r="D586" s="37"/>
      <c r="E586" s="100"/>
      <c r="F586" s="62"/>
      <c r="G586" s="55"/>
      <c r="I586" s="39"/>
      <c r="Q586" s="48"/>
      <c r="U586" s="45"/>
      <c r="V586" s="108"/>
      <c r="W586" s="109"/>
      <c r="X586" s="111"/>
      <c r="Y586" s="111"/>
    </row>
    <row r="587" spans="1:25" x14ac:dyDescent="0.3">
      <c r="A587" s="10"/>
      <c r="B587" s="11"/>
      <c r="C587" s="58"/>
      <c r="D587" s="37"/>
      <c r="E587" s="100"/>
      <c r="F587" s="62"/>
      <c r="G587" s="55"/>
      <c r="I587" s="39"/>
      <c r="Q587" s="48"/>
      <c r="U587" s="45"/>
      <c r="V587" s="108"/>
      <c r="W587" s="109"/>
      <c r="X587" s="111"/>
      <c r="Y587" s="111"/>
    </row>
    <row r="588" spans="1:25" x14ac:dyDescent="0.3">
      <c r="A588" s="10"/>
      <c r="B588" s="11"/>
      <c r="C588" s="58"/>
      <c r="D588" s="37"/>
      <c r="E588" s="100"/>
      <c r="F588" s="62"/>
      <c r="G588" s="55"/>
      <c r="I588" s="39"/>
      <c r="Q588" s="48"/>
      <c r="U588" s="45"/>
      <c r="V588" s="108"/>
      <c r="W588" s="109"/>
      <c r="X588" s="111"/>
      <c r="Y588" s="111"/>
    </row>
    <row r="589" spans="1:25" x14ac:dyDescent="0.3">
      <c r="A589" s="10"/>
      <c r="B589" s="11"/>
      <c r="C589" s="58"/>
      <c r="D589" s="37"/>
      <c r="E589" s="100"/>
      <c r="F589" s="62"/>
      <c r="G589" s="55"/>
      <c r="I589" s="39"/>
      <c r="Q589" s="48"/>
      <c r="U589" s="45"/>
      <c r="V589" s="108"/>
      <c r="W589" s="109"/>
      <c r="X589" s="111"/>
      <c r="Y589" s="111"/>
    </row>
    <row r="590" spans="1:25" x14ac:dyDescent="0.3">
      <c r="A590" s="10"/>
      <c r="B590" s="11"/>
      <c r="C590" s="58"/>
      <c r="D590" s="37"/>
      <c r="E590" s="100"/>
      <c r="F590" s="62"/>
      <c r="G590" s="55"/>
      <c r="I590" s="39"/>
      <c r="Q590" s="48"/>
      <c r="U590" s="45"/>
      <c r="V590" s="108"/>
      <c r="W590" s="109"/>
      <c r="X590" s="111"/>
      <c r="Y590" s="111"/>
    </row>
    <row r="591" spans="1:25" x14ac:dyDescent="0.3">
      <c r="A591" s="10"/>
      <c r="B591" s="11"/>
      <c r="C591" s="58"/>
      <c r="D591" s="37"/>
      <c r="E591" s="100"/>
      <c r="F591" s="62"/>
      <c r="G591" s="55"/>
      <c r="I591" s="39"/>
      <c r="Q591" s="48"/>
      <c r="U591" s="45"/>
      <c r="V591" s="108"/>
      <c r="W591" s="109"/>
      <c r="X591" s="111"/>
      <c r="Y591" s="111"/>
    </row>
    <row r="592" spans="1:25" x14ac:dyDescent="0.3">
      <c r="A592" s="10"/>
      <c r="B592" s="11"/>
      <c r="C592" s="58"/>
      <c r="D592" s="37"/>
      <c r="E592" s="100"/>
      <c r="F592" s="62"/>
      <c r="G592" s="55"/>
      <c r="I592" s="39"/>
      <c r="Q592" s="48"/>
      <c r="U592" s="45"/>
      <c r="V592" s="108"/>
      <c r="W592" s="109"/>
      <c r="X592" s="111"/>
      <c r="Y592" s="111"/>
    </row>
    <row r="593" spans="1:25" x14ac:dyDescent="0.3">
      <c r="A593" s="10"/>
      <c r="B593" s="11"/>
      <c r="C593" s="58"/>
      <c r="D593" s="37"/>
      <c r="E593" s="100"/>
      <c r="F593" s="62"/>
      <c r="G593" s="55"/>
      <c r="I593" s="39"/>
      <c r="Q593" s="48"/>
      <c r="U593" s="45"/>
      <c r="V593" s="108"/>
      <c r="W593" s="109"/>
      <c r="X593" s="111"/>
      <c r="Y593" s="111"/>
    </row>
    <row r="594" spans="1:25" x14ac:dyDescent="0.3">
      <c r="A594" s="10"/>
      <c r="B594" s="11"/>
      <c r="C594" s="58"/>
      <c r="D594" s="37"/>
      <c r="E594" s="100"/>
      <c r="F594" s="62"/>
      <c r="G594" s="55"/>
      <c r="I594" s="39"/>
      <c r="Q594" s="48"/>
      <c r="U594" s="45"/>
      <c r="V594" s="108"/>
      <c r="W594" s="109"/>
      <c r="X594" s="111"/>
      <c r="Y594" s="111"/>
    </row>
    <row r="595" spans="1:25" x14ac:dyDescent="0.3">
      <c r="A595" s="10"/>
      <c r="B595" s="11"/>
      <c r="C595" s="58"/>
      <c r="D595" s="37"/>
      <c r="E595" s="100"/>
      <c r="F595" s="62"/>
      <c r="G595" s="55"/>
      <c r="I595" s="39"/>
      <c r="Q595" s="48"/>
      <c r="U595" s="45"/>
      <c r="V595" s="108"/>
      <c r="W595" s="109"/>
      <c r="X595" s="111"/>
      <c r="Y595" s="111"/>
    </row>
    <row r="596" spans="1:25" x14ac:dyDescent="0.3">
      <c r="A596" s="10"/>
      <c r="B596" s="11"/>
      <c r="C596" s="58"/>
      <c r="D596" s="37"/>
      <c r="E596" s="100"/>
      <c r="F596" s="62"/>
      <c r="G596" s="55"/>
      <c r="I596" s="39"/>
      <c r="Q596" s="48"/>
      <c r="U596" s="45"/>
      <c r="V596" s="108"/>
      <c r="W596" s="109"/>
      <c r="X596" s="111"/>
      <c r="Y596" s="111"/>
    </row>
    <row r="597" spans="1:25" x14ac:dyDescent="0.3">
      <c r="A597" s="10"/>
      <c r="B597" s="11"/>
      <c r="C597" s="58"/>
      <c r="D597" s="37"/>
      <c r="E597" s="100"/>
      <c r="F597" s="62"/>
      <c r="G597" s="55"/>
      <c r="I597" s="39"/>
      <c r="Q597" s="48"/>
      <c r="U597" s="45"/>
      <c r="V597" s="108"/>
      <c r="W597" s="109"/>
      <c r="X597" s="111"/>
      <c r="Y597" s="111"/>
    </row>
    <row r="598" spans="1:25" x14ac:dyDescent="0.3">
      <c r="A598" s="10"/>
      <c r="B598" s="11"/>
      <c r="C598" s="58"/>
      <c r="D598" s="37"/>
      <c r="E598" s="100"/>
      <c r="F598" s="62"/>
      <c r="G598" s="55"/>
      <c r="I598" s="39"/>
      <c r="Q598" s="48"/>
      <c r="U598" s="45"/>
      <c r="V598" s="108"/>
      <c r="W598" s="109"/>
      <c r="X598" s="111"/>
      <c r="Y598" s="111"/>
    </row>
    <row r="599" spans="1:25" x14ac:dyDescent="0.3">
      <c r="A599" s="10"/>
      <c r="B599" s="11"/>
      <c r="C599" s="58"/>
      <c r="D599" s="37"/>
      <c r="E599" s="100"/>
      <c r="F599" s="62"/>
      <c r="G599" s="55"/>
      <c r="I599" s="39"/>
      <c r="Q599" s="48"/>
      <c r="U599" s="45"/>
      <c r="V599" s="108"/>
      <c r="W599" s="109"/>
      <c r="X599" s="111"/>
      <c r="Y599" s="111"/>
    </row>
    <row r="600" spans="1:25" x14ac:dyDescent="0.3">
      <c r="A600" s="10"/>
      <c r="B600" s="11"/>
      <c r="C600" s="58"/>
      <c r="D600" s="37"/>
      <c r="E600" s="100"/>
      <c r="F600" s="62"/>
      <c r="G600" s="55"/>
      <c r="I600" s="39"/>
      <c r="Q600" s="48"/>
      <c r="U600" s="45"/>
      <c r="V600" s="108"/>
      <c r="W600" s="109"/>
      <c r="X600" s="111"/>
      <c r="Y600" s="111"/>
    </row>
    <row r="601" spans="1:25" x14ac:dyDescent="0.3">
      <c r="A601" s="10"/>
      <c r="B601" s="11"/>
      <c r="C601" s="58"/>
      <c r="D601" s="37"/>
      <c r="E601" s="100"/>
      <c r="F601" s="62"/>
      <c r="G601" s="55"/>
      <c r="I601" s="39"/>
      <c r="Q601" s="48"/>
      <c r="U601" s="45"/>
      <c r="V601" s="108"/>
      <c r="W601" s="109"/>
      <c r="X601" s="111"/>
      <c r="Y601" s="111"/>
    </row>
    <row r="602" spans="1:25" x14ac:dyDescent="0.3">
      <c r="A602" s="10"/>
      <c r="B602" s="11"/>
      <c r="C602" s="58"/>
      <c r="D602" s="37"/>
      <c r="E602" s="100"/>
      <c r="F602" s="62"/>
      <c r="G602" s="55"/>
      <c r="I602" s="39"/>
      <c r="Q602" s="48"/>
      <c r="U602" s="45"/>
      <c r="V602" s="108"/>
      <c r="W602" s="109"/>
      <c r="X602" s="111"/>
      <c r="Y602" s="111"/>
    </row>
    <row r="603" spans="1:25" x14ac:dyDescent="0.3">
      <c r="A603" s="10"/>
      <c r="B603" s="11"/>
      <c r="C603" s="58"/>
      <c r="D603" s="37"/>
      <c r="E603" s="100"/>
      <c r="F603" s="62"/>
      <c r="G603" s="55"/>
      <c r="I603" s="39"/>
      <c r="Q603" s="48"/>
      <c r="U603" s="45"/>
      <c r="V603" s="108"/>
      <c r="W603" s="109"/>
      <c r="X603" s="111"/>
      <c r="Y603" s="111"/>
    </row>
    <row r="604" spans="1:25" x14ac:dyDescent="0.3">
      <c r="A604" s="10"/>
      <c r="B604" s="11"/>
      <c r="C604" s="58"/>
      <c r="D604" s="37"/>
      <c r="E604" s="100"/>
      <c r="F604" s="62"/>
      <c r="G604" s="55"/>
      <c r="I604" s="39"/>
      <c r="Q604" s="48"/>
      <c r="U604" s="45"/>
      <c r="V604" s="108"/>
      <c r="W604" s="109"/>
      <c r="X604" s="111"/>
      <c r="Y604" s="111"/>
    </row>
    <row r="605" spans="1:25" x14ac:dyDescent="0.3">
      <c r="A605" s="10"/>
      <c r="B605" s="11"/>
      <c r="C605" s="58"/>
      <c r="D605" s="37"/>
      <c r="E605" s="100"/>
      <c r="F605" s="62"/>
      <c r="G605" s="55"/>
      <c r="I605" s="39"/>
      <c r="Q605" s="48"/>
      <c r="U605" s="45"/>
      <c r="V605" s="108"/>
      <c r="W605" s="109"/>
      <c r="X605" s="111"/>
      <c r="Y605" s="111"/>
    </row>
    <row r="606" spans="1:25" x14ac:dyDescent="0.3">
      <c r="A606" s="10"/>
      <c r="B606" s="11"/>
      <c r="C606" s="58"/>
      <c r="D606" s="37"/>
      <c r="E606" s="100"/>
      <c r="F606" s="62"/>
      <c r="G606" s="55"/>
      <c r="I606" s="39"/>
      <c r="Q606" s="48"/>
      <c r="U606" s="45"/>
      <c r="V606" s="108"/>
      <c r="W606" s="109"/>
      <c r="X606" s="111"/>
      <c r="Y606" s="111"/>
    </row>
    <row r="607" spans="1:25" x14ac:dyDescent="0.3">
      <c r="A607" s="10"/>
      <c r="B607" s="11"/>
      <c r="C607" s="58"/>
      <c r="D607" s="37"/>
      <c r="E607" s="100"/>
      <c r="F607" s="62"/>
      <c r="G607" s="55"/>
      <c r="I607" s="39"/>
      <c r="Q607" s="48"/>
      <c r="U607" s="45"/>
      <c r="V607" s="108"/>
      <c r="W607" s="109"/>
      <c r="X607" s="111"/>
      <c r="Y607" s="111"/>
    </row>
    <row r="608" spans="1:25" x14ac:dyDescent="0.3">
      <c r="A608" s="10"/>
      <c r="B608" s="11"/>
      <c r="C608" s="58"/>
      <c r="D608" s="37"/>
      <c r="E608" s="100"/>
      <c r="F608" s="62"/>
      <c r="G608" s="55"/>
      <c r="I608" s="39"/>
      <c r="Q608" s="48"/>
      <c r="U608" s="45"/>
      <c r="V608" s="108"/>
      <c r="W608" s="109"/>
      <c r="X608" s="111"/>
      <c r="Y608" s="111"/>
    </row>
    <row r="609" spans="1:25" x14ac:dyDescent="0.3">
      <c r="A609" s="10"/>
      <c r="B609" s="11"/>
      <c r="C609" s="58"/>
      <c r="D609" s="37"/>
      <c r="E609" s="100"/>
      <c r="F609" s="62"/>
      <c r="G609" s="55"/>
      <c r="I609" s="39"/>
      <c r="Q609" s="48"/>
      <c r="U609" s="45"/>
      <c r="V609" s="108"/>
      <c r="W609" s="109"/>
      <c r="X609" s="111"/>
      <c r="Y609" s="111"/>
    </row>
    <row r="610" spans="1:25" x14ac:dyDescent="0.3">
      <c r="A610" s="10"/>
      <c r="B610" s="11"/>
      <c r="C610" s="58"/>
      <c r="D610" s="37"/>
      <c r="E610" s="100"/>
      <c r="F610" s="62"/>
      <c r="G610" s="55"/>
      <c r="I610" s="39"/>
      <c r="Q610" s="48"/>
      <c r="U610" s="45"/>
      <c r="V610" s="108"/>
      <c r="W610" s="109"/>
      <c r="X610" s="111"/>
      <c r="Y610" s="111"/>
    </row>
    <row r="611" spans="1:25" x14ac:dyDescent="0.3">
      <c r="A611" s="10"/>
      <c r="B611" s="11"/>
      <c r="C611" s="58"/>
      <c r="D611" s="37"/>
      <c r="E611" s="100"/>
      <c r="F611" s="62"/>
      <c r="G611" s="55"/>
      <c r="I611" s="39"/>
      <c r="Q611" s="48"/>
      <c r="U611" s="45"/>
      <c r="V611" s="108"/>
      <c r="W611" s="109"/>
      <c r="X611" s="111"/>
      <c r="Y611" s="111"/>
    </row>
    <row r="612" spans="1:25" x14ac:dyDescent="0.3">
      <c r="A612" s="10"/>
      <c r="B612" s="11"/>
      <c r="C612" s="58"/>
      <c r="D612" s="37"/>
      <c r="E612" s="100"/>
      <c r="F612" s="62"/>
      <c r="G612" s="55"/>
      <c r="I612" s="39"/>
      <c r="Q612" s="48"/>
      <c r="U612" s="45"/>
      <c r="V612" s="108"/>
      <c r="W612" s="109"/>
      <c r="X612" s="111"/>
      <c r="Y612" s="111"/>
    </row>
    <row r="613" spans="1:25" x14ac:dyDescent="0.3">
      <c r="A613" s="10"/>
      <c r="B613" s="11"/>
      <c r="C613" s="58"/>
      <c r="D613" s="37"/>
      <c r="E613" s="100"/>
      <c r="F613" s="62"/>
      <c r="G613" s="55"/>
      <c r="I613" s="39"/>
      <c r="Q613" s="48"/>
      <c r="U613" s="45"/>
      <c r="V613" s="108"/>
      <c r="W613" s="109"/>
      <c r="X613" s="111"/>
      <c r="Y613" s="111"/>
    </row>
    <row r="614" spans="1:25" x14ac:dyDescent="0.3">
      <c r="A614" s="10"/>
      <c r="B614" s="11"/>
      <c r="C614" s="58"/>
      <c r="D614" s="37"/>
      <c r="E614" s="100"/>
      <c r="F614" s="62"/>
      <c r="G614" s="55"/>
      <c r="I614" s="39"/>
      <c r="Q614" s="48"/>
      <c r="U614" s="45"/>
      <c r="V614" s="108"/>
      <c r="W614" s="109"/>
      <c r="X614" s="111"/>
      <c r="Y614" s="111"/>
    </row>
    <row r="615" spans="1:25" x14ac:dyDescent="0.3">
      <c r="A615" s="10"/>
      <c r="B615" s="11"/>
      <c r="C615" s="58"/>
      <c r="D615" s="37"/>
      <c r="E615" s="100"/>
      <c r="F615" s="62"/>
      <c r="G615" s="55"/>
      <c r="I615" s="39"/>
      <c r="Q615" s="48"/>
      <c r="U615" s="45"/>
      <c r="V615" s="108"/>
      <c r="W615" s="109"/>
      <c r="X615" s="111"/>
      <c r="Y615" s="111"/>
    </row>
    <row r="616" spans="1:25" x14ac:dyDescent="0.3">
      <c r="A616" s="10"/>
      <c r="B616" s="11"/>
      <c r="C616" s="58"/>
      <c r="D616" s="37"/>
      <c r="E616" s="100"/>
      <c r="F616" s="62"/>
      <c r="G616" s="55"/>
      <c r="I616" s="39"/>
      <c r="Q616" s="48"/>
      <c r="U616" s="45"/>
      <c r="V616" s="108"/>
      <c r="W616" s="109"/>
      <c r="X616" s="111"/>
      <c r="Y616" s="111"/>
    </row>
    <row r="617" spans="1:25" x14ac:dyDescent="0.3">
      <c r="A617" s="10"/>
      <c r="B617" s="11"/>
      <c r="C617" s="58"/>
      <c r="D617" s="37"/>
      <c r="E617" s="100"/>
      <c r="F617" s="62"/>
      <c r="G617" s="55"/>
      <c r="I617" s="39"/>
      <c r="Q617" s="48"/>
      <c r="U617" s="45"/>
      <c r="V617" s="108"/>
      <c r="W617" s="109"/>
      <c r="X617" s="111"/>
      <c r="Y617" s="111"/>
    </row>
    <row r="618" spans="1:25" x14ac:dyDescent="0.3">
      <c r="A618" s="10"/>
      <c r="B618" s="11"/>
      <c r="C618" s="58"/>
      <c r="D618" s="37"/>
      <c r="E618" s="100"/>
      <c r="F618" s="62"/>
      <c r="G618" s="55"/>
      <c r="I618" s="39"/>
      <c r="Q618" s="48"/>
      <c r="U618" s="45"/>
      <c r="V618" s="108"/>
      <c r="W618" s="109"/>
      <c r="X618" s="111"/>
      <c r="Y618" s="111"/>
    </row>
    <row r="619" spans="1:25" x14ac:dyDescent="0.3">
      <c r="A619" s="10"/>
      <c r="B619" s="11"/>
      <c r="C619" s="58"/>
      <c r="D619" s="37"/>
      <c r="E619" s="100"/>
      <c r="F619" s="62"/>
      <c r="G619" s="55"/>
      <c r="I619" s="39"/>
      <c r="Q619" s="48"/>
      <c r="U619" s="45"/>
      <c r="V619" s="108"/>
      <c r="W619" s="109"/>
      <c r="X619" s="111"/>
      <c r="Y619" s="111"/>
    </row>
    <row r="620" spans="1:25" x14ac:dyDescent="0.3">
      <c r="A620" s="10"/>
      <c r="B620" s="11"/>
      <c r="C620" s="58"/>
      <c r="D620" s="37"/>
      <c r="E620" s="100"/>
      <c r="F620" s="62"/>
      <c r="G620" s="55"/>
      <c r="I620" s="39"/>
      <c r="Q620" s="48"/>
      <c r="U620" s="45"/>
      <c r="V620" s="108"/>
      <c r="W620" s="109"/>
      <c r="X620" s="111"/>
      <c r="Y620" s="111"/>
    </row>
    <row r="621" spans="1:25" x14ac:dyDescent="0.3">
      <c r="A621" s="10"/>
      <c r="B621" s="11"/>
      <c r="C621" s="58"/>
      <c r="D621" s="37"/>
      <c r="E621" s="100"/>
      <c r="F621" s="62"/>
      <c r="G621" s="55"/>
      <c r="I621" s="39"/>
      <c r="Q621" s="48"/>
      <c r="U621" s="45"/>
      <c r="V621" s="108"/>
      <c r="W621" s="109"/>
      <c r="X621" s="111"/>
      <c r="Y621" s="111"/>
    </row>
    <row r="622" spans="1:25" x14ac:dyDescent="0.3">
      <c r="A622" s="10"/>
      <c r="B622" s="11"/>
      <c r="C622" s="58"/>
      <c r="D622" s="37"/>
      <c r="E622" s="100"/>
      <c r="F622" s="62"/>
      <c r="G622" s="55"/>
      <c r="I622" s="39"/>
      <c r="Q622" s="48"/>
      <c r="U622" s="45"/>
      <c r="V622" s="108"/>
      <c r="W622" s="109"/>
      <c r="X622" s="111"/>
      <c r="Y622" s="111"/>
    </row>
    <row r="623" spans="1:25" x14ac:dyDescent="0.3">
      <c r="A623" s="10"/>
      <c r="B623" s="11"/>
      <c r="C623" s="58"/>
      <c r="D623" s="37"/>
      <c r="E623" s="100"/>
      <c r="F623" s="62"/>
      <c r="G623" s="55"/>
      <c r="I623" s="39"/>
      <c r="Q623" s="48"/>
      <c r="U623" s="45"/>
      <c r="V623" s="108"/>
      <c r="W623" s="109"/>
      <c r="X623" s="111"/>
      <c r="Y623" s="111"/>
    </row>
    <row r="624" spans="1:25" x14ac:dyDescent="0.3">
      <c r="A624" s="10"/>
      <c r="B624" s="11"/>
      <c r="C624" s="58"/>
      <c r="D624" s="37"/>
      <c r="E624" s="100"/>
      <c r="F624" s="62"/>
      <c r="G624" s="55"/>
      <c r="I624" s="39"/>
      <c r="Q624" s="48"/>
      <c r="U624" s="45"/>
      <c r="V624" s="108"/>
      <c r="W624" s="109"/>
      <c r="X624" s="111"/>
      <c r="Y624" s="111"/>
    </row>
    <row r="625" spans="1:25" x14ac:dyDescent="0.3">
      <c r="A625" s="10"/>
      <c r="B625" s="11"/>
      <c r="C625" s="58"/>
      <c r="D625" s="37"/>
      <c r="E625" s="100"/>
      <c r="F625" s="62"/>
      <c r="G625" s="55"/>
      <c r="I625" s="39"/>
      <c r="Q625" s="48"/>
      <c r="U625" s="45"/>
      <c r="V625" s="108"/>
      <c r="W625" s="109"/>
      <c r="X625" s="111"/>
      <c r="Y625" s="111"/>
    </row>
    <row r="626" spans="1:25" x14ac:dyDescent="0.3">
      <c r="A626" s="10"/>
      <c r="B626" s="11"/>
      <c r="C626" s="58"/>
      <c r="D626" s="37"/>
      <c r="E626" s="100"/>
      <c r="F626" s="62"/>
      <c r="G626" s="55"/>
      <c r="I626" s="39"/>
      <c r="Q626" s="48"/>
      <c r="U626" s="45"/>
      <c r="V626" s="108"/>
      <c r="W626" s="109"/>
      <c r="X626" s="111"/>
      <c r="Y626" s="111"/>
    </row>
    <row r="627" spans="1:25" x14ac:dyDescent="0.3">
      <c r="A627" s="10"/>
      <c r="B627" s="11"/>
      <c r="C627" s="58"/>
      <c r="D627" s="37"/>
      <c r="E627" s="100"/>
      <c r="F627" s="62"/>
      <c r="G627" s="55"/>
      <c r="I627" s="39"/>
      <c r="Q627" s="48"/>
      <c r="U627" s="45"/>
      <c r="V627" s="108"/>
      <c r="W627" s="109"/>
      <c r="X627" s="111"/>
      <c r="Y627" s="111"/>
    </row>
    <row r="628" spans="1:25" x14ac:dyDescent="0.3">
      <c r="A628" s="10"/>
      <c r="B628" s="11"/>
      <c r="C628" s="58"/>
      <c r="D628" s="37"/>
      <c r="E628" s="100"/>
      <c r="F628" s="62"/>
      <c r="G628" s="55"/>
      <c r="I628" s="39"/>
      <c r="Q628" s="48"/>
      <c r="U628" s="45"/>
      <c r="V628" s="108"/>
      <c r="W628" s="109"/>
      <c r="X628" s="111"/>
      <c r="Y628" s="111"/>
    </row>
    <row r="629" spans="1:25" x14ac:dyDescent="0.3">
      <c r="A629" s="10"/>
      <c r="B629" s="11"/>
      <c r="C629" s="58"/>
      <c r="D629" s="37"/>
      <c r="E629" s="100"/>
      <c r="F629" s="62"/>
      <c r="G629" s="55"/>
      <c r="I629" s="39"/>
      <c r="Q629" s="48"/>
      <c r="U629" s="45"/>
      <c r="V629" s="108"/>
      <c r="W629" s="109"/>
      <c r="X629" s="111"/>
      <c r="Y629" s="111"/>
    </row>
    <row r="630" spans="1:25" x14ac:dyDescent="0.3">
      <c r="A630" s="10"/>
      <c r="B630" s="11"/>
      <c r="C630" s="58"/>
      <c r="D630" s="37"/>
      <c r="E630" s="100"/>
      <c r="F630" s="62"/>
      <c r="G630" s="55"/>
      <c r="I630" s="39"/>
      <c r="Q630" s="48"/>
      <c r="U630" s="45"/>
      <c r="V630" s="108"/>
      <c r="W630" s="109"/>
      <c r="X630" s="111"/>
      <c r="Y630" s="111"/>
    </row>
    <row r="631" spans="1:25" x14ac:dyDescent="0.3">
      <c r="A631" s="10"/>
      <c r="B631" s="11"/>
      <c r="C631" s="58"/>
      <c r="D631" s="37"/>
      <c r="E631" s="100"/>
      <c r="F631" s="62"/>
      <c r="G631" s="55"/>
      <c r="I631" s="39"/>
      <c r="Q631" s="48"/>
      <c r="U631" s="45"/>
      <c r="V631" s="108"/>
      <c r="W631" s="109"/>
      <c r="X631" s="111"/>
      <c r="Y631" s="111"/>
    </row>
    <row r="632" spans="1:25" x14ac:dyDescent="0.3">
      <c r="A632" s="10"/>
      <c r="B632" s="11"/>
      <c r="C632" s="58"/>
      <c r="D632" s="37"/>
      <c r="E632" s="100"/>
      <c r="F632" s="62"/>
      <c r="G632" s="55"/>
      <c r="I632" s="39"/>
      <c r="Q632" s="48"/>
      <c r="U632" s="45"/>
      <c r="V632" s="108"/>
      <c r="W632" s="109"/>
      <c r="X632" s="111"/>
      <c r="Y632" s="111"/>
    </row>
    <row r="633" spans="1:25" x14ac:dyDescent="0.3">
      <c r="A633" s="10"/>
      <c r="B633" s="11"/>
      <c r="C633" s="58"/>
      <c r="D633" s="37"/>
      <c r="E633" s="100"/>
      <c r="F633" s="62"/>
      <c r="G633" s="55"/>
      <c r="I633" s="39"/>
      <c r="Q633" s="48"/>
      <c r="U633" s="45"/>
      <c r="V633" s="108"/>
      <c r="W633" s="109"/>
      <c r="X633" s="111"/>
      <c r="Y633" s="111"/>
    </row>
    <row r="634" spans="1:25" x14ac:dyDescent="0.3">
      <c r="A634" s="10"/>
      <c r="B634" s="11"/>
      <c r="C634" s="58"/>
      <c r="D634" s="37"/>
      <c r="E634" s="100"/>
      <c r="F634" s="62"/>
      <c r="G634" s="55"/>
      <c r="I634" s="39"/>
      <c r="Q634" s="48"/>
      <c r="U634" s="45"/>
      <c r="V634" s="108"/>
      <c r="W634" s="109"/>
      <c r="X634" s="111"/>
      <c r="Y634" s="111"/>
    </row>
    <row r="635" spans="1:25" x14ac:dyDescent="0.3">
      <c r="A635" s="10"/>
      <c r="B635" s="11"/>
      <c r="C635" s="58"/>
      <c r="D635" s="37"/>
      <c r="E635" s="100"/>
      <c r="F635" s="62"/>
      <c r="G635" s="55"/>
      <c r="I635" s="39"/>
      <c r="Q635" s="48"/>
      <c r="U635" s="45"/>
      <c r="V635" s="108"/>
      <c r="W635" s="109"/>
      <c r="X635" s="111"/>
      <c r="Y635" s="111"/>
    </row>
    <row r="636" spans="1:25" x14ac:dyDescent="0.3">
      <c r="A636" s="10"/>
      <c r="B636" s="11"/>
      <c r="C636" s="58"/>
      <c r="D636" s="37"/>
      <c r="E636" s="100"/>
      <c r="F636" s="62"/>
      <c r="G636" s="55"/>
      <c r="I636" s="39"/>
      <c r="Q636" s="48"/>
      <c r="U636" s="45"/>
      <c r="V636" s="108"/>
      <c r="W636" s="109"/>
      <c r="X636" s="111"/>
      <c r="Y636" s="111"/>
    </row>
    <row r="637" spans="1:25" x14ac:dyDescent="0.3">
      <c r="A637" s="10"/>
      <c r="B637" s="11"/>
      <c r="C637" s="58"/>
      <c r="D637" s="37"/>
      <c r="E637" s="100"/>
      <c r="F637" s="62"/>
      <c r="G637" s="55"/>
      <c r="I637" s="39"/>
      <c r="Q637" s="48"/>
      <c r="U637" s="45"/>
      <c r="V637" s="108"/>
      <c r="W637" s="109"/>
      <c r="X637" s="111"/>
      <c r="Y637" s="111"/>
    </row>
    <row r="638" spans="1:25" x14ac:dyDescent="0.3">
      <c r="A638" s="10"/>
      <c r="B638" s="11"/>
      <c r="C638" s="58"/>
      <c r="D638" s="37"/>
      <c r="E638" s="100"/>
      <c r="F638" s="62"/>
      <c r="G638" s="55"/>
      <c r="I638" s="39"/>
      <c r="Q638" s="48"/>
      <c r="U638" s="45"/>
      <c r="V638" s="108"/>
      <c r="W638" s="109"/>
      <c r="X638" s="111"/>
      <c r="Y638" s="111"/>
    </row>
    <row r="639" spans="1:25" x14ac:dyDescent="0.3">
      <c r="A639" s="10"/>
      <c r="B639" s="11"/>
      <c r="C639" s="58"/>
      <c r="D639" s="37"/>
      <c r="E639" s="100"/>
      <c r="F639" s="62"/>
      <c r="G639" s="55"/>
      <c r="I639" s="39"/>
      <c r="Q639" s="48"/>
      <c r="U639" s="45"/>
      <c r="V639" s="108"/>
      <c r="W639" s="109"/>
      <c r="X639" s="111"/>
      <c r="Y639" s="111"/>
    </row>
    <row r="640" spans="1:25" x14ac:dyDescent="0.3">
      <c r="A640" s="10"/>
      <c r="B640" s="11"/>
      <c r="C640" s="58"/>
      <c r="D640" s="37"/>
      <c r="E640" s="100"/>
      <c r="F640" s="62"/>
      <c r="G640" s="55"/>
      <c r="I640" s="39"/>
      <c r="Q640" s="48"/>
      <c r="U640" s="45"/>
      <c r="V640" s="108"/>
      <c r="W640" s="109"/>
      <c r="X640" s="111"/>
      <c r="Y640" s="111"/>
    </row>
    <row r="641" spans="1:25" x14ac:dyDescent="0.3">
      <c r="A641" s="10"/>
      <c r="B641" s="11"/>
      <c r="C641" s="58"/>
      <c r="D641" s="37"/>
      <c r="E641" s="100"/>
      <c r="F641" s="62"/>
      <c r="G641" s="55"/>
      <c r="I641" s="39"/>
      <c r="Q641" s="48"/>
      <c r="U641" s="45"/>
      <c r="V641" s="108"/>
      <c r="W641" s="109"/>
      <c r="X641" s="111"/>
      <c r="Y641" s="111"/>
    </row>
    <row r="642" spans="1:25" x14ac:dyDescent="0.3">
      <c r="A642" s="10"/>
      <c r="B642" s="11"/>
      <c r="C642" s="58"/>
      <c r="D642" s="37"/>
      <c r="E642" s="100"/>
      <c r="F642" s="62"/>
      <c r="G642" s="55"/>
      <c r="I642" s="39"/>
      <c r="Q642" s="48"/>
      <c r="U642" s="45"/>
      <c r="V642" s="108"/>
      <c r="W642" s="109"/>
      <c r="X642" s="111"/>
      <c r="Y642" s="111"/>
    </row>
    <row r="643" spans="1:25" x14ac:dyDescent="0.3">
      <c r="A643" s="10"/>
      <c r="B643" s="11"/>
      <c r="C643" s="58"/>
      <c r="D643" s="37"/>
      <c r="E643" s="100"/>
      <c r="F643" s="62"/>
      <c r="G643" s="55"/>
      <c r="I643" s="39"/>
      <c r="Q643" s="48"/>
      <c r="U643" s="45"/>
      <c r="V643" s="108"/>
      <c r="W643" s="109"/>
      <c r="X643" s="111"/>
      <c r="Y643" s="111"/>
    </row>
    <row r="644" spans="1:25" x14ac:dyDescent="0.3">
      <c r="A644" s="10"/>
      <c r="B644" s="11"/>
      <c r="C644" s="58"/>
      <c r="D644" s="37"/>
      <c r="E644" s="100"/>
      <c r="F644" s="62"/>
      <c r="G644" s="55"/>
      <c r="I644" s="39"/>
      <c r="Q644" s="48"/>
      <c r="U644" s="45"/>
      <c r="V644" s="108"/>
      <c r="W644" s="109"/>
      <c r="X644" s="111"/>
      <c r="Y644" s="111"/>
    </row>
    <row r="645" spans="1:25" x14ac:dyDescent="0.3">
      <c r="A645" s="10"/>
      <c r="B645" s="11"/>
      <c r="C645" s="58"/>
      <c r="D645" s="37"/>
      <c r="E645" s="100"/>
      <c r="F645" s="62"/>
      <c r="G645" s="55"/>
      <c r="I645" s="39"/>
      <c r="Q645" s="48"/>
      <c r="U645" s="45"/>
      <c r="V645" s="108"/>
      <c r="W645" s="109"/>
      <c r="X645" s="111"/>
      <c r="Y645" s="111"/>
    </row>
    <row r="646" spans="1:25" x14ac:dyDescent="0.3">
      <c r="A646" s="10"/>
      <c r="B646" s="11"/>
      <c r="C646" s="58"/>
      <c r="D646" s="37"/>
      <c r="E646" s="100"/>
      <c r="F646" s="62"/>
      <c r="G646" s="55"/>
      <c r="I646" s="39"/>
      <c r="Q646" s="48"/>
      <c r="U646" s="45"/>
      <c r="V646" s="108"/>
      <c r="W646" s="109"/>
      <c r="X646" s="111"/>
      <c r="Y646" s="111"/>
    </row>
    <row r="647" spans="1:25" x14ac:dyDescent="0.3">
      <c r="A647" s="10"/>
      <c r="B647" s="11"/>
      <c r="C647" s="58"/>
      <c r="D647" s="37"/>
      <c r="E647" s="100"/>
      <c r="F647" s="62"/>
      <c r="G647" s="55"/>
      <c r="I647" s="39"/>
      <c r="Q647" s="48"/>
      <c r="U647" s="45"/>
      <c r="V647" s="108"/>
      <c r="W647" s="109"/>
      <c r="X647" s="111"/>
      <c r="Y647" s="111"/>
    </row>
    <row r="648" spans="1:25" x14ac:dyDescent="0.3">
      <c r="A648" s="10"/>
      <c r="B648" s="11"/>
      <c r="C648" s="58"/>
      <c r="D648" s="37"/>
      <c r="E648" s="100"/>
      <c r="F648" s="62"/>
      <c r="G648" s="55"/>
      <c r="I648" s="39"/>
      <c r="Q648" s="48"/>
      <c r="U648" s="45"/>
      <c r="V648" s="108"/>
      <c r="W648" s="109"/>
      <c r="X648" s="111"/>
      <c r="Y648" s="111"/>
    </row>
    <row r="649" spans="1:25" x14ac:dyDescent="0.3">
      <c r="A649" s="10"/>
      <c r="B649" s="11"/>
      <c r="C649" s="58"/>
      <c r="D649" s="37"/>
      <c r="E649" s="100"/>
      <c r="F649" s="62"/>
      <c r="G649" s="55"/>
      <c r="I649" s="39"/>
      <c r="Q649" s="48"/>
      <c r="U649" s="45"/>
      <c r="V649" s="108"/>
      <c r="W649" s="109"/>
      <c r="X649" s="111"/>
      <c r="Y649" s="111"/>
    </row>
    <row r="650" spans="1:25" x14ac:dyDescent="0.3">
      <c r="A650" s="10"/>
      <c r="B650" s="11"/>
      <c r="C650" s="58"/>
      <c r="D650" s="37"/>
      <c r="E650" s="100"/>
      <c r="F650" s="62"/>
      <c r="G650" s="55"/>
      <c r="I650" s="39"/>
      <c r="Q650" s="48"/>
      <c r="U650" s="45"/>
      <c r="V650" s="108"/>
      <c r="W650" s="109"/>
      <c r="X650" s="111"/>
      <c r="Y650" s="111"/>
    </row>
    <row r="651" spans="1:25" x14ac:dyDescent="0.3">
      <c r="A651" s="10"/>
      <c r="B651" s="11"/>
      <c r="C651" s="58"/>
      <c r="D651" s="37"/>
      <c r="E651" s="100"/>
      <c r="F651" s="62"/>
      <c r="G651" s="55"/>
      <c r="I651" s="39"/>
      <c r="Q651" s="48"/>
      <c r="U651" s="45"/>
      <c r="V651" s="108"/>
      <c r="W651" s="109"/>
      <c r="X651" s="111"/>
      <c r="Y651" s="111"/>
    </row>
    <row r="652" spans="1:25" x14ac:dyDescent="0.3">
      <c r="A652" s="10"/>
      <c r="B652" s="11"/>
      <c r="C652" s="58"/>
      <c r="D652" s="37"/>
      <c r="E652" s="100"/>
      <c r="F652" s="62"/>
      <c r="G652" s="55"/>
      <c r="I652" s="39"/>
      <c r="Q652" s="48"/>
      <c r="U652" s="45"/>
      <c r="V652" s="108"/>
      <c r="W652" s="109"/>
      <c r="X652" s="111"/>
      <c r="Y652" s="111"/>
    </row>
    <row r="653" spans="1:25" x14ac:dyDescent="0.3">
      <c r="A653" s="10"/>
      <c r="B653" s="11"/>
      <c r="C653" s="58"/>
      <c r="D653" s="37"/>
      <c r="E653" s="100"/>
      <c r="F653" s="62"/>
      <c r="G653" s="55"/>
      <c r="I653" s="39"/>
      <c r="Q653" s="48"/>
      <c r="U653" s="45"/>
      <c r="V653" s="108"/>
      <c r="W653" s="109"/>
      <c r="X653" s="111"/>
      <c r="Y653" s="111"/>
    </row>
    <row r="654" spans="1:25" x14ac:dyDescent="0.3">
      <c r="A654" s="10"/>
      <c r="B654" s="11"/>
      <c r="C654" s="58"/>
      <c r="D654" s="37"/>
      <c r="E654" s="100"/>
      <c r="F654" s="62"/>
      <c r="G654" s="55"/>
      <c r="I654" s="39"/>
      <c r="Q654" s="48"/>
      <c r="U654" s="45"/>
      <c r="V654" s="108"/>
      <c r="W654" s="109"/>
      <c r="X654" s="111"/>
      <c r="Y654" s="111"/>
    </row>
    <row r="655" spans="1:25" x14ac:dyDescent="0.3">
      <c r="A655" s="10"/>
      <c r="B655" s="11"/>
      <c r="C655" s="58"/>
      <c r="D655" s="37"/>
      <c r="E655" s="100"/>
      <c r="F655" s="62"/>
      <c r="G655" s="55"/>
      <c r="I655" s="39"/>
      <c r="Q655" s="48"/>
      <c r="U655" s="45"/>
      <c r="V655" s="108"/>
      <c r="W655" s="109"/>
      <c r="X655" s="111"/>
      <c r="Y655" s="111"/>
    </row>
    <row r="656" spans="1:25" x14ac:dyDescent="0.3">
      <c r="A656" s="10"/>
      <c r="B656" s="11"/>
      <c r="C656" s="58"/>
      <c r="D656" s="37"/>
      <c r="E656" s="100"/>
      <c r="F656" s="62"/>
      <c r="G656" s="55"/>
      <c r="I656" s="39"/>
      <c r="Q656" s="48"/>
      <c r="U656" s="45"/>
      <c r="V656" s="108"/>
      <c r="W656" s="109"/>
      <c r="X656" s="111"/>
      <c r="Y656" s="111"/>
    </row>
    <row r="657" spans="1:25" x14ac:dyDescent="0.3">
      <c r="A657" s="10"/>
      <c r="B657" s="11"/>
      <c r="C657" s="58"/>
      <c r="D657" s="37"/>
      <c r="E657" s="100"/>
      <c r="F657" s="62"/>
      <c r="G657" s="55"/>
      <c r="I657" s="39"/>
      <c r="Q657" s="48"/>
      <c r="U657" s="45"/>
      <c r="V657" s="108"/>
      <c r="W657" s="109"/>
      <c r="X657" s="111"/>
      <c r="Y657" s="111"/>
    </row>
    <row r="658" spans="1:25" x14ac:dyDescent="0.3">
      <c r="A658" s="10"/>
      <c r="B658" s="11"/>
      <c r="C658" s="58"/>
      <c r="D658" s="37"/>
      <c r="E658" s="100"/>
      <c r="F658" s="62"/>
      <c r="G658" s="55"/>
      <c r="I658" s="39"/>
      <c r="Q658" s="48"/>
      <c r="U658" s="45"/>
      <c r="V658" s="108"/>
      <c r="W658" s="109"/>
      <c r="X658" s="111"/>
      <c r="Y658" s="111"/>
    </row>
    <row r="659" spans="1:25" x14ac:dyDescent="0.3">
      <c r="A659" s="10"/>
      <c r="B659" s="11"/>
      <c r="C659" s="58"/>
      <c r="D659" s="37"/>
      <c r="E659" s="100"/>
      <c r="F659" s="62"/>
      <c r="G659" s="55"/>
      <c r="I659" s="39"/>
      <c r="Q659" s="48"/>
      <c r="U659" s="45"/>
      <c r="V659" s="108"/>
      <c r="W659" s="109"/>
      <c r="X659" s="111"/>
      <c r="Y659" s="111"/>
    </row>
    <row r="660" spans="1:25" x14ac:dyDescent="0.3">
      <c r="A660" s="10"/>
      <c r="B660" s="11"/>
      <c r="C660" s="58"/>
      <c r="D660" s="37"/>
      <c r="E660" s="100"/>
      <c r="F660" s="62"/>
      <c r="G660" s="55"/>
      <c r="I660" s="39"/>
      <c r="Q660" s="48"/>
      <c r="U660" s="45"/>
      <c r="V660" s="108"/>
      <c r="W660" s="109"/>
      <c r="X660" s="111"/>
      <c r="Y660" s="111"/>
    </row>
    <row r="661" spans="1:25" x14ac:dyDescent="0.3">
      <c r="A661" s="10"/>
      <c r="B661" s="11"/>
      <c r="C661" s="58"/>
      <c r="D661" s="37"/>
      <c r="E661" s="100"/>
      <c r="F661" s="62"/>
      <c r="G661" s="55"/>
      <c r="I661" s="39"/>
      <c r="Q661" s="48"/>
      <c r="U661" s="45"/>
      <c r="V661" s="108"/>
      <c r="W661" s="109"/>
      <c r="X661" s="111"/>
      <c r="Y661" s="111"/>
    </row>
    <row r="662" spans="1:25" x14ac:dyDescent="0.3">
      <c r="A662" s="10"/>
      <c r="B662" s="11"/>
      <c r="C662" s="58"/>
      <c r="D662" s="37"/>
      <c r="E662" s="100"/>
      <c r="F662" s="62"/>
      <c r="G662" s="55"/>
      <c r="I662" s="39"/>
      <c r="Q662" s="48"/>
      <c r="U662" s="45"/>
      <c r="V662" s="108"/>
      <c r="W662" s="109"/>
      <c r="X662" s="111"/>
      <c r="Y662" s="111"/>
    </row>
    <row r="663" spans="1:25" x14ac:dyDescent="0.3">
      <c r="A663" s="10"/>
      <c r="B663" s="11"/>
      <c r="C663" s="58"/>
      <c r="D663" s="37"/>
      <c r="E663" s="100"/>
      <c r="F663" s="62"/>
      <c r="G663" s="55"/>
      <c r="I663" s="39"/>
      <c r="Q663" s="48"/>
      <c r="U663" s="45"/>
      <c r="V663" s="108"/>
      <c r="W663" s="109"/>
      <c r="X663" s="111"/>
      <c r="Y663" s="111"/>
    </row>
    <row r="664" spans="1:25" x14ac:dyDescent="0.3">
      <c r="A664" s="10"/>
      <c r="B664" s="11"/>
      <c r="C664" s="58"/>
      <c r="D664" s="37"/>
      <c r="E664" s="100"/>
      <c r="F664" s="62"/>
      <c r="G664" s="55"/>
      <c r="I664" s="39"/>
      <c r="Q664" s="48"/>
      <c r="U664" s="45"/>
      <c r="V664" s="108"/>
      <c r="W664" s="109"/>
      <c r="X664" s="111"/>
      <c r="Y664" s="111"/>
    </row>
    <row r="665" spans="1:25" x14ac:dyDescent="0.3">
      <c r="A665" s="10"/>
      <c r="B665" s="11"/>
      <c r="C665" s="58"/>
      <c r="D665" s="37"/>
      <c r="E665" s="100"/>
      <c r="F665" s="62"/>
      <c r="G665" s="55"/>
      <c r="I665" s="39"/>
      <c r="Q665" s="48"/>
      <c r="U665" s="45"/>
      <c r="V665" s="108"/>
      <c r="W665" s="109"/>
      <c r="X665" s="111"/>
      <c r="Y665" s="111"/>
    </row>
    <row r="666" spans="1:25" x14ac:dyDescent="0.3">
      <c r="A666" s="10"/>
      <c r="B666" s="11"/>
      <c r="C666" s="58"/>
      <c r="D666" s="37"/>
      <c r="E666" s="100"/>
      <c r="F666" s="62"/>
      <c r="G666" s="55"/>
      <c r="I666" s="39"/>
      <c r="Q666" s="48"/>
      <c r="U666" s="45"/>
      <c r="V666" s="108"/>
      <c r="W666" s="109"/>
      <c r="X666" s="111"/>
      <c r="Y666" s="111"/>
    </row>
    <row r="667" spans="1:25" x14ac:dyDescent="0.3">
      <c r="A667" s="10"/>
      <c r="B667" s="11"/>
      <c r="C667" s="58"/>
      <c r="D667" s="37"/>
      <c r="E667" s="100"/>
      <c r="F667" s="62"/>
      <c r="G667" s="55"/>
      <c r="I667" s="39"/>
      <c r="Q667" s="48"/>
      <c r="U667" s="45"/>
      <c r="V667" s="108"/>
      <c r="W667" s="109"/>
      <c r="X667" s="111"/>
      <c r="Y667" s="111"/>
    </row>
    <row r="668" spans="1:25" x14ac:dyDescent="0.3">
      <c r="A668" s="10"/>
      <c r="B668" s="11"/>
      <c r="C668" s="58"/>
      <c r="D668" s="37"/>
      <c r="E668" s="100"/>
      <c r="F668" s="62"/>
      <c r="G668" s="55"/>
      <c r="I668" s="39"/>
      <c r="Q668" s="48"/>
      <c r="U668" s="45"/>
      <c r="V668" s="108"/>
      <c r="W668" s="109"/>
      <c r="X668" s="111"/>
      <c r="Y668" s="111"/>
    </row>
    <row r="669" spans="1:25" x14ac:dyDescent="0.3">
      <c r="A669" s="10"/>
      <c r="B669" s="11"/>
      <c r="C669" s="58"/>
      <c r="D669" s="37"/>
      <c r="E669" s="100"/>
      <c r="F669" s="62"/>
      <c r="G669" s="55"/>
      <c r="I669" s="39"/>
      <c r="Q669" s="48"/>
      <c r="U669" s="45"/>
      <c r="V669" s="108"/>
      <c r="W669" s="109"/>
      <c r="X669" s="111"/>
      <c r="Y669" s="111"/>
    </row>
    <row r="670" spans="1:25" x14ac:dyDescent="0.3">
      <c r="A670" s="10"/>
      <c r="B670" s="11"/>
      <c r="C670" s="58"/>
      <c r="D670" s="37"/>
      <c r="E670" s="100"/>
      <c r="F670" s="62"/>
      <c r="G670" s="55"/>
      <c r="I670" s="39"/>
      <c r="Q670" s="48"/>
      <c r="U670" s="45"/>
      <c r="V670" s="108"/>
      <c r="W670" s="109"/>
      <c r="X670" s="111"/>
      <c r="Y670" s="111"/>
    </row>
    <row r="671" spans="1:25" x14ac:dyDescent="0.3">
      <c r="A671" s="10"/>
      <c r="B671" s="11"/>
      <c r="C671" s="58"/>
      <c r="D671" s="37"/>
      <c r="E671" s="100"/>
      <c r="F671" s="62"/>
      <c r="G671" s="55"/>
      <c r="I671" s="39"/>
      <c r="Q671" s="48"/>
      <c r="U671" s="45"/>
      <c r="V671" s="108"/>
      <c r="W671" s="109"/>
      <c r="X671" s="111"/>
      <c r="Y671" s="111"/>
    </row>
    <row r="672" spans="1:25" x14ac:dyDescent="0.3">
      <c r="A672" s="10"/>
      <c r="B672" s="11"/>
      <c r="C672" s="58"/>
      <c r="D672" s="37"/>
      <c r="E672" s="100"/>
      <c r="F672" s="62"/>
      <c r="G672" s="55"/>
      <c r="I672" s="39"/>
      <c r="Q672" s="48"/>
      <c r="U672" s="45"/>
      <c r="V672" s="108"/>
      <c r="W672" s="109"/>
      <c r="X672" s="111"/>
      <c r="Y672" s="111"/>
    </row>
    <row r="673" spans="1:25" x14ac:dyDescent="0.3">
      <c r="A673" s="10"/>
      <c r="B673" s="11"/>
      <c r="C673" s="58"/>
      <c r="D673" s="37"/>
      <c r="E673" s="100"/>
      <c r="F673" s="62"/>
      <c r="G673" s="55"/>
      <c r="I673" s="39"/>
      <c r="Q673" s="48"/>
      <c r="U673" s="45"/>
      <c r="V673" s="108"/>
      <c r="W673" s="109"/>
      <c r="X673" s="111"/>
      <c r="Y673" s="111"/>
    </row>
    <row r="674" spans="1:25" x14ac:dyDescent="0.3">
      <c r="A674" s="10"/>
      <c r="B674" s="11"/>
      <c r="C674" s="58"/>
      <c r="D674" s="37"/>
      <c r="E674" s="100"/>
      <c r="F674" s="62"/>
      <c r="G674" s="55"/>
      <c r="I674" s="39"/>
      <c r="Q674" s="48"/>
      <c r="U674" s="45"/>
      <c r="V674" s="108"/>
      <c r="W674" s="109"/>
      <c r="X674" s="111"/>
      <c r="Y674" s="111"/>
    </row>
    <row r="675" spans="1:25" x14ac:dyDescent="0.3">
      <c r="A675" s="10"/>
      <c r="B675" s="11"/>
      <c r="C675" s="58"/>
      <c r="D675" s="37"/>
      <c r="E675" s="100"/>
      <c r="F675" s="62"/>
      <c r="G675" s="55"/>
      <c r="I675" s="39"/>
      <c r="Q675" s="48"/>
      <c r="U675" s="45"/>
      <c r="V675" s="108"/>
      <c r="W675" s="109"/>
      <c r="X675" s="111"/>
      <c r="Y675" s="111"/>
    </row>
    <row r="676" spans="1:25" x14ac:dyDescent="0.3">
      <c r="A676" s="10"/>
      <c r="B676" s="11"/>
      <c r="C676" s="58"/>
      <c r="D676" s="37"/>
      <c r="E676" s="100"/>
      <c r="F676" s="62"/>
      <c r="G676" s="55"/>
      <c r="I676" s="39"/>
      <c r="Q676" s="48"/>
      <c r="U676" s="45"/>
      <c r="V676" s="108"/>
      <c r="W676" s="109"/>
      <c r="X676" s="111"/>
      <c r="Y676" s="111"/>
    </row>
    <row r="677" spans="1:25" x14ac:dyDescent="0.3">
      <c r="A677" s="10"/>
      <c r="B677" s="11"/>
      <c r="C677" s="58"/>
      <c r="D677" s="37"/>
      <c r="E677" s="100"/>
      <c r="F677" s="62"/>
      <c r="G677" s="55"/>
      <c r="I677" s="39"/>
      <c r="Q677" s="48"/>
      <c r="U677" s="45"/>
      <c r="V677" s="108"/>
      <c r="W677" s="109"/>
      <c r="X677" s="111"/>
      <c r="Y677" s="111"/>
    </row>
    <row r="678" spans="1:25" x14ac:dyDescent="0.3">
      <c r="A678" s="10"/>
      <c r="B678" s="11"/>
      <c r="C678" s="58"/>
      <c r="D678" s="37"/>
      <c r="E678" s="100"/>
      <c r="F678" s="62"/>
      <c r="G678" s="55"/>
      <c r="I678" s="39"/>
      <c r="Q678" s="48"/>
      <c r="U678" s="45"/>
      <c r="V678" s="108"/>
      <c r="W678" s="109"/>
      <c r="X678" s="111"/>
      <c r="Y678" s="111"/>
    </row>
    <row r="679" spans="1:25" x14ac:dyDescent="0.3">
      <c r="A679" s="10"/>
      <c r="B679" s="11"/>
      <c r="C679" s="58"/>
      <c r="D679" s="37"/>
      <c r="E679" s="100"/>
      <c r="F679" s="62"/>
      <c r="G679" s="55"/>
      <c r="I679" s="39"/>
      <c r="Q679" s="48"/>
      <c r="U679" s="45"/>
      <c r="V679" s="108"/>
      <c r="W679" s="109"/>
      <c r="X679" s="111"/>
      <c r="Y679" s="111"/>
    </row>
    <row r="680" spans="1:25" x14ac:dyDescent="0.3">
      <c r="A680" s="10"/>
      <c r="B680" s="11"/>
      <c r="C680" s="58"/>
      <c r="D680" s="37"/>
      <c r="E680" s="100"/>
      <c r="F680" s="62"/>
      <c r="G680" s="55"/>
      <c r="I680" s="39"/>
      <c r="Q680" s="48"/>
      <c r="U680" s="45"/>
      <c r="V680" s="108"/>
      <c r="W680" s="109"/>
      <c r="X680" s="111"/>
      <c r="Y680" s="111"/>
    </row>
    <row r="681" spans="1:25" x14ac:dyDescent="0.3">
      <c r="A681" s="10"/>
      <c r="B681" s="11"/>
      <c r="C681" s="58"/>
      <c r="D681" s="37"/>
      <c r="E681" s="100"/>
      <c r="F681" s="62"/>
      <c r="G681" s="55"/>
      <c r="I681" s="39"/>
      <c r="Q681" s="48"/>
      <c r="U681" s="45"/>
      <c r="V681" s="108"/>
      <c r="W681" s="109"/>
      <c r="X681" s="111"/>
      <c r="Y681" s="111"/>
    </row>
    <row r="682" spans="1:25" x14ac:dyDescent="0.3">
      <c r="A682" s="10"/>
      <c r="B682" s="11"/>
      <c r="C682" s="58"/>
      <c r="D682" s="37"/>
      <c r="E682" s="100"/>
      <c r="F682" s="62"/>
      <c r="G682" s="55"/>
      <c r="I682" s="39"/>
      <c r="Q682" s="48"/>
      <c r="U682" s="45"/>
      <c r="V682" s="108"/>
      <c r="W682" s="109"/>
      <c r="X682" s="111"/>
      <c r="Y682" s="111"/>
    </row>
    <row r="683" spans="1:25" x14ac:dyDescent="0.3">
      <c r="A683" s="10"/>
      <c r="B683" s="11"/>
      <c r="C683" s="58"/>
      <c r="D683" s="37"/>
      <c r="E683" s="100"/>
      <c r="F683" s="62"/>
      <c r="G683" s="55"/>
      <c r="I683" s="39"/>
      <c r="Q683" s="48"/>
      <c r="U683" s="45"/>
      <c r="V683" s="108"/>
      <c r="W683" s="109"/>
      <c r="X683" s="111"/>
      <c r="Y683" s="111"/>
    </row>
    <row r="684" spans="1:25" x14ac:dyDescent="0.3">
      <c r="A684" s="10"/>
      <c r="B684" s="11"/>
      <c r="C684" s="58"/>
      <c r="D684" s="37"/>
      <c r="E684" s="100"/>
      <c r="F684" s="62"/>
      <c r="G684" s="55"/>
      <c r="I684" s="39"/>
      <c r="Q684" s="48"/>
      <c r="U684" s="45"/>
      <c r="V684" s="108"/>
      <c r="W684" s="109"/>
      <c r="X684" s="111"/>
      <c r="Y684" s="111"/>
    </row>
    <row r="685" spans="1:25" x14ac:dyDescent="0.3">
      <c r="A685" s="10"/>
      <c r="B685" s="11"/>
      <c r="C685" s="58"/>
      <c r="D685" s="37"/>
      <c r="E685" s="100"/>
      <c r="F685" s="62"/>
      <c r="G685" s="55"/>
      <c r="I685" s="39"/>
      <c r="Q685" s="48"/>
      <c r="U685" s="45"/>
      <c r="V685" s="108"/>
      <c r="W685" s="109"/>
      <c r="X685" s="111"/>
      <c r="Y685" s="111"/>
    </row>
    <row r="686" spans="1:25" x14ac:dyDescent="0.3">
      <c r="A686" s="10"/>
      <c r="B686" s="11"/>
      <c r="C686" s="58"/>
      <c r="D686" s="37"/>
      <c r="E686" s="100"/>
      <c r="F686" s="62"/>
      <c r="G686" s="55"/>
      <c r="I686" s="39"/>
      <c r="Q686" s="48"/>
      <c r="U686" s="45"/>
      <c r="V686" s="108"/>
      <c r="W686" s="109"/>
      <c r="X686" s="111"/>
      <c r="Y686" s="111"/>
    </row>
    <row r="687" spans="1:25" x14ac:dyDescent="0.3">
      <c r="A687" s="10"/>
      <c r="B687" s="11"/>
      <c r="C687" s="58"/>
      <c r="D687" s="37"/>
      <c r="E687" s="100"/>
      <c r="F687" s="62"/>
      <c r="G687" s="55"/>
      <c r="I687" s="39"/>
      <c r="Q687" s="48"/>
      <c r="U687" s="45"/>
      <c r="V687" s="108"/>
      <c r="W687" s="109"/>
      <c r="X687" s="111"/>
      <c r="Y687" s="111"/>
    </row>
    <row r="688" spans="1:25" x14ac:dyDescent="0.3">
      <c r="A688" s="10"/>
      <c r="B688" s="11"/>
      <c r="C688" s="58"/>
      <c r="D688" s="37"/>
      <c r="E688" s="100"/>
      <c r="F688" s="62"/>
      <c r="G688" s="55"/>
      <c r="I688" s="39"/>
      <c r="Q688" s="48"/>
      <c r="U688" s="45"/>
      <c r="V688" s="108"/>
      <c r="W688" s="109"/>
      <c r="X688" s="111"/>
      <c r="Y688" s="111"/>
    </row>
    <row r="689" spans="1:25" x14ac:dyDescent="0.3">
      <c r="A689" s="10"/>
      <c r="B689" s="11"/>
      <c r="C689" s="58"/>
      <c r="D689" s="37"/>
      <c r="E689" s="100"/>
      <c r="F689" s="62"/>
      <c r="G689" s="55"/>
      <c r="I689" s="39"/>
      <c r="Q689" s="48"/>
      <c r="U689" s="45"/>
      <c r="V689" s="108"/>
      <c r="W689" s="109"/>
      <c r="X689" s="111"/>
      <c r="Y689" s="111"/>
    </row>
    <row r="690" spans="1:25" x14ac:dyDescent="0.3">
      <c r="A690" s="10"/>
      <c r="B690" s="11"/>
      <c r="C690" s="58"/>
      <c r="D690" s="37"/>
      <c r="E690" s="100"/>
      <c r="F690" s="62"/>
      <c r="G690" s="55"/>
      <c r="I690" s="39"/>
      <c r="Q690" s="48"/>
      <c r="U690" s="45"/>
      <c r="V690" s="108"/>
      <c r="W690" s="109"/>
      <c r="X690" s="111"/>
      <c r="Y690" s="111"/>
    </row>
    <row r="691" spans="1:25" x14ac:dyDescent="0.3">
      <c r="A691" s="10"/>
      <c r="B691" s="11"/>
      <c r="C691" s="58"/>
      <c r="D691" s="37"/>
      <c r="E691" s="100"/>
      <c r="F691" s="62"/>
      <c r="G691" s="55"/>
      <c r="I691" s="39"/>
      <c r="Q691" s="48"/>
      <c r="U691" s="45"/>
      <c r="V691" s="108"/>
      <c r="W691" s="109"/>
      <c r="X691" s="111"/>
      <c r="Y691" s="111"/>
    </row>
    <row r="692" spans="1:25" x14ac:dyDescent="0.3">
      <c r="A692" s="10"/>
      <c r="B692" s="11"/>
      <c r="C692" s="58"/>
      <c r="D692" s="37"/>
      <c r="E692" s="100"/>
      <c r="F692" s="62"/>
      <c r="G692" s="55"/>
      <c r="I692" s="39"/>
      <c r="Q692" s="48"/>
      <c r="U692" s="45"/>
      <c r="V692" s="108"/>
      <c r="W692" s="109"/>
      <c r="X692" s="111"/>
      <c r="Y692" s="111"/>
    </row>
    <row r="693" spans="1:25" x14ac:dyDescent="0.3">
      <c r="A693" s="10"/>
      <c r="B693" s="11"/>
      <c r="C693" s="58"/>
      <c r="D693" s="37"/>
      <c r="E693" s="100"/>
      <c r="F693" s="62"/>
      <c r="G693" s="55"/>
      <c r="I693" s="39"/>
      <c r="Q693" s="48"/>
      <c r="U693" s="45"/>
      <c r="V693" s="108"/>
      <c r="W693" s="109"/>
      <c r="X693" s="111"/>
      <c r="Y693" s="111"/>
    </row>
    <row r="694" spans="1:25" x14ac:dyDescent="0.3">
      <c r="A694" s="10"/>
      <c r="B694" s="11"/>
      <c r="C694" s="58"/>
      <c r="D694" s="37"/>
      <c r="E694" s="100"/>
      <c r="F694" s="62"/>
      <c r="G694" s="55"/>
      <c r="I694" s="39"/>
      <c r="Q694" s="48"/>
      <c r="U694" s="45"/>
      <c r="V694" s="108"/>
      <c r="W694" s="109"/>
      <c r="X694" s="111"/>
      <c r="Y694" s="111"/>
    </row>
    <row r="695" spans="1:25" x14ac:dyDescent="0.3">
      <c r="A695" s="10"/>
      <c r="B695" s="11"/>
      <c r="C695" s="58"/>
      <c r="D695" s="37"/>
      <c r="E695" s="100"/>
      <c r="F695" s="62"/>
      <c r="G695" s="55"/>
      <c r="I695" s="39"/>
      <c r="Q695" s="48"/>
      <c r="U695" s="45"/>
      <c r="V695" s="108"/>
      <c r="W695" s="109"/>
      <c r="X695" s="111"/>
      <c r="Y695" s="111"/>
    </row>
    <row r="696" spans="1:25" x14ac:dyDescent="0.3">
      <c r="A696" s="10"/>
      <c r="B696" s="11"/>
      <c r="C696" s="58"/>
      <c r="D696" s="37"/>
      <c r="E696" s="100"/>
      <c r="F696" s="62"/>
      <c r="G696" s="55"/>
      <c r="I696" s="39"/>
      <c r="Q696" s="48"/>
      <c r="U696" s="45"/>
      <c r="V696" s="108"/>
      <c r="W696" s="109"/>
      <c r="X696" s="111"/>
      <c r="Y696" s="111"/>
    </row>
    <row r="697" spans="1:25" x14ac:dyDescent="0.3">
      <c r="A697" s="10"/>
      <c r="B697" s="11"/>
      <c r="C697" s="58"/>
      <c r="D697" s="37"/>
      <c r="E697" s="100"/>
      <c r="F697" s="62"/>
      <c r="G697" s="55"/>
      <c r="I697" s="39"/>
      <c r="Q697" s="48"/>
      <c r="U697" s="45"/>
      <c r="V697" s="108"/>
      <c r="W697" s="109"/>
      <c r="X697" s="111"/>
      <c r="Y697" s="111"/>
    </row>
    <row r="698" spans="1:25" x14ac:dyDescent="0.3">
      <c r="A698" s="10"/>
      <c r="B698" s="11"/>
      <c r="C698" s="58"/>
      <c r="D698" s="37"/>
      <c r="E698" s="100"/>
      <c r="F698" s="62"/>
      <c r="G698" s="55"/>
      <c r="I698" s="39"/>
      <c r="Q698" s="48"/>
      <c r="U698" s="45"/>
      <c r="V698" s="108"/>
      <c r="W698" s="109"/>
      <c r="X698" s="111"/>
      <c r="Y698" s="111"/>
    </row>
    <row r="699" spans="1:25" x14ac:dyDescent="0.3">
      <c r="A699" s="10"/>
      <c r="B699" s="11"/>
      <c r="C699" s="58"/>
      <c r="D699" s="37"/>
      <c r="E699" s="100"/>
      <c r="F699" s="62"/>
      <c r="G699" s="55"/>
      <c r="I699" s="39"/>
      <c r="Q699" s="48"/>
      <c r="U699" s="45"/>
      <c r="V699" s="108"/>
      <c r="W699" s="109"/>
      <c r="X699" s="111"/>
      <c r="Y699" s="111"/>
    </row>
    <row r="700" spans="1:25" x14ac:dyDescent="0.3">
      <c r="A700" s="10"/>
      <c r="B700" s="11"/>
      <c r="C700" s="58"/>
      <c r="D700" s="37"/>
      <c r="E700" s="100"/>
      <c r="F700" s="62"/>
      <c r="G700" s="55"/>
      <c r="I700" s="39"/>
      <c r="Q700" s="48"/>
      <c r="U700" s="45"/>
      <c r="V700" s="108"/>
      <c r="W700" s="109"/>
      <c r="X700" s="111"/>
      <c r="Y700" s="111"/>
    </row>
    <row r="701" spans="1:25" x14ac:dyDescent="0.3">
      <c r="A701" s="10"/>
      <c r="B701" s="11"/>
      <c r="C701" s="58"/>
      <c r="D701" s="37"/>
      <c r="E701" s="100"/>
      <c r="F701" s="62"/>
      <c r="G701" s="55"/>
      <c r="I701" s="39"/>
      <c r="Q701" s="48"/>
      <c r="U701" s="45"/>
      <c r="V701" s="108"/>
      <c r="W701" s="109"/>
      <c r="X701" s="111"/>
      <c r="Y701" s="111"/>
    </row>
    <row r="702" spans="1:25" x14ac:dyDescent="0.3">
      <c r="A702" s="10"/>
      <c r="B702" s="11"/>
      <c r="C702" s="58"/>
      <c r="D702" s="37"/>
      <c r="E702" s="100"/>
      <c r="F702" s="62"/>
      <c r="G702" s="55"/>
      <c r="I702" s="39"/>
      <c r="Q702" s="48"/>
      <c r="U702" s="45"/>
      <c r="V702" s="108"/>
      <c r="W702" s="109"/>
      <c r="X702" s="111"/>
      <c r="Y702" s="111"/>
    </row>
    <row r="703" spans="1:25" x14ac:dyDescent="0.3">
      <c r="A703" s="10"/>
      <c r="B703" s="11"/>
      <c r="C703" s="58"/>
      <c r="D703" s="37"/>
      <c r="E703" s="100"/>
      <c r="F703" s="62"/>
      <c r="G703" s="55"/>
      <c r="I703" s="39"/>
      <c r="Q703" s="48"/>
      <c r="U703" s="45"/>
      <c r="V703" s="108"/>
      <c r="W703" s="109"/>
      <c r="X703" s="111"/>
      <c r="Y703" s="111"/>
    </row>
    <row r="704" spans="1:25" x14ac:dyDescent="0.3">
      <c r="A704" s="10"/>
      <c r="B704" s="11"/>
      <c r="C704" s="58"/>
      <c r="D704" s="37"/>
      <c r="E704" s="100"/>
      <c r="F704" s="62"/>
      <c r="G704" s="55"/>
      <c r="I704" s="39"/>
      <c r="Q704" s="48"/>
      <c r="U704" s="45"/>
      <c r="V704" s="108"/>
      <c r="W704" s="109"/>
      <c r="X704" s="111"/>
      <c r="Y704" s="111"/>
    </row>
    <row r="705" spans="1:25" x14ac:dyDescent="0.3">
      <c r="A705" s="10"/>
      <c r="B705" s="11"/>
      <c r="C705" s="58"/>
      <c r="D705" s="37"/>
      <c r="E705" s="100"/>
      <c r="F705" s="62"/>
      <c r="G705" s="55"/>
      <c r="I705" s="39"/>
      <c r="Q705" s="48"/>
      <c r="U705" s="45"/>
      <c r="V705" s="108"/>
      <c r="W705" s="109"/>
      <c r="X705" s="111"/>
      <c r="Y705" s="111"/>
    </row>
    <row r="706" spans="1:25" x14ac:dyDescent="0.3">
      <c r="A706" s="10"/>
      <c r="B706" s="11"/>
      <c r="C706" s="58"/>
      <c r="D706" s="37"/>
      <c r="E706" s="100"/>
      <c r="F706" s="62"/>
      <c r="G706" s="55"/>
      <c r="I706" s="39"/>
      <c r="Q706" s="48"/>
      <c r="U706" s="45"/>
      <c r="V706" s="108"/>
      <c r="W706" s="109"/>
      <c r="X706" s="111"/>
      <c r="Y706" s="111"/>
    </row>
    <row r="707" spans="1:25" x14ac:dyDescent="0.3">
      <c r="A707" s="10"/>
      <c r="B707" s="11"/>
      <c r="C707" s="58"/>
      <c r="D707" s="37"/>
      <c r="E707" s="100"/>
      <c r="F707" s="62"/>
      <c r="G707" s="55"/>
      <c r="I707" s="39"/>
      <c r="Q707" s="48"/>
      <c r="U707" s="45"/>
      <c r="V707" s="108"/>
      <c r="W707" s="109"/>
      <c r="X707" s="111"/>
      <c r="Y707" s="111"/>
    </row>
    <row r="708" spans="1:25" x14ac:dyDescent="0.3">
      <c r="A708" s="10"/>
      <c r="B708" s="11"/>
      <c r="C708" s="58"/>
      <c r="D708" s="37"/>
      <c r="E708" s="100"/>
      <c r="F708" s="62"/>
      <c r="G708" s="55"/>
      <c r="I708" s="39"/>
      <c r="Q708" s="48"/>
      <c r="U708" s="45"/>
      <c r="V708" s="108"/>
      <c r="W708" s="109"/>
      <c r="X708" s="111"/>
      <c r="Y708" s="111"/>
    </row>
    <row r="709" spans="1:25" x14ac:dyDescent="0.3">
      <c r="A709" s="10"/>
      <c r="B709" s="11"/>
      <c r="C709" s="58"/>
      <c r="D709" s="37"/>
      <c r="E709" s="100"/>
      <c r="F709" s="62"/>
      <c r="G709" s="55"/>
      <c r="I709" s="39"/>
      <c r="Q709" s="48"/>
      <c r="U709" s="45"/>
      <c r="V709" s="108"/>
      <c r="W709" s="109"/>
      <c r="X709" s="111"/>
      <c r="Y709" s="111"/>
    </row>
    <row r="710" spans="1:25" x14ac:dyDescent="0.3">
      <c r="A710" s="10"/>
      <c r="B710" s="11"/>
      <c r="C710" s="58"/>
      <c r="D710" s="37"/>
      <c r="E710" s="100"/>
      <c r="F710" s="62"/>
      <c r="G710" s="55"/>
      <c r="I710" s="39"/>
      <c r="Q710" s="48"/>
      <c r="U710" s="45"/>
      <c r="V710" s="108"/>
      <c r="W710" s="109"/>
      <c r="X710" s="111"/>
      <c r="Y710" s="111"/>
    </row>
    <row r="711" spans="1:25" x14ac:dyDescent="0.3">
      <c r="A711" s="10"/>
      <c r="B711" s="11"/>
      <c r="C711" s="58"/>
      <c r="D711" s="37"/>
      <c r="E711" s="100"/>
      <c r="F711" s="62"/>
      <c r="G711" s="55"/>
      <c r="I711" s="39"/>
      <c r="Q711" s="48"/>
      <c r="U711" s="45"/>
      <c r="V711" s="108"/>
      <c r="W711" s="109"/>
      <c r="X711" s="111"/>
      <c r="Y711" s="111"/>
    </row>
    <row r="712" spans="1:25" x14ac:dyDescent="0.3">
      <c r="A712" s="10"/>
      <c r="B712" s="11"/>
      <c r="C712" s="58"/>
      <c r="D712" s="37"/>
      <c r="E712" s="100"/>
      <c r="F712" s="62"/>
      <c r="G712" s="55"/>
      <c r="I712" s="39"/>
      <c r="Q712" s="48"/>
      <c r="U712" s="45"/>
      <c r="V712" s="108"/>
      <c r="W712" s="109"/>
      <c r="X712" s="111"/>
      <c r="Y712" s="111"/>
    </row>
    <row r="713" spans="1:25" x14ac:dyDescent="0.3">
      <c r="A713" s="10"/>
      <c r="B713" s="11"/>
      <c r="C713" s="58"/>
      <c r="D713" s="37"/>
      <c r="E713" s="100"/>
      <c r="F713" s="62"/>
      <c r="G713" s="55"/>
      <c r="I713" s="39"/>
      <c r="Q713" s="48"/>
      <c r="U713" s="45"/>
      <c r="V713" s="108"/>
      <c r="W713" s="109"/>
      <c r="X713" s="111"/>
      <c r="Y713" s="111"/>
    </row>
    <row r="714" spans="1:25" x14ac:dyDescent="0.3">
      <c r="A714" s="10"/>
      <c r="B714" s="11"/>
      <c r="C714" s="58"/>
      <c r="D714" s="37"/>
      <c r="E714" s="100"/>
      <c r="F714" s="62"/>
      <c r="G714" s="55"/>
      <c r="I714" s="39"/>
      <c r="Q714" s="48"/>
      <c r="U714" s="45"/>
      <c r="V714" s="108"/>
      <c r="W714" s="109"/>
      <c r="X714" s="111"/>
      <c r="Y714" s="111"/>
    </row>
    <row r="715" spans="1:25" x14ac:dyDescent="0.3">
      <c r="A715" s="10"/>
      <c r="B715" s="11"/>
      <c r="C715" s="58"/>
      <c r="D715" s="37"/>
      <c r="E715" s="100"/>
      <c r="F715" s="62"/>
      <c r="G715" s="55"/>
      <c r="I715" s="39"/>
      <c r="Q715" s="48"/>
      <c r="U715" s="45"/>
      <c r="V715" s="108"/>
      <c r="W715" s="109"/>
      <c r="X715" s="111"/>
      <c r="Y715" s="111"/>
    </row>
    <row r="716" spans="1:25" x14ac:dyDescent="0.3">
      <c r="A716" s="10"/>
      <c r="B716" s="11"/>
      <c r="C716" s="58"/>
      <c r="D716" s="37"/>
      <c r="E716" s="100"/>
      <c r="F716" s="62"/>
      <c r="G716" s="55"/>
      <c r="I716" s="39"/>
      <c r="Q716" s="48"/>
      <c r="U716" s="45"/>
      <c r="V716" s="108"/>
      <c r="W716" s="109"/>
      <c r="X716" s="111"/>
      <c r="Y716" s="111"/>
    </row>
    <row r="717" spans="1:25" x14ac:dyDescent="0.3">
      <c r="A717" s="10"/>
      <c r="B717" s="11"/>
      <c r="C717" s="58"/>
      <c r="D717" s="37"/>
      <c r="E717" s="100"/>
      <c r="F717" s="62"/>
      <c r="G717" s="55"/>
      <c r="I717" s="39"/>
      <c r="Q717" s="48"/>
      <c r="U717" s="45"/>
      <c r="V717" s="108"/>
      <c r="W717" s="109"/>
      <c r="X717" s="111"/>
      <c r="Y717" s="111"/>
    </row>
    <row r="718" spans="1:25" x14ac:dyDescent="0.3">
      <c r="A718" s="10"/>
      <c r="B718" s="11"/>
      <c r="C718" s="58"/>
      <c r="D718" s="37"/>
      <c r="E718" s="100"/>
      <c r="F718" s="62"/>
      <c r="G718" s="55"/>
      <c r="I718" s="39"/>
      <c r="Q718" s="48"/>
      <c r="U718" s="45"/>
      <c r="V718" s="108"/>
      <c r="W718" s="109"/>
      <c r="X718" s="111"/>
      <c r="Y718" s="111"/>
    </row>
    <row r="719" spans="1:25" x14ac:dyDescent="0.3">
      <c r="A719" s="10"/>
      <c r="B719" s="11"/>
      <c r="C719" s="58"/>
      <c r="D719" s="37"/>
      <c r="E719" s="100"/>
      <c r="F719" s="62"/>
      <c r="G719" s="55"/>
      <c r="I719" s="39"/>
      <c r="Q719" s="48"/>
      <c r="U719" s="45"/>
      <c r="V719" s="108"/>
      <c r="W719" s="109"/>
      <c r="X719" s="111"/>
      <c r="Y719" s="111"/>
    </row>
    <row r="720" spans="1:25" x14ac:dyDescent="0.3">
      <c r="A720" s="10"/>
      <c r="B720" s="11"/>
      <c r="C720" s="58"/>
      <c r="D720" s="37"/>
      <c r="E720" s="100"/>
      <c r="F720" s="62"/>
      <c r="G720" s="55"/>
      <c r="I720" s="39"/>
      <c r="Q720" s="48"/>
      <c r="U720" s="45"/>
      <c r="V720" s="108"/>
      <c r="W720" s="109"/>
      <c r="X720" s="111"/>
      <c r="Y720" s="111"/>
    </row>
    <row r="721" spans="1:25" x14ac:dyDescent="0.3">
      <c r="A721" s="10"/>
      <c r="B721" s="11"/>
      <c r="C721" s="58"/>
      <c r="D721" s="37"/>
      <c r="E721" s="100"/>
      <c r="F721" s="62"/>
      <c r="G721" s="55"/>
      <c r="I721" s="39"/>
      <c r="Q721" s="48"/>
      <c r="U721" s="45"/>
      <c r="V721" s="108"/>
      <c r="W721" s="109"/>
      <c r="X721" s="111"/>
      <c r="Y721" s="111"/>
    </row>
    <row r="722" spans="1:25" x14ac:dyDescent="0.3">
      <c r="A722" s="10"/>
      <c r="B722" s="11"/>
      <c r="C722" s="58"/>
      <c r="D722" s="37"/>
      <c r="E722" s="100"/>
      <c r="F722" s="62"/>
      <c r="G722" s="55"/>
      <c r="I722" s="39"/>
      <c r="Q722" s="48"/>
      <c r="U722" s="45"/>
      <c r="V722" s="108"/>
      <c r="W722" s="109"/>
      <c r="X722" s="111"/>
      <c r="Y722" s="111"/>
    </row>
    <row r="723" spans="1:25" x14ac:dyDescent="0.3">
      <c r="A723" s="10"/>
      <c r="B723" s="11"/>
      <c r="C723" s="58"/>
      <c r="D723" s="37"/>
      <c r="E723" s="100"/>
      <c r="F723" s="62"/>
      <c r="G723" s="55"/>
      <c r="I723" s="39"/>
      <c r="Q723" s="48"/>
      <c r="U723" s="45"/>
      <c r="V723" s="108"/>
      <c r="W723" s="109"/>
      <c r="X723" s="111"/>
      <c r="Y723" s="111"/>
    </row>
    <row r="724" spans="1:25" x14ac:dyDescent="0.3">
      <c r="A724" s="10"/>
      <c r="B724" s="11"/>
      <c r="C724" s="58"/>
      <c r="D724" s="37"/>
      <c r="E724" s="100"/>
      <c r="F724" s="62"/>
      <c r="G724" s="55"/>
      <c r="I724" s="39"/>
      <c r="Q724" s="48"/>
      <c r="U724" s="45"/>
      <c r="V724" s="108"/>
      <c r="W724" s="109"/>
      <c r="X724" s="111"/>
      <c r="Y724" s="111"/>
    </row>
    <row r="725" spans="1:25" x14ac:dyDescent="0.3">
      <c r="A725" s="10"/>
      <c r="B725" s="11"/>
      <c r="C725" s="58"/>
      <c r="D725" s="37"/>
      <c r="E725" s="100"/>
      <c r="F725" s="62"/>
      <c r="G725" s="55"/>
      <c r="I725" s="39"/>
      <c r="Q725" s="48"/>
      <c r="U725" s="45"/>
      <c r="V725" s="108"/>
      <c r="W725" s="109"/>
      <c r="X725" s="111"/>
      <c r="Y725" s="111"/>
    </row>
    <row r="726" spans="1:25" x14ac:dyDescent="0.3">
      <c r="A726" s="10"/>
      <c r="B726" s="11"/>
      <c r="C726" s="58"/>
      <c r="D726" s="37"/>
      <c r="E726" s="100"/>
      <c r="F726" s="62"/>
      <c r="G726" s="55"/>
      <c r="I726" s="39"/>
      <c r="Q726" s="48"/>
      <c r="U726" s="45"/>
      <c r="V726" s="108"/>
      <c r="W726" s="109"/>
      <c r="X726" s="111"/>
      <c r="Y726" s="111"/>
    </row>
    <row r="727" spans="1:25" x14ac:dyDescent="0.3">
      <c r="A727" s="10"/>
      <c r="B727" s="11"/>
      <c r="C727" s="58"/>
      <c r="D727" s="37"/>
      <c r="E727" s="100"/>
      <c r="F727" s="62"/>
      <c r="G727" s="55"/>
      <c r="I727" s="39"/>
      <c r="Q727" s="48"/>
      <c r="U727" s="45"/>
      <c r="V727" s="108"/>
      <c r="W727" s="109"/>
      <c r="X727" s="111"/>
      <c r="Y727" s="111"/>
    </row>
    <row r="728" spans="1:25" x14ac:dyDescent="0.3">
      <c r="A728" s="10"/>
      <c r="B728" s="11"/>
      <c r="C728" s="58"/>
      <c r="D728" s="37"/>
      <c r="E728" s="100"/>
      <c r="F728" s="62"/>
      <c r="G728" s="55"/>
      <c r="I728" s="39"/>
      <c r="Q728" s="48"/>
      <c r="U728" s="45"/>
      <c r="V728" s="108"/>
      <c r="W728" s="109"/>
      <c r="X728" s="111"/>
      <c r="Y728" s="111"/>
    </row>
    <row r="729" spans="1:25" x14ac:dyDescent="0.3">
      <c r="A729" s="10"/>
      <c r="B729" s="11"/>
      <c r="C729" s="58"/>
      <c r="D729" s="37"/>
      <c r="E729" s="100"/>
      <c r="F729" s="62"/>
      <c r="G729" s="55"/>
      <c r="I729" s="39"/>
      <c r="Q729" s="48"/>
      <c r="U729" s="45"/>
      <c r="V729" s="108"/>
      <c r="W729" s="109"/>
      <c r="X729" s="111"/>
      <c r="Y729" s="111"/>
    </row>
    <row r="730" spans="1:25" x14ac:dyDescent="0.3">
      <c r="A730" s="10"/>
      <c r="B730" s="11"/>
      <c r="C730" s="58"/>
      <c r="D730" s="37"/>
      <c r="E730" s="100"/>
      <c r="F730" s="62"/>
      <c r="G730" s="55"/>
      <c r="I730" s="39"/>
      <c r="Q730" s="48"/>
      <c r="U730" s="45"/>
      <c r="V730" s="108"/>
      <c r="W730" s="109"/>
      <c r="X730" s="111"/>
      <c r="Y730" s="111"/>
    </row>
    <row r="731" spans="1:25" x14ac:dyDescent="0.3">
      <c r="A731" s="10"/>
      <c r="B731" s="11"/>
      <c r="C731" s="58"/>
      <c r="D731" s="37"/>
      <c r="E731" s="100"/>
      <c r="F731" s="62"/>
      <c r="G731" s="55"/>
      <c r="I731" s="39"/>
      <c r="Q731" s="48"/>
      <c r="U731" s="45"/>
      <c r="V731" s="108"/>
      <c r="W731" s="109"/>
      <c r="X731" s="111"/>
      <c r="Y731" s="111"/>
    </row>
    <row r="732" spans="1:25" x14ac:dyDescent="0.3">
      <c r="A732" s="10"/>
      <c r="B732" s="11"/>
      <c r="C732" s="58"/>
      <c r="D732" s="37"/>
      <c r="E732" s="100"/>
      <c r="F732" s="62"/>
      <c r="G732" s="55"/>
      <c r="I732" s="39"/>
      <c r="Q732" s="48"/>
      <c r="U732" s="45"/>
      <c r="V732" s="108"/>
      <c r="W732" s="109"/>
      <c r="X732" s="111"/>
      <c r="Y732" s="111"/>
    </row>
    <row r="733" spans="1:25" x14ac:dyDescent="0.3">
      <c r="A733" s="10"/>
      <c r="B733" s="11"/>
      <c r="C733" s="58"/>
      <c r="D733" s="37"/>
      <c r="E733" s="100"/>
      <c r="F733" s="62"/>
      <c r="G733" s="55"/>
      <c r="I733" s="39"/>
      <c r="Q733" s="48"/>
      <c r="U733" s="45"/>
      <c r="V733" s="108"/>
      <c r="W733" s="109"/>
      <c r="X733" s="111"/>
      <c r="Y733" s="111"/>
    </row>
    <row r="734" spans="1:25" x14ac:dyDescent="0.3">
      <c r="A734" s="10"/>
      <c r="B734" s="11"/>
      <c r="C734" s="58"/>
      <c r="D734" s="37"/>
      <c r="E734" s="100"/>
      <c r="F734" s="62"/>
      <c r="G734" s="55"/>
      <c r="I734" s="39"/>
      <c r="Q734" s="48"/>
      <c r="U734" s="45"/>
      <c r="V734" s="108"/>
      <c r="W734" s="109"/>
      <c r="X734" s="111"/>
      <c r="Y734" s="111"/>
    </row>
    <row r="735" spans="1:25" x14ac:dyDescent="0.3">
      <c r="A735" s="10"/>
      <c r="B735" s="11"/>
      <c r="C735" s="58"/>
      <c r="D735" s="37"/>
      <c r="E735" s="100"/>
      <c r="F735" s="62"/>
      <c r="G735" s="55"/>
      <c r="I735" s="39"/>
      <c r="Q735" s="48"/>
      <c r="U735" s="45"/>
      <c r="V735" s="108"/>
      <c r="W735" s="109"/>
      <c r="X735" s="111"/>
      <c r="Y735" s="111"/>
    </row>
    <row r="736" spans="1:25" x14ac:dyDescent="0.3">
      <c r="A736" s="10"/>
      <c r="B736" s="11"/>
      <c r="C736" s="58"/>
      <c r="D736" s="37"/>
      <c r="E736" s="100"/>
      <c r="F736" s="62"/>
      <c r="G736" s="55"/>
      <c r="I736" s="39"/>
      <c r="Q736" s="48"/>
      <c r="U736" s="45"/>
      <c r="V736" s="108"/>
      <c r="W736" s="109"/>
      <c r="X736" s="111"/>
      <c r="Y736" s="111"/>
    </row>
    <row r="737" spans="1:25" x14ac:dyDescent="0.3">
      <c r="A737" s="10"/>
      <c r="B737" s="11"/>
      <c r="C737" s="58"/>
      <c r="D737" s="37"/>
      <c r="E737" s="100"/>
      <c r="F737" s="62"/>
      <c r="G737" s="55"/>
      <c r="I737" s="39"/>
      <c r="Q737" s="48"/>
      <c r="U737" s="45"/>
      <c r="V737" s="108"/>
      <c r="W737" s="109"/>
      <c r="X737" s="111"/>
      <c r="Y737" s="111"/>
    </row>
    <row r="738" spans="1:25" x14ac:dyDescent="0.3">
      <c r="A738" s="10"/>
      <c r="B738" s="11"/>
      <c r="C738" s="58"/>
      <c r="D738" s="37"/>
      <c r="E738" s="100"/>
      <c r="F738" s="62"/>
      <c r="G738" s="55"/>
      <c r="I738" s="39"/>
      <c r="Q738" s="48"/>
      <c r="U738" s="45"/>
      <c r="V738" s="108"/>
      <c r="W738" s="109"/>
      <c r="X738" s="111"/>
      <c r="Y738" s="111"/>
    </row>
    <row r="739" spans="1:25" x14ac:dyDescent="0.3">
      <c r="A739" s="10"/>
      <c r="B739" s="11"/>
      <c r="C739" s="58"/>
      <c r="D739" s="37"/>
      <c r="E739" s="100"/>
      <c r="F739" s="62"/>
      <c r="G739" s="55"/>
      <c r="I739" s="39"/>
      <c r="Q739" s="48"/>
      <c r="U739" s="45"/>
      <c r="V739" s="108"/>
      <c r="W739" s="109"/>
      <c r="X739" s="111"/>
      <c r="Y739" s="111"/>
    </row>
    <row r="740" spans="1:25" x14ac:dyDescent="0.3">
      <c r="A740" s="10"/>
      <c r="B740" s="11"/>
      <c r="C740" s="58"/>
      <c r="D740" s="37"/>
      <c r="E740" s="100"/>
      <c r="F740" s="62"/>
      <c r="G740" s="55"/>
      <c r="I740" s="39"/>
      <c r="Q740" s="48"/>
      <c r="U740" s="45"/>
      <c r="V740" s="108"/>
      <c r="W740" s="109"/>
      <c r="X740" s="111"/>
      <c r="Y740" s="111"/>
    </row>
    <row r="741" spans="1:25" x14ac:dyDescent="0.3">
      <c r="A741" s="10"/>
      <c r="B741" s="11"/>
      <c r="C741" s="58"/>
      <c r="D741" s="37"/>
      <c r="E741" s="100"/>
      <c r="F741" s="62"/>
      <c r="G741" s="55"/>
      <c r="I741" s="39"/>
      <c r="Q741" s="48"/>
      <c r="U741" s="45"/>
      <c r="V741" s="108"/>
      <c r="W741" s="109"/>
      <c r="X741" s="111"/>
      <c r="Y741" s="111"/>
    </row>
    <row r="742" spans="1:25" x14ac:dyDescent="0.3">
      <c r="A742" s="10"/>
      <c r="B742" s="11"/>
      <c r="C742" s="58"/>
      <c r="D742" s="37"/>
      <c r="E742" s="100"/>
      <c r="F742" s="62"/>
      <c r="G742" s="55"/>
      <c r="I742" s="39"/>
      <c r="Q742" s="48"/>
      <c r="U742" s="45"/>
      <c r="V742" s="108"/>
      <c r="W742" s="109"/>
      <c r="X742" s="111"/>
      <c r="Y742" s="111"/>
    </row>
    <row r="743" spans="1:25" x14ac:dyDescent="0.3">
      <c r="A743" s="10"/>
      <c r="B743" s="11"/>
      <c r="C743" s="58"/>
      <c r="D743" s="37"/>
      <c r="E743" s="100"/>
      <c r="F743" s="62"/>
      <c r="G743" s="55"/>
      <c r="I743" s="39"/>
      <c r="Q743" s="48"/>
      <c r="U743" s="45"/>
      <c r="V743" s="108"/>
      <c r="W743" s="109"/>
      <c r="X743" s="111"/>
      <c r="Y743" s="111"/>
    </row>
    <row r="744" spans="1:25" x14ac:dyDescent="0.3">
      <c r="A744" s="10"/>
      <c r="B744" s="11"/>
      <c r="C744" s="58"/>
      <c r="D744" s="37"/>
      <c r="E744" s="100"/>
      <c r="F744" s="62"/>
      <c r="G744" s="55"/>
      <c r="I744" s="39"/>
      <c r="Q744" s="48"/>
      <c r="U744" s="45"/>
      <c r="V744" s="108"/>
      <c r="W744" s="109"/>
      <c r="X744" s="111"/>
      <c r="Y744" s="111"/>
    </row>
    <row r="745" spans="1:25" x14ac:dyDescent="0.3">
      <c r="A745" s="10"/>
      <c r="B745" s="11"/>
      <c r="C745" s="58"/>
      <c r="D745" s="37"/>
      <c r="E745" s="100"/>
      <c r="F745" s="62"/>
      <c r="G745" s="55"/>
      <c r="I745" s="39"/>
      <c r="Q745" s="48"/>
      <c r="U745" s="45"/>
      <c r="V745" s="108"/>
      <c r="W745" s="109"/>
      <c r="X745" s="111"/>
      <c r="Y745" s="111"/>
    </row>
    <row r="746" spans="1:25" x14ac:dyDescent="0.3">
      <c r="A746" s="10"/>
      <c r="B746" s="11"/>
      <c r="C746" s="58"/>
      <c r="D746" s="37"/>
      <c r="E746" s="100"/>
      <c r="F746" s="62"/>
      <c r="G746" s="55"/>
      <c r="I746" s="39"/>
      <c r="Q746" s="48"/>
      <c r="U746" s="45"/>
      <c r="V746" s="108"/>
      <c r="W746" s="109"/>
      <c r="X746" s="111"/>
      <c r="Y746" s="111"/>
    </row>
    <row r="747" spans="1:25" x14ac:dyDescent="0.3">
      <c r="A747" s="10"/>
      <c r="B747" s="11"/>
      <c r="C747" s="58"/>
      <c r="D747" s="37"/>
      <c r="E747" s="100"/>
      <c r="F747" s="62"/>
      <c r="G747" s="55"/>
      <c r="I747" s="39"/>
      <c r="Q747" s="48"/>
      <c r="U747" s="45"/>
      <c r="V747" s="108"/>
      <c r="W747" s="109"/>
      <c r="X747" s="111"/>
      <c r="Y747" s="111"/>
    </row>
    <row r="748" spans="1:25" x14ac:dyDescent="0.3">
      <c r="A748" s="10"/>
      <c r="B748" s="11"/>
      <c r="C748" s="58"/>
      <c r="D748" s="37"/>
      <c r="E748" s="100"/>
      <c r="F748" s="62"/>
      <c r="G748" s="55"/>
      <c r="I748" s="39"/>
      <c r="Q748" s="48"/>
      <c r="U748" s="45"/>
      <c r="V748" s="108"/>
      <c r="W748" s="109"/>
      <c r="X748" s="111"/>
      <c r="Y748" s="111"/>
    </row>
    <row r="749" spans="1:25" x14ac:dyDescent="0.3">
      <c r="A749" s="10"/>
      <c r="B749" s="11"/>
      <c r="C749" s="58"/>
      <c r="D749" s="37"/>
      <c r="E749" s="100"/>
      <c r="F749" s="62"/>
      <c r="G749" s="55"/>
      <c r="I749" s="39"/>
      <c r="Q749" s="48"/>
      <c r="U749" s="45"/>
      <c r="V749" s="108"/>
      <c r="W749" s="109"/>
      <c r="X749" s="111"/>
      <c r="Y749" s="111"/>
    </row>
    <row r="750" spans="1:25" x14ac:dyDescent="0.3">
      <c r="A750" s="10"/>
      <c r="B750" s="11"/>
      <c r="C750" s="58"/>
      <c r="D750" s="37"/>
      <c r="E750" s="100"/>
      <c r="F750" s="62"/>
      <c r="G750" s="55"/>
      <c r="I750" s="39"/>
      <c r="Q750" s="48"/>
      <c r="U750" s="45"/>
      <c r="V750" s="108"/>
      <c r="W750" s="109"/>
      <c r="X750" s="111"/>
      <c r="Y750" s="111"/>
    </row>
    <row r="751" spans="1:25" x14ac:dyDescent="0.3">
      <c r="A751" s="10"/>
      <c r="B751" s="11"/>
      <c r="C751" s="58"/>
      <c r="D751" s="37"/>
      <c r="E751" s="100"/>
      <c r="F751" s="62"/>
      <c r="G751" s="55"/>
      <c r="I751" s="39"/>
      <c r="Q751" s="48"/>
      <c r="U751" s="45"/>
      <c r="V751" s="108"/>
      <c r="W751" s="109"/>
      <c r="X751" s="111"/>
      <c r="Y751" s="111"/>
    </row>
    <row r="752" spans="1:25" x14ac:dyDescent="0.3">
      <c r="A752" s="10"/>
      <c r="B752" s="11"/>
      <c r="C752" s="58"/>
      <c r="D752" s="37"/>
      <c r="E752" s="100"/>
      <c r="F752" s="62"/>
      <c r="G752" s="55"/>
      <c r="I752" s="39"/>
      <c r="Q752" s="48"/>
      <c r="U752" s="45"/>
      <c r="V752" s="108"/>
      <c r="W752" s="109"/>
      <c r="X752" s="111"/>
      <c r="Y752" s="111"/>
    </row>
    <row r="753" spans="1:25" x14ac:dyDescent="0.3">
      <c r="A753" s="10"/>
      <c r="B753" s="11"/>
      <c r="C753" s="58"/>
      <c r="D753" s="37"/>
      <c r="E753" s="100"/>
      <c r="F753" s="62"/>
      <c r="G753" s="55"/>
      <c r="I753" s="39"/>
      <c r="Q753" s="48"/>
      <c r="U753" s="45"/>
      <c r="V753" s="108"/>
      <c r="W753" s="109"/>
      <c r="X753" s="111"/>
      <c r="Y753" s="111"/>
    </row>
    <row r="754" spans="1:25" x14ac:dyDescent="0.3">
      <c r="A754" s="10"/>
      <c r="B754" s="11"/>
      <c r="C754" s="58"/>
      <c r="D754" s="37"/>
      <c r="E754" s="100"/>
      <c r="F754" s="62"/>
      <c r="G754" s="55"/>
      <c r="I754" s="39"/>
      <c r="Q754" s="48"/>
      <c r="U754" s="45"/>
      <c r="V754" s="108"/>
      <c r="W754" s="109"/>
      <c r="X754" s="111"/>
      <c r="Y754" s="111"/>
    </row>
    <row r="755" spans="1:25" x14ac:dyDescent="0.3">
      <c r="A755" s="10"/>
      <c r="B755" s="11"/>
      <c r="C755" s="58"/>
      <c r="D755" s="37"/>
      <c r="E755" s="100"/>
      <c r="F755" s="62"/>
      <c r="G755" s="55"/>
      <c r="I755" s="39"/>
      <c r="Q755" s="48"/>
      <c r="U755" s="45"/>
      <c r="V755" s="108"/>
      <c r="W755" s="109"/>
      <c r="X755" s="111"/>
      <c r="Y755" s="111"/>
    </row>
    <row r="756" spans="1:25" x14ac:dyDescent="0.3">
      <c r="A756" s="10"/>
      <c r="B756" s="11"/>
      <c r="C756" s="58"/>
      <c r="D756" s="37"/>
      <c r="E756" s="100"/>
      <c r="F756" s="62"/>
      <c r="G756" s="55"/>
      <c r="I756" s="39"/>
      <c r="Q756" s="48"/>
      <c r="U756" s="45"/>
      <c r="V756" s="108"/>
      <c r="W756" s="109"/>
      <c r="X756" s="111"/>
      <c r="Y756" s="111"/>
    </row>
    <row r="757" spans="1:25" x14ac:dyDescent="0.3">
      <c r="A757" s="10"/>
      <c r="B757" s="11"/>
      <c r="C757" s="58"/>
      <c r="D757" s="37"/>
      <c r="E757" s="100"/>
      <c r="F757" s="62"/>
      <c r="G757" s="55"/>
      <c r="I757" s="39"/>
      <c r="Q757" s="48"/>
      <c r="U757" s="45"/>
      <c r="V757" s="108"/>
      <c r="W757" s="109"/>
      <c r="X757" s="111"/>
      <c r="Y757" s="111"/>
    </row>
    <row r="758" spans="1:25" x14ac:dyDescent="0.3">
      <c r="A758" s="10"/>
      <c r="B758" s="11"/>
      <c r="C758" s="58"/>
      <c r="D758" s="37"/>
      <c r="E758" s="100"/>
      <c r="F758" s="62"/>
      <c r="G758" s="55"/>
      <c r="I758" s="39"/>
      <c r="Q758" s="48"/>
      <c r="U758" s="45"/>
      <c r="V758" s="108"/>
      <c r="W758" s="109"/>
      <c r="X758" s="111"/>
      <c r="Y758" s="111"/>
    </row>
    <row r="759" spans="1:25" x14ac:dyDescent="0.3">
      <c r="A759" s="10"/>
      <c r="B759" s="11"/>
      <c r="C759" s="58"/>
      <c r="D759" s="37"/>
      <c r="E759" s="100"/>
      <c r="F759" s="62"/>
      <c r="G759" s="55"/>
      <c r="I759" s="39"/>
      <c r="Q759" s="48"/>
      <c r="U759" s="45"/>
      <c r="V759" s="108"/>
      <c r="W759" s="109"/>
      <c r="X759" s="111"/>
      <c r="Y759" s="111"/>
    </row>
    <row r="760" spans="1:25" x14ac:dyDescent="0.3">
      <c r="A760" s="10"/>
      <c r="B760" s="11"/>
      <c r="C760" s="58"/>
      <c r="D760" s="37"/>
      <c r="E760" s="100"/>
      <c r="F760" s="62"/>
      <c r="G760" s="55"/>
      <c r="I760" s="39"/>
      <c r="Q760" s="48"/>
      <c r="U760" s="45"/>
      <c r="V760" s="108"/>
      <c r="W760" s="109"/>
      <c r="X760" s="111"/>
      <c r="Y760" s="111"/>
    </row>
    <row r="761" spans="1:25" x14ac:dyDescent="0.3">
      <c r="A761" s="10"/>
      <c r="B761" s="11"/>
      <c r="C761" s="58"/>
      <c r="D761" s="37"/>
      <c r="E761" s="100"/>
      <c r="F761" s="62"/>
      <c r="G761" s="55"/>
      <c r="I761" s="39"/>
      <c r="Q761" s="48"/>
      <c r="U761" s="45"/>
      <c r="V761" s="108"/>
      <c r="W761" s="109"/>
      <c r="X761" s="111"/>
      <c r="Y761" s="111"/>
    </row>
    <row r="762" spans="1:25" x14ac:dyDescent="0.3">
      <c r="A762" s="10"/>
      <c r="B762" s="11"/>
      <c r="C762" s="58"/>
      <c r="D762" s="37"/>
      <c r="E762" s="100"/>
      <c r="F762" s="62"/>
      <c r="G762" s="55"/>
      <c r="I762" s="39"/>
      <c r="Q762" s="48"/>
      <c r="U762" s="45"/>
      <c r="V762" s="108"/>
      <c r="W762" s="109"/>
      <c r="X762" s="111"/>
      <c r="Y762" s="111"/>
    </row>
    <row r="763" spans="1:25" x14ac:dyDescent="0.3">
      <c r="A763" s="10"/>
      <c r="B763" s="11"/>
      <c r="C763" s="58"/>
      <c r="D763" s="37"/>
      <c r="E763" s="100"/>
      <c r="F763" s="62"/>
      <c r="G763" s="55"/>
      <c r="I763" s="39"/>
      <c r="Q763" s="48"/>
      <c r="U763" s="45"/>
      <c r="V763" s="108"/>
      <c r="W763" s="109"/>
      <c r="X763" s="111"/>
      <c r="Y763" s="111"/>
    </row>
    <row r="764" spans="1:25" x14ac:dyDescent="0.3">
      <c r="A764" s="10"/>
      <c r="B764" s="11"/>
      <c r="C764" s="58"/>
      <c r="D764" s="37"/>
      <c r="E764" s="100"/>
      <c r="F764" s="62"/>
      <c r="G764" s="55"/>
      <c r="I764" s="39"/>
      <c r="Q764" s="48"/>
      <c r="U764" s="45"/>
      <c r="V764" s="108"/>
      <c r="W764" s="109"/>
      <c r="X764" s="111"/>
      <c r="Y764" s="111"/>
    </row>
    <row r="765" spans="1:25" x14ac:dyDescent="0.3">
      <c r="A765" s="10"/>
      <c r="B765" s="11"/>
      <c r="C765" s="58"/>
      <c r="D765" s="37"/>
      <c r="E765" s="100"/>
      <c r="F765" s="62"/>
      <c r="G765" s="55"/>
      <c r="I765" s="39"/>
      <c r="Q765" s="48"/>
      <c r="U765" s="45"/>
      <c r="V765" s="108"/>
      <c r="W765" s="109"/>
      <c r="X765" s="111"/>
      <c r="Y765" s="111"/>
    </row>
    <row r="766" spans="1:25" x14ac:dyDescent="0.3">
      <c r="A766" s="10"/>
      <c r="B766" s="11"/>
      <c r="C766" s="58"/>
      <c r="D766" s="37"/>
      <c r="E766" s="100"/>
      <c r="F766" s="62"/>
      <c r="G766" s="55"/>
      <c r="I766" s="39"/>
      <c r="Q766" s="48"/>
      <c r="U766" s="45"/>
      <c r="V766" s="108"/>
      <c r="W766" s="109"/>
      <c r="X766" s="111"/>
      <c r="Y766" s="111"/>
    </row>
    <row r="767" spans="1:25" x14ac:dyDescent="0.3">
      <c r="A767" s="10"/>
      <c r="B767" s="11"/>
      <c r="C767" s="58"/>
      <c r="D767" s="37"/>
      <c r="E767" s="100"/>
      <c r="F767" s="62"/>
      <c r="G767" s="55"/>
      <c r="I767" s="39"/>
      <c r="Q767" s="48"/>
      <c r="U767" s="45"/>
      <c r="V767" s="108"/>
      <c r="W767" s="109"/>
      <c r="X767" s="111"/>
      <c r="Y767" s="111"/>
    </row>
    <row r="768" spans="1:25" x14ac:dyDescent="0.3">
      <c r="A768" s="10"/>
      <c r="B768" s="11"/>
      <c r="C768" s="58"/>
      <c r="D768" s="37"/>
      <c r="E768" s="100"/>
      <c r="F768" s="62"/>
      <c r="G768" s="55"/>
      <c r="I768" s="39"/>
      <c r="Q768" s="48"/>
      <c r="U768" s="45"/>
      <c r="V768" s="108"/>
      <c r="W768" s="109"/>
      <c r="X768" s="111"/>
      <c r="Y768" s="111"/>
    </row>
    <row r="769" spans="1:25" x14ac:dyDescent="0.3">
      <c r="A769" s="10"/>
      <c r="B769" s="11"/>
      <c r="C769" s="58"/>
      <c r="D769" s="37"/>
      <c r="E769" s="100"/>
      <c r="F769" s="62"/>
      <c r="G769" s="55"/>
      <c r="I769" s="39"/>
      <c r="Q769" s="48"/>
      <c r="U769" s="45"/>
      <c r="V769" s="108"/>
      <c r="W769" s="109"/>
      <c r="X769" s="111"/>
      <c r="Y769" s="111"/>
    </row>
    <row r="770" spans="1:25" x14ac:dyDescent="0.3">
      <c r="A770" s="10"/>
      <c r="B770" s="11"/>
      <c r="C770" s="58"/>
      <c r="D770" s="37"/>
      <c r="E770" s="100"/>
      <c r="F770" s="62"/>
      <c r="G770" s="55"/>
      <c r="I770" s="39"/>
      <c r="Q770" s="48"/>
      <c r="U770" s="45"/>
      <c r="V770" s="108"/>
      <c r="W770" s="109"/>
      <c r="X770" s="111"/>
      <c r="Y770" s="111"/>
    </row>
    <row r="771" spans="1:25" x14ac:dyDescent="0.3">
      <c r="A771" s="10"/>
      <c r="B771" s="11"/>
      <c r="C771" s="58"/>
      <c r="D771" s="37"/>
      <c r="E771" s="100"/>
      <c r="F771" s="62"/>
      <c r="G771" s="55"/>
      <c r="I771" s="39"/>
      <c r="Q771" s="48"/>
      <c r="U771" s="45"/>
      <c r="V771" s="108"/>
      <c r="W771" s="109"/>
      <c r="X771" s="111"/>
      <c r="Y771" s="111"/>
    </row>
    <row r="772" spans="1:25" x14ac:dyDescent="0.3">
      <c r="A772" s="10"/>
      <c r="B772" s="11"/>
      <c r="C772" s="58"/>
      <c r="D772" s="37"/>
      <c r="E772" s="100"/>
      <c r="F772" s="62"/>
      <c r="G772" s="55"/>
      <c r="I772" s="39"/>
      <c r="Q772" s="48"/>
      <c r="U772" s="45"/>
      <c r="V772" s="108"/>
      <c r="W772" s="109"/>
      <c r="X772" s="111"/>
      <c r="Y772" s="111"/>
    </row>
    <row r="773" spans="1:25" x14ac:dyDescent="0.3">
      <c r="A773" s="10"/>
      <c r="B773" s="11"/>
      <c r="C773" s="58"/>
      <c r="D773" s="37"/>
      <c r="E773" s="100"/>
      <c r="F773" s="62"/>
      <c r="G773" s="55"/>
      <c r="I773" s="39"/>
      <c r="Q773" s="48"/>
      <c r="U773" s="45"/>
      <c r="V773" s="108"/>
      <c r="W773" s="109"/>
      <c r="X773" s="111"/>
      <c r="Y773" s="111"/>
    </row>
    <row r="774" spans="1:25" x14ac:dyDescent="0.3">
      <c r="A774" s="10"/>
      <c r="B774" s="11"/>
      <c r="C774" s="58"/>
      <c r="D774" s="37"/>
      <c r="E774" s="100"/>
      <c r="F774" s="62"/>
      <c r="G774" s="55"/>
      <c r="I774" s="39"/>
      <c r="Q774" s="48"/>
      <c r="U774" s="45"/>
      <c r="V774" s="108"/>
      <c r="W774" s="109"/>
      <c r="X774" s="111"/>
      <c r="Y774" s="111"/>
    </row>
    <row r="775" spans="1:25" x14ac:dyDescent="0.3">
      <c r="A775" s="10"/>
      <c r="B775" s="11"/>
      <c r="C775" s="58"/>
      <c r="D775" s="37"/>
      <c r="E775" s="100"/>
      <c r="F775" s="62"/>
      <c r="G775" s="55"/>
      <c r="I775" s="39"/>
      <c r="Q775" s="48"/>
      <c r="U775" s="45"/>
      <c r="V775" s="108"/>
      <c r="W775" s="109"/>
      <c r="X775" s="111"/>
      <c r="Y775" s="111"/>
    </row>
    <row r="776" spans="1:25" x14ac:dyDescent="0.3">
      <c r="A776" s="10"/>
      <c r="B776" s="11"/>
      <c r="C776" s="58"/>
      <c r="D776" s="37"/>
      <c r="E776" s="100"/>
      <c r="F776" s="62"/>
      <c r="G776" s="55"/>
      <c r="I776" s="39"/>
      <c r="Q776" s="48"/>
      <c r="U776" s="45"/>
      <c r="V776" s="108"/>
      <c r="W776" s="109"/>
      <c r="X776" s="111"/>
      <c r="Y776" s="111"/>
    </row>
    <row r="777" spans="1:25" x14ac:dyDescent="0.3">
      <c r="A777" s="10"/>
      <c r="B777" s="11"/>
      <c r="C777" s="58"/>
      <c r="D777" s="37"/>
      <c r="E777" s="100"/>
      <c r="F777" s="62"/>
      <c r="G777" s="55"/>
      <c r="I777" s="39"/>
      <c r="Q777" s="48"/>
      <c r="U777" s="45"/>
      <c r="V777" s="108"/>
      <c r="W777" s="109"/>
      <c r="X777" s="111"/>
      <c r="Y777" s="111"/>
    </row>
    <row r="778" spans="1:25" x14ac:dyDescent="0.3">
      <c r="A778" s="10"/>
      <c r="B778" s="11"/>
      <c r="C778" s="58"/>
      <c r="D778" s="37"/>
      <c r="E778" s="100"/>
      <c r="F778" s="62"/>
      <c r="G778" s="55"/>
      <c r="I778" s="39"/>
      <c r="Q778" s="48"/>
      <c r="U778" s="45"/>
      <c r="V778" s="108"/>
      <c r="W778" s="109"/>
      <c r="X778" s="111"/>
      <c r="Y778" s="111"/>
    </row>
    <row r="779" spans="1:25" x14ac:dyDescent="0.3">
      <c r="A779" s="10"/>
      <c r="B779" s="11"/>
      <c r="C779" s="58"/>
      <c r="D779" s="37"/>
      <c r="E779" s="100"/>
      <c r="F779" s="62"/>
      <c r="G779" s="55"/>
      <c r="I779" s="39"/>
      <c r="Q779" s="48"/>
      <c r="U779" s="45"/>
      <c r="V779" s="108"/>
      <c r="W779" s="109"/>
      <c r="X779" s="111"/>
      <c r="Y779" s="111"/>
    </row>
    <row r="780" spans="1:25" x14ac:dyDescent="0.3">
      <c r="A780" s="10"/>
      <c r="B780" s="11"/>
      <c r="C780" s="58"/>
      <c r="D780" s="37"/>
      <c r="E780" s="100"/>
      <c r="F780" s="62"/>
      <c r="G780" s="55"/>
      <c r="I780" s="39"/>
      <c r="Q780" s="48"/>
      <c r="U780" s="45"/>
      <c r="V780" s="108"/>
      <c r="W780" s="109"/>
      <c r="X780" s="111"/>
      <c r="Y780" s="111"/>
    </row>
    <row r="781" spans="1:25" x14ac:dyDescent="0.3">
      <c r="A781" s="10"/>
      <c r="B781" s="11"/>
      <c r="C781" s="58"/>
      <c r="D781" s="37"/>
      <c r="E781" s="100"/>
      <c r="F781" s="62"/>
      <c r="G781" s="55"/>
      <c r="I781" s="39"/>
      <c r="Q781" s="48"/>
      <c r="U781" s="45"/>
      <c r="V781" s="108"/>
      <c r="W781" s="109"/>
      <c r="X781" s="111"/>
      <c r="Y781" s="111"/>
    </row>
    <row r="782" spans="1:25" x14ac:dyDescent="0.3">
      <c r="A782" s="10"/>
      <c r="B782" s="11"/>
      <c r="C782" s="58"/>
      <c r="D782" s="37"/>
      <c r="E782" s="100"/>
      <c r="F782" s="62"/>
      <c r="G782" s="55"/>
      <c r="I782" s="39"/>
      <c r="Q782" s="48"/>
      <c r="U782" s="45"/>
      <c r="V782" s="108"/>
      <c r="W782" s="109"/>
      <c r="X782" s="111"/>
      <c r="Y782" s="111"/>
    </row>
    <row r="783" spans="1:25" x14ac:dyDescent="0.3">
      <c r="A783" s="10"/>
      <c r="B783" s="11"/>
      <c r="C783" s="58"/>
      <c r="D783" s="37"/>
      <c r="E783" s="100"/>
      <c r="F783" s="62"/>
      <c r="G783" s="55"/>
      <c r="I783" s="39"/>
      <c r="Q783" s="48"/>
      <c r="U783" s="45"/>
      <c r="V783" s="108"/>
      <c r="W783" s="109"/>
      <c r="X783" s="111"/>
      <c r="Y783" s="111"/>
    </row>
    <row r="784" spans="1:25" x14ac:dyDescent="0.3">
      <c r="A784" s="10"/>
      <c r="B784" s="11"/>
      <c r="C784" s="58"/>
      <c r="D784" s="37"/>
      <c r="E784" s="100"/>
      <c r="F784" s="62"/>
      <c r="G784" s="55"/>
      <c r="I784" s="39"/>
      <c r="Q784" s="48"/>
      <c r="U784" s="45"/>
      <c r="V784" s="108"/>
      <c r="W784" s="109"/>
      <c r="X784" s="111"/>
      <c r="Y784" s="111"/>
    </row>
    <row r="785" spans="1:25" x14ac:dyDescent="0.3">
      <c r="A785" s="10"/>
      <c r="B785" s="11"/>
      <c r="C785" s="58"/>
      <c r="D785" s="37"/>
      <c r="E785" s="100"/>
      <c r="F785" s="62"/>
      <c r="G785" s="55"/>
      <c r="I785" s="39"/>
      <c r="Q785" s="48"/>
      <c r="U785" s="45"/>
      <c r="V785" s="108"/>
      <c r="W785" s="109"/>
      <c r="X785" s="111"/>
      <c r="Y785" s="111"/>
    </row>
    <row r="786" spans="1:25" x14ac:dyDescent="0.3">
      <c r="A786" s="10"/>
      <c r="B786" s="11"/>
      <c r="C786" s="58"/>
      <c r="D786" s="37"/>
      <c r="E786" s="100"/>
      <c r="F786" s="62"/>
      <c r="G786" s="55"/>
      <c r="I786" s="39"/>
      <c r="Q786" s="48"/>
      <c r="U786" s="45"/>
      <c r="V786" s="108"/>
      <c r="W786" s="109"/>
      <c r="X786" s="111"/>
      <c r="Y786" s="111"/>
    </row>
    <row r="787" spans="1:25" x14ac:dyDescent="0.3">
      <c r="A787" s="10"/>
      <c r="B787" s="11"/>
      <c r="C787" s="58"/>
      <c r="D787" s="37"/>
      <c r="E787" s="100"/>
      <c r="F787" s="62"/>
      <c r="G787" s="55"/>
      <c r="I787" s="39"/>
      <c r="Q787" s="48"/>
      <c r="U787" s="45"/>
      <c r="V787" s="108"/>
      <c r="W787" s="109"/>
      <c r="X787" s="111"/>
      <c r="Y787" s="111"/>
    </row>
    <row r="788" spans="1:25" x14ac:dyDescent="0.3">
      <c r="A788" s="10"/>
      <c r="B788" s="11"/>
      <c r="C788" s="58"/>
      <c r="D788" s="37"/>
      <c r="E788" s="100"/>
      <c r="F788" s="62"/>
      <c r="G788" s="55"/>
      <c r="I788" s="39"/>
      <c r="Q788" s="48"/>
      <c r="U788" s="45"/>
      <c r="V788" s="108"/>
      <c r="W788" s="109"/>
      <c r="X788" s="111"/>
      <c r="Y788" s="111"/>
    </row>
    <row r="789" spans="1:25" x14ac:dyDescent="0.3">
      <c r="A789" s="10"/>
      <c r="B789" s="11"/>
      <c r="C789" s="58"/>
      <c r="D789" s="37"/>
      <c r="E789" s="100"/>
      <c r="F789" s="62"/>
      <c r="G789" s="55"/>
      <c r="I789" s="39"/>
      <c r="Q789" s="48"/>
      <c r="U789" s="45"/>
      <c r="V789" s="108"/>
      <c r="W789" s="109"/>
      <c r="X789" s="111"/>
      <c r="Y789" s="111"/>
    </row>
    <row r="790" spans="1:25" x14ac:dyDescent="0.3">
      <c r="A790" s="10"/>
      <c r="B790" s="11"/>
      <c r="C790" s="58"/>
      <c r="D790" s="37"/>
      <c r="E790" s="100"/>
      <c r="F790" s="62"/>
      <c r="G790" s="55"/>
      <c r="I790" s="39"/>
      <c r="Q790" s="48"/>
      <c r="U790" s="45"/>
      <c r="V790" s="108"/>
      <c r="W790" s="109"/>
      <c r="X790" s="111"/>
      <c r="Y790" s="111"/>
    </row>
    <row r="791" spans="1:25" x14ac:dyDescent="0.3">
      <c r="A791" s="10"/>
      <c r="B791" s="11"/>
      <c r="C791" s="58"/>
      <c r="D791" s="37"/>
      <c r="E791" s="100"/>
      <c r="F791" s="62"/>
      <c r="G791" s="55"/>
      <c r="I791" s="39"/>
      <c r="Q791" s="48"/>
      <c r="U791" s="45"/>
      <c r="V791" s="108"/>
      <c r="W791" s="109"/>
      <c r="X791" s="111"/>
      <c r="Y791" s="111"/>
    </row>
    <row r="792" spans="1:25" x14ac:dyDescent="0.3">
      <c r="A792" s="10"/>
      <c r="B792" s="11"/>
      <c r="C792" s="58"/>
      <c r="D792" s="37"/>
      <c r="E792" s="100"/>
      <c r="F792" s="62"/>
      <c r="G792" s="55"/>
      <c r="I792" s="39"/>
      <c r="Q792" s="48"/>
      <c r="U792" s="45"/>
      <c r="V792" s="108"/>
      <c r="W792" s="109"/>
      <c r="X792" s="111"/>
      <c r="Y792" s="111"/>
    </row>
    <row r="793" spans="1:25" x14ac:dyDescent="0.3">
      <c r="A793" s="10"/>
      <c r="B793" s="11"/>
      <c r="C793" s="58"/>
      <c r="D793" s="37"/>
      <c r="E793" s="100"/>
      <c r="F793" s="62"/>
      <c r="G793" s="55"/>
      <c r="I793" s="39"/>
      <c r="Q793" s="48"/>
      <c r="U793" s="45"/>
      <c r="V793" s="108"/>
      <c r="W793" s="109"/>
      <c r="X793" s="111"/>
      <c r="Y793" s="111"/>
    </row>
    <row r="794" spans="1:25" x14ac:dyDescent="0.3">
      <c r="A794" s="10"/>
      <c r="B794" s="11"/>
      <c r="C794" s="58"/>
      <c r="D794" s="37"/>
      <c r="E794" s="100"/>
      <c r="F794" s="62"/>
      <c r="G794" s="55"/>
      <c r="I794" s="39"/>
      <c r="Q794" s="48"/>
      <c r="U794" s="45"/>
      <c r="V794" s="108"/>
      <c r="W794" s="109"/>
      <c r="X794" s="111"/>
      <c r="Y794" s="111"/>
    </row>
    <row r="795" spans="1:25" x14ac:dyDescent="0.3">
      <c r="A795" s="10"/>
      <c r="B795" s="11"/>
      <c r="C795" s="58"/>
      <c r="D795" s="37"/>
      <c r="E795" s="100"/>
      <c r="F795" s="62"/>
      <c r="G795" s="55"/>
      <c r="I795" s="39"/>
      <c r="Q795" s="48"/>
      <c r="U795" s="45"/>
      <c r="V795" s="108"/>
      <c r="W795" s="109"/>
      <c r="X795" s="111"/>
      <c r="Y795" s="111"/>
    </row>
    <row r="796" spans="1:25" x14ac:dyDescent="0.3">
      <c r="A796" s="10"/>
      <c r="B796" s="11"/>
      <c r="C796" s="58"/>
      <c r="D796" s="37"/>
      <c r="E796" s="100"/>
      <c r="F796" s="62"/>
      <c r="G796" s="55"/>
      <c r="I796" s="39"/>
      <c r="Q796" s="48"/>
      <c r="U796" s="45"/>
      <c r="V796" s="108"/>
      <c r="W796" s="109"/>
      <c r="X796" s="111"/>
      <c r="Y796" s="111"/>
    </row>
    <row r="797" spans="1:25" x14ac:dyDescent="0.3">
      <c r="A797" s="10"/>
      <c r="B797" s="11"/>
      <c r="C797" s="58"/>
      <c r="D797" s="37"/>
      <c r="E797" s="100"/>
      <c r="F797" s="62"/>
      <c r="G797" s="55"/>
      <c r="I797" s="39"/>
      <c r="Q797" s="48"/>
      <c r="U797" s="45"/>
      <c r="V797" s="108"/>
      <c r="W797" s="109"/>
      <c r="X797" s="111"/>
      <c r="Y797" s="111"/>
    </row>
    <row r="798" spans="1:25" x14ac:dyDescent="0.3">
      <c r="A798" s="10"/>
      <c r="B798" s="11"/>
      <c r="C798" s="58"/>
      <c r="D798" s="37"/>
      <c r="E798" s="100"/>
      <c r="F798" s="62"/>
      <c r="G798" s="55"/>
      <c r="I798" s="39"/>
      <c r="Q798" s="48"/>
      <c r="U798" s="45"/>
      <c r="V798" s="108"/>
      <c r="W798" s="109"/>
      <c r="X798" s="111"/>
      <c r="Y798" s="111"/>
    </row>
    <row r="799" spans="1:25" x14ac:dyDescent="0.3">
      <c r="A799" s="10"/>
      <c r="B799" s="11"/>
      <c r="C799" s="58"/>
      <c r="D799" s="37"/>
      <c r="E799" s="100"/>
      <c r="F799" s="62"/>
      <c r="G799" s="55"/>
      <c r="I799" s="39"/>
      <c r="Q799" s="48"/>
      <c r="U799" s="45"/>
      <c r="V799" s="108"/>
      <c r="W799" s="109"/>
      <c r="X799" s="111"/>
      <c r="Y799" s="111"/>
    </row>
    <row r="800" spans="1:25" x14ac:dyDescent="0.3">
      <c r="A800" s="10"/>
      <c r="B800" s="11"/>
      <c r="C800" s="58"/>
      <c r="D800" s="37"/>
      <c r="E800" s="100"/>
      <c r="F800" s="62"/>
      <c r="G800" s="55"/>
      <c r="I800" s="39"/>
      <c r="Q800" s="48"/>
      <c r="U800" s="45"/>
      <c r="V800" s="108"/>
      <c r="W800" s="109"/>
      <c r="X800" s="111"/>
      <c r="Y800" s="111"/>
    </row>
    <row r="801" spans="1:25" x14ac:dyDescent="0.3">
      <c r="A801" s="10"/>
      <c r="B801" s="11"/>
      <c r="C801" s="58"/>
      <c r="D801" s="37"/>
      <c r="E801" s="100"/>
      <c r="F801" s="62"/>
      <c r="G801" s="55"/>
      <c r="I801" s="39"/>
      <c r="Q801" s="48"/>
      <c r="U801" s="45"/>
      <c r="V801" s="108"/>
      <c r="W801" s="109"/>
      <c r="X801" s="111"/>
      <c r="Y801" s="111"/>
    </row>
    <row r="802" spans="1:25" x14ac:dyDescent="0.3">
      <c r="A802" s="10"/>
      <c r="B802" s="11"/>
      <c r="C802" s="58"/>
      <c r="D802" s="37"/>
      <c r="E802" s="100"/>
      <c r="F802" s="62"/>
      <c r="G802" s="55"/>
      <c r="I802" s="39"/>
      <c r="Q802" s="48"/>
      <c r="U802" s="45"/>
      <c r="V802" s="108"/>
      <c r="W802" s="109"/>
      <c r="X802" s="111"/>
      <c r="Y802" s="111"/>
    </row>
    <row r="803" spans="1:25" x14ac:dyDescent="0.3">
      <c r="A803" s="10"/>
      <c r="B803" s="11"/>
      <c r="C803" s="58"/>
      <c r="D803" s="37"/>
      <c r="E803" s="100"/>
      <c r="F803" s="62"/>
      <c r="G803" s="55"/>
      <c r="I803" s="39"/>
      <c r="Q803" s="48"/>
      <c r="U803" s="45"/>
      <c r="V803" s="108"/>
      <c r="W803" s="109"/>
      <c r="X803" s="111"/>
      <c r="Y803" s="111"/>
    </row>
    <row r="804" spans="1:25" x14ac:dyDescent="0.3">
      <c r="A804" s="10"/>
      <c r="B804" s="11"/>
      <c r="C804" s="58"/>
      <c r="D804" s="37"/>
      <c r="E804" s="100"/>
      <c r="F804" s="62"/>
      <c r="G804" s="55"/>
      <c r="I804" s="39"/>
      <c r="Q804" s="48"/>
      <c r="U804" s="45"/>
      <c r="V804" s="108"/>
      <c r="W804" s="109"/>
      <c r="X804" s="111"/>
      <c r="Y804" s="111"/>
    </row>
    <row r="805" spans="1:25" x14ac:dyDescent="0.3">
      <c r="A805" s="10"/>
      <c r="B805" s="11"/>
      <c r="C805" s="58"/>
      <c r="D805" s="37"/>
      <c r="E805" s="100"/>
      <c r="F805" s="62"/>
      <c r="G805" s="55"/>
      <c r="I805" s="39"/>
      <c r="Q805" s="48"/>
      <c r="U805" s="45"/>
      <c r="V805" s="108"/>
      <c r="W805" s="109"/>
      <c r="X805" s="111"/>
      <c r="Y805" s="111"/>
    </row>
    <row r="806" spans="1:25" x14ac:dyDescent="0.3">
      <c r="A806" s="10"/>
      <c r="B806" s="11"/>
      <c r="C806" s="58"/>
      <c r="D806" s="37"/>
      <c r="E806" s="100"/>
      <c r="F806" s="62"/>
      <c r="G806" s="55"/>
      <c r="I806" s="39"/>
      <c r="Q806" s="48"/>
      <c r="U806" s="45"/>
      <c r="V806" s="108"/>
      <c r="W806" s="109"/>
      <c r="X806" s="111"/>
      <c r="Y806" s="111"/>
    </row>
    <row r="807" spans="1:25" x14ac:dyDescent="0.3">
      <c r="A807" s="10"/>
      <c r="B807" s="11"/>
      <c r="C807" s="58"/>
      <c r="D807" s="37"/>
      <c r="E807" s="100"/>
      <c r="F807" s="62"/>
      <c r="G807" s="55"/>
      <c r="I807" s="39"/>
      <c r="Q807" s="48"/>
      <c r="U807" s="45"/>
      <c r="V807" s="108"/>
      <c r="W807" s="109"/>
      <c r="X807" s="111"/>
      <c r="Y807" s="111"/>
    </row>
    <row r="808" spans="1:25" x14ac:dyDescent="0.3">
      <c r="A808" s="10"/>
      <c r="B808" s="11"/>
      <c r="C808" s="58"/>
      <c r="D808" s="37"/>
      <c r="E808" s="100"/>
      <c r="F808" s="62"/>
      <c r="G808" s="55"/>
      <c r="I808" s="39"/>
      <c r="Q808" s="48"/>
      <c r="U808" s="45"/>
      <c r="V808" s="108"/>
      <c r="W808" s="109"/>
      <c r="X808" s="111"/>
      <c r="Y808" s="111"/>
    </row>
    <row r="809" spans="1:25" x14ac:dyDescent="0.3">
      <c r="A809" s="10"/>
      <c r="B809" s="11"/>
      <c r="C809" s="58"/>
      <c r="D809" s="37"/>
      <c r="E809" s="100"/>
      <c r="F809" s="62"/>
      <c r="G809" s="55"/>
      <c r="I809" s="39"/>
      <c r="Q809" s="48"/>
      <c r="U809" s="45"/>
      <c r="V809" s="108"/>
      <c r="W809" s="109"/>
      <c r="X809" s="111"/>
      <c r="Y809" s="111"/>
    </row>
    <row r="810" spans="1:25" x14ac:dyDescent="0.3">
      <c r="A810" s="10"/>
      <c r="B810" s="11"/>
      <c r="C810" s="58"/>
      <c r="D810" s="37"/>
      <c r="E810" s="100"/>
      <c r="F810" s="62"/>
      <c r="G810" s="55"/>
      <c r="I810" s="39"/>
      <c r="Q810" s="48"/>
      <c r="U810" s="45"/>
      <c r="V810" s="108"/>
      <c r="W810" s="109"/>
      <c r="X810" s="111"/>
      <c r="Y810" s="111"/>
    </row>
    <row r="811" spans="1:25" x14ac:dyDescent="0.3">
      <c r="A811" s="10"/>
      <c r="B811" s="11"/>
      <c r="C811" s="58"/>
      <c r="D811" s="37"/>
      <c r="E811" s="100"/>
      <c r="F811" s="62"/>
      <c r="G811" s="55"/>
      <c r="I811" s="39"/>
      <c r="Q811" s="48"/>
      <c r="U811" s="45"/>
      <c r="V811" s="108"/>
      <c r="W811" s="109"/>
      <c r="X811" s="111"/>
      <c r="Y811" s="111"/>
    </row>
    <row r="812" spans="1:25" x14ac:dyDescent="0.3">
      <c r="A812" s="10"/>
      <c r="B812" s="11"/>
      <c r="C812" s="58"/>
      <c r="D812" s="37"/>
      <c r="E812" s="100"/>
      <c r="F812" s="62"/>
      <c r="G812" s="55"/>
      <c r="I812" s="39"/>
      <c r="Q812" s="48"/>
      <c r="U812" s="45"/>
      <c r="V812" s="108"/>
      <c r="W812" s="109"/>
      <c r="X812" s="111"/>
      <c r="Y812" s="111"/>
    </row>
    <row r="813" spans="1:25" x14ac:dyDescent="0.3">
      <c r="A813" s="10"/>
      <c r="B813" s="11"/>
      <c r="C813" s="58"/>
      <c r="D813" s="37"/>
      <c r="E813" s="100"/>
      <c r="F813" s="62"/>
      <c r="G813" s="55"/>
      <c r="I813" s="39"/>
      <c r="Q813" s="48"/>
      <c r="U813" s="45"/>
      <c r="V813" s="108"/>
      <c r="W813" s="109"/>
      <c r="X813" s="111"/>
      <c r="Y813" s="111"/>
    </row>
    <row r="814" spans="1:25" x14ac:dyDescent="0.3">
      <c r="A814" s="10"/>
      <c r="B814" s="11"/>
      <c r="C814" s="58"/>
      <c r="D814" s="37"/>
      <c r="E814" s="100"/>
      <c r="F814" s="62"/>
      <c r="G814" s="55"/>
      <c r="I814" s="39"/>
      <c r="Q814" s="48"/>
      <c r="U814" s="45"/>
      <c r="V814" s="108"/>
      <c r="W814" s="109"/>
      <c r="X814" s="111"/>
      <c r="Y814" s="111"/>
    </row>
    <row r="815" spans="1:25" x14ac:dyDescent="0.3">
      <c r="A815" s="10"/>
      <c r="B815" s="11"/>
      <c r="C815" s="58"/>
      <c r="D815" s="37"/>
      <c r="E815" s="100"/>
      <c r="F815" s="62"/>
      <c r="G815" s="55"/>
      <c r="I815" s="39"/>
      <c r="Q815" s="48"/>
      <c r="U815" s="45"/>
      <c r="V815" s="108"/>
      <c r="W815" s="109"/>
      <c r="X815" s="111"/>
      <c r="Y815" s="111"/>
    </row>
    <row r="816" spans="1:25" x14ac:dyDescent="0.3">
      <c r="A816" s="10"/>
      <c r="B816" s="11"/>
      <c r="C816" s="58"/>
      <c r="D816" s="37"/>
      <c r="E816" s="100"/>
      <c r="F816" s="62"/>
      <c r="G816" s="55"/>
      <c r="I816" s="39"/>
      <c r="Q816" s="48"/>
      <c r="U816" s="45"/>
      <c r="V816" s="108"/>
      <c r="W816" s="109"/>
      <c r="X816" s="111"/>
      <c r="Y816" s="111"/>
    </row>
    <row r="817" spans="1:25" x14ac:dyDescent="0.3">
      <c r="A817" s="10"/>
      <c r="B817" s="11"/>
      <c r="C817" s="58"/>
      <c r="D817" s="37"/>
      <c r="E817" s="100"/>
      <c r="F817" s="62"/>
      <c r="G817" s="55"/>
      <c r="I817" s="39"/>
      <c r="Q817" s="48"/>
      <c r="U817" s="45"/>
      <c r="V817" s="108"/>
      <c r="W817" s="109"/>
      <c r="X817" s="111"/>
      <c r="Y817" s="111"/>
    </row>
    <row r="818" spans="1:25" x14ac:dyDescent="0.3">
      <c r="A818" s="10"/>
      <c r="B818" s="11"/>
      <c r="C818" s="58"/>
      <c r="D818" s="37"/>
      <c r="E818" s="100"/>
      <c r="F818" s="62"/>
      <c r="G818" s="55"/>
      <c r="I818" s="39"/>
      <c r="Q818" s="48"/>
      <c r="U818" s="45"/>
      <c r="V818" s="108"/>
      <c r="W818" s="109"/>
      <c r="X818" s="111"/>
      <c r="Y818" s="111"/>
    </row>
    <row r="819" spans="1:25" x14ac:dyDescent="0.3">
      <c r="A819" s="10"/>
      <c r="B819" s="11"/>
      <c r="C819" s="58"/>
      <c r="D819" s="37"/>
      <c r="E819" s="100"/>
      <c r="F819" s="62"/>
      <c r="G819" s="55"/>
      <c r="I819" s="39"/>
      <c r="Q819" s="48"/>
      <c r="U819" s="45"/>
      <c r="V819" s="108"/>
      <c r="W819" s="109"/>
      <c r="X819" s="111"/>
      <c r="Y819" s="111"/>
    </row>
    <row r="820" spans="1:25" x14ac:dyDescent="0.3">
      <c r="A820" s="10"/>
      <c r="B820" s="11"/>
      <c r="C820" s="58"/>
      <c r="D820" s="37"/>
      <c r="E820" s="100"/>
      <c r="F820" s="62"/>
      <c r="G820" s="55"/>
      <c r="I820" s="39"/>
      <c r="Q820" s="48"/>
      <c r="U820" s="45"/>
      <c r="V820" s="108"/>
      <c r="W820" s="109"/>
      <c r="X820" s="111"/>
      <c r="Y820" s="111"/>
    </row>
    <row r="821" spans="1:25" x14ac:dyDescent="0.3">
      <c r="A821" s="10"/>
      <c r="B821" s="11"/>
      <c r="C821" s="58"/>
      <c r="D821" s="37"/>
      <c r="E821" s="100"/>
      <c r="F821" s="62"/>
      <c r="G821" s="55"/>
      <c r="I821" s="39"/>
      <c r="Q821" s="48"/>
      <c r="U821" s="45"/>
      <c r="V821" s="108"/>
      <c r="W821" s="109"/>
      <c r="X821" s="111"/>
      <c r="Y821" s="111"/>
    </row>
    <row r="822" spans="1:25" x14ac:dyDescent="0.3">
      <c r="A822" s="10"/>
      <c r="B822" s="11"/>
      <c r="C822" s="58"/>
      <c r="D822" s="37"/>
      <c r="E822" s="100"/>
      <c r="F822" s="62"/>
      <c r="G822" s="55"/>
      <c r="I822" s="39"/>
      <c r="Q822" s="48"/>
      <c r="U822" s="45"/>
      <c r="V822" s="108"/>
      <c r="W822" s="109"/>
      <c r="X822" s="111"/>
      <c r="Y822" s="111"/>
    </row>
    <row r="823" spans="1:25" x14ac:dyDescent="0.3">
      <c r="A823" s="10"/>
      <c r="B823" s="11"/>
      <c r="C823" s="58"/>
      <c r="D823" s="37"/>
      <c r="E823" s="100"/>
      <c r="F823" s="62"/>
      <c r="G823" s="55"/>
      <c r="I823" s="39"/>
      <c r="Q823" s="48"/>
      <c r="U823" s="45"/>
      <c r="V823" s="108"/>
      <c r="W823" s="109"/>
      <c r="X823" s="111"/>
      <c r="Y823" s="111"/>
    </row>
    <row r="824" spans="1:25" x14ac:dyDescent="0.3">
      <c r="A824" s="10"/>
      <c r="B824" s="11"/>
      <c r="C824" s="58"/>
      <c r="D824" s="37"/>
      <c r="E824" s="100"/>
      <c r="F824" s="62"/>
      <c r="G824" s="55"/>
      <c r="I824" s="39"/>
      <c r="Q824" s="48"/>
      <c r="U824" s="45"/>
      <c r="V824" s="108"/>
      <c r="W824" s="109"/>
      <c r="X824" s="111"/>
      <c r="Y824" s="111"/>
    </row>
    <row r="825" spans="1:25" x14ac:dyDescent="0.3">
      <c r="A825" s="10"/>
      <c r="B825" s="11"/>
      <c r="C825" s="58"/>
      <c r="D825" s="37"/>
      <c r="E825" s="100"/>
      <c r="F825" s="62"/>
      <c r="G825" s="55"/>
      <c r="I825" s="39"/>
      <c r="Q825" s="48"/>
      <c r="U825" s="45"/>
      <c r="V825" s="108"/>
      <c r="W825" s="109"/>
      <c r="X825" s="111"/>
      <c r="Y825" s="111"/>
    </row>
    <row r="826" spans="1:25" x14ac:dyDescent="0.3">
      <c r="A826" s="10"/>
      <c r="B826" s="11"/>
      <c r="C826" s="58"/>
      <c r="D826" s="37"/>
      <c r="E826" s="100"/>
      <c r="F826" s="62"/>
      <c r="G826" s="55"/>
      <c r="I826" s="39"/>
      <c r="Q826" s="48"/>
      <c r="U826" s="45"/>
      <c r="V826" s="108"/>
      <c r="W826" s="109"/>
      <c r="X826" s="111"/>
      <c r="Y826" s="111"/>
    </row>
    <row r="827" spans="1:25" x14ac:dyDescent="0.3">
      <c r="A827" s="10"/>
      <c r="B827" s="11"/>
      <c r="C827" s="58"/>
      <c r="D827" s="37"/>
      <c r="E827" s="100"/>
      <c r="F827" s="62"/>
      <c r="G827" s="55"/>
      <c r="I827" s="39"/>
      <c r="Q827" s="48"/>
      <c r="U827" s="45"/>
      <c r="V827" s="108"/>
      <c r="W827" s="109"/>
      <c r="X827" s="111"/>
      <c r="Y827" s="111"/>
    </row>
    <row r="828" spans="1:25" x14ac:dyDescent="0.3">
      <c r="A828" s="10"/>
      <c r="B828" s="11"/>
      <c r="C828" s="58"/>
      <c r="D828" s="37"/>
      <c r="E828" s="100"/>
      <c r="F828" s="62"/>
      <c r="G828" s="55"/>
      <c r="I828" s="39"/>
      <c r="Q828" s="48"/>
      <c r="U828" s="45"/>
      <c r="V828" s="108"/>
      <c r="W828" s="109"/>
      <c r="X828" s="111"/>
      <c r="Y828" s="111"/>
    </row>
    <row r="829" spans="1:25" x14ac:dyDescent="0.3">
      <c r="A829" s="10"/>
      <c r="B829" s="11"/>
      <c r="C829" s="58"/>
      <c r="D829" s="37"/>
      <c r="E829" s="100"/>
      <c r="F829" s="62"/>
      <c r="G829" s="55"/>
      <c r="I829" s="39"/>
      <c r="Q829" s="48"/>
      <c r="U829" s="45"/>
      <c r="V829" s="108"/>
      <c r="W829" s="109"/>
      <c r="X829" s="111"/>
      <c r="Y829" s="111"/>
    </row>
    <row r="830" spans="1:25" x14ac:dyDescent="0.3">
      <c r="A830" s="10"/>
      <c r="B830" s="11"/>
      <c r="C830" s="58"/>
      <c r="D830" s="37"/>
      <c r="E830" s="100"/>
      <c r="F830" s="62"/>
      <c r="G830" s="55"/>
      <c r="I830" s="39"/>
      <c r="Q830" s="48"/>
      <c r="U830" s="45"/>
      <c r="V830" s="108"/>
      <c r="W830" s="109"/>
      <c r="X830" s="111"/>
      <c r="Y830" s="111"/>
    </row>
    <row r="831" spans="1:25" x14ac:dyDescent="0.3">
      <c r="A831" s="10"/>
      <c r="B831" s="11"/>
      <c r="C831" s="58"/>
      <c r="D831" s="37"/>
      <c r="E831" s="100"/>
      <c r="F831" s="62"/>
      <c r="G831" s="55"/>
      <c r="I831" s="39"/>
      <c r="Q831" s="48"/>
      <c r="U831" s="45"/>
      <c r="V831" s="108"/>
      <c r="W831" s="109"/>
      <c r="X831" s="111"/>
      <c r="Y831" s="111"/>
    </row>
    <row r="832" spans="1:25" x14ac:dyDescent="0.3">
      <c r="A832" s="10"/>
      <c r="B832" s="11"/>
      <c r="C832" s="58"/>
      <c r="D832" s="37"/>
      <c r="E832" s="100"/>
      <c r="F832" s="62"/>
      <c r="G832" s="55"/>
      <c r="I832" s="39"/>
      <c r="Q832" s="48"/>
      <c r="U832" s="45"/>
      <c r="V832" s="108"/>
      <c r="W832" s="109"/>
      <c r="X832" s="111"/>
      <c r="Y832" s="111"/>
    </row>
    <row r="833" spans="1:25" x14ac:dyDescent="0.3">
      <c r="A833" s="10"/>
      <c r="B833" s="11"/>
      <c r="C833" s="58"/>
      <c r="D833" s="37"/>
      <c r="E833" s="100"/>
      <c r="F833" s="62"/>
      <c r="G833" s="55"/>
      <c r="I833" s="39"/>
      <c r="Q833" s="48"/>
      <c r="U833" s="45"/>
      <c r="V833" s="108"/>
      <c r="W833" s="109"/>
      <c r="X833" s="111"/>
      <c r="Y833" s="111"/>
    </row>
    <row r="834" spans="1:25" x14ac:dyDescent="0.3">
      <c r="A834" s="10"/>
      <c r="B834" s="11"/>
      <c r="C834" s="58"/>
      <c r="D834" s="37"/>
      <c r="E834" s="100"/>
      <c r="F834" s="62"/>
      <c r="G834" s="55"/>
      <c r="I834" s="39"/>
      <c r="Q834" s="48"/>
      <c r="U834" s="45"/>
      <c r="V834" s="108"/>
      <c r="W834" s="109"/>
      <c r="X834" s="111"/>
      <c r="Y834" s="111"/>
    </row>
    <row r="835" spans="1:25" x14ac:dyDescent="0.3">
      <c r="A835" s="10"/>
      <c r="B835" s="11"/>
      <c r="C835" s="58"/>
      <c r="D835" s="37"/>
      <c r="E835" s="100"/>
      <c r="F835" s="62"/>
      <c r="G835" s="55"/>
      <c r="I835" s="39"/>
      <c r="Q835" s="48"/>
      <c r="U835" s="45"/>
      <c r="V835" s="108"/>
      <c r="W835" s="109"/>
      <c r="X835" s="111"/>
      <c r="Y835" s="111"/>
    </row>
    <row r="836" spans="1:25" x14ac:dyDescent="0.3">
      <c r="A836" s="10"/>
      <c r="B836" s="11"/>
      <c r="C836" s="58"/>
      <c r="D836" s="37"/>
      <c r="E836" s="100"/>
      <c r="F836" s="62"/>
      <c r="G836" s="55"/>
      <c r="I836" s="39"/>
      <c r="Q836" s="48"/>
      <c r="U836" s="45"/>
      <c r="V836" s="108"/>
      <c r="W836" s="109"/>
      <c r="X836" s="111"/>
      <c r="Y836" s="111"/>
    </row>
    <row r="837" spans="1:25" x14ac:dyDescent="0.3">
      <c r="A837" s="10"/>
      <c r="B837" s="11"/>
      <c r="C837" s="58"/>
      <c r="D837" s="37"/>
      <c r="E837" s="100"/>
      <c r="F837" s="62"/>
      <c r="G837" s="55"/>
      <c r="I837" s="39"/>
      <c r="Q837" s="48"/>
      <c r="U837" s="45"/>
      <c r="V837" s="108"/>
      <c r="W837" s="109"/>
      <c r="X837" s="111"/>
      <c r="Y837" s="111"/>
    </row>
    <row r="838" spans="1:25" x14ac:dyDescent="0.3">
      <c r="A838" s="10"/>
      <c r="B838" s="11"/>
      <c r="C838" s="58"/>
      <c r="D838" s="37"/>
      <c r="E838" s="100"/>
      <c r="F838" s="62"/>
      <c r="G838" s="55"/>
      <c r="I838" s="39"/>
      <c r="Q838" s="48"/>
      <c r="U838" s="45"/>
      <c r="V838" s="108"/>
      <c r="W838" s="109"/>
      <c r="X838" s="111"/>
      <c r="Y838" s="111"/>
    </row>
    <row r="839" spans="1:25" x14ac:dyDescent="0.3">
      <c r="A839" s="10"/>
      <c r="B839" s="11"/>
      <c r="C839" s="58"/>
      <c r="D839" s="37"/>
      <c r="E839" s="100"/>
      <c r="F839" s="62"/>
      <c r="G839" s="55"/>
      <c r="I839" s="39"/>
      <c r="Q839" s="48"/>
      <c r="U839" s="45"/>
      <c r="V839" s="108"/>
      <c r="W839" s="109"/>
      <c r="X839" s="111"/>
      <c r="Y839" s="111"/>
    </row>
    <row r="840" spans="1:25" x14ac:dyDescent="0.3">
      <c r="A840" s="10"/>
      <c r="B840" s="11"/>
      <c r="C840" s="58"/>
      <c r="D840" s="37"/>
      <c r="E840" s="100"/>
      <c r="F840" s="62"/>
      <c r="G840" s="55"/>
      <c r="I840" s="39"/>
      <c r="Q840" s="48"/>
      <c r="U840" s="45"/>
      <c r="V840" s="108"/>
      <c r="W840" s="109"/>
      <c r="X840" s="111"/>
      <c r="Y840" s="111"/>
    </row>
    <row r="841" spans="1:25" x14ac:dyDescent="0.3">
      <c r="A841" s="10"/>
      <c r="B841" s="11"/>
      <c r="C841" s="58"/>
      <c r="D841" s="37"/>
      <c r="E841" s="100"/>
      <c r="F841" s="62"/>
      <c r="G841" s="55"/>
      <c r="I841" s="39"/>
      <c r="Q841" s="48"/>
      <c r="U841" s="45"/>
      <c r="V841" s="108"/>
      <c r="W841" s="109"/>
      <c r="X841" s="111"/>
      <c r="Y841" s="111"/>
    </row>
    <row r="842" spans="1:25" x14ac:dyDescent="0.3">
      <c r="A842" s="10"/>
      <c r="B842" s="11"/>
      <c r="C842" s="58"/>
      <c r="D842" s="37"/>
      <c r="E842" s="100"/>
      <c r="F842" s="62"/>
      <c r="G842" s="55"/>
      <c r="I842" s="39"/>
      <c r="Q842" s="48"/>
      <c r="U842" s="45"/>
      <c r="V842" s="108"/>
      <c r="W842" s="109"/>
      <c r="X842" s="111"/>
      <c r="Y842" s="111"/>
    </row>
    <row r="843" spans="1:25" x14ac:dyDescent="0.3">
      <c r="A843" s="10"/>
      <c r="B843" s="11"/>
      <c r="C843" s="58"/>
      <c r="D843" s="37"/>
      <c r="E843" s="100"/>
      <c r="F843" s="62"/>
      <c r="G843" s="55"/>
      <c r="I843" s="39"/>
      <c r="Q843" s="48"/>
      <c r="U843" s="45"/>
      <c r="V843" s="108"/>
      <c r="W843" s="109"/>
      <c r="X843" s="111"/>
      <c r="Y843" s="111"/>
    </row>
    <row r="844" spans="1:25" x14ac:dyDescent="0.3">
      <c r="A844" s="10"/>
      <c r="B844" s="11"/>
      <c r="C844" s="58"/>
      <c r="D844" s="37"/>
      <c r="E844" s="100"/>
      <c r="F844" s="62"/>
      <c r="G844" s="55"/>
      <c r="I844" s="39"/>
      <c r="Q844" s="48"/>
      <c r="U844" s="45"/>
      <c r="V844" s="108"/>
      <c r="W844" s="109"/>
      <c r="X844" s="111"/>
      <c r="Y844" s="111"/>
    </row>
    <row r="845" spans="1:25" x14ac:dyDescent="0.3">
      <c r="A845" s="10"/>
      <c r="B845" s="11"/>
      <c r="C845" s="58"/>
      <c r="D845" s="37"/>
      <c r="E845" s="100"/>
      <c r="F845" s="62"/>
      <c r="G845" s="55"/>
      <c r="I845" s="39"/>
      <c r="Q845" s="48"/>
      <c r="U845" s="45"/>
      <c r="V845" s="108"/>
      <c r="W845" s="109"/>
      <c r="X845" s="111"/>
      <c r="Y845" s="111"/>
    </row>
    <row r="846" spans="1:25" x14ac:dyDescent="0.3">
      <c r="A846" s="10"/>
      <c r="B846" s="11"/>
      <c r="C846" s="58"/>
      <c r="D846" s="37"/>
      <c r="E846" s="100"/>
      <c r="F846" s="62"/>
      <c r="G846" s="55"/>
      <c r="I846" s="39"/>
      <c r="Q846" s="48"/>
      <c r="U846" s="45"/>
      <c r="V846" s="108"/>
      <c r="W846" s="109"/>
      <c r="X846" s="111"/>
      <c r="Y846" s="111"/>
    </row>
    <row r="847" spans="1:25" x14ac:dyDescent="0.3">
      <c r="A847" s="10"/>
      <c r="B847" s="11"/>
      <c r="C847" s="58"/>
      <c r="D847" s="37"/>
      <c r="E847" s="100"/>
      <c r="F847" s="62"/>
      <c r="G847" s="55"/>
      <c r="I847" s="39"/>
      <c r="Q847" s="48"/>
      <c r="U847" s="45"/>
      <c r="V847" s="108"/>
      <c r="W847" s="109"/>
      <c r="X847" s="111"/>
      <c r="Y847" s="111"/>
    </row>
    <row r="848" spans="1:25" x14ac:dyDescent="0.3">
      <c r="A848" s="10"/>
      <c r="B848" s="11"/>
      <c r="C848" s="58"/>
      <c r="D848" s="37"/>
      <c r="E848" s="100"/>
      <c r="F848" s="62"/>
      <c r="G848" s="55"/>
      <c r="I848" s="39"/>
      <c r="Q848" s="48"/>
      <c r="U848" s="45"/>
      <c r="V848" s="108"/>
      <c r="W848" s="109"/>
      <c r="X848" s="111"/>
      <c r="Y848" s="111"/>
    </row>
    <row r="849" spans="1:25" x14ac:dyDescent="0.3">
      <c r="A849" s="10"/>
      <c r="B849" s="11"/>
      <c r="C849" s="58"/>
      <c r="D849" s="37"/>
      <c r="E849" s="100"/>
      <c r="F849" s="62"/>
      <c r="G849" s="55"/>
      <c r="I849" s="39"/>
      <c r="Q849" s="48"/>
      <c r="U849" s="45"/>
      <c r="V849" s="108"/>
      <c r="W849" s="109"/>
      <c r="X849" s="111"/>
      <c r="Y849" s="111"/>
    </row>
    <row r="850" spans="1:25" x14ac:dyDescent="0.3">
      <c r="A850" s="10"/>
      <c r="B850" s="11"/>
      <c r="C850" s="58"/>
      <c r="D850" s="37"/>
      <c r="E850" s="100"/>
      <c r="F850" s="62"/>
      <c r="G850" s="55"/>
      <c r="I850" s="39"/>
      <c r="Q850" s="48"/>
      <c r="U850" s="45"/>
      <c r="V850" s="108"/>
      <c r="W850" s="109"/>
      <c r="X850" s="111"/>
      <c r="Y850" s="111"/>
    </row>
    <row r="851" spans="1:25" x14ac:dyDescent="0.3">
      <c r="A851" s="10"/>
      <c r="B851" s="11"/>
      <c r="C851" s="58"/>
      <c r="D851" s="37"/>
      <c r="E851" s="100"/>
      <c r="F851" s="62"/>
      <c r="G851" s="55"/>
      <c r="I851" s="39"/>
      <c r="Q851" s="48"/>
      <c r="U851" s="45"/>
      <c r="V851" s="108"/>
      <c r="W851" s="109"/>
      <c r="X851" s="111"/>
      <c r="Y851" s="111"/>
    </row>
    <row r="852" spans="1:25" x14ac:dyDescent="0.3">
      <c r="A852" s="10"/>
      <c r="B852" s="11"/>
      <c r="C852" s="58"/>
      <c r="D852" s="37"/>
      <c r="E852" s="100"/>
      <c r="F852" s="62"/>
      <c r="G852" s="55"/>
      <c r="I852" s="39"/>
      <c r="Q852" s="48"/>
      <c r="U852" s="45"/>
      <c r="V852" s="108"/>
      <c r="W852" s="109"/>
      <c r="X852" s="111"/>
      <c r="Y852" s="111"/>
    </row>
    <row r="853" spans="1:25" x14ac:dyDescent="0.3">
      <c r="A853" s="10"/>
      <c r="B853" s="11"/>
      <c r="C853" s="58"/>
      <c r="D853" s="37"/>
      <c r="E853" s="100"/>
      <c r="F853" s="62"/>
      <c r="G853" s="55"/>
      <c r="I853" s="39"/>
      <c r="Q853" s="48"/>
      <c r="U853" s="45"/>
      <c r="V853" s="108"/>
      <c r="W853" s="109"/>
      <c r="X853" s="111"/>
      <c r="Y853" s="111"/>
    </row>
    <row r="854" spans="1:25" x14ac:dyDescent="0.3">
      <c r="A854" s="10"/>
      <c r="B854" s="11"/>
      <c r="C854" s="58"/>
      <c r="D854" s="37"/>
      <c r="E854" s="100"/>
      <c r="F854" s="62"/>
      <c r="G854" s="55"/>
      <c r="I854" s="39"/>
      <c r="Q854" s="48"/>
      <c r="U854" s="45"/>
      <c r="V854" s="108"/>
      <c r="W854" s="109"/>
      <c r="X854" s="111"/>
      <c r="Y854" s="111"/>
    </row>
    <row r="855" spans="1:25" x14ac:dyDescent="0.3">
      <c r="A855" s="10"/>
      <c r="B855" s="11"/>
      <c r="C855" s="58"/>
      <c r="D855" s="37"/>
      <c r="E855" s="100"/>
      <c r="F855" s="62"/>
      <c r="G855" s="55"/>
      <c r="I855" s="39"/>
      <c r="Q855" s="48"/>
      <c r="U855" s="45"/>
      <c r="V855" s="108"/>
      <c r="W855" s="109"/>
      <c r="X855" s="111"/>
      <c r="Y855" s="111"/>
    </row>
    <row r="856" spans="1:25" x14ac:dyDescent="0.3">
      <c r="A856" s="10"/>
      <c r="B856" s="11"/>
      <c r="C856" s="58"/>
      <c r="D856" s="37"/>
      <c r="E856" s="100"/>
      <c r="F856" s="62"/>
      <c r="G856" s="55"/>
      <c r="I856" s="39"/>
      <c r="Q856" s="48"/>
      <c r="U856" s="45"/>
      <c r="V856" s="108"/>
      <c r="W856" s="109"/>
      <c r="X856" s="111"/>
      <c r="Y856" s="111"/>
    </row>
    <row r="857" spans="1:25" x14ac:dyDescent="0.3">
      <c r="A857" s="10"/>
      <c r="B857" s="11"/>
      <c r="C857" s="58"/>
      <c r="D857" s="37"/>
      <c r="E857" s="100"/>
      <c r="F857" s="62"/>
      <c r="G857" s="55"/>
      <c r="I857" s="39"/>
      <c r="Q857" s="48"/>
      <c r="U857" s="45"/>
      <c r="V857" s="108"/>
      <c r="W857" s="109"/>
      <c r="X857" s="111"/>
      <c r="Y857" s="111"/>
    </row>
    <row r="858" spans="1:25" x14ac:dyDescent="0.3">
      <c r="A858" s="10"/>
      <c r="B858" s="11"/>
      <c r="C858" s="58"/>
      <c r="D858" s="37"/>
      <c r="E858" s="100"/>
      <c r="F858" s="62"/>
      <c r="G858" s="55"/>
      <c r="I858" s="39"/>
      <c r="Q858" s="48"/>
      <c r="U858" s="45"/>
      <c r="V858" s="108"/>
      <c r="W858" s="109"/>
      <c r="X858" s="111"/>
      <c r="Y858" s="111"/>
    </row>
    <row r="859" spans="1:25" x14ac:dyDescent="0.3">
      <c r="A859" s="10"/>
      <c r="B859" s="11"/>
      <c r="C859" s="58"/>
      <c r="D859" s="37"/>
      <c r="E859" s="100"/>
      <c r="F859" s="62"/>
      <c r="G859" s="55"/>
      <c r="I859" s="39"/>
      <c r="Q859" s="48"/>
      <c r="U859" s="45"/>
      <c r="V859" s="108"/>
      <c r="W859" s="109"/>
      <c r="X859" s="111"/>
      <c r="Y859" s="111"/>
    </row>
    <row r="860" spans="1:25" x14ac:dyDescent="0.3">
      <c r="A860" s="10"/>
      <c r="B860" s="11"/>
      <c r="C860" s="58"/>
      <c r="D860" s="37"/>
      <c r="E860" s="100"/>
      <c r="F860" s="62"/>
      <c r="G860" s="55"/>
      <c r="I860" s="39"/>
      <c r="Q860" s="48"/>
      <c r="U860" s="45"/>
      <c r="V860" s="108"/>
      <c r="W860" s="109"/>
      <c r="X860" s="111"/>
      <c r="Y860" s="111"/>
    </row>
    <row r="861" spans="1:25" x14ac:dyDescent="0.3">
      <c r="A861" s="10"/>
      <c r="B861" s="11"/>
      <c r="C861" s="58"/>
      <c r="D861" s="37"/>
      <c r="E861" s="100"/>
      <c r="F861" s="62"/>
      <c r="G861" s="55"/>
      <c r="I861" s="39"/>
      <c r="Q861" s="48"/>
      <c r="U861" s="45"/>
      <c r="V861" s="108"/>
      <c r="W861" s="109"/>
      <c r="X861" s="111"/>
      <c r="Y861" s="111"/>
    </row>
    <row r="862" spans="1:25" x14ac:dyDescent="0.3">
      <c r="A862" s="10"/>
      <c r="B862" s="11"/>
      <c r="C862" s="58"/>
      <c r="D862" s="37"/>
      <c r="E862" s="100"/>
      <c r="F862" s="62"/>
      <c r="G862" s="55"/>
      <c r="I862" s="39"/>
      <c r="Q862" s="48"/>
      <c r="U862" s="45"/>
      <c r="V862" s="108"/>
      <c r="W862" s="109"/>
      <c r="X862" s="111"/>
      <c r="Y862" s="111"/>
    </row>
    <row r="863" spans="1:25" x14ac:dyDescent="0.3">
      <c r="A863" s="10"/>
      <c r="B863" s="11"/>
      <c r="C863" s="58"/>
      <c r="D863" s="37"/>
      <c r="E863" s="100"/>
      <c r="F863" s="62"/>
      <c r="G863" s="55"/>
      <c r="I863" s="39"/>
      <c r="Q863" s="48"/>
      <c r="U863" s="45"/>
      <c r="V863" s="108"/>
      <c r="W863" s="109"/>
      <c r="X863" s="111"/>
      <c r="Y863" s="111"/>
    </row>
    <row r="864" spans="1:25" x14ac:dyDescent="0.3">
      <c r="A864" s="10"/>
      <c r="B864" s="11"/>
      <c r="C864" s="58"/>
      <c r="D864" s="37"/>
      <c r="E864" s="100"/>
      <c r="F864" s="62"/>
      <c r="G864" s="55"/>
      <c r="I864" s="39"/>
      <c r="Q864" s="48"/>
      <c r="U864" s="45"/>
      <c r="V864" s="108"/>
      <c r="W864" s="109"/>
      <c r="X864" s="111"/>
      <c r="Y864" s="111"/>
    </row>
    <row r="865" spans="1:25" x14ac:dyDescent="0.3">
      <c r="A865" s="10"/>
      <c r="B865" s="11"/>
      <c r="C865" s="58"/>
      <c r="D865" s="37"/>
      <c r="E865" s="100"/>
      <c r="F865" s="62"/>
      <c r="G865" s="55"/>
      <c r="I865" s="39"/>
      <c r="Q865" s="48"/>
      <c r="U865" s="45"/>
      <c r="V865" s="108"/>
      <c r="W865" s="109"/>
      <c r="X865" s="111"/>
      <c r="Y865" s="111"/>
    </row>
    <row r="866" spans="1:25" x14ac:dyDescent="0.3">
      <c r="A866" s="10"/>
      <c r="B866" s="11"/>
      <c r="C866" s="58"/>
      <c r="D866" s="37"/>
      <c r="E866" s="100"/>
      <c r="F866" s="62"/>
      <c r="G866" s="55"/>
      <c r="I866" s="39"/>
      <c r="Q866" s="48"/>
      <c r="U866" s="45"/>
      <c r="V866" s="108"/>
      <c r="W866" s="109"/>
      <c r="X866" s="111"/>
      <c r="Y866" s="111"/>
    </row>
    <row r="867" spans="1:25" x14ac:dyDescent="0.3">
      <c r="A867" s="10"/>
      <c r="B867" s="11"/>
      <c r="C867" s="58"/>
      <c r="D867" s="37"/>
      <c r="E867" s="100"/>
      <c r="F867" s="62"/>
      <c r="G867" s="55"/>
      <c r="I867" s="39"/>
      <c r="Q867" s="48"/>
      <c r="U867" s="45"/>
      <c r="V867" s="108"/>
      <c r="W867" s="109"/>
      <c r="X867" s="111"/>
      <c r="Y867" s="111"/>
    </row>
    <row r="868" spans="1:25" x14ac:dyDescent="0.3">
      <c r="A868" s="10"/>
      <c r="B868" s="11"/>
      <c r="C868" s="58"/>
      <c r="D868" s="37"/>
      <c r="E868" s="100"/>
      <c r="F868" s="62"/>
      <c r="G868" s="55"/>
      <c r="I868" s="39"/>
      <c r="Q868" s="48"/>
      <c r="U868" s="45"/>
      <c r="V868" s="108"/>
      <c r="W868" s="109"/>
      <c r="X868" s="111"/>
      <c r="Y868" s="111"/>
    </row>
    <row r="869" spans="1:25" x14ac:dyDescent="0.3">
      <c r="A869" s="10"/>
      <c r="B869" s="11"/>
      <c r="C869" s="58"/>
      <c r="D869" s="37"/>
      <c r="E869" s="100"/>
      <c r="F869" s="62"/>
      <c r="G869" s="55"/>
      <c r="I869" s="39"/>
      <c r="Q869" s="48"/>
      <c r="U869" s="45"/>
      <c r="V869" s="108"/>
      <c r="W869" s="109"/>
      <c r="X869" s="111"/>
      <c r="Y869" s="111"/>
    </row>
    <row r="870" spans="1:25" x14ac:dyDescent="0.3">
      <c r="A870" s="10"/>
      <c r="B870" s="11"/>
      <c r="C870" s="58"/>
      <c r="D870" s="37"/>
      <c r="E870" s="100"/>
      <c r="F870" s="62"/>
      <c r="G870" s="55"/>
      <c r="I870" s="39"/>
      <c r="Q870" s="48"/>
      <c r="U870" s="45"/>
      <c r="V870" s="108"/>
      <c r="W870" s="109"/>
      <c r="X870" s="111"/>
      <c r="Y870" s="111"/>
    </row>
    <row r="871" spans="1:25" x14ac:dyDescent="0.3">
      <c r="A871" s="10"/>
      <c r="B871" s="11"/>
      <c r="C871" s="58"/>
      <c r="D871" s="37"/>
      <c r="E871" s="100"/>
      <c r="F871" s="62"/>
      <c r="G871" s="55"/>
      <c r="I871" s="39"/>
      <c r="Q871" s="48"/>
      <c r="U871" s="45"/>
      <c r="V871" s="108"/>
      <c r="W871" s="109"/>
      <c r="X871" s="111"/>
      <c r="Y871" s="111"/>
    </row>
    <row r="872" spans="1:25" x14ac:dyDescent="0.3">
      <c r="A872" s="10"/>
      <c r="B872" s="11"/>
      <c r="C872" s="58"/>
      <c r="D872" s="37"/>
      <c r="E872" s="100"/>
      <c r="F872" s="62"/>
      <c r="G872" s="55"/>
      <c r="I872" s="39"/>
      <c r="Q872" s="48"/>
      <c r="U872" s="45"/>
      <c r="V872" s="108"/>
      <c r="W872" s="109"/>
      <c r="X872" s="111"/>
      <c r="Y872" s="111"/>
    </row>
    <row r="873" spans="1:25" x14ac:dyDescent="0.3">
      <c r="A873" s="10"/>
      <c r="B873" s="11"/>
      <c r="C873" s="58"/>
      <c r="D873" s="37"/>
      <c r="E873" s="100"/>
      <c r="F873" s="62"/>
      <c r="G873" s="55"/>
      <c r="I873" s="39"/>
      <c r="Q873" s="48"/>
      <c r="U873" s="45"/>
      <c r="V873" s="108"/>
      <c r="W873" s="109"/>
      <c r="X873" s="111"/>
      <c r="Y873" s="111"/>
    </row>
    <row r="874" spans="1:25" x14ac:dyDescent="0.3">
      <c r="A874" s="10"/>
      <c r="B874" s="11"/>
      <c r="C874" s="58"/>
      <c r="D874" s="37"/>
      <c r="E874" s="100"/>
      <c r="F874" s="62"/>
      <c r="G874" s="55"/>
      <c r="I874" s="39"/>
      <c r="Q874" s="48"/>
      <c r="U874" s="45"/>
      <c r="V874" s="108"/>
      <c r="W874" s="109"/>
      <c r="X874" s="111"/>
      <c r="Y874" s="111"/>
    </row>
    <row r="875" spans="1:25" x14ac:dyDescent="0.3">
      <c r="A875" s="10"/>
      <c r="B875" s="11"/>
      <c r="C875" s="58"/>
      <c r="D875" s="37"/>
      <c r="E875" s="100"/>
      <c r="F875" s="62"/>
      <c r="G875" s="55"/>
      <c r="I875" s="39"/>
      <c r="Q875" s="48"/>
      <c r="U875" s="45"/>
      <c r="V875" s="108"/>
      <c r="W875" s="109"/>
      <c r="X875" s="111"/>
      <c r="Y875" s="111"/>
    </row>
    <row r="876" spans="1:25" x14ac:dyDescent="0.3">
      <c r="A876" s="10"/>
      <c r="B876" s="11"/>
      <c r="C876" s="58"/>
      <c r="D876" s="37"/>
      <c r="E876" s="100"/>
      <c r="F876" s="62"/>
      <c r="G876" s="55"/>
      <c r="I876" s="39"/>
      <c r="Q876" s="48"/>
      <c r="U876" s="45"/>
      <c r="V876" s="108"/>
      <c r="W876" s="109"/>
      <c r="X876" s="111"/>
      <c r="Y876" s="111"/>
    </row>
    <row r="877" spans="1:25" x14ac:dyDescent="0.3">
      <c r="A877" s="10"/>
      <c r="B877" s="11"/>
      <c r="C877" s="58"/>
      <c r="D877" s="37"/>
      <c r="E877" s="100"/>
      <c r="F877" s="62"/>
      <c r="G877" s="55"/>
      <c r="I877" s="39"/>
      <c r="Q877" s="48"/>
      <c r="U877" s="45"/>
      <c r="V877" s="108"/>
      <c r="W877" s="109"/>
      <c r="X877" s="111"/>
      <c r="Y877" s="111"/>
    </row>
    <row r="878" spans="1:25" x14ac:dyDescent="0.3">
      <c r="A878" s="10"/>
      <c r="B878" s="11"/>
      <c r="C878" s="58"/>
      <c r="D878" s="37"/>
      <c r="E878" s="100"/>
      <c r="F878" s="62"/>
      <c r="G878" s="55"/>
      <c r="I878" s="39"/>
      <c r="Q878" s="48"/>
      <c r="U878" s="45"/>
      <c r="V878" s="108"/>
      <c r="W878" s="109"/>
      <c r="X878" s="111"/>
      <c r="Y878" s="111"/>
    </row>
    <row r="879" spans="1:25" x14ac:dyDescent="0.3">
      <c r="A879" s="10"/>
      <c r="B879" s="11"/>
      <c r="C879" s="58"/>
      <c r="D879" s="37"/>
      <c r="E879" s="100"/>
      <c r="F879" s="62"/>
      <c r="G879" s="55"/>
      <c r="I879" s="39"/>
      <c r="Q879" s="48"/>
      <c r="U879" s="45"/>
      <c r="V879" s="108"/>
      <c r="W879" s="109"/>
      <c r="X879" s="111"/>
      <c r="Y879" s="111"/>
    </row>
    <row r="880" spans="1:25" x14ac:dyDescent="0.3">
      <c r="A880" s="10"/>
      <c r="B880" s="11"/>
      <c r="C880" s="58"/>
      <c r="D880" s="37"/>
      <c r="E880" s="100"/>
      <c r="F880" s="62"/>
      <c r="G880" s="55"/>
      <c r="I880" s="39"/>
      <c r="Q880" s="48"/>
      <c r="U880" s="45"/>
      <c r="V880" s="108"/>
      <c r="W880" s="109"/>
      <c r="X880" s="111"/>
      <c r="Y880" s="111"/>
    </row>
    <row r="881" spans="1:25" x14ac:dyDescent="0.3">
      <c r="A881" s="10"/>
      <c r="B881" s="11"/>
      <c r="C881" s="58"/>
      <c r="D881" s="37"/>
      <c r="E881" s="100"/>
      <c r="F881" s="62"/>
      <c r="G881" s="55"/>
      <c r="I881" s="39"/>
      <c r="Q881" s="48"/>
      <c r="U881" s="45"/>
      <c r="V881" s="108"/>
      <c r="W881" s="109"/>
      <c r="X881" s="111"/>
      <c r="Y881" s="111"/>
    </row>
    <row r="882" spans="1:25" x14ac:dyDescent="0.3">
      <c r="A882" s="10"/>
      <c r="B882" s="11"/>
      <c r="C882" s="58"/>
      <c r="D882" s="37"/>
      <c r="E882" s="100"/>
      <c r="F882" s="62"/>
      <c r="G882" s="55"/>
      <c r="I882" s="39"/>
      <c r="Q882" s="48"/>
      <c r="U882" s="45"/>
      <c r="V882" s="108"/>
      <c r="W882" s="109"/>
      <c r="X882" s="111"/>
      <c r="Y882" s="111"/>
    </row>
    <row r="883" spans="1:25" x14ac:dyDescent="0.3">
      <c r="A883" s="10"/>
      <c r="B883" s="11"/>
      <c r="C883" s="58"/>
      <c r="D883" s="37"/>
      <c r="E883" s="100"/>
      <c r="F883" s="62"/>
      <c r="G883" s="55"/>
      <c r="I883" s="39"/>
      <c r="Q883" s="48"/>
      <c r="U883" s="45"/>
      <c r="V883" s="108"/>
      <c r="W883" s="109"/>
      <c r="X883" s="111"/>
      <c r="Y883" s="111"/>
    </row>
    <row r="884" spans="1:25" x14ac:dyDescent="0.3">
      <c r="A884" s="10"/>
      <c r="B884" s="11"/>
      <c r="C884" s="58"/>
      <c r="D884" s="37"/>
      <c r="E884" s="100"/>
      <c r="F884" s="62"/>
      <c r="G884" s="55"/>
      <c r="I884" s="39"/>
      <c r="Q884" s="48"/>
      <c r="U884" s="45"/>
      <c r="V884" s="108"/>
      <c r="W884" s="109"/>
      <c r="X884" s="111"/>
      <c r="Y884" s="111"/>
    </row>
    <row r="885" spans="1:25" x14ac:dyDescent="0.3">
      <c r="A885" s="10"/>
      <c r="B885" s="11"/>
      <c r="C885" s="58"/>
      <c r="D885" s="37"/>
      <c r="E885" s="100"/>
      <c r="F885" s="62"/>
      <c r="G885" s="55"/>
      <c r="I885" s="39"/>
      <c r="Q885" s="48"/>
      <c r="U885" s="45"/>
      <c r="V885" s="108"/>
      <c r="W885" s="109"/>
      <c r="X885" s="111"/>
      <c r="Y885" s="111"/>
    </row>
    <row r="886" spans="1:25" x14ac:dyDescent="0.3">
      <c r="A886" s="10"/>
      <c r="B886" s="11"/>
      <c r="C886" s="58"/>
      <c r="D886" s="37"/>
      <c r="E886" s="100"/>
      <c r="F886" s="62"/>
      <c r="G886" s="55"/>
      <c r="I886" s="39"/>
      <c r="Q886" s="48"/>
      <c r="U886" s="45"/>
      <c r="V886" s="108"/>
      <c r="W886" s="109"/>
      <c r="X886" s="111"/>
      <c r="Y886" s="111"/>
    </row>
    <row r="887" spans="1:25" x14ac:dyDescent="0.3">
      <c r="A887" s="10"/>
      <c r="B887" s="11"/>
      <c r="C887" s="58"/>
      <c r="D887" s="37"/>
      <c r="E887" s="100"/>
      <c r="F887" s="62"/>
      <c r="G887" s="55"/>
      <c r="I887" s="39"/>
      <c r="Q887" s="48"/>
      <c r="U887" s="45"/>
      <c r="V887" s="108"/>
      <c r="W887" s="109"/>
      <c r="X887" s="111"/>
      <c r="Y887" s="111"/>
    </row>
    <row r="888" spans="1:25" x14ac:dyDescent="0.3">
      <c r="A888" s="10"/>
      <c r="B888" s="11"/>
      <c r="C888" s="58"/>
      <c r="D888" s="37"/>
      <c r="E888" s="100"/>
      <c r="F888" s="62"/>
      <c r="G888" s="55"/>
      <c r="I888" s="39"/>
      <c r="Q888" s="48"/>
      <c r="U888" s="45"/>
      <c r="V888" s="108"/>
      <c r="W888" s="109"/>
      <c r="X888" s="111"/>
      <c r="Y888" s="111"/>
    </row>
    <row r="889" spans="1:25" x14ac:dyDescent="0.3">
      <c r="A889" s="10"/>
      <c r="B889" s="11"/>
      <c r="C889" s="58"/>
      <c r="D889" s="37"/>
      <c r="E889" s="100"/>
      <c r="F889" s="62"/>
      <c r="G889" s="55"/>
      <c r="I889" s="39"/>
      <c r="Q889" s="48"/>
      <c r="U889" s="45"/>
      <c r="V889" s="108"/>
      <c r="W889" s="109"/>
      <c r="X889" s="111"/>
      <c r="Y889" s="111"/>
    </row>
    <row r="890" spans="1:25" x14ac:dyDescent="0.3">
      <c r="A890" s="10"/>
      <c r="B890" s="11"/>
      <c r="C890" s="58"/>
      <c r="D890" s="37"/>
      <c r="E890" s="100"/>
      <c r="F890" s="62"/>
      <c r="G890" s="55"/>
      <c r="I890" s="39"/>
      <c r="Q890" s="48"/>
      <c r="U890" s="45"/>
      <c r="V890" s="108"/>
      <c r="W890" s="109"/>
      <c r="X890" s="111"/>
      <c r="Y890" s="111"/>
    </row>
    <row r="891" spans="1:25" x14ac:dyDescent="0.3">
      <c r="A891" s="10"/>
      <c r="B891" s="11"/>
      <c r="C891" s="58"/>
      <c r="D891" s="37"/>
      <c r="E891" s="100"/>
      <c r="F891" s="62"/>
      <c r="G891" s="55"/>
      <c r="I891" s="39"/>
      <c r="Q891" s="48"/>
      <c r="U891" s="45"/>
      <c r="V891" s="108"/>
      <c r="W891" s="109"/>
      <c r="X891" s="111"/>
      <c r="Y891" s="111"/>
    </row>
    <row r="892" spans="1:25" x14ac:dyDescent="0.3">
      <c r="A892" s="10"/>
      <c r="B892" s="11"/>
      <c r="C892" s="58"/>
      <c r="D892" s="37"/>
      <c r="E892" s="100"/>
      <c r="F892" s="62"/>
      <c r="G892" s="55"/>
      <c r="I892" s="39"/>
      <c r="Q892" s="48"/>
      <c r="U892" s="45"/>
      <c r="V892" s="108"/>
      <c r="W892" s="109"/>
      <c r="X892" s="111"/>
      <c r="Y892" s="111"/>
    </row>
    <row r="893" spans="1:25" x14ac:dyDescent="0.3">
      <c r="A893" s="10"/>
      <c r="B893" s="11"/>
      <c r="C893" s="58"/>
      <c r="D893" s="37"/>
      <c r="E893" s="100"/>
      <c r="F893" s="62"/>
      <c r="G893" s="55"/>
      <c r="I893" s="39"/>
      <c r="Q893" s="48"/>
      <c r="U893" s="45"/>
      <c r="V893" s="108"/>
      <c r="W893" s="109"/>
      <c r="X893" s="111"/>
      <c r="Y893" s="111"/>
    </row>
    <row r="894" spans="1:25" x14ac:dyDescent="0.3">
      <c r="A894" s="10"/>
      <c r="B894" s="11"/>
      <c r="C894" s="58"/>
      <c r="D894" s="37"/>
      <c r="E894" s="100"/>
      <c r="F894" s="62"/>
      <c r="G894" s="55"/>
      <c r="I894" s="39"/>
      <c r="Q894" s="48"/>
      <c r="U894" s="45"/>
      <c r="V894" s="108"/>
      <c r="W894" s="109"/>
      <c r="X894" s="111"/>
      <c r="Y894" s="111"/>
    </row>
    <row r="895" spans="1:25" x14ac:dyDescent="0.3">
      <c r="A895" s="10"/>
      <c r="B895" s="11"/>
      <c r="C895" s="58"/>
      <c r="D895" s="37"/>
      <c r="E895" s="100"/>
      <c r="F895" s="62"/>
      <c r="G895" s="55"/>
      <c r="I895" s="39"/>
      <c r="Q895" s="48"/>
      <c r="U895" s="45"/>
      <c r="V895" s="108"/>
      <c r="W895" s="109"/>
      <c r="X895" s="111"/>
      <c r="Y895" s="111"/>
    </row>
    <row r="896" spans="1:25" x14ac:dyDescent="0.3">
      <c r="A896" s="10"/>
      <c r="B896" s="11"/>
      <c r="C896" s="58"/>
      <c r="D896" s="37"/>
      <c r="E896" s="100"/>
      <c r="F896" s="62"/>
      <c r="G896" s="55"/>
      <c r="I896" s="39"/>
      <c r="Q896" s="48"/>
      <c r="U896" s="45"/>
      <c r="V896" s="108"/>
      <c r="W896" s="109"/>
      <c r="X896" s="111"/>
      <c r="Y896" s="111"/>
    </row>
    <row r="897" spans="1:25" x14ac:dyDescent="0.3">
      <c r="A897" s="10"/>
      <c r="B897" s="11"/>
      <c r="C897" s="58"/>
      <c r="D897" s="37"/>
      <c r="E897" s="100"/>
      <c r="F897" s="62"/>
      <c r="G897" s="55"/>
      <c r="I897" s="39"/>
      <c r="Q897" s="48"/>
      <c r="U897" s="45"/>
      <c r="V897" s="108"/>
      <c r="W897" s="109"/>
      <c r="X897" s="111"/>
      <c r="Y897" s="111"/>
    </row>
    <row r="898" spans="1:25" x14ac:dyDescent="0.3">
      <c r="A898" s="10"/>
      <c r="B898" s="11"/>
      <c r="C898" s="58"/>
      <c r="D898" s="37"/>
      <c r="E898" s="100"/>
      <c r="F898" s="62"/>
      <c r="G898" s="55"/>
      <c r="I898" s="39"/>
      <c r="Q898" s="48"/>
      <c r="U898" s="45"/>
      <c r="V898" s="108"/>
      <c r="W898" s="109"/>
      <c r="X898" s="111"/>
      <c r="Y898" s="111"/>
    </row>
    <row r="899" spans="1:25" x14ac:dyDescent="0.3">
      <c r="A899" s="10"/>
      <c r="B899" s="11"/>
      <c r="C899" s="58"/>
      <c r="D899" s="37"/>
      <c r="E899" s="100"/>
      <c r="F899" s="62"/>
      <c r="G899" s="55"/>
      <c r="I899" s="39"/>
      <c r="Q899" s="48"/>
      <c r="U899" s="45"/>
      <c r="V899" s="108"/>
      <c r="W899" s="109"/>
      <c r="X899" s="111"/>
      <c r="Y899" s="111"/>
    </row>
    <row r="900" spans="1:25" x14ac:dyDescent="0.3">
      <c r="A900" s="10"/>
      <c r="B900" s="11"/>
      <c r="C900" s="58"/>
      <c r="D900" s="37"/>
      <c r="E900" s="100"/>
      <c r="F900" s="62"/>
      <c r="G900" s="55"/>
      <c r="I900" s="39"/>
      <c r="Q900" s="48"/>
      <c r="U900" s="45"/>
      <c r="V900" s="108"/>
      <c r="W900" s="109"/>
      <c r="X900" s="111"/>
      <c r="Y900" s="111"/>
    </row>
    <row r="901" spans="1:25" x14ac:dyDescent="0.3">
      <c r="A901" s="10"/>
      <c r="B901" s="11"/>
      <c r="C901" s="58"/>
      <c r="D901" s="37"/>
      <c r="E901" s="100"/>
      <c r="F901" s="62"/>
      <c r="G901" s="55"/>
      <c r="I901" s="39"/>
      <c r="Q901" s="48"/>
      <c r="U901" s="45"/>
      <c r="V901" s="108"/>
      <c r="W901" s="109"/>
      <c r="X901" s="111"/>
      <c r="Y901" s="111"/>
    </row>
    <row r="902" spans="1:25" x14ac:dyDescent="0.3">
      <c r="A902" s="10"/>
      <c r="B902" s="11"/>
      <c r="C902" s="58"/>
      <c r="D902" s="37"/>
      <c r="E902" s="100"/>
      <c r="F902" s="62"/>
      <c r="G902" s="55"/>
      <c r="I902" s="39"/>
      <c r="Q902" s="48"/>
      <c r="U902" s="45"/>
      <c r="V902" s="108"/>
      <c r="W902" s="109"/>
      <c r="X902" s="111"/>
      <c r="Y902" s="111"/>
    </row>
    <row r="903" spans="1:25" x14ac:dyDescent="0.3">
      <c r="A903" s="10"/>
      <c r="B903" s="11"/>
      <c r="C903" s="58"/>
      <c r="D903" s="37"/>
      <c r="E903" s="100"/>
      <c r="F903" s="62"/>
      <c r="G903" s="55"/>
      <c r="I903" s="39"/>
      <c r="Q903" s="48"/>
      <c r="U903" s="45"/>
      <c r="V903" s="108"/>
      <c r="W903" s="109"/>
      <c r="X903" s="111"/>
      <c r="Y903" s="111"/>
    </row>
    <row r="904" spans="1:25" x14ac:dyDescent="0.3">
      <c r="A904" s="10"/>
      <c r="B904" s="11"/>
      <c r="C904" s="58"/>
      <c r="D904" s="37"/>
      <c r="E904" s="100"/>
      <c r="F904" s="62"/>
      <c r="G904" s="55"/>
      <c r="I904" s="39"/>
      <c r="Q904" s="48"/>
      <c r="U904" s="45"/>
      <c r="V904" s="108"/>
      <c r="W904" s="109"/>
      <c r="X904" s="111"/>
      <c r="Y904" s="111"/>
    </row>
    <row r="905" spans="1:25" x14ac:dyDescent="0.3">
      <c r="A905" s="10"/>
      <c r="B905" s="11"/>
      <c r="C905" s="58"/>
      <c r="D905" s="37"/>
      <c r="E905" s="100"/>
      <c r="F905" s="62"/>
      <c r="G905" s="55"/>
      <c r="I905" s="39"/>
      <c r="Q905" s="48"/>
      <c r="U905" s="45"/>
      <c r="V905" s="108"/>
      <c r="W905" s="109"/>
      <c r="X905" s="111"/>
      <c r="Y905" s="111"/>
    </row>
    <row r="906" spans="1:25" x14ac:dyDescent="0.3">
      <c r="A906" s="10"/>
      <c r="B906" s="11"/>
      <c r="C906" s="58"/>
      <c r="D906" s="37"/>
      <c r="E906" s="100"/>
      <c r="F906" s="62"/>
      <c r="G906" s="55"/>
      <c r="I906" s="39"/>
      <c r="Q906" s="48"/>
      <c r="U906" s="45"/>
      <c r="V906" s="108"/>
      <c r="W906" s="109"/>
      <c r="X906" s="111"/>
      <c r="Y906" s="111"/>
    </row>
    <row r="907" spans="1:25" x14ac:dyDescent="0.3">
      <c r="A907" s="10"/>
      <c r="B907" s="11"/>
      <c r="C907" s="58"/>
      <c r="D907" s="37"/>
      <c r="E907" s="100"/>
      <c r="F907" s="62"/>
      <c r="G907" s="55"/>
      <c r="I907" s="39"/>
      <c r="Q907" s="48"/>
      <c r="U907" s="45"/>
      <c r="V907" s="108"/>
      <c r="W907" s="109"/>
      <c r="X907" s="111"/>
      <c r="Y907" s="111"/>
    </row>
    <row r="908" spans="1:25" x14ac:dyDescent="0.3">
      <c r="A908" s="10"/>
      <c r="B908" s="11"/>
      <c r="C908" s="58"/>
      <c r="D908" s="37"/>
      <c r="E908" s="100"/>
      <c r="F908" s="62"/>
      <c r="G908" s="55"/>
      <c r="I908" s="39"/>
      <c r="Q908" s="48"/>
      <c r="U908" s="45"/>
      <c r="V908" s="108"/>
      <c r="W908" s="109"/>
      <c r="X908" s="111"/>
      <c r="Y908" s="111"/>
    </row>
    <row r="909" spans="1:25" x14ac:dyDescent="0.3">
      <c r="A909" s="10"/>
      <c r="B909" s="11"/>
      <c r="C909" s="58"/>
      <c r="D909" s="37"/>
      <c r="E909" s="100"/>
      <c r="F909" s="62"/>
      <c r="G909" s="55"/>
      <c r="I909" s="39"/>
      <c r="Q909" s="48"/>
      <c r="U909" s="45"/>
      <c r="V909" s="108"/>
      <c r="W909" s="109"/>
      <c r="X909" s="111"/>
      <c r="Y909" s="111"/>
    </row>
    <row r="910" spans="1:25" x14ac:dyDescent="0.3">
      <c r="A910" s="10"/>
      <c r="B910" s="11"/>
      <c r="C910" s="58"/>
      <c r="D910" s="37"/>
      <c r="E910" s="100"/>
      <c r="F910" s="62"/>
      <c r="G910" s="55"/>
      <c r="I910" s="39"/>
      <c r="Q910" s="48"/>
      <c r="U910" s="45"/>
      <c r="V910" s="108"/>
      <c r="W910" s="109"/>
      <c r="X910" s="111"/>
      <c r="Y910" s="111"/>
    </row>
    <row r="911" spans="1:25" x14ac:dyDescent="0.3">
      <c r="A911" s="10"/>
      <c r="B911" s="11"/>
      <c r="C911" s="58"/>
      <c r="D911" s="37"/>
      <c r="E911" s="100"/>
      <c r="F911" s="62"/>
      <c r="G911" s="55"/>
      <c r="I911" s="39"/>
      <c r="Q911" s="48"/>
      <c r="U911" s="45"/>
      <c r="V911" s="108"/>
      <c r="W911" s="109"/>
      <c r="X911" s="111"/>
      <c r="Y911" s="111"/>
    </row>
    <row r="912" spans="1:25" x14ac:dyDescent="0.3">
      <c r="A912" s="10"/>
      <c r="B912" s="11"/>
      <c r="C912" s="58"/>
      <c r="D912" s="37"/>
      <c r="E912" s="100"/>
      <c r="F912" s="62"/>
      <c r="G912" s="55"/>
      <c r="I912" s="39"/>
      <c r="Q912" s="48"/>
      <c r="U912" s="45"/>
      <c r="V912" s="108"/>
      <c r="W912" s="109"/>
      <c r="X912" s="111"/>
      <c r="Y912" s="111"/>
    </row>
    <row r="913" spans="1:25" x14ac:dyDescent="0.3">
      <c r="A913" s="10"/>
      <c r="B913" s="11"/>
      <c r="C913" s="58"/>
      <c r="D913" s="37"/>
      <c r="E913" s="100"/>
      <c r="F913" s="62"/>
      <c r="G913" s="55"/>
      <c r="I913" s="39"/>
      <c r="Q913" s="48"/>
      <c r="U913" s="45"/>
      <c r="V913" s="108"/>
      <c r="W913" s="109"/>
      <c r="X913" s="111"/>
      <c r="Y913" s="111"/>
    </row>
    <row r="914" spans="1:25" x14ac:dyDescent="0.3">
      <c r="A914" s="10"/>
      <c r="B914" s="11"/>
      <c r="C914" s="58"/>
      <c r="D914" s="37"/>
      <c r="E914" s="100"/>
      <c r="F914" s="62"/>
      <c r="G914" s="55"/>
      <c r="I914" s="39"/>
      <c r="Q914" s="48"/>
      <c r="U914" s="45"/>
      <c r="V914" s="108"/>
      <c r="W914" s="109"/>
      <c r="X914" s="111"/>
      <c r="Y914" s="111"/>
    </row>
    <row r="915" spans="1:25" x14ac:dyDescent="0.3">
      <c r="A915" s="10"/>
      <c r="B915" s="11"/>
      <c r="C915" s="58"/>
      <c r="D915" s="37"/>
      <c r="E915" s="100"/>
      <c r="F915" s="62"/>
      <c r="G915" s="55"/>
      <c r="I915" s="39"/>
      <c r="Q915" s="48"/>
      <c r="U915" s="45"/>
      <c r="V915" s="108"/>
      <c r="W915" s="109"/>
      <c r="X915" s="111"/>
      <c r="Y915" s="111"/>
    </row>
    <row r="916" spans="1:25" x14ac:dyDescent="0.3">
      <c r="A916" s="10"/>
      <c r="B916" s="11"/>
      <c r="C916" s="58"/>
      <c r="D916" s="37"/>
      <c r="E916" s="100"/>
      <c r="F916" s="62"/>
      <c r="G916" s="55"/>
      <c r="I916" s="39"/>
      <c r="Q916" s="48"/>
      <c r="U916" s="45"/>
      <c r="V916" s="108"/>
      <c r="W916" s="109"/>
      <c r="X916" s="111"/>
      <c r="Y916" s="111"/>
    </row>
    <row r="917" spans="1:25" x14ac:dyDescent="0.3">
      <c r="A917" s="10"/>
      <c r="B917" s="11"/>
      <c r="C917" s="58"/>
      <c r="D917" s="37"/>
      <c r="E917" s="100"/>
      <c r="F917" s="62"/>
      <c r="G917" s="55"/>
      <c r="I917" s="39"/>
      <c r="Q917" s="48"/>
      <c r="U917" s="45"/>
      <c r="V917" s="108"/>
      <c r="W917" s="109"/>
      <c r="X917" s="111"/>
      <c r="Y917" s="111"/>
    </row>
    <row r="918" spans="1:25" x14ac:dyDescent="0.3">
      <c r="A918" s="10"/>
      <c r="B918" s="11"/>
      <c r="C918" s="58"/>
      <c r="D918" s="37"/>
      <c r="E918" s="100"/>
      <c r="F918" s="62"/>
      <c r="G918" s="55"/>
      <c r="I918" s="39"/>
      <c r="Q918" s="48"/>
      <c r="U918" s="45"/>
      <c r="V918" s="108"/>
      <c r="W918" s="109"/>
      <c r="X918" s="111"/>
      <c r="Y918" s="111"/>
    </row>
    <row r="919" spans="1:25" x14ac:dyDescent="0.3">
      <c r="A919" s="10"/>
      <c r="B919" s="11"/>
      <c r="C919" s="58"/>
      <c r="D919" s="37"/>
      <c r="E919" s="100"/>
      <c r="F919" s="62"/>
      <c r="G919" s="55"/>
      <c r="I919" s="39"/>
      <c r="Q919" s="48"/>
      <c r="U919" s="45"/>
      <c r="V919" s="108"/>
      <c r="W919" s="109"/>
      <c r="X919" s="111"/>
      <c r="Y919" s="111"/>
    </row>
    <row r="920" spans="1:25" x14ac:dyDescent="0.3">
      <c r="A920" s="10"/>
      <c r="B920" s="11"/>
      <c r="C920" s="58"/>
      <c r="D920" s="37"/>
      <c r="E920" s="100"/>
      <c r="F920" s="62"/>
      <c r="G920" s="55"/>
      <c r="I920" s="39"/>
      <c r="Q920" s="48"/>
      <c r="U920" s="45"/>
      <c r="V920" s="108"/>
      <c r="W920" s="109"/>
      <c r="X920" s="111"/>
      <c r="Y920" s="111"/>
    </row>
    <row r="921" spans="1:25" x14ac:dyDescent="0.3">
      <c r="A921" s="10"/>
      <c r="B921" s="11"/>
      <c r="C921" s="58"/>
      <c r="D921" s="37"/>
      <c r="E921" s="100"/>
      <c r="F921" s="62"/>
      <c r="G921" s="55"/>
      <c r="I921" s="39"/>
      <c r="Q921" s="48"/>
      <c r="U921" s="45"/>
      <c r="V921" s="108"/>
      <c r="W921" s="109"/>
      <c r="X921" s="111"/>
      <c r="Y921" s="111"/>
    </row>
    <row r="922" spans="1:25" x14ac:dyDescent="0.3">
      <c r="A922" s="10"/>
      <c r="B922" s="11"/>
      <c r="C922" s="58"/>
      <c r="D922" s="37"/>
      <c r="E922" s="100"/>
      <c r="F922" s="62"/>
      <c r="G922" s="55"/>
      <c r="I922" s="39"/>
      <c r="Q922" s="48"/>
      <c r="U922" s="45"/>
      <c r="V922" s="108"/>
      <c r="W922" s="109"/>
      <c r="X922" s="111"/>
      <c r="Y922" s="111"/>
    </row>
    <row r="923" spans="1:25" x14ac:dyDescent="0.3">
      <c r="A923" s="10"/>
      <c r="B923" s="11"/>
      <c r="C923" s="58"/>
      <c r="D923" s="37"/>
      <c r="E923" s="100"/>
      <c r="F923" s="62"/>
      <c r="G923" s="55"/>
      <c r="I923" s="39"/>
      <c r="Q923" s="48"/>
      <c r="U923" s="45"/>
      <c r="V923" s="108"/>
      <c r="W923" s="109"/>
      <c r="X923" s="111"/>
      <c r="Y923" s="111"/>
    </row>
    <row r="924" spans="1:25" x14ac:dyDescent="0.3">
      <c r="A924" s="10"/>
      <c r="B924" s="11"/>
      <c r="C924" s="58"/>
      <c r="D924" s="37"/>
      <c r="E924" s="100"/>
      <c r="F924" s="62"/>
      <c r="G924" s="55"/>
      <c r="I924" s="39"/>
      <c r="Q924" s="48"/>
      <c r="U924" s="45"/>
      <c r="V924" s="108"/>
      <c r="W924" s="109"/>
      <c r="X924" s="111"/>
      <c r="Y924" s="111"/>
    </row>
    <row r="925" spans="1:25" x14ac:dyDescent="0.3">
      <c r="A925" s="10"/>
      <c r="B925" s="11"/>
      <c r="C925" s="58"/>
      <c r="D925" s="37"/>
      <c r="E925" s="100"/>
      <c r="F925" s="62"/>
      <c r="G925" s="55"/>
      <c r="I925" s="39"/>
      <c r="Q925" s="48"/>
      <c r="U925" s="45"/>
      <c r="V925" s="108"/>
      <c r="W925" s="109"/>
      <c r="X925" s="111"/>
      <c r="Y925" s="111"/>
    </row>
    <row r="926" spans="1:25" x14ac:dyDescent="0.3">
      <c r="A926" s="10"/>
      <c r="B926" s="11"/>
      <c r="C926" s="58"/>
      <c r="D926" s="37"/>
      <c r="E926" s="100"/>
      <c r="F926" s="62"/>
      <c r="G926" s="55"/>
      <c r="I926" s="39"/>
      <c r="Q926" s="48"/>
      <c r="U926" s="45"/>
      <c r="V926" s="108"/>
      <c r="W926" s="109"/>
      <c r="X926" s="111"/>
      <c r="Y926" s="111"/>
    </row>
    <row r="927" spans="1:25" x14ac:dyDescent="0.3">
      <c r="A927" s="10"/>
      <c r="B927" s="11"/>
      <c r="C927" s="58"/>
      <c r="D927" s="37"/>
      <c r="E927" s="100"/>
      <c r="F927" s="62"/>
      <c r="G927" s="55"/>
      <c r="I927" s="39"/>
      <c r="Q927" s="48"/>
      <c r="U927" s="45"/>
      <c r="V927" s="108"/>
      <c r="W927" s="109"/>
      <c r="X927" s="111"/>
      <c r="Y927" s="111"/>
    </row>
    <row r="928" spans="1:25" x14ac:dyDescent="0.3">
      <c r="A928" s="10"/>
      <c r="B928" s="11"/>
      <c r="C928" s="58"/>
      <c r="D928" s="37"/>
      <c r="E928" s="100"/>
      <c r="F928" s="62"/>
      <c r="G928" s="55"/>
      <c r="I928" s="39"/>
      <c r="Q928" s="48"/>
      <c r="U928" s="45"/>
      <c r="V928" s="108"/>
      <c r="W928" s="109"/>
      <c r="X928" s="111"/>
      <c r="Y928" s="111"/>
    </row>
    <row r="929" spans="1:25" x14ac:dyDescent="0.3">
      <c r="A929" s="10"/>
      <c r="B929" s="11"/>
      <c r="C929" s="58"/>
      <c r="D929" s="37"/>
      <c r="E929" s="100"/>
      <c r="F929" s="62"/>
      <c r="G929" s="55"/>
      <c r="I929" s="39"/>
      <c r="Q929" s="48"/>
      <c r="U929" s="45"/>
      <c r="V929" s="108"/>
      <c r="W929" s="109"/>
      <c r="X929" s="111"/>
      <c r="Y929" s="111"/>
    </row>
    <row r="930" spans="1:25" x14ac:dyDescent="0.3">
      <c r="A930" s="10"/>
      <c r="B930" s="11"/>
      <c r="C930" s="58"/>
      <c r="D930" s="37"/>
      <c r="E930" s="100"/>
      <c r="F930" s="62"/>
      <c r="G930" s="55"/>
      <c r="I930" s="39"/>
      <c r="Q930" s="48"/>
      <c r="U930" s="45"/>
      <c r="V930" s="108"/>
      <c r="W930" s="109"/>
      <c r="X930" s="111"/>
      <c r="Y930" s="111"/>
    </row>
    <row r="931" spans="1:25" x14ac:dyDescent="0.3">
      <c r="A931" s="10"/>
      <c r="B931" s="11"/>
      <c r="C931" s="58"/>
      <c r="D931" s="37"/>
      <c r="E931" s="100"/>
      <c r="F931" s="62"/>
      <c r="G931" s="55"/>
      <c r="I931" s="39"/>
      <c r="Q931" s="48"/>
      <c r="U931" s="45"/>
      <c r="V931" s="108"/>
      <c r="W931" s="109"/>
      <c r="X931" s="111"/>
      <c r="Y931" s="111"/>
    </row>
    <row r="932" spans="1:25" x14ac:dyDescent="0.3">
      <c r="A932" s="10"/>
      <c r="B932" s="11"/>
      <c r="C932" s="58"/>
      <c r="D932" s="37"/>
      <c r="E932" s="100"/>
      <c r="F932" s="62"/>
      <c r="G932" s="55"/>
      <c r="I932" s="39"/>
      <c r="Q932" s="48"/>
      <c r="U932" s="45"/>
      <c r="V932" s="108"/>
      <c r="W932" s="109"/>
      <c r="X932" s="111"/>
      <c r="Y932" s="111"/>
    </row>
    <row r="933" spans="1:25" x14ac:dyDescent="0.3">
      <c r="A933" s="10"/>
      <c r="B933" s="11"/>
      <c r="C933" s="58"/>
      <c r="D933" s="37"/>
      <c r="E933" s="100"/>
      <c r="F933" s="62"/>
      <c r="G933" s="55"/>
      <c r="I933" s="39"/>
      <c r="Q933" s="48"/>
      <c r="U933" s="45"/>
      <c r="V933" s="108"/>
      <c r="W933" s="109"/>
      <c r="X933" s="111"/>
      <c r="Y933" s="111"/>
    </row>
    <row r="934" spans="1:25" x14ac:dyDescent="0.3">
      <c r="A934" s="10"/>
      <c r="B934" s="11"/>
      <c r="C934" s="58"/>
      <c r="D934" s="37"/>
      <c r="E934" s="100"/>
      <c r="F934" s="62"/>
      <c r="G934" s="55"/>
      <c r="I934" s="39"/>
      <c r="Q934" s="48"/>
      <c r="U934" s="45"/>
      <c r="V934" s="108"/>
      <c r="W934" s="109"/>
      <c r="X934" s="111"/>
      <c r="Y934" s="111"/>
    </row>
    <row r="935" spans="1:25" x14ac:dyDescent="0.3">
      <c r="A935" s="10"/>
      <c r="B935" s="11"/>
      <c r="C935" s="58"/>
      <c r="D935" s="37"/>
      <c r="E935" s="100"/>
      <c r="F935" s="62"/>
      <c r="G935" s="55"/>
      <c r="I935" s="39"/>
      <c r="Q935" s="48"/>
      <c r="U935" s="45"/>
      <c r="V935" s="108"/>
      <c r="W935" s="109"/>
      <c r="X935" s="111"/>
      <c r="Y935" s="111"/>
    </row>
    <row r="936" spans="1:25" x14ac:dyDescent="0.3">
      <c r="A936" s="10"/>
      <c r="B936" s="11"/>
      <c r="C936" s="58"/>
      <c r="D936" s="37"/>
      <c r="E936" s="100"/>
      <c r="F936" s="62"/>
      <c r="G936" s="55"/>
      <c r="I936" s="39"/>
      <c r="Q936" s="48"/>
      <c r="U936" s="45"/>
      <c r="V936" s="108"/>
      <c r="W936" s="109"/>
      <c r="X936" s="111"/>
      <c r="Y936" s="111"/>
    </row>
    <row r="937" spans="1:25" x14ac:dyDescent="0.3">
      <c r="A937" s="10"/>
      <c r="B937" s="11"/>
      <c r="C937" s="58"/>
      <c r="D937" s="37"/>
      <c r="E937" s="100"/>
      <c r="F937" s="62"/>
      <c r="G937" s="55"/>
      <c r="I937" s="39"/>
      <c r="Q937" s="48"/>
      <c r="U937" s="45"/>
      <c r="V937" s="108"/>
      <c r="W937" s="109"/>
      <c r="X937" s="111"/>
      <c r="Y937" s="111"/>
    </row>
    <row r="938" spans="1:25" x14ac:dyDescent="0.3">
      <c r="A938" s="10"/>
      <c r="B938" s="11"/>
      <c r="C938" s="58"/>
      <c r="D938" s="37"/>
      <c r="E938" s="100"/>
      <c r="F938" s="62"/>
      <c r="G938" s="55"/>
      <c r="I938" s="39"/>
      <c r="Q938" s="48"/>
      <c r="U938" s="45"/>
      <c r="V938" s="108"/>
      <c r="W938" s="109"/>
      <c r="X938" s="111"/>
      <c r="Y938" s="111"/>
    </row>
    <row r="939" spans="1:25" x14ac:dyDescent="0.3">
      <c r="A939" s="10"/>
      <c r="B939" s="11"/>
      <c r="C939" s="58"/>
      <c r="D939" s="37"/>
      <c r="E939" s="100"/>
      <c r="F939" s="62"/>
      <c r="G939" s="55"/>
      <c r="I939" s="39"/>
      <c r="Q939" s="48"/>
      <c r="U939" s="45"/>
      <c r="V939" s="108"/>
      <c r="W939" s="109"/>
      <c r="X939" s="111"/>
      <c r="Y939" s="111"/>
    </row>
    <row r="940" spans="1:25" x14ac:dyDescent="0.3">
      <c r="A940" s="10"/>
      <c r="B940" s="11"/>
      <c r="C940" s="58"/>
      <c r="D940" s="37"/>
      <c r="E940" s="100"/>
      <c r="F940" s="62"/>
      <c r="G940" s="55"/>
      <c r="I940" s="39"/>
      <c r="Q940" s="48"/>
      <c r="U940" s="45"/>
      <c r="V940" s="108"/>
      <c r="W940" s="109"/>
      <c r="X940" s="111"/>
      <c r="Y940" s="111"/>
    </row>
    <row r="941" spans="1:25" x14ac:dyDescent="0.3">
      <c r="A941" s="10"/>
      <c r="B941" s="11"/>
      <c r="C941" s="58"/>
      <c r="D941" s="37"/>
      <c r="E941" s="100"/>
      <c r="F941" s="62"/>
      <c r="G941" s="55"/>
      <c r="I941" s="39"/>
      <c r="Q941" s="48"/>
      <c r="U941" s="45"/>
      <c r="V941" s="108"/>
      <c r="W941" s="109"/>
      <c r="X941" s="111"/>
      <c r="Y941" s="111"/>
    </row>
    <row r="942" spans="1:25" x14ac:dyDescent="0.3">
      <c r="A942" s="10"/>
      <c r="B942" s="11"/>
      <c r="C942" s="58"/>
      <c r="D942" s="37"/>
      <c r="E942" s="100"/>
      <c r="F942" s="62"/>
      <c r="G942" s="55"/>
      <c r="I942" s="39"/>
      <c r="Q942" s="48"/>
      <c r="U942" s="45"/>
      <c r="V942" s="108"/>
      <c r="W942" s="109"/>
      <c r="X942" s="111"/>
      <c r="Y942" s="111"/>
    </row>
    <row r="943" spans="1:25" x14ac:dyDescent="0.3">
      <c r="A943" s="10"/>
      <c r="B943" s="11"/>
      <c r="C943" s="58"/>
      <c r="D943" s="37"/>
      <c r="E943" s="100"/>
      <c r="F943" s="62"/>
      <c r="G943" s="55"/>
      <c r="I943" s="39"/>
      <c r="Q943" s="48"/>
      <c r="U943" s="45"/>
      <c r="V943" s="108"/>
      <c r="W943" s="109"/>
      <c r="X943" s="111"/>
      <c r="Y943" s="111"/>
    </row>
    <row r="944" spans="1:25" x14ac:dyDescent="0.3">
      <c r="A944" s="10"/>
      <c r="B944" s="11"/>
      <c r="C944" s="58"/>
      <c r="D944" s="37"/>
      <c r="E944" s="100"/>
      <c r="F944" s="62"/>
      <c r="G944" s="55"/>
      <c r="I944" s="39"/>
      <c r="Q944" s="48"/>
      <c r="U944" s="45"/>
      <c r="V944" s="108"/>
      <c r="W944" s="109"/>
      <c r="X944" s="111"/>
      <c r="Y944" s="111"/>
    </row>
    <row r="945" spans="1:25" x14ac:dyDescent="0.3">
      <c r="A945" s="10"/>
      <c r="B945" s="11"/>
      <c r="C945" s="58"/>
      <c r="D945" s="37"/>
      <c r="E945" s="100"/>
      <c r="F945" s="62"/>
      <c r="G945" s="55"/>
      <c r="I945" s="39"/>
      <c r="Q945" s="48"/>
      <c r="U945" s="45"/>
      <c r="V945" s="108"/>
      <c r="W945" s="109"/>
      <c r="X945" s="111"/>
      <c r="Y945" s="111"/>
    </row>
    <row r="946" spans="1:25" x14ac:dyDescent="0.3">
      <c r="A946" s="10"/>
      <c r="B946" s="11"/>
      <c r="C946" s="58"/>
      <c r="D946" s="37"/>
      <c r="E946" s="100"/>
      <c r="F946" s="62"/>
      <c r="G946" s="55"/>
      <c r="I946" s="39"/>
      <c r="Q946" s="48"/>
      <c r="U946" s="45"/>
      <c r="V946" s="108"/>
      <c r="W946" s="109"/>
      <c r="X946" s="111"/>
      <c r="Y946" s="111"/>
    </row>
    <row r="947" spans="1:25" x14ac:dyDescent="0.3">
      <c r="A947" s="10"/>
      <c r="B947" s="11"/>
      <c r="C947" s="58"/>
      <c r="D947" s="37"/>
      <c r="E947" s="100"/>
      <c r="F947" s="62"/>
      <c r="G947" s="55"/>
      <c r="I947" s="39"/>
      <c r="Q947" s="48"/>
      <c r="U947" s="45"/>
      <c r="V947" s="108"/>
      <c r="W947" s="109"/>
      <c r="X947" s="111"/>
      <c r="Y947" s="111"/>
    </row>
    <row r="948" spans="1:25" x14ac:dyDescent="0.3">
      <c r="A948" s="10"/>
      <c r="B948" s="11"/>
      <c r="C948" s="58"/>
      <c r="D948" s="37"/>
      <c r="E948" s="100"/>
      <c r="F948" s="62"/>
      <c r="G948" s="55"/>
      <c r="I948" s="39"/>
      <c r="Q948" s="48"/>
      <c r="U948" s="45"/>
      <c r="V948" s="108"/>
      <c r="W948" s="109"/>
      <c r="X948" s="111"/>
      <c r="Y948" s="111"/>
    </row>
    <row r="949" spans="1:25" x14ac:dyDescent="0.3">
      <c r="A949" s="10"/>
      <c r="B949" s="11"/>
      <c r="C949" s="58"/>
      <c r="D949" s="37"/>
      <c r="E949" s="100"/>
      <c r="F949" s="62"/>
      <c r="G949" s="55"/>
      <c r="I949" s="39"/>
      <c r="Q949" s="48"/>
      <c r="U949" s="45"/>
      <c r="V949" s="108"/>
      <c r="W949" s="109"/>
      <c r="X949" s="111"/>
      <c r="Y949" s="111"/>
    </row>
    <row r="950" spans="1:25" x14ac:dyDescent="0.3">
      <c r="A950" s="10"/>
      <c r="B950" s="11"/>
      <c r="C950" s="58"/>
      <c r="D950" s="37"/>
      <c r="E950" s="100"/>
      <c r="F950" s="62"/>
      <c r="G950" s="55"/>
      <c r="I950" s="39"/>
      <c r="Q950" s="48"/>
      <c r="U950" s="45"/>
      <c r="V950" s="108"/>
      <c r="W950" s="109"/>
      <c r="X950" s="111"/>
      <c r="Y950" s="111"/>
    </row>
    <row r="951" spans="1:25" x14ac:dyDescent="0.3">
      <c r="A951" s="10"/>
      <c r="B951" s="11"/>
      <c r="C951" s="58"/>
      <c r="D951" s="37"/>
      <c r="E951" s="100"/>
      <c r="F951" s="62"/>
      <c r="G951" s="55"/>
      <c r="I951" s="39"/>
      <c r="Q951" s="48"/>
      <c r="U951" s="45"/>
      <c r="V951" s="108"/>
      <c r="W951" s="109"/>
      <c r="X951" s="111"/>
      <c r="Y951" s="111"/>
    </row>
    <row r="952" spans="1:25" x14ac:dyDescent="0.3">
      <c r="A952" s="10"/>
      <c r="B952" s="11"/>
      <c r="C952" s="58"/>
      <c r="D952" s="37"/>
      <c r="E952" s="100"/>
      <c r="F952" s="62"/>
      <c r="G952" s="55"/>
      <c r="I952" s="39"/>
      <c r="Q952" s="48"/>
      <c r="U952" s="45"/>
      <c r="V952" s="108"/>
      <c r="W952" s="109"/>
      <c r="X952" s="111"/>
      <c r="Y952" s="111"/>
    </row>
    <row r="953" spans="1:25" x14ac:dyDescent="0.3">
      <c r="A953" s="10"/>
      <c r="B953" s="11"/>
      <c r="C953" s="58"/>
      <c r="D953" s="37"/>
      <c r="E953" s="100"/>
      <c r="F953" s="62"/>
      <c r="G953" s="55"/>
      <c r="I953" s="39"/>
      <c r="Q953" s="48"/>
      <c r="U953" s="45"/>
      <c r="V953" s="108"/>
      <c r="W953" s="109"/>
      <c r="X953" s="111"/>
      <c r="Y953" s="111"/>
    </row>
    <row r="954" spans="1:25" x14ac:dyDescent="0.3">
      <c r="A954" s="10"/>
      <c r="B954" s="11"/>
      <c r="C954" s="58"/>
      <c r="D954" s="37"/>
      <c r="E954" s="100"/>
      <c r="F954" s="62"/>
      <c r="G954" s="55"/>
      <c r="I954" s="39"/>
      <c r="Q954" s="48"/>
      <c r="U954" s="45"/>
      <c r="V954" s="108"/>
      <c r="W954" s="109"/>
      <c r="X954" s="111"/>
      <c r="Y954" s="111"/>
    </row>
    <row r="955" spans="1:25" x14ac:dyDescent="0.3">
      <c r="A955" s="10"/>
      <c r="B955" s="11"/>
      <c r="C955" s="58"/>
      <c r="D955" s="37"/>
      <c r="E955" s="100"/>
      <c r="F955" s="62"/>
      <c r="G955" s="55"/>
      <c r="I955" s="39"/>
      <c r="Q955" s="48"/>
      <c r="U955" s="45"/>
      <c r="V955" s="108"/>
      <c r="W955" s="109"/>
      <c r="X955" s="111"/>
      <c r="Y955" s="111"/>
    </row>
    <row r="956" spans="1:25" x14ac:dyDescent="0.3">
      <c r="A956" s="10"/>
      <c r="B956" s="11"/>
      <c r="C956" s="58"/>
      <c r="D956" s="37"/>
      <c r="E956" s="100"/>
      <c r="F956" s="62"/>
      <c r="G956" s="55"/>
      <c r="I956" s="39"/>
      <c r="Q956" s="48"/>
      <c r="U956" s="45"/>
      <c r="V956" s="108"/>
      <c r="W956" s="109"/>
      <c r="X956" s="111"/>
      <c r="Y956" s="111"/>
    </row>
    <row r="957" spans="1:25" x14ac:dyDescent="0.3">
      <c r="A957" s="10"/>
      <c r="B957" s="11"/>
      <c r="C957" s="58"/>
      <c r="D957" s="37"/>
      <c r="E957" s="100"/>
      <c r="F957" s="62"/>
      <c r="G957" s="55"/>
      <c r="I957" s="39"/>
      <c r="Q957" s="48"/>
      <c r="U957" s="45"/>
      <c r="V957" s="108"/>
      <c r="W957" s="109"/>
      <c r="X957" s="111"/>
      <c r="Y957" s="111"/>
    </row>
    <row r="958" spans="1:25" x14ac:dyDescent="0.3">
      <c r="A958" s="10"/>
      <c r="B958" s="11"/>
      <c r="C958" s="58"/>
      <c r="D958" s="37"/>
      <c r="E958" s="100"/>
      <c r="F958" s="62"/>
      <c r="G958" s="55"/>
      <c r="I958" s="39"/>
      <c r="Q958" s="48"/>
      <c r="U958" s="45"/>
      <c r="V958" s="108"/>
      <c r="W958" s="109"/>
      <c r="X958" s="111"/>
      <c r="Y958" s="111"/>
    </row>
    <row r="959" spans="1:25" x14ac:dyDescent="0.3">
      <c r="A959" s="10"/>
      <c r="B959" s="11"/>
      <c r="C959" s="58"/>
      <c r="D959" s="37"/>
      <c r="E959" s="100"/>
      <c r="F959" s="62"/>
      <c r="G959" s="55"/>
      <c r="I959" s="39"/>
      <c r="Q959" s="48"/>
      <c r="U959" s="45"/>
      <c r="V959" s="108"/>
      <c r="W959" s="109"/>
      <c r="X959" s="111"/>
      <c r="Y959" s="111"/>
    </row>
    <row r="960" spans="1:25" x14ac:dyDescent="0.3">
      <c r="A960" s="10"/>
      <c r="B960" s="11"/>
      <c r="C960" s="58"/>
      <c r="D960" s="37"/>
      <c r="E960" s="100"/>
      <c r="F960" s="62"/>
      <c r="G960" s="55"/>
      <c r="I960" s="39"/>
      <c r="Q960" s="48"/>
      <c r="U960" s="45"/>
      <c r="V960" s="108"/>
      <c r="W960" s="109"/>
      <c r="X960" s="111"/>
      <c r="Y960" s="111"/>
    </row>
    <row r="961" spans="1:25" x14ac:dyDescent="0.3">
      <c r="A961" s="10"/>
      <c r="B961" s="11"/>
      <c r="C961" s="58"/>
      <c r="D961" s="37"/>
      <c r="E961" s="100"/>
      <c r="F961" s="62"/>
      <c r="G961" s="55"/>
      <c r="I961" s="39"/>
      <c r="Q961" s="48"/>
      <c r="U961" s="45"/>
      <c r="V961" s="108"/>
      <c r="W961" s="109"/>
      <c r="X961" s="111"/>
      <c r="Y961" s="111"/>
    </row>
    <row r="962" spans="1:25" x14ac:dyDescent="0.3">
      <c r="A962" s="10"/>
      <c r="B962" s="11"/>
      <c r="C962" s="58"/>
      <c r="D962" s="37"/>
      <c r="E962" s="100"/>
      <c r="F962" s="62"/>
      <c r="G962" s="55"/>
      <c r="I962" s="39"/>
      <c r="Q962" s="48"/>
      <c r="U962" s="45"/>
      <c r="V962" s="108"/>
      <c r="W962" s="109"/>
      <c r="X962" s="111"/>
      <c r="Y962" s="111"/>
    </row>
    <row r="963" spans="1:25" x14ac:dyDescent="0.3">
      <c r="A963" s="10"/>
      <c r="B963" s="11"/>
      <c r="C963" s="58"/>
      <c r="D963" s="37"/>
      <c r="E963" s="100"/>
      <c r="F963" s="62"/>
      <c r="G963" s="55"/>
      <c r="I963" s="39"/>
      <c r="Q963" s="48"/>
      <c r="U963" s="45"/>
      <c r="V963" s="108"/>
      <c r="W963" s="109"/>
      <c r="X963" s="111"/>
      <c r="Y963" s="111"/>
    </row>
    <row r="964" spans="1:25" x14ac:dyDescent="0.3">
      <c r="A964" s="10"/>
      <c r="B964" s="11"/>
      <c r="C964" s="58"/>
      <c r="D964" s="37"/>
      <c r="E964" s="100"/>
      <c r="F964" s="62"/>
      <c r="G964" s="55"/>
      <c r="I964" s="39"/>
      <c r="Q964" s="48"/>
      <c r="U964" s="45"/>
      <c r="V964" s="108"/>
      <c r="W964" s="109"/>
      <c r="X964" s="111"/>
      <c r="Y964" s="111"/>
    </row>
    <row r="965" spans="1:25" x14ac:dyDescent="0.3">
      <c r="A965" s="10"/>
      <c r="B965" s="11"/>
      <c r="C965" s="58"/>
      <c r="D965" s="37"/>
      <c r="E965" s="100"/>
      <c r="F965" s="62"/>
      <c r="G965" s="55"/>
      <c r="I965" s="39"/>
      <c r="Q965" s="48"/>
      <c r="U965" s="45"/>
      <c r="V965" s="108"/>
      <c r="W965" s="109"/>
      <c r="X965" s="111"/>
      <c r="Y965" s="111"/>
    </row>
    <row r="966" spans="1:25" x14ac:dyDescent="0.3">
      <c r="A966" s="10"/>
      <c r="B966" s="11"/>
      <c r="C966" s="58"/>
      <c r="D966" s="37"/>
      <c r="E966" s="100"/>
      <c r="F966" s="62"/>
      <c r="G966" s="55"/>
      <c r="I966" s="39"/>
      <c r="Q966" s="48"/>
      <c r="U966" s="45"/>
      <c r="V966" s="108"/>
      <c r="W966" s="109"/>
      <c r="X966" s="111"/>
      <c r="Y966" s="111"/>
    </row>
    <row r="967" spans="1:25" x14ac:dyDescent="0.3">
      <c r="A967" s="10"/>
      <c r="B967" s="11"/>
      <c r="C967" s="58"/>
      <c r="D967" s="37"/>
      <c r="E967" s="100"/>
      <c r="F967" s="62"/>
      <c r="G967" s="55"/>
      <c r="I967" s="39"/>
      <c r="Q967" s="48"/>
      <c r="U967" s="45"/>
      <c r="V967" s="108"/>
      <c r="W967" s="109"/>
      <c r="X967" s="111"/>
      <c r="Y967" s="111"/>
    </row>
    <row r="968" spans="1:25" x14ac:dyDescent="0.3">
      <c r="A968" s="10"/>
      <c r="B968" s="11"/>
      <c r="C968" s="58"/>
      <c r="D968" s="37"/>
      <c r="E968" s="100"/>
      <c r="F968" s="62"/>
      <c r="G968" s="55"/>
      <c r="I968" s="39"/>
      <c r="Q968" s="48"/>
      <c r="U968" s="45"/>
      <c r="V968" s="108"/>
      <c r="W968" s="109"/>
      <c r="X968" s="111"/>
      <c r="Y968" s="111"/>
    </row>
    <row r="969" spans="1:25" x14ac:dyDescent="0.3">
      <c r="A969" s="10"/>
      <c r="B969" s="11"/>
      <c r="C969" s="58"/>
      <c r="D969" s="37"/>
      <c r="E969" s="100"/>
      <c r="F969" s="62"/>
      <c r="G969" s="55"/>
      <c r="I969" s="39"/>
      <c r="Q969" s="48"/>
      <c r="U969" s="45"/>
      <c r="V969" s="108"/>
      <c r="W969" s="109"/>
      <c r="X969" s="111"/>
      <c r="Y969" s="111"/>
    </row>
    <row r="970" spans="1:25" x14ac:dyDescent="0.3">
      <c r="A970" s="10"/>
      <c r="B970" s="11"/>
      <c r="C970" s="58"/>
      <c r="D970" s="37"/>
      <c r="E970" s="100"/>
      <c r="F970" s="62"/>
      <c r="G970" s="55"/>
      <c r="I970" s="39"/>
      <c r="Q970" s="48"/>
      <c r="U970" s="45"/>
      <c r="V970" s="108"/>
      <c r="W970" s="109"/>
      <c r="X970" s="111"/>
      <c r="Y970" s="111"/>
    </row>
    <row r="971" spans="1:25" x14ac:dyDescent="0.3">
      <c r="A971" s="10"/>
      <c r="B971" s="11"/>
      <c r="C971" s="58"/>
      <c r="D971" s="37"/>
      <c r="E971" s="100"/>
      <c r="F971" s="62"/>
      <c r="G971" s="55"/>
      <c r="I971" s="39"/>
      <c r="Q971" s="48"/>
      <c r="U971" s="45"/>
      <c r="V971" s="108"/>
      <c r="W971" s="109"/>
      <c r="X971" s="111"/>
      <c r="Y971" s="111"/>
    </row>
    <row r="972" spans="1:25" x14ac:dyDescent="0.3">
      <c r="A972" s="10"/>
      <c r="B972" s="11"/>
      <c r="C972" s="58"/>
      <c r="D972" s="37"/>
      <c r="E972" s="100"/>
      <c r="F972" s="62"/>
      <c r="G972" s="55"/>
      <c r="I972" s="39"/>
      <c r="Q972" s="48"/>
      <c r="U972" s="45"/>
      <c r="V972" s="108"/>
      <c r="W972" s="109"/>
      <c r="X972" s="111"/>
      <c r="Y972" s="111"/>
    </row>
    <row r="973" spans="1:25" x14ac:dyDescent="0.3">
      <c r="A973" s="10"/>
      <c r="B973" s="11"/>
      <c r="C973" s="58"/>
      <c r="D973" s="37"/>
      <c r="E973" s="100"/>
      <c r="F973" s="62"/>
      <c r="G973" s="55"/>
      <c r="I973" s="39"/>
      <c r="Q973" s="48"/>
      <c r="U973" s="45"/>
      <c r="V973" s="108"/>
      <c r="W973" s="109"/>
      <c r="X973" s="111"/>
      <c r="Y973" s="111"/>
    </row>
    <row r="974" spans="1:25" x14ac:dyDescent="0.3">
      <c r="A974" s="10"/>
      <c r="B974" s="11"/>
      <c r="C974" s="58"/>
      <c r="D974" s="37"/>
      <c r="E974" s="100"/>
      <c r="F974" s="62"/>
      <c r="G974" s="55"/>
      <c r="I974" s="39"/>
      <c r="Q974" s="48"/>
      <c r="U974" s="45"/>
      <c r="V974" s="108"/>
      <c r="W974" s="109"/>
      <c r="X974" s="111"/>
      <c r="Y974" s="111"/>
    </row>
    <row r="975" spans="1:25" x14ac:dyDescent="0.3">
      <c r="A975" s="10"/>
      <c r="B975" s="11"/>
      <c r="C975" s="58"/>
      <c r="D975" s="37"/>
      <c r="E975" s="100"/>
      <c r="F975" s="62"/>
      <c r="G975" s="55"/>
      <c r="I975" s="39"/>
      <c r="Q975" s="48"/>
      <c r="U975" s="45"/>
      <c r="V975" s="108"/>
      <c r="W975" s="109"/>
      <c r="X975" s="111"/>
      <c r="Y975" s="111"/>
    </row>
    <row r="976" spans="1:25" x14ac:dyDescent="0.3">
      <c r="A976" s="10"/>
      <c r="B976" s="11"/>
      <c r="C976" s="58"/>
      <c r="D976" s="37"/>
      <c r="E976" s="100"/>
      <c r="F976" s="62"/>
      <c r="G976" s="55"/>
      <c r="I976" s="39"/>
      <c r="Q976" s="48"/>
      <c r="U976" s="45"/>
      <c r="V976" s="108"/>
      <c r="W976" s="109"/>
      <c r="X976" s="111"/>
      <c r="Y976" s="111"/>
    </row>
    <row r="977" spans="1:25" x14ac:dyDescent="0.3">
      <c r="A977" s="10"/>
      <c r="B977" s="11"/>
      <c r="C977" s="58"/>
      <c r="D977" s="37"/>
      <c r="E977" s="100"/>
      <c r="F977" s="62"/>
      <c r="G977" s="55"/>
      <c r="I977" s="39"/>
      <c r="Q977" s="48"/>
      <c r="U977" s="45"/>
      <c r="V977" s="108"/>
      <c r="W977" s="109"/>
      <c r="X977" s="111"/>
      <c r="Y977" s="111"/>
    </row>
    <row r="978" spans="1:25" x14ac:dyDescent="0.3">
      <c r="A978" s="10"/>
      <c r="B978" s="11"/>
      <c r="C978" s="58"/>
      <c r="D978" s="37"/>
      <c r="E978" s="100"/>
      <c r="F978" s="62"/>
      <c r="G978" s="55"/>
      <c r="I978" s="39"/>
      <c r="Q978" s="48"/>
      <c r="U978" s="45"/>
      <c r="V978" s="108"/>
      <c r="W978" s="109"/>
      <c r="X978" s="111"/>
      <c r="Y978" s="111"/>
    </row>
    <row r="979" spans="1:25" x14ac:dyDescent="0.3">
      <c r="A979" s="10"/>
      <c r="B979" s="11"/>
      <c r="C979" s="58"/>
      <c r="D979" s="37"/>
      <c r="E979" s="100"/>
      <c r="F979" s="62"/>
      <c r="G979" s="55"/>
      <c r="I979" s="39"/>
      <c r="Q979" s="48"/>
      <c r="U979" s="45"/>
      <c r="V979" s="108"/>
      <c r="W979" s="109"/>
      <c r="X979" s="111"/>
      <c r="Y979" s="111"/>
    </row>
    <row r="980" spans="1:25" x14ac:dyDescent="0.3">
      <c r="A980" s="10"/>
      <c r="B980" s="11"/>
      <c r="C980" s="58"/>
      <c r="D980" s="37"/>
      <c r="E980" s="100"/>
      <c r="F980" s="62"/>
      <c r="G980" s="55"/>
      <c r="I980" s="39"/>
      <c r="Q980" s="48"/>
      <c r="U980" s="45"/>
      <c r="V980" s="108"/>
      <c r="W980" s="109"/>
      <c r="X980" s="111"/>
      <c r="Y980" s="111"/>
    </row>
    <row r="981" spans="1:25" x14ac:dyDescent="0.3">
      <c r="A981" s="10"/>
      <c r="B981" s="11"/>
      <c r="C981" s="58"/>
      <c r="D981" s="37"/>
      <c r="E981" s="100"/>
      <c r="F981" s="62"/>
      <c r="G981" s="55"/>
      <c r="I981" s="39"/>
      <c r="Q981" s="48"/>
      <c r="U981" s="45"/>
      <c r="V981" s="108"/>
      <c r="W981" s="109"/>
      <c r="X981" s="111"/>
      <c r="Y981" s="111"/>
    </row>
    <row r="982" spans="1:25" x14ac:dyDescent="0.3">
      <c r="A982" s="10"/>
      <c r="B982" s="11"/>
      <c r="C982" s="58"/>
      <c r="D982" s="37"/>
      <c r="E982" s="100"/>
      <c r="F982" s="62"/>
      <c r="G982" s="55"/>
      <c r="I982" s="39"/>
      <c r="Q982" s="48"/>
      <c r="U982" s="45"/>
      <c r="V982" s="108"/>
      <c r="W982" s="109"/>
      <c r="X982" s="111"/>
      <c r="Y982" s="111"/>
    </row>
    <row r="983" spans="1:25" x14ac:dyDescent="0.3">
      <c r="A983" s="10"/>
      <c r="B983" s="11"/>
      <c r="C983" s="58"/>
      <c r="D983" s="37"/>
      <c r="E983" s="100"/>
      <c r="F983" s="62"/>
      <c r="G983" s="55"/>
      <c r="I983" s="39"/>
      <c r="Q983" s="48"/>
      <c r="U983" s="45"/>
      <c r="V983" s="108"/>
      <c r="W983" s="109"/>
      <c r="X983" s="111"/>
      <c r="Y983" s="111"/>
    </row>
    <row r="984" spans="1:25" x14ac:dyDescent="0.3">
      <c r="A984" s="10"/>
      <c r="B984" s="11"/>
      <c r="C984" s="58"/>
      <c r="D984" s="37"/>
      <c r="E984" s="100"/>
      <c r="F984" s="62"/>
      <c r="G984" s="55"/>
      <c r="I984" s="39"/>
      <c r="Q984" s="48"/>
      <c r="U984" s="45"/>
      <c r="V984" s="108"/>
      <c r="W984" s="109"/>
      <c r="X984" s="111"/>
      <c r="Y984" s="111"/>
    </row>
    <row r="985" spans="1:25" x14ac:dyDescent="0.3">
      <c r="A985" s="10"/>
      <c r="B985" s="11"/>
      <c r="C985" s="58"/>
      <c r="D985" s="37"/>
      <c r="E985" s="100"/>
      <c r="F985" s="62"/>
      <c r="G985" s="55"/>
      <c r="I985" s="39"/>
      <c r="Q985" s="48"/>
      <c r="U985" s="45"/>
      <c r="V985" s="108"/>
      <c r="W985" s="109"/>
      <c r="X985" s="111"/>
      <c r="Y985" s="111"/>
    </row>
    <row r="986" spans="1:25" x14ac:dyDescent="0.3">
      <c r="A986" s="10"/>
      <c r="B986" s="11"/>
      <c r="C986" s="58"/>
      <c r="D986" s="37"/>
      <c r="E986" s="100"/>
      <c r="F986" s="62"/>
      <c r="G986" s="55"/>
      <c r="I986" s="39"/>
      <c r="Q986" s="48"/>
      <c r="U986" s="45"/>
      <c r="V986" s="108"/>
      <c r="W986" s="109"/>
      <c r="X986" s="111"/>
      <c r="Y986" s="111"/>
    </row>
    <row r="987" spans="1:25" x14ac:dyDescent="0.3">
      <c r="A987" s="10"/>
      <c r="B987" s="11"/>
      <c r="C987" s="58"/>
      <c r="D987" s="37"/>
      <c r="E987" s="100"/>
      <c r="F987" s="62"/>
      <c r="G987" s="55"/>
      <c r="I987" s="39"/>
      <c r="Q987" s="48"/>
      <c r="U987" s="45"/>
      <c r="V987" s="108"/>
      <c r="W987" s="109"/>
      <c r="X987" s="111"/>
      <c r="Y987" s="111"/>
    </row>
    <row r="988" spans="1:25" x14ac:dyDescent="0.3">
      <c r="A988" s="10"/>
      <c r="B988" s="11"/>
      <c r="C988" s="58"/>
      <c r="D988" s="37"/>
      <c r="E988" s="100"/>
      <c r="F988" s="62"/>
      <c r="G988" s="55"/>
      <c r="I988" s="39"/>
      <c r="Q988" s="48"/>
      <c r="U988" s="45"/>
      <c r="V988" s="108"/>
      <c r="W988" s="109"/>
      <c r="X988" s="111"/>
      <c r="Y988" s="111"/>
    </row>
    <row r="989" spans="1:25" x14ac:dyDescent="0.3">
      <c r="A989" s="10"/>
      <c r="B989" s="11"/>
      <c r="C989" s="58"/>
      <c r="D989" s="37"/>
      <c r="E989" s="100"/>
      <c r="F989" s="62"/>
      <c r="G989" s="55"/>
      <c r="I989" s="39"/>
      <c r="Q989" s="48"/>
      <c r="U989" s="45"/>
      <c r="V989" s="108"/>
      <c r="W989" s="109"/>
      <c r="X989" s="111"/>
      <c r="Y989" s="111"/>
    </row>
    <row r="990" spans="1:25" x14ac:dyDescent="0.3">
      <c r="A990" s="10"/>
      <c r="B990" s="11"/>
      <c r="C990" s="58"/>
      <c r="D990" s="37"/>
      <c r="E990" s="100"/>
      <c r="F990" s="62"/>
      <c r="G990" s="55"/>
      <c r="I990" s="39"/>
      <c r="Q990" s="48"/>
      <c r="U990" s="45"/>
      <c r="V990" s="108"/>
      <c r="W990" s="109"/>
      <c r="X990" s="111"/>
      <c r="Y990" s="111"/>
    </row>
    <row r="991" spans="1:25" x14ac:dyDescent="0.3">
      <c r="A991" s="10"/>
      <c r="B991" s="11"/>
      <c r="C991" s="58"/>
      <c r="D991" s="37"/>
      <c r="E991" s="100"/>
      <c r="F991" s="62"/>
      <c r="G991" s="55"/>
      <c r="I991" s="39"/>
      <c r="Q991" s="48"/>
      <c r="U991" s="45"/>
      <c r="V991" s="108"/>
      <c r="W991" s="109"/>
      <c r="X991" s="111"/>
      <c r="Y991" s="111"/>
    </row>
    <row r="992" spans="1:25" x14ac:dyDescent="0.3">
      <c r="A992" s="10"/>
      <c r="B992" s="11"/>
      <c r="C992" s="58"/>
      <c r="D992" s="37"/>
      <c r="E992" s="100"/>
      <c r="F992" s="62"/>
      <c r="G992" s="55"/>
      <c r="I992" s="39"/>
      <c r="Q992" s="48"/>
      <c r="U992" s="45"/>
      <c r="V992" s="108"/>
      <c r="W992" s="109"/>
      <c r="X992" s="111"/>
      <c r="Y992" s="111"/>
    </row>
    <row r="993" spans="1:25" x14ac:dyDescent="0.3">
      <c r="A993" s="10"/>
      <c r="B993" s="11"/>
      <c r="C993" s="58"/>
      <c r="D993" s="37"/>
      <c r="E993" s="100"/>
      <c r="F993" s="62"/>
      <c r="G993" s="55"/>
      <c r="I993" s="39"/>
      <c r="Q993" s="48"/>
      <c r="U993" s="45"/>
      <c r="V993" s="108"/>
      <c r="W993" s="109"/>
      <c r="X993" s="111"/>
      <c r="Y993" s="111"/>
    </row>
    <row r="994" spans="1:25" x14ac:dyDescent="0.3">
      <c r="A994" s="10"/>
      <c r="B994" s="11"/>
      <c r="C994" s="58"/>
      <c r="D994" s="37"/>
      <c r="E994" s="100"/>
      <c r="F994" s="62"/>
      <c r="G994" s="55"/>
      <c r="I994" s="39"/>
      <c r="Q994" s="48"/>
      <c r="U994" s="45"/>
      <c r="V994" s="108"/>
      <c r="W994" s="109"/>
      <c r="X994" s="111"/>
      <c r="Y994" s="111"/>
    </row>
    <row r="995" spans="1:25" x14ac:dyDescent="0.3">
      <c r="A995" s="10"/>
      <c r="B995" s="11"/>
      <c r="C995" s="58"/>
      <c r="D995" s="37"/>
      <c r="E995" s="100"/>
      <c r="F995" s="62"/>
      <c r="G995" s="55"/>
      <c r="I995" s="39"/>
      <c r="Q995" s="48"/>
      <c r="U995" s="45"/>
      <c r="V995" s="108"/>
      <c r="W995" s="109"/>
      <c r="X995" s="111"/>
      <c r="Y995" s="111"/>
    </row>
    <row r="996" spans="1:25" x14ac:dyDescent="0.3">
      <c r="A996" s="10"/>
      <c r="B996" s="11"/>
      <c r="C996" s="58"/>
      <c r="D996" s="37"/>
      <c r="E996" s="100"/>
      <c r="F996" s="62"/>
      <c r="G996" s="55"/>
      <c r="I996" s="39"/>
      <c r="Q996" s="48"/>
      <c r="U996" s="45"/>
      <c r="V996" s="108"/>
      <c r="W996" s="109"/>
      <c r="X996" s="111"/>
      <c r="Y996" s="111"/>
    </row>
    <row r="997" spans="1:25" x14ac:dyDescent="0.3">
      <c r="A997" s="10"/>
      <c r="B997" s="11"/>
      <c r="C997" s="58"/>
      <c r="D997" s="37"/>
      <c r="E997" s="100"/>
      <c r="F997" s="62"/>
      <c r="G997" s="55"/>
      <c r="I997" s="39"/>
      <c r="Q997" s="48"/>
      <c r="U997" s="45"/>
      <c r="V997" s="108"/>
      <c r="W997" s="109"/>
      <c r="X997" s="111"/>
      <c r="Y997" s="111"/>
    </row>
    <row r="998" spans="1:25" x14ac:dyDescent="0.3">
      <c r="A998" s="10"/>
      <c r="B998" s="11"/>
      <c r="C998" s="58"/>
      <c r="D998" s="37"/>
      <c r="E998" s="100"/>
      <c r="F998" s="62"/>
      <c r="G998" s="55"/>
      <c r="I998" s="39"/>
      <c r="Q998" s="48"/>
      <c r="U998" s="45"/>
      <c r="V998" s="108"/>
      <c r="W998" s="109"/>
      <c r="X998" s="111"/>
      <c r="Y998" s="111"/>
    </row>
    <row r="999" spans="1:25" x14ac:dyDescent="0.3">
      <c r="A999" s="10"/>
      <c r="B999" s="11"/>
      <c r="C999" s="58"/>
      <c r="D999" s="37"/>
      <c r="E999" s="100"/>
      <c r="F999" s="62"/>
      <c r="G999" s="55"/>
      <c r="I999" s="39"/>
      <c r="Q999" s="48"/>
      <c r="U999" s="45"/>
      <c r="V999" s="108"/>
      <c r="W999" s="109"/>
      <c r="X999" s="111"/>
      <c r="Y999" s="111"/>
    </row>
    <row r="1000" spans="1:25" x14ac:dyDescent="0.3">
      <c r="A1000" s="10"/>
      <c r="B1000" s="11"/>
      <c r="C1000" s="58"/>
      <c r="D1000" s="37"/>
      <c r="E1000" s="100"/>
      <c r="F1000" s="62"/>
      <c r="G1000" s="55"/>
      <c r="I1000" s="39"/>
      <c r="Q1000" s="48"/>
      <c r="U1000" s="45"/>
      <c r="V1000" s="108"/>
      <c r="W1000" s="109"/>
      <c r="X1000" s="111"/>
      <c r="Y1000" s="111"/>
    </row>
    <row r="1001" spans="1:25" x14ac:dyDescent="0.3">
      <c r="A1001" s="10"/>
      <c r="B1001" s="11"/>
      <c r="C1001" s="58"/>
      <c r="D1001" s="37"/>
      <c r="E1001" s="100"/>
      <c r="F1001" s="62"/>
      <c r="G1001" s="55"/>
      <c r="U1001" s="45"/>
      <c r="V1001" s="108"/>
      <c r="W1001" s="109"/>
      <c r="X1001" s="111"/>
      <c r="Y1001" s="111"/>
    </row>
    <row r="1002" spans="1:25" ht="15" thickBot="1" x14ac:dyDescent="0.35">
      <c r="A1002" s="15"/>
      <c r="B1002" s="16"/>
      <c r="C1002" s="59"/>
      <c r="D1002" s="38"/>
      <c r="E1002" s="101"/>
      <c r="F1002" s="63"/>
      <c r="G1002" s="55"/>
      <c r="U1002" s="45"/>
      <c r="V1002" s="108"/>
      <c r="W1002" s="109"/>
      <c r="X1002" s="111"/>
      <c r="Y1002" s="111"/>
    </row>
    <row r="1003" spans="1:25" x14ac:dyDescent="0.3">
      <c r="U1003" s="45"/>
      <c r="V1003" s="108"/>
      <c r="W1003" s="109"/>
      <c r="X1003" s="111"/>
      <c r="Y1003" s="111"/>
    </row>
  </sheetData>
  <conditionalFormatting sqref="J2:K1000">
    <cfRule type="expression" dxfId="67" priority="31">
      <formula>$I2="La personne elle-même"</formula>
    </cfRule>
  </conditionalFormatting>
  <conditionalFormatting sqref="U2:U1003">
    <cfRule type="expression" dxfId="66" priority="81">
      <formula>$R2="Social"</formula>
    </cfRule>
    <cfRule type="expression" dxfId="65" priority="82">
      <formula>$R2="Assistance de coordination"</formula>
    </cfRule>
  </conditionalFormatting>
  <conditionalFormatting sqref="U2:U12 U15:U1003">
    <cfRule type="expression" dxfId="64" priority="80">
      <formula>$R2="PH"</formula>
    </cfRule>
  </conditionalFormatting>
  <conditionalFormatting sqref="U2:U12 U15:U1003">
    <cfRule type="expression" dxfId="63" priority="79">
      <formula>$R2="PA"</formula>
    </cfRule>
  </conditionalFormatting>
  <conditionalFormatting sqref="O9:P9">
    <cfRule type="expression" dxfId="62" priority="71">
      <formula>$R9="Assistance de coordination"</formula>
    </cfRule>
  </conditionalFormatting>
  <conditionalFormatting sqref="S2:S1048576">
    <cfRule type="expression" dxfId="61" priority="4">
      <formula>R2="Secrétariat_réorientation PLATEFORME TELEPHONIQUE"</formula>
    </cfRule>
    <cfRule type="expression" dxfId="60" priority="5">
      <formula>R2="Secrétariat_inscription"</formula>
    </cfRule>
    <cfRule type="expression" dxfId="59" priority="6">
      <formula>R2="Secrétariat_réorientation VERS SERVICES DU CCAS"</formula>
    </cfRule>
    <cfRule type="expression" dxfId="58" priority="7">
      <formula>R2="Secrétariat_info de fonctionnement"</formula>
    </cfRule>
    <cfRule type="expression" dxfId="57" priority="8">
      <formula>R2="Secrétariat_réorientation AUTRE"</formula>
    </cfRule>
    <cfRule type="expression" dxfId="56" priority="9">
      <formula>$Q2="PA_PH"</formula>
    </cfRule>
    <cfRule type="expression" dxfId="55" priority="10">
      <formula>$Q2="SOCIAL"</formula>
    </cfRule>
    <cfRule type="expression" dxfId="54" priority="13">
      <formula>$Q2="AIDE_SOCIALE_ASG_OA_SASPA"</formula>
    </cfRule>
    <cfRule type="expression" dxfId="53" priority="54">
      <formula>R2="Standard_message pris"</formula>
    </cfRule>
    <cfRule type="expression" dxfId="52" priority="55">
      <formula>R2="Secrétariat_accueil RDV CLIC/RA"</formula>
    </cfRule>
    <cfRule type="expression" dxfId="51" priority="56">
      <formula>R2="Standard_transfert vers CLIC/RA"</formula>
    </cfRule>
    <cfRule type="expression" dxfId="50" priority="66">
      <formula>$Q2="SOCIAL"</formula>
    </cfRule>
    <cfRule type="expression" dxfId="49" priority="69">
      <formula>$Q2="PA_PH"</formula>
    </cfRule>
    <cfRule type="expression" dxfId="48" priority="70">
      <formula>R2="Secrétariat_accueil DOCS CLIC/RA"</formula>
    </cfRule>
  </conditionalFormatting>
  <conditionalFormatting sqref="T2:U2">
    <cfRule type="expression" dxfId="47" priority="68">
      <formula>$R2="Social"</formula>
    </cfRule>
  </conditionalFormatting>
  <conditionalFormatting sqref="V2:V1048576">
    <cfRule type="containsText" dxfId="46" priority="33" operator="containsText" text="PA">
      <formula>NOT(ISERROR(SEARCH("PA",V2)))</formula>
    </cfRule>
    <cfRule type="containsText" dxfId="45" priority="61" operator="containsText" text="PH">
      <formula>NOT(ISERROR(SEARCH("PH",V2)))</formula>
    </cfRule>
  </conditionalFormatting>
  <conditionalFormatting sqref="W2:W150000">
    <cfRule type="expression" dxfId="44" priority="34">
      <formula>$V2="PA"</formula>
    </cfRule>
  </conditionalFormatting>
  <conditionalFormatting sqref="D2:D10000">
    <cfRule type="expression" dxfId="43" priority="12">
      <formula>$C2&lt;&gt;"AUTRE"</formula>
    </cfRule>
  </conditionalFormatting>
  <conditionalFormatting sqref="H2:H10000">
    <cfRule type="expression" dxfId="42" priority="30">
      <formula>$G2=TRUE</formula>
    </cfRule>
  </conditionalFormatting>
  <conditionalFormatting sqref="G2:H10000">
    <cfRule type="expression" dxfId="41" priority="20">
      <formula>$F2="E mail "</formula>
    </cfRule>
    <cfRule type="expression" dxfId="40" priority="26">
      <formula>$F2="Courrier externe"</formula>
    </cfRule>
    <cfRule type="expression" dxfId="39" priority="27">
      <formula>$F2="Courrier interne "</formula>
    </cfRule>
    <cfRule type="expression" dxfId="38" priority="28">
      <formula>$F2="Acc physique"</formula>
    </cfRule>
    <cfRule type="expression" dxfId="37" priority="29">
      <formula>$F2="Téléphone"</formula>
    </cfRule>
  </conditionalFormatting>
  <conditionalFormatting sqref="X2:X15000">
    <cfRule type="expression" dxfId="36" priority="93">
      <formula>$W2=TRUE</formula>
    </cfRule>
    <cfRule type="expression" dxfId="35" priority="94">
      <formula>$Q2="AIDE_SOCIALE__ASG__formalité_d_OA_et_SASPA"</formula>
    </cfRule>
    <cfRule type="expression" dxfId="34" priority="95">
      <formula>$Q2="ASS._DE_COORD"</formula>
    </cfRule>
    <cfRule type="expression" dxfId="33" priority="96">
      <formula>$Q2="SOCIAL"</formula>
    </cfRule>
  </conditionalFormatting>
  <conditionalFormatting sqref="Q2:U3 A2:O3 A4:U10000">
    <cfRule type="expression" dxfId="32" priority="83">
      <formula>$Q2="ASS._DE_COORD"</formula>
    </cfRule>
  </conditionalFormatting>
  <conditionalFormatting sqref="P3">
    <cfRule type="expression" dxfId="31" priority="102">
      <formula>$Q3="PA_PH"</formula>
    </cfRule>
  </conditionalFormatting>
  <conditionalFormatting sqref="P3">
    <cfRule type="expression" dxfId="30" priority="105">
      <formula>$Q3="SOCIAL"</formula>
    </cfRule>
    <cfRule type="expression" dxfId="29" priority="106">
      <formula>$Q3="ASS._DE_COORD"</formula>
    </cfRule>
  </conditionalFormatting>
  <conditionalFormatting sqref="P2">
    <cfRule type="expression" dxfId="28" priority="22">
      <formula>$Q2="PA_PH"</formula>
    </cfRule>
  </conditionalFormatting>
  <conditionalFormatting sqref="P2">
    <cfRule type="expression" dxfId="27" priority="21">
      <formula>$Q2="SOCIAL"</formula>
    </cfRule>
    <cfRule type="expression" dxfId="26" priority="23">
      <formula>$Q2="ASS._DE_COORD"</formula>
    </cfRule>
  </conditionalFormatting>
  <conditionalFormatting sqref="P2:P10000">
    <cfRule type="expression" dxfId="25" priority="11">
      <formula>$P2=TRUE</formula>
    </cfRule>
  </conditionalFormatting>
  <conditionalFormatting sqref="X2:X10000">
    <cfRule type="containsText" dxfId="24" priority="24" operator="containsText" text="A FAIRE">
      <formula>NOT(ISERROR(SEARCH("A FAIRE",X2)))</formula>
    </cfRule>
    <cfRule type="containsText" dxfId="23" priority="25" operator="containsText" text="OK FAIT">
      <formula>NOT(ISERROR(SEARCH("OK FAIT",X2)))</formula>
    </cfRule>
  </conditionalFormatting>
  <conditionalFormatting sqref="Y2:Y15000">
    <cfRule type="expression" dxfId="22" priority="16">
      <formula>$W2=TRUE</formula>
    </cfRule>
    <cfRule type="expression" dxfId="21" priority="17">
      <formula>$Q2="AIDE_SOCIALE__ASG__formalité_d_OA_et_SASPA"</formula>
    </cfRule>
    <cfRule type="expression" dxfId="20" priority="18">
      <formula>$Q2="ASS._DE_COORD"</formula>
    </cfRule>
    <cfRule type="expression" dxfId="19" priority="19">
      <formula>$Q2="SOCIAL"</formula>
    </cfRule>
  </conditionalFormatting>
  <conditionalFormatting sqref="Y2:Y10000">
    <cfRule type="containsText" dxfId="18" priority="14" operator="containsText" text="A FAIRE">
      <formula>NOT(ISERROR(SEARCH("A FAIRE",Y2)))</formula>
    </cfRule>
    <cfRule type="containsText" dxfId="17" priority="15" operator="containsText" text="OK FAIT">
      <formula>NOT(ISERROR(SEARCH("OK FAIT",Y2)))</formula>
    </cfRule>
  </conditionalFormatting>
  <conditionalFormatting sqref="A2:U10000">
    <cfRule type="expression" dxfId="16" priority="1">
      <formula>$V2="PH"</formula>
    </cfRule>
    <cfRule type="expression" dxfId="15" priority="32">
      <formula>$V2="PA"</formula>
    </cfRule>
    <cfRule type="expression" dxfId="14" priority="65">
      <formula>$Q2="SOCIAL"</formula>
    </cfRule>
  </conditionalFormatting>
  <conditionalFormatting sqref="T2:T10000">
    <cfRule type="expression" dxfId="13" priority="2">
      <formula>$R2="Secrétariat_accueil RDV CLIC/RA"</formula>
    </cfRule>
    <cfRule type="expression" dxfId="12" priority="3">
      <formula>$R2="Standard_transfert vers CLIC/RA"</formula>
    </cfRule>
  </conditionalFormatting>
  <dataValidations count="7">
    <dataValidation type="list" allowBlank="1" showInputMessage="1" showErrorMessage="1" sqref="Q2:Q1048576" xr:uid="{81AFA967-FCD4-4D64-8F19-75AE2D35826C}">
      <formula1>CATEGORIE</formula1>
    </dataValidation>
    <dataValidation type="list" allowBlank="1" showInputMessage="1" showErrorMessage="1" sqref="Y2:Y1003 X2:X1048576" xr:uid="{BEEAB12E-0CBA-4E4F-A359-B1ADAC974AB1}">
      <formula1>SAISIE_IODAS</formula1>
    </dataValidation>
    <dataValidation type="list" allowBlank="1" showInputMessage="1" showErrorMessage="1" sqref="J13:K13 I2:I1048576" xr:uid="{B3508AC2-B097-41CD-85A2-95C4E9E8B007}">
      <formula1>Origine</formula1>
    </dataValidation>
    <dataValidation type="list" allowBlank="1" showInputMessage="1" showErrorMessage="1" sqref="C2:C1003" xr:uid="{14B7F00D-4257-403B-B734-70C41461328F}">
      <formula1>AGENTS</formula1>
    </dataValidation>
    <dataValidation type="date" showInputMessage="1" showErrorMessage="1" sqref="B6" xr:uid="{2EE7951E-D4E1-41B7-BD09-C9EBCD6FC8A8}">
      <formula1>44562</formula1>
      <formula2>44926</formula2>
    </dataValidation>
    <dataValidation type="list" allowBlank="1" showInputMessage="1" showErrorMessage="1" sqref="E5" xr:uid="{12B7DA91-7437-4F67-91D0-58D352A59683}">
      <formula1>FRONT_BACK</formula1>
    </dataValidation>
    <dataValidation type="list" allowBlank="1" showInputMessage="1" showErrorMessage="1" sqref="W2:W1048576 P1:P1048576" xr:uid="{C730CF47-F270-457A-A504-03F5A42C9A37}">
      <formula1>VRAI_FAUX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69" r:id="rId3" name="lbxListe">
          <controlPr defaultSize="0" autoLine="0" listFillRange="Listes!$U$3:$U$4" r:id="rId4">
            <anchor moveWithCells="1">
              <from>
                <xdr:col>22</xdr:col>
                <xdr:colOff>7620</xdr:colOff>
                <xdr:row>4</xdr:row>
                <xdr:rowOff>53340</xdr:rowOff>
              </from>
              <to>
                <xdr:col>22</xdr:col>
                <xdr:colOff>464820</xdr:colOff>
                <xdr:row>4</xdr:row>
                <xdr:rowOff>647700</xdr:rowOff>
              </to>
            </anchor>
          </controlPr>
        </control>
      </mc:Choice>
      <mc:Fallback>
        <control shapeId="2069" r:id="rId3" name="lbxList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5691DC8-DE42-4F1A-AA48-CA055E596F55}">
          <x14:formula1>
            <xm:f>Listes!$L$3:$L$9</xm:f>
          </x14:formula1>
          <xm:sqref>F2:F1048576</xm:sqref>
        </x14:dataValidation>
        <x14:dataValidation type="list" allowBlank="1" showInputMessage="1" showErrorMessage="1" xr:uid="{9E1B7721-FEE0-4727-BD4B-E5DA0153F245}">
          <x14:formula1>
            <xm:f>Listes!$N$3:$N$4</xm:f>
          </x14:formula1>
          <xm:sqref>G1:G1048576</xm:sqref>
        </x14:dataValidation>
        <x14:dataValidation type="list" allowBlank="1" showInputMessage="1" showErrorMessage="1" xr:uid="{0BD4D7E1-0DD1-4DE3-890C-10210B1EC788}">
          <x14:formula1>
            <xm:f>Listes!$U$3:$U$4</xm:f>
          </x14:formula1>
          <xm:sqref>V2:V1048576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35716-D535-4150-957C-811591198A24}">
  <sheetPr codeName="Feuil3"/>
  <dimension ref="A1:P64"/>
  <sheetViews>
    <sheetView workbookViewId="0">
      <selection activeCell="B41" sqref="B41"/>
    </sheetView>
  </sheetViews>
  <sheetFormatPr baseColWidth="10" defaultRowHeight="14.4" x14ac:dyDescent="0.3"/>
  <cols>
    <col min="1" max="1" width="11.6640625" customWidth="1"/>
    <col min="2" max="2" width="17.5546875" bestFit="1" customWidth="1"/>
    <col min="3" max="3" width="47.33203125" bestFit="1" customWidth="1"/>
    <col min="4" max="4" width="3" style="113" bestFit="1" customWidth="1"/>
    <col min="5" max="5" width="2" customWidth="1"/>
    <col min="6" max="6" width="18.88671875" customWidth="1"/>
    <col min="7" max="7" width="48.88671875" bestFit="1" customWidth="1"/>
    <col min="8" max="8" width="2.88671875" customWidth="1"/>
    <col min="9" max="9" width="2.33203125" customWidth="1"/>
    <col min="10" max="10" width="17.5546875" customWidth="1"/>
    <col min="11" max="11" width="48.88671875" bestFit="1" customWidth="1"/>
    <col min="12" max="12" width="4" customWidth="1"/>
    <col min="13" max="13" width="2.109375" customWidth="1"/>
    <col min="14" max="14" width="19.77734375" customWidth="1"/>
    <col min="15" max="15" width="48.88671875" style="105" bestFit="1" customWidth="1"/>
    <col min="16" max="16" width="2" bestFit="1" customWidth="1"/>
    <col min="17" max="17" width="6.6640625" bestFit="1" customWidth="1"/>
    <col min="18" max="18" width="3" bestFit="1" customWidth="1"/>
    <col min="19" max="19" width="15" bestFit="1" customWidth="1"/>
    <col min="20" max="20" width="11.88671875" bestFit="1" customWidth="1"/>
    <col min="21" max="21" width="6.6640625" bestFit="1" customWidth="1"/>
    <col min="22" max="22" width="14.5546875" bestFit="1" customWidth="1"/>
    <col min="23" max="23" width="7.88671875" bestFit="1" customWidth="1"/>
    <col min="24" max="24" width="10.5546875" bestFit="1" customWidth="1"/>
    <col min="25" max="25" width="11.88671875" bestFit="1" customWidth="1"/>
  </cols>
  <sheetData>
    <row r="1" spans="1:16" ht="23.4" x14ac:dyDescent="0.45">
      <c r="B1" s="125" t="s">
        <v>187</v>
      </c>
      <c r="C1" s="125"/>
      <c r="D1" s="125"/>
      <c r="F1" s="125" t="s">
        <v>188</v>
      </c>
      <c r="G1" s="125"/>
      <c r="H1" s="125"/>
      <c r="J1" s="125" t="s">
        <v>189</v>
      </c>
      <c r="K1" s="125"/>
      <c r="L1" s="125"/>
      <c r="N1" s="125" t="s">
        <v>190</v>
      </c>
      <c r="O1" s="125"/>
      <c r="P1" s="125"/>
    </row>
    <row r="2" spans="1:16" ht="21" customHeight="1" x14ac:dyDescent="0.3">
      <c r="B2" s="85" t="s">
        <v>0</v>
      </c>
      <c r="C2" s="86" t="s">
        <v>3</v>
      </c>
      <c r="D2" s="114">
        <f>COUNTIFS(Feuil2!R:R,"*Standard_message pris*",Feuil2!C:C,"*Nordine*")</f>
        <v>0</v>
      </c>
      <c r="F2" s="85" t="s">
        <v>0</v>
      </c>
      <c r="G2" s="86" t="s">
        <v>3</v>
      </c>
      <c r="H2" s="114">
        <f>COUNTIFS(Feuil2!R:R,"*Standard_message pris*",Feuil2!C:C,"*Fabienne*")</f>
        <v>0</v>
      </c>
      <c r="J2" s="85" t="s">
        <v>0</v>
      </c>
      <c r="K2" s="86" t="s">
        <v>3</v>
      </c>
      <c r="L2" s="114">
        <f>COUNTIFS(Feuil2!R:R,"*Standard_message pris*",Feuil2!C:C,"*Patricia*")</f>
        <v>0</v>
      </c>
      <c r="N2" s="85" t="s">
        <v>0</v>
      </c>
      <c r="O2" s="86" t="s">
        <v>3</v>
      </c>
      <c r="P2" s="114">
        <f>COUNTIFS(Feuil2!R:R,"*Standard_message pris*",Feuil2!C:C,"*Christelle*")</f>
        <v>0</v>
      </c>
    </row>
    <row r="3" spans="1:16" x14ac:dyDescent="0.3">
      <c r="B3" s="87"/>
      <c r="C3" s="86" t="s">
        <v>7</v>
      </c>
      <c r="D3" s="114">
        <f>COUNTIFS(Feuil2!R:R,"*Standard_transfert vers CLIC/RA*",Feuil2!C:C,"*Nordine*")</f>
        <v>1</v>
      </c>
      <c r="F3" s="87"/>
      <c r="G3" s="86" t="s">
        <v>7</v>
      </c>
      <c r="H3" s="114">
        <f>COUNTIFS(Feuil2!R:R,"*Standard_transfert vers CLIC/RA*",Feuil2!C:C,"*Fabienne*")</f>
        <v>0</v>
      </c>
      <c r="J3" s="87"/>
      <c r="K3" s="86" t="s">
        <v>7</v>
      </c>
      <c r="L3" s="114">
        <f>COUNTIFS(Feuil2!R:R,"*Standard_transfert vers CLIC/RA*",Feuil2!C:C,"*Patricia*")</f>
        <v>0</v>
      </c>
      <c r="N3" s="87"/>
      <c r="O3" s="86" t="s">
        <v>7</v>
      </c>
      <c r="P3" s="114">
        <f>COUNTIFS(Feuil2!R:R,"*Standard_transfert vers CLIC/RA*",Feuil2!C:C,"*Christelle*")</f>
        <v>0</v>
      </c>
    </row>
    <row r="4" spans="1:16" x14ac:dyDescent="0.3">
      <c r="B4" s="87"/>
      <c r="C4" s="86" t="s">
        <v>10</v>
      </c>
      <c r="D4" s="114">
        <f>COUNTIFS(Feuil2!R:R,"*Secrétariat_accueil RDV CLIC/RA*",Feuil2!C:C,"*Nordine*")</f>
        <v>0</v>
      </c>
      <c r="F4" s="87"/>
      <c r="G4" s="86" t="s">
        <v>10</v>
      </c>
      <c r="H4" s="114">
        <f>COUNTIFS(Feuil2!R:R,"*Secrétariat_accueil RDV CLIC/RA*",Feuil2!C:C,"*Fabienne*")</f>
        <v>1</v>
      </c>
      <c r="J4" s="87"/>
      <c r="K4" s="86" t="s">
        <v>10</v>
      </c>
      <c r="L4" s="114">
        <f>COUNTIFS(Feuil2!R:R,"*Secrétariat_accueil RDV CLIC/RA*",Feuil2!C:C,"*Patricia*")</f>
        <v>1</v>
      </c>
      <c r="N4" s="87"/>
      <c r="O4" s="86" t="s">
        <v>10</v>
      </c>
      <c r="P4" s="114">
        <f>COUNTIFS(Feuil2!Z:Z,"*Secrétariat_accueil RDV CLIC/RA*",Feuil2!K:K,"*Fabienne*")</f>
        <v>0</v>
      </c>
    </row>
    <row r="5" spans="1:16" x14ac:dyDescent="0.3">
      <c r="B5" s="87"/>
      <c r="C5" s="86" t="s">
        <v>14</v>
      </c>
      <c r="D5" s="114">
        <f>COUNTIFS(Feuil2!R:R,"*Secrétariat_accueil DOCS CLIC/RA*",Feuil2!C:C,"*Nordine*")</f>
        <v>1</v>
      </c>
      <c r="F5" s="87"/>
      <c r="G5" s="86" t="s">
        <v>14</v>
      </c>
      <c r="H5" s="114">
        <f>COUNTIFS(Feuil2!R:R,"*Secrétariat_accueil DOCS CLIC/RA*",Feuil2!C:C,"*Fabienne*")</f>
        <v>0</v>
      </c>
      <c r="J5" s="87"/>
      <c r="K5" s="86" t="s">
        <v>14</v>
      </c>
      <c r="L5" s="114">
        <f>COUNTIFS(Feuil2!R:R,"*Secrétariat_accueil DOCS CLIC/RA*",Feuil2!C:C,"*Patricia*")</f>
        <v>0</v>
      </c>
      <c r="N5" s="87"/>
      <c r="O5" s="86" t="s">
        <v>14</v>
      </c>
      <c r="P5" s="114">
        <f>COUNTIFS(Feuil2!R:R,"*Secrétariat_accueil DOCS CLIC/RA*",Feuil2!C:C,"*Christelle*")</f>
        <v>0</v>
      </c>
    </row>
    <row r="6" spans="1:16" x14ac:dyDescent="0.3">
      <c r="B6" s="87"/>
      <c r="C6" s="86" t="s">
        <v>17</v>
      </c>
      <c r="D6" s="114">
        <f>COUNTIFS(Feuil2!R:R,"*Secrétariat_info de fonctionnement*",Feuil2!C:C,"*Nordine*")</f>
        <v>1</v>
      </c>
      <c r="F6" s="87"/>
      <c r="G6" s="86" t="s">
        <v>17</v>
      </c>
      <c r="H6" s="114">
        <f>COUNTIFS(Feuil2!R:R,"*Secrétariat_info de fonctionnement*",Feuil2!C:C,"*Fabienne*")</f>
        <v>1</v>
      </c>
      <c r="J6" s="87"/>
      <c r="K6" s="86" t="s">
        <v>17</v>
      </c>
      <c r="L6" s="114">
        <f>COUNTIFS(Feuil2!R:R,"*Secrétariat_info de fonctionnement*",Feuil2!C:C,"*Patricia*")</f>
        <v>0</v>
      </c>
      <c r="N6" s="87"/>
      <c r="O6" s="86" t="s">
        <v>17</v>
      </c>
      <c r="P6" s="114">
        <f>COUNTIFS(Feuil2!R:R,"*Secrétariat_info de fonctionnement*",Feuil2!C:C,"*Christelle*")</f>
        <v>0</v>
      </c>
    </row>
    <row r="7" spans="1:16" x14ac:dyDescent="0.3">
      <c r="B7" s="87"/>
      <c r="C7" s="86" t="s">
        <v>20</v>
      </c>
      <c r="D7" s="114">
        <f>COUNTIFS(Feuil2!R:R,"*Secrétariat_inscription*",Feuil2!C:C,"*Nordine*")</f>
        <v>1</v>
      </c>
      <c r="F7" s="87"/>
      <c r="G7" s="86" t="s">
        <v>20</v>
      </c>
      <c r="H7" s="114">
        <f>COUNTIFS(Feuil2!R:R,"*Secrétariat_inscription*",Feuil2!C:C,"*Fabienne*")</f>
        <v>0</v>
      </c>
      <c r="J7" s="87"/>
      <c r="K7" s="86" t="s">
        <v>20</v>
      </c>
      <c r="L7" s="114">
        <f>COUNTIFS(Feuil2!R:R,"*Secrétariat_inscription*",Feuil2!C:C,"*Patricia*")</f>
        <v>0</v>
      </c>
      <c r="N7" s="87"/>
      <c r="O7" s="86" t="s">
        <v>20</v>
      </c>
      <c r="P7" s="114">
        <f>COUNTIFS(Feuil2!R:R,"*Secrétariat_inscription*",Feuil2!C:C,"*Christelle*")</f>
        <v>0</v>
      </c>
    </row>
    <row r="8" spans="1:16" x14ac:dyDescent="0.3">
      <c r="B8" s="87"/>
      <c r="C8" s="86" t="s">
        <v>98</v>
      </c>
      <c r="D8" s="114">
        <f>COUNTIFS(Feuil2!R:R,"*Secrétariat_réorientation VERS SERVICES DU CCAS*",Feuil2!C:C,"*Nordine*")</f>
        <v>0</v>
      </c>
      <c r="F8" s="87"/>
      <c r="G8" s="86" t="s">
        <v>98</v>
      </c>
      <c r="H8" s="114">
        <f>COUNTIFS(Feuil2!R:R,"*Secrétariat_réorientation VERS SERVICES DU CCAS*",Feuil2!C:C,"*Fabienne*")</f>
        <v>1</v>
      </c>
      <c r="J8" s="87"/>
      <c r="K8" s="86" t="s">
        <v>98</v>
      </c>
      <c r="L8" s="114">
        <f>COUNTIFS(Feuil2!R:R,"*Secrétariat_réorientation VERS SERVICES DU CCAS*",Feuil2!C:C,"*Patricia*")</f>
        <v>1</v>
      </c>
      <c r="N8" s="87"/>
      <c r="O8" s="86" t="s">
        <v>98</v>
      </c>
      <c r="P8" s="114">
        <f>COUNTIFS(Feuil2!R:R,"*Secrétariat_réorientation VERS SERVICES DU CCAS*",Feuil2!C:C,"*Christelle*")</f>
        <v>0</v>
      </c>
    </row>
    <row r="9" spans="1:16" x14ac:dyDescent="0.3">
      <c r="B9" s="87"/>
      <c r="C9" s="86" t="s">
        <v>24</v>
      </c>
      <c r="D9" s="114">
        <f>COUNTIFS(Feuil2!R:R,"*Secrétariat_réorientation PLATEFORME TELEPHONIQUE*",Feuil2!C:C,"*Nordine*")</f>
        <v>0</v>
      </c>
      <c r="F9" s="87"/>
      <c r="G9" s="86" t="s">
        <v>24</v>
      </c>
      <c r="H9" s="114">
        <f>COUNTIFS(Feuil2!R:R,"*Secrétariat_réorientation PLATEFORME TELEPHONIQUE*",Feuil2!C:C,"*Fabienne*")</f>
        <v>0</v>
      </c>
      <c r="J9" s="87"/>
      <c r="K9" s="86" t="s">
        <v>24</v>
      </c>
      <c r="L9" s="114">
        <f>COUNTIFS(Feuil2!R:R,"*Secrétariat_réorientation PLATEFORME TELEPHONIQUE*",Feuil2!C:C,"*Patricia*")</f>
        <v>0</v>
      </c>
      <c r="N9" s="87"/>
      <c r="O9" s="86" t="s">
        <v>24</v>
      </c>
      <c r="P9" s="114">
        <f>COUNTIFS(Feuil2!R:R,"*Secrétariat_réorientation PLATEFORME TELEPHONIQUE*",Feuil2!C:C,"*Christelle*")</f>
        <v>1</v>
      </c>
    </row>
    <row r="10" spans="1:16" x14ac:dyDescent="0.3">
      <c r="B10" s="87"/>
      <c r="C10" s="86" t="s">
        <v>26</v>
      </c>
      <c r="D10" s="114">
        <f>COUNTIFS(Feuil2!R:R,"*Secrétariat_réorientation AUTRE*",Feuil2!C:C,"*Nordine*")</f>
        <v>0</v>
      </c>
      <c r="F10" s="87"/>
      <c r="G10" s="86" t="s">
        <v>26</v>
      </c>
      <c r="H10" s="114">
        <f>COUNTIFS(Feuil2!R:R,"*Secrétariat_réorientation AUTRE*",Feuil2!C:C,"*Fabienne*")</f>
        <v>0</v>
      </c>
      <c r="J10" s="87"/>
      <c r="K10" s="86" t="s">
        <v>26</v>
      </c>
      <c r="L10" s="114">
        <f>COUNTIFS(Feuil2!R:R,"*Secrétariat_réorientation AUTRE*",Feuil2!C:C,"*Patricia*")</f>
        <v>0</v>
      </c>
      <c r="N10" s="87"/>
      <c r="O10" s="86" t="s">
        <v>26</v>
      </c>
      <c r="P10" s="114">
        <f>COUNTIFS(Feuil2!R:R,"*Secrétariat_réorientation AUTRE*",Feuil2!C:C,"*Christelle*")</f>
        <v>1</v>
      </c>
    </row>
    <row r="11" spans="1:16" ht="43.2" x14ac:dyDescent="0.3">
      <c r="A11" s="124" t="s">
        <v>191</v>
      </c>
      <c r="B11" s="87"/>
      <c r="C11" s="86" t="s">
        <v>93</v>
      </c>
      <c r="D11" s="114">
        <f>COUNTIFS(Feuil2!R:R,"*AUTRE ASS. DE COORD*",Feuil2!C:C,"*Nordine*")</f>
        <v>0</v>
      </c>
      <c r="F11" s="87"/>
      <c r="G11" s="86" t="s">
        <v>93</v>
      </c>
      <c r="H11" s="114">
        <f>COUNTIFS(Feuil2!R:R,"*AUTRE ASS. DE COORD*",Feuil2!C:C,"*Fabienne*")</f>
        <v>0</v>
      </c>
      <c r="J11" s="87"/>
      <c r="K11" s="86" t="s">
        <v>93</v>
      </c>
      <c r="L11" s="114">
        <f>COUNTIFS(Feuil2!R:R,"*AUTRE ASS. DE COORD*",Feuil2!C:C,"*Patricia*")</f>
        <v>0</v>
      </c>
      <c r="N11" s="87"/>
      <c r="O11" s="86" t="s">
        <v>93</v>
      </c>
      <c r="P11" s="114">
        <f>COUNTIFS(Feuil2!R:R,"*AUTRE ASS. DE COORD*",Feuil2!C:C,"*Christelle*")</f>
        <v>0</v>
      </c>
    </row>
    <row r="12" spans="1:16" ht="23.4" x14ac:dyDescent="0.45">
      <c r="A12" s="123">
        <f>D12+H12+L12+P12</f>
        <v>11</v>
      </c>
      <c r="B12" s="87"/>
      <c r="C12" s="88" t="s">
        <v>106</v>
      </c>
      <c r="D12" s="115">
        <f>SUM(D2:D11)</f>
        <v>4</v>
      </c>
      <c r="F12" s="87"/>
      <c r="G12" s="88" t="s">
        <v>106</v>
      </c>
      <c r="H12" s="115">
        <f>SUM(H2:H11)</f>
        <v>3</v>
      </c>
      <c r="J12" s="87"/>
      <c r="K12" s="88" t="s">
        <v>106</v>
      </c>
      <c r="L12" s="115">
        <f>SUM(L2:L11)</f>
        <v>2</v>
      </c>
      <c r="N12" s="87"/>
      <c r="O12" s="88" t="s">
        <v>106</v>
      </c>
      <c r="P12" s="115">
        <f>SUM(P2:P11)</f>
        <v>2</v>
      </c>
    </row>
    <row r="13" spans="1:16" ht="42.6" customHeight="1" x14ac:dyDescent="0.3">
      <c r="B13" s="35" t="s">
        <v>156</v>
      </c>
      <c r="C13" s="3" t="s">
        <v>4</v>
      </c>
      <c r="D13" s="116">
        <f>COUNTIFS(Feuil2!R:R,"*Dépôt dossier SASPA*",Feuil2!C:C,"*Nordine*")</f>
        <v>0</v>
      </c>
      <c r="F13" s="35" t="s">
        <v>156</v>
      </c>
      <c r="G13" s="3" t="s">
        <v>4</v>
      </c>
      <c r="H13" s="116">
        <f>COUNTIFS(Feuil2!R:R,"*Dépôt dossier SASPA*",Feuil2!C:C,"*Fabienne*")</f>
        <v>0</v>
      </c>
      <c r="J13" s="35" t="s">
        <v>156</v>
      </c>
      <c r="K13" s="3" t="s">
        <v>4</v>
      </c>
      <c r="L13" s="116">
        <f>COUNTIFS(Feuil2!R:R,"*Dépôt dossier SASPA*",Feuil2!C:C,"*Patricia*")</f>
        <v>1</v>
      </c>
      <c r="N13" s="35" t="s">
        <v>156</v>
      </c>
      <c r="O13" s="3" t="s">
        <v>4</v>
      </c>
      <c r="P13" s="116">
        <f>COUNTIFS(Feuil2!R:R,"*Dépôt dossier SASPA*",Feuil2!C:C,"*Christelle*")</f>
        <v>0</v>
      </c>
    </row>
    <row r="14" spans="1:16" x14ac:dyDescent="0.3">
      <c r="B14" s="32"/>
      <c r="C14" s="3" t="s">
        <v>8</v>
      </c>
      <c r="D14" s="116">
        <f>COUNTIFS(Feuil2!R:R,"*Dépôt dossier ASG*",Feuil2!C:C,"*Nordine*")</f>
        <v>1</v>
      </c>
      <c r="F14" s="32"/>
      <c r="G14" s="3" t="s">
        <v>8</v>
      </c>
      <c r="H14" s="116">
        <f>COUNTIFS(Feuil2!R:R,"*Dépôt dossier ASG*",Feuil2!C:C,"*Fabienne*")</f>
        <v>0</v>
      </c>
      <c r="J14" s="32"/>
      <c r="K14" s="3" t="s">
        <v>8</v>
      </c>
      <c r="L14" s="116">
        <f>COUNTIFS(Feuil2!R:R,"*Dépôt dossier ASG*",Feuil2!C:C,"*Patricia*")</f>
        <v>0</v>
      </c>
      <c r="N14" s="32"/>
      <c r="O14" s="3" t="s">
        <v>8</v>
      </c>
      <c r="P14" s="116">
        <f>COUNTIFS(Feuil2!R:R,"*Dépôt dossier ASG*",Feuil2!C:C,"*Christelle*")</f>
        <v>0</v>
      </c>
    </row>
    <row r="15" spans="1:16" x14ac:dyDescent="0.3">
      <c r="B15" s="32"/>
      <c r="C15" s="3" t="s">
        <v>11</v>
      </c>
      <c r="D15" s="116">
        <f>COUNTIFS(Feuil2!R:R,"*Dépôt formalité OA*",Feuil2!C:C,"*Nordine*")</f>
        <v>0</v>
      </c>
      <c r="F15" s="32"/>
      <c r="G15" s="3" t="s">
        <v>11</v>
      </c>
      <c r="H15" s="116">
        <f>COUNTIFS(Feuil2!R:R,"*Dépôt formalité OA*",Feuil2!C:C,"*Fabienne*")</f>
        <v>0</v>
      </c>
      <c r="J15" s="32"/>
      <c r="K15" s="3" t="s">
        <v>11</v>
      </c>
      <c r="L15" s="116">
        <f>COUNTIFS(Feuil2!R:R,"*Dépôt formalité OA*",Feuil2!C:C,"*Patricia*")</f>
        <v>0</v>
      </c>
      <c r="N15" s="32"/>
      <c r="O15" s="3" t="s">
        <v>11</v>
      </c>
      <c r="P15" s="116">
        <f>COUNTIFS(Feuil2!R:R,"*Dépôt formalité OA*",Feuil2!C:C,"*Christelle*")</f>
        <v>0</v>
      </c>
    </row>
    <row r="16" spans="1:16" x14ac:dyDescent="0.3">
      <c r="B16" s="32"/>
      <c r="C16" s="3" t="s">
        <v>15</v>
      </c>
      <c r="D16" s="116">
        <f>COUNTIFS(Feuil2!R:R,"*Info sur dossier SASPA en cours ou à constituer*",Feuil2!C:C,"*Nordine*")</f>
        <v>0</v>
      </c>
      <c r="F16" s="32"/>
      <c r="G16" s="3" t="s">
        <v>15</v>
      </c>
      <c r="H16" s="116">
        <f>COUNTIFS(Feuil2!R:R,"*Info sur dossier SASPA en cours ou à constituer*",Feuil2!C:C,"*Fabienne*")</f>
        <v>0</v>
      </c>
      <c r="J16" s="32"/>
      <c r="K16" s="3" t="s">
        <v>15</v>
      </c>
      <c r="L16" s="116">
        <f>COUNTIFS(Feuil2!R:R,"*Info sur dossier SASPA en cours ou à constituer*",Feuil2!C:C,"*Patricia*")</f>
        <v>0</v>
      </c>
      <c r="N16" s="32"/>
      <c r="O16" s="3" t="s">
        <v>15</v>
      </c>
      <c r="P16" s="116">
        <f>COUNTIFS(Feuil2!R:R,"*Info sur dossier SASPA en cours ou à constituer*",Feuil2!C:C,"*Christelle*")</f>
        <v>0</v>
      </c>
    </row>
    <row r="17" spans="1:16" x14ac:dyDescent="0.3">
      <c r="B17" s="32"/>
      <c r="C17" s="3" t="s">
        <v>18</v>
      </c>
      <c r="D17" s="116">
        <f>COUNTIFS(Feuil2!R:R,"*Info sur dossier ASG en cours ou à constituer*",Feuil2!C:C,"*Nordine*")</f>
        <v>0</v>
      </c>
      <c r="F17" s="32"/>
      <c r="G17" s="3" t="s">
        <v>18</v>
      </c>
      <c r="H17" s="116">
        <f>COUNTIFS(Feuil2!R:R,"*Info sur dossier ASG en cours ou à constituer*",Feuil2!C:C,"*Fabienne*")</f>
        <v>0</v>
      </c>
      <c r="J17" s="32"/>
      <c r="K17" s="3" t="s">
        <v>18</v>
      </c>
      <c r="L17" s="116">
        <f>COUNTIFS(Feuil2!R:R,"*Info sur dossier ASG en cours ou à constituer*",Feuil2!C:C,"*Patricia*")</f>
        <v>0</v>
      </c>
      <c r="N17" s="32"/>
      <c r="O17" s="3" t="s">
        <v>18</v>
      </c>
      <c r="P17" s="116">
        <f>COUNTIFS(Feuil2!Z:Z,"*Info sur dossier ASG en cours ou à constituer*",Feuil2!K:K,"*Fabienne*")</f>
        <v>0</v>
      </c>
    </row>
    <row r="18" spans="1:16" x14ac:dyDescent="0.3">
      <c r="B18" s="32"/>
      <c r="C18" s="3" t="s">
        <v>21</v>
      </c>
      <c r="D18" s="116">
        <f>COUNTIFS(Feuil2!R:R,"*Info sur formalité d'OA*",Feuil2!C:C,"*Nordine*")</f>
        <v>1</v>
      </c>
      <c r="F18" s="32"/>
      <c r="G18" s="3" t="s">
        <v>21</v>
      </c>
      <c r="H18" s="116">
        <f>COUNTIFS(Feuil2!R:R,"*Info sur formalité d'OA*",Feuil2!C:C,"*Fabienne*")</f>
        <v>1</v>
      </c>
      <c r="J18" s="32"/>
      <c r="K18" s="3" t="s">
        <v>21</v>
      </c>
      <c r="L18" s="116">
        <f>COUNTIFS(Feuil2!R:R,"*Info sur formalité d'OA*",Feuil2!C:C,"*Patricia*")</f>
        <v>0</v>
      </c>
      <c r="N18" s="32"/>
      <c r="O18" s="3" t="s">
        <v>21</v>
      </c>
      <c r="P18" s="116">
        <f>COUNTIFS(Feuil2!R:R,"*Info sur formalité d'OA*",Feuil2!C:C,"*Christelle*")</f>
        <v>0</v>
      </c>
    </row>
    <row r="19" spans="1:16" ht="28.8" x14ac:dyDescent="0.3">
      <c r="A19" s="124" t="s">
        <v>194</v>
      </c>
      <c r="B19" s="32"/>
      <c r="C19" s="3" t="s">
        <v>92</v>
      </c>
      <c r="D19" s="116">
        <f>COUNTIFS(Feuil2!R:R,"*Autre AIDE SOCIALE*",Feuil2!C:C,"*Nordine*")</f>
        <v>0</v>
      </c>
      <c r="F19" s="32"/>
      <c r="G19" s="3" t="s">
        <v>92</v>
      </c>
      <c r="H19" s="116">
        <f>COUNTIFS(Feuil2!R:R,"*Autre AIDE SOCIALE*",Feuil2!C:C,"*Fabienne*")</f>
        <v>0</v>
      </c>
      <c r="J19" s="32"/>
      <c r="K19" s="3" t="s">
        <v>92</v>
      </c>
      <c r="L19" s="116">
        <f>COUNTIFS(Feuil2!R:R,"*Autre AIDE SOCIALE*",Feuil2!C:C,"*Patricia*")</f>
        <v>0</v>
      </c>
      <c r="N19" s="32"/>
      <c r="O19" s="3" t="s">
        <v>92</v>
      </c>
      <c r="P19" s="116">
        <f>COUNTIFS(Feuil2!R:R,"*Autre AIDE SOCIALE*",Feuil2!C:C,"*Christelle*")</f>
        <v>0</v>
      </c>
    </row>
    <row r="20" spans="1:16" ht="23.4" x14ac:dyDescent="0.45">
      <c r="A20" s="123">
        <f>D20+H20+L20+P20</f>
        <v>4</v>
      </c>
      <c r="B20" s="32"/>
      <c r="C20" s="34" t="s">
        <v>106</v>
      </c>
      <c r="D20" s="117">
        <f>SUM(D13:D19)</f>
        <v>2</v>
      </c>
      <c r="F20" s="32"/>
      <c r="G20" s="34" t="s">
        <v>106</v>
      </c>
      <c r="H20" s="117">
        <f>SUM(H13:H19)</f>
        <v>1</v>
      </c>
      <c r="J20" s="32"/>
      <c r="K20" s="34" t="s">
        <v>106</v>
      </c>
      <c r="L20" s="117">
        <f>SUM(L13:L19)</f>
        <v>1</v>
      </c>
      <c r="N20" s="32"/>
      <c r="O20" s="34" t="s">
        <v>106</v>
      </c>
      <c r="P20" s="117">
        <f>SUM(P13:P19)</f>
        <v>0</v>
      </c>
    </row>
    <row r="21" spans="1:16" x14ac:dyDescent="0.3">
      <c r="B21" s="89" t="s">
        <v>1</v>
      </c>
      <c r="C21" s="90" t="s">
        <v>5</v>
      </c>
      <c r="D21" s="118">
        <f>COUNTIFS(Feuil2!R:R,"*Appel SES*",Feuil2!C:C,"*Nordine*")</f>
        <v>1</v>
      </c>
      <c r="F21" s="89" t="s">
        <v>1</v>
      </c>
      <c r="G21" s="90" t="s">
        <v>5</v>
      </c>
      <c r="H21" s="118">
        <f>COUNTIFS(Feuil2!R:R,"*Appel SES*",Feuil2!C:C,"*Fabienne*")</f>
        <v>0</v>
      </c>
      <c r="J21" s="89" t="s">
        <v>1</v>
      </c>
      <c r="K21" s="90" t="s">
        <v>5</v>
      </c>
      <c r="L21" s="118">
        <f>COUNTIFS(Feuil2!R:R,"*Appel SES*",Feuil2!C:C,"*Patricia*")</f>
        <v>0</v>
      </c>
      <c r="N21" s="89" t="s">
        <v>1</v>
      </c>
      <c r="O21" s="90" t="s">
        <v>5</v>
      </c>
      <c r="P21" s="118">
        <f>COUNTIFS(Feuil2!R:R,"*Appel SES*",Feuil2!C:C,"*Christelle*")</f>
        <v>1</v>
      </c>
    </row>
    <row r="22" spans="1:16" x14ac:dyDescent="0.3">
      <c r="B22" s="92"/>
      <c r="C22" s="90" t="s">
        <v>102</v>
      </c>
      <c r="D22" s="118">
        <f>COUNTIFS(Feuil2!R:R,"*Intervention physique SES*",Feuil2!C:C,"*Nordine*")</f>
        <v>1</v>
      </c>
      <c r="F22" s="92"/>
      <c r="G22" s="90" t="s">
        <v>102</v>
      </c>
      <c r="H22" s="118">
        <f>COUNTIFS(Feuil2!R:R,"*Intervention physique SES*",Feuil2!C:C,"*Fabienne*")</f>
        <v>0</v>
      </c>
      <c r="J22" s="92"/>
      <c r="K22" s="90" t="s">
        <v>102</v>
      </c>
      <c r="L22" s="118">
        <f>COUNTIFS(Feuil2!R:R,"*Intervention physique SES*",Feuil2!C:C,"*Patricia*")</f>
        <v>0</v>
      </c>
      <c r="N22" s="92"/>
      <c r="O22" s="90" t="s">
        <v>102</v>
      </c>
      <c r="P22" s="118">
        <f>COUNTIFS(Feuil2!R:R,"*Intervention physique SES*",Feuil2!C:C,"*Christelle*")</f>
        <v>0</v>
      </c>
    </row>
    <row r="23" spans="1:16" x14ac:dyDescent="0.3">
      <c r="B23" s="92"/>
      <c r="C23" s="90" t="s">
        <v>12</v>
      </c>
      <c r="D23" s="118">
        <f>COUNTIFS(Feuil2!R:R,"*Réorientation MQ*",Feuil2!C:C,"*Nordine*")</f>
        <v>0</v>
      </c>
      <c r="F23" s="92"/>
      <c r="G23" s="90" t="s">
        <v>12</v>
      </c>
      <c r="H23" s="118">
        <f>COUNTIFS(Feuil2!R:R,"*Réorientation MQ*",Feuil2!C:C,"*Fabienne*")</f>
        <v>0</v>
      </c>
      <c r="J23" s="92"/>
      <c r="K23" s="90" t="s">
        <v>12</v>
      </c>
      <c r="L23" s="118">
        <f>COUNTIFS(Feuil2!R:R,"*Réorientation MQ*",Feuil2!C:C,"*Patricia*")</f>
        <v>0</v>
      </c>
      <c r="N23" s="92"/>
      <c r="O23" s="90" t="s">
        <v>12</v>
      </c>
      <c r="P23" s="118">
        <f>COUNTIFS(Feuil2!R:R,"*Réorientation MQ*",Feuil2!C:C,"*Christelle*")</f>
        <v>1</v>
      </c>
    </row>
    <row r="24" spans="1:16" x14ac:dyDescent="0.3">
      <c r="B24" s="92"/>
      <c r="C24" s="90" t="s">
        <v>16</v>
      </c>
      <c r="D24" s="118">
        <f>COUNTIFS(Feuil2!R:R,"*Traitement de la demande*",Feuil2!C:C,"*Nordine*")</f>
        <v>0</v>
      </c>
      <c r="F24" s="92"/>
      <c r="G24" s="90" t="s">
        <v>16</v>
      </c>
      <c r="H24" s="118">
        <f>COUNTIFS(Feuil2!R:R,"*Traitement de la demande*",Feuil2!C:C,"*Fabienne")</f>
        <v>0</v>
      </c>
      <c r="J24" s="92"/>
      <c r="K24" s="90" t="s">
        <v>16</v>
      </c>
      <c r="L24" s="118">
        <f>COUNTIFS(Feuil2!R:R,"*Traitement de la demande*",Feuil2!C:C,"*Patricia")</f>
        <v>0</v>
      </c>
      <c r="N24" s="92"/>
      <c r="O24" s="90" t="s">
        <v>16</v>
      </c>
      <c r="P24" s="118">
        <f>COUNTIFS(Feuil2!R:R,"*Traitement de la demande*",Feuil2!C:C,"*Christelle*")</f>
        <v>0</v>
      </c>
    </row>
    <row r="25" spans="1:16" ht="28.8" x14ac:dyDescent="0.3">
      <c r="A25" s="124" t="s">
        <v>192</v>
      </c>
      <c r="B25" s="92"/>
      <c r="C25" s="91" t="s">
        <v>95</v>
      </c>
      <c r="D25" s="118">
        <f>COUNTIFS(Feuil2!R:R,"*Autre SOCIAL*",Feuil2!C:C,"*Nordine*")</f>
        <v>0</v>
      </c>
      <c r="F25" s="92"/>
      <c r="G25" s="91" t="s">
        <v>95</v>
      </c>
      <c r="H25" s="118">
        <f>COUNTIFS(Feuil2!R:R,"*Autre SOCIAL*",Feuil2!C:C,"*Fabienne*")</f>
        <v>0</v>
      </c>
      <c r="J25" s="92"/>
      <c r="K25" s="91" t="s">
        <v>95</v>
      </c>
      <c r="L25" s="118">
        <f>COUNTIFS(Feuil2!R:R,"*Autre SOCIAL*",Feuil2!C:C,"*Patricia*")</f>
        <v>0</v>
      </c>
      <c r="N25" s="92"/>
      <c r="O25" s="91" t="s">
        <v>95</v>
      </c>
      <c r="P25" s="118">
        <f>COUNTIFS(Feuil2!R:R,"*Autre SOCIAL*",Feuil2!C:C,"*Christelle*")</f>
        <v>0</v>
      </c>
    </row>
    <row r="26" spans="1:16" ht="23.4" x14ac:dyDescent="0.45">
      <c r="A26" s="123">
        <f>D26+H26+L26+P26</f>
        <v>4</v>
      </c>
      <c r="B26" s="92"/>
      <c r="C26" s="93" t="s">
        <v>106</v>
      </c>
      <c r="D26" s="119">
        <f>SUM(D21:D25)</f>
        <v>2</v>
      </c>
      <c r="F26" s="92"/>
      <c r="G26" s="93" t="s">
        <v>106</v>
      </c>
      <c r="H26" s="119">
        <f>SUM(H21:H25)</f>
        <v>0</v>
      </c>
      <c r="J26" s="92"/>
      <c r="K26" s="93" t="s">
        <v>106</v>
      </c>
      <c r="L26" s="119">
        <f>SUM(L21:L25)</f>
        <v>0</v>
      </c>
      <c r="N26" s="92"/>
      <c r="O26" s="93" t="s">
        <v>106</v>
      </c>
      <c r="P26" s="119">
        <f>SUM(P21:P25)</f>
        <v>2</v>
      </c>
    </row>
    <row r="27" spans="1:16" x14ac:dyDescent="0.3">
      <c r="B27" s="94" t="s">
        <v>2</v>
      </c>
      <c r="C27" s="95" t="s">
        <v>6</v>
      </c>
      <c r="D27" s="120">
        <f>COUNTIFS(Feuil2!R:R,"*Ecoute*",Feuil2!C:C,"*Nordine*")</f>
        <v>0</v>
      </c>
      <c r="F27" s="94" t="s">
        <v>2</v>
      </c>
      <c r="G27" s="95" t="s">
        <v>6</v>
      </c>
      <c r="H27" s="120">
        <f>COUNTIFS(Feuil2!R:R,"*Ecoute*",Feuil2!C:C,"*Fabienne*")</f>
        <v>0</v>
      </c>
      <c r="J27" s="94" t="s">
        <v>2</v>
      </c>
      <c r="K27" s="95" t="s">
        <v>6</v>
      </c>
      <c r="L27" s="120">
        <f>COUNTIFS(Feuil2!R:R,"*Ecoute*",Feuil2!C:C,"*Patricia*")</f>
        <v>1</v>
      </c>
      <c r="N27" s="94" t="s">
        <v>2</v>
      </c>
      <c r="O27" s="95" t="s">
        <v>6</v>
      </c>
      <c r="P27" s="120">
        <f>COUNTIFS(Feuil2!R:R,"*Ecoute*",Feuil2!C:C,"*Christelle*")</f>
        <v>2</v>
      </c>
    </row>
    <row r="28" spans="1:16" x14ac:dyDescent="0.3">
      <c r="B28" s="97"/>
      <c r="C28" s="95" t="s">
        <v>9</v>
      </c>
      <c r="D28" s="120">
        <f>COUNTIFS(Feuil2!R:R,"*Informations, Explications*",Feuil2!C:C,"*Nordine*")</f>
        <v>0</v>
      </c>
      <c r="F28" s="97"/>
      <c r="G28" s="95" t="s">
        <v>9</v>
      </c>
      <c r="H28" s="120">
        <f>COUNTIFS(Feuil2!R:R,"*Informations, Explications*",Feuil2!C:C,"*Fabienne*")</f>
        <v>0</v>
      </c>
      <c r="J28" s="97"/>
      <c r="K28" s="95" t="s">
        <v>9</v>
      </c>
      <c r="L28" s="120">
        <f>COUNTIFS(Feuil2!R:R,"*Informations, Explications*",Feuil2!C:C,"*Patricia*")</f>
        <v>1</v>
      </c>
      <c r="N28" s="97"/>
      <c r="O28" s="95" t="s">
        <v>9</v>
      </c>
      <c r="P28" s="120">
        <f>COUNTIFS(Feuil2!R:R,"*Informations, Explications*",Feuil2!C:C,"*Christelle*")</f>
        <v>1</v>
      </c>
    </row>
    <row r="29" spans="1:16" x14ac:dyDescent="0.3">
      <c r="B29" s="97"/>
      <c r="C29" s="95" t="s">
        <v>13</v>
      </c>
      <c r="D29" s="120">
        <f>COUNTIFS(Feuil2!R:R,"*Envoi/remise documentation (listing …)*",Feuil2!C:C,"*Nordine*")</f>
        <v>0</v>
      </c>
      <c r="F29" s="97"/>
      <c r="G29" s="95" t="s">
        <v>13</v>
      </c>
      <c r="H29" s="120">
        <f>COUNTIFS(Feuil2!R:R,"*Envoi/remise documentation (listing …)*",Feuil2!C:C,"*Fabienne*")</f>
        <v>1</v>
      </c>
      <c r="J29" s="97"/>
      <c r="K29" s="95" t="s">
        <v>13</v>
      </c>
      <c r="L29" s="120">
        <f>COUNTIFS(Feuil2!R:R,"*Envoi/remise documentation (listing …)*",Feuil2!C:C,"*Patricia*")</f>
        <v>0</v>
      </c>
      <c r="N29" s="97"/>
      <c r="O29" s="95" t="s">
        <v>13</v>
      </c>
      <c r="P29" s="120">
        <f>COUNTIFS(Feuil2!R:R,"*Envoi/remise documentation (listing …)*",Feuil2!C:C,"*Christelle*")</f>
        <v>1</v>
      </c>
    </row>
    <row r="30" spans="1:16" x14ac:dyDescent="0.3">
      <c r="B30" s="97"/>
      <c r="C30" s="95" t="s">
        <v>103</v>
      </c>
      <c r="D30" s="120">
        <f>COUNTIFS(Feuil2!R:R,"*Envoi/remise formulaire*",Feuil2!C:C,"*Nordine*")</f>
        <v>0</v>
      </c>
      <c r="F30" s="97"/>
      <c r="G30" s="95" t="s">
        <v>103</v>
      </c>
      <c r="H30" s="120">
        <f>COUNTIFS(Feuil2!R:R,"*Envoi/remise formulaire*",Feuil2!C:C,"*Fabienne*")</f>
        <v>1</v>
      </c>
      <c r="J30" s="97"/>
      <c r="K30" s="95" t="s">
        <v>103</v>
      </c>
      <c r="L30" s="120">
        <f>COUNTIFS(Feuil2!V:V,"*Envoi/remise formulaire*",Feuil2!G:G,"*Fabienne*")</f>
        <v>0</v>
      </c>
      <c r="N30" s="97"/>
      <c r="O30" s="95" t="s">
        <v>103</v>
      </c>
      <c r="P30" s="120">
        <f>COUNTIFS(Feuil2!R:R,"*Envoi/remise formulaire*",Feuil2!C:C,"*Christelle*")</f>
        <v>0</v>
      </c>
    </row>
    <row r="31" spans="1:16" x14ac:dyDescent="0.3">
      <c r="B31" s="97"/>
      <c r="C31" s="96" t="s">
        <v>19</v>
      </c>
      <c r="D31" s="120">
        <f>COUNTIFS(Feuil2!R:R,"*Aide à la complétude*",Feuil2!C:C,"*Nordine*")</f>
        <v>0</v>
      </c>
      <c r="F31" s="97"/>
      <c r="G31" s="96" t="s">
        <v>19</v>
      </c>
      <c r="H31" s="120">
        <f>COUNTIFS(Feuil2!R:R,"*Aide à la complétude*",Feuil2!C:C,"*Fabienne*")</f>
        <v>1</v>
      </c>
      <c r="J31" s="97"/>
      <c r="K31" s="96" t="s">
        <v>19</v>
      </c>
      <c r="L31" s="120">
        <f>COUNTIFS(Feuil2!R:R,"*Aide à la complétude*",Feuil2!C:C,"*Patricia*")</f>
        <v>0</v>
      </c>
      <c r="N31" s="97"/>
      <c r="O31" s="96" t="s">
        <v>19</v>
      </c>
      <c r="P31" s="120">
        <f>COUNTIFS(Feuil2!R:R,"*Aide à la complétude*",Feuil2!C:C,"*Christelle*")</f>
        <v>0</v>
      </c>
    </row>
    <row r="32" spans="1:16" x14ac:dyDescent="0.3">
      <c r="B32" s="97"/>
      <c r="C32" s="95" t="s">
        <v>22</v>
      </c>
      <c r="D32" s="120">
        <f>COUNTIFS(Feuil2!R:R,"*Réorientation vers partenaires*",Feuil2!C:C,"*Nordine*")</f>
        <v>0</v>
      </c>
      <c r="F32" s="97"/>
      <c r="G32" s="95" t="s">
        <v>22</v>
      </c>
      <c r="H32" s="120">
        <f>COUNTIFS(Feuil2!R:R,"*Réorientation vers partenaires*",Feuil2!C:C,"*Fabienne*")</f>
        <v>0</v>
      </c>
      <c r="J32" s="97"/>
      <c r="K32" s="95" t="s">
        <v>22</v>
      </c>
      <c r="L32" s="120">
        <f>COUNTIFS(Feuil2!R:R,"*Réorientation vers partenaires*",Feuil2!C:C,"*Patricia*")</f>
        <v>0</v>
      </c>
      <c r="N32" s="97"/>
      <c r="O32" s="95" t="s">
        <v>22</v>
      </c>
      <c r="P32" s="120">
        <f>COUNTIFS(Feuil2!R:R,"*Réorientation vers partenaires*",Feuil2!C:C,"*Christelle*")</f>
        <v>0</v>
      </c>
    </row>
    <row r="33" spans="1:16" x14ac:dyDescent="0.3">
      <c r="B33" s="97"/>
      <c r="C33" s="95" t="s">
        <v>23</v>
      </c>
      <c r="D33" s="120">
        <f>COUNTIFS(Feuil2!R:R,"*Signalement*",Feuil2!C:C,"*Nordine*")</f>
        <v>0</v>
      </c>
      <c r="F33" s="97"/>
      <c r="G33" s="95" t="s">
        <v>23</v>
      </c>
      <c r="H33" s="120">
        <f>COUNTIFS(Feuil2!R:R,"*Signalement*",Feuil2!C:C,"*Fabienne*")</f>
        <v>0</v>
      </c>
      <c r="J33" s="97"/>
      <c r="K33" s="95" t="s">
        <v>23</v>
      </c>
      <c r="L33" s="120">
        <f>COUNTIFS(Feuil2!R:R,"*Signalement*",Feuil2!C:C,"*Patricia*")</f>
        <v>0</v>
      </c>
      <c r="N33" s="97"/>
      <c r="O33" s="95" t="s">
        <v>23</v>
      </c>
      <c r="P33" s="120">
        <f>COUNTIFS(Feuil2!R:R,"*Signalement*",Feuil2!C:C,"*Christelle*")</f>
        <v>0</v>
      </c>
    </row>
    <row r="34" spans="1:16" x14ac:dyDescent="0.3">
      <c r="B34" s="97"/>
      <c r="C34" s="95" t="s">
        <v>25</v>
      </c>
      <c r="D34" s="120">
        <f>COUNTIFS(Feuil2!R:R,"*Consultation IODAS*",Feuil2!C:C,"*Nordine*")</f>
        <v>0</v>
      </c>
      <c r="F34" s="97"/>
      <c r="G34" s="95" t="s">
        <v>25</v>
      </c>
      <c r="H34" s="120">
        <f>COUNTIFS(Feuil2!R:R,"*Consultation IODAS*",Feuil2!C:C,"*Fabienne*")</f>
        <v>0</v>
      </c>
      <c r="J34" s="97"/>
      <c r="K34" s="95" t="s">
        <v>25</v>
      </c>
      <c r="L34" s="120">
        <f>COUNTIFS(Feuil2!R:R,"*Consultation IODAS*",Feuil2!C:C,"*Patricia*")</f>
        <v>0</v>
      </c>
      <c r="N34" s="97"/>
      <c r="O34" s="95" t="s">
        <v>25</v>
      </c>
      <c r="P34" s="120">
        <f>COUNTIFS(Feuil2!R:R,"*Consultation IODAS*",Feuil2!C:C,"*Christelle*")</f>
        <v>1</v>
      </c>
    </row>
    <row r="35" spans="1:16" x14ac:dyDescent="0.3">
      <c r="B35" s="97"/>
      <c r="C35" s="95" t="s">
        <v>104</v>
      </c>
      <c r="D35" s="120">
        <f>COUNTIFS(Feuil2!R:R,"*Mail ou prise de RDV MDPH*",Feuil2!C:C,"*Nordine*")</f>
        <v>0</v>
      </c>
      <c r="F35" s="97"/>
      <c r="G35" s="95" t="s">
        <v>104</v>
      </c>
      <c r="H35" s="120">
        <f>COUNTIFS(Feuil2!R:R,"*Mail ou prise de RDV MDPH*",Feuil2!C:C,"*Fabienne*")</f>
        <v>0</v>
      </c>
      <c r="J35" s="97"/>
      <c r="K35" s="95" t="s">
        <v>104</v>
      </c>
      <c r="L35" s="120">
        <f>COUNTIFS(Feuil2!R:R,"*Mail ou prise de RDV MDPH*",Feuil2!C:C,"*Patricia*")</f>
        <v>0</v>
      </c>
      <c r="N35" s="97"/>
      <c r="O35" s="95" t="s">
        <v>104</v>
      </c>
      <c r="P35" s="120">
        <f>COUNTIFS(Feuil2!R:R,"*Mail ou prise de RDV MDPH*",Feuil2!C:C,"*Christelle*")</f>
        <v>1</v>
      </c>
    </row>
    <row r="36" spans="1:16" x14ac:dyDescent="0.3">
      <c r="B36" s="97"/>
      <c r="C36" s="96" t="s">
        <v>105</v>
      </c>
      <c r="D36" s="120">
        <f>COUNTIFS(Feuil2!R:R,"*Mise à disposition du service*",Feuil2!C:C,"*Nordine*")</f>
        <v>0</v>
      </c>
      <c r="F36" s="97"/>
      <c r="G36" s="96" t="s">
        <v>105</v>
      </c>
      <c r="H36" s="120">
        <f>COUNTIFS(Feuil2!R:R,"*Mise à disposition du service*",Feuil2!C:C,"*Fabienne*")</f>
        <v>0</v>
      </c>
      <c r="J36" s="97"/>
      <c r="K36" s="96" t="s">
        <v>105</v>
      </c>
      <c r="L36" s="120">
        <f>COUNTIFS(Feuil2!R:R,"*Mise à disposition du service*",Feuil2!C:C,"*Patricia*")</f>
        <v>0</v>
      </c>
      <c r="N36" s="97"/>
      <c r="O36" s="96" t="s">
        <v>105</v>
      </c>
      <c r="P36" s="120">
        <f>COUNTIFS(Feuil2!R:R,"*Mise à disposition du service*",Feuil2!C:C,"*Christelle*")</f>
        <v>0</v>
      </c>
    </row>
    <row r="37" spans="1:16" ht="28.8" x14ac:dyDescent="0.3">
      <c r="A37" s="124" t="s">
        <v>193</v>
      </c>
      <c r="B37" s="97"/>
      <c r="C37" s="95" t="s">
        <v>94</v>
      </c>
      <c r="D37" s="120">
        <f>COUNTIFS(Feuil2!R:R,"*Autre PA_PH*",Feuil2!C:C,"*Nordine*")</f>
        <v>0</v>
      </c>
      <c r="F37" s="97"/>
      <c r="G37" s="95" t="s">
        <v>94</v>
      </c>
      <c r="H37" s="120">
        <f>COUNTIFS(Feuil2!R:R,"*Autre PA_PH*",Feuil2!C:C,"*Fabienne*")</f>
        <v>0</v>
      </c>
      <c r="J37" s="97"/>
      <c r="K37" s="95" t="s">
        <v>94</v>
      </c>
      <c r="L37" s="120">
        <f>COUNTIFS(Feuil2!R:R,"*Autre PA_PH*",Feuil2!C:C,"*Patricia*")</f>
        <v>0</v>
      </c>
      <c r="N37" s="97"/>
      <c r="O37" s="95" t="s">
        <v>94</v>
      </c>
      <c r="P37" s="120">
        <f>COUNTIFS(Feuil2!Z:Z,"*Autre PA_PH*",Feuil2!K:K,"*Fabienne*")</f>
        <v>0</v>
      </c>
    </row>
    <row r="38" spans="1:16" ht="23.4" x14ac:dyDescent="0.45">
      <c r="A38" s="123">
        <f>D38+H38+L38+P38</f>
        <v>11</v>
      </c>
      <c r="B38" s="97"/>
      <c r="C38" s="98" t="s">
        <v>106</v>
      </c>
      <c r="D38" s="121">
        <f>SUM(D27:D37)</f>
        <v>0</v>
      </c>
      <c r="F38" s="97"/>
      <c r="G38" s="98" t="s">
        <v>106</v>
      </c>
      <c r="H38" s="121">
        <f>SUM(H27:H37)</f>
        <v>3</v>
      </c>
      <c r="J38" s="97"/>
      <c r="K38" s="98" t="s">
        <v>106</v>
      </c>
      <c r="L38" s="121">
        <f>SUM(L27:L37)</f>
        <v>2</v>
      </c>
      <c r="N38" s="97"/>
      <c r="O38" s="98" t="s">
        <v>106</v>
      </c>
      <c r="P38" s="121">
        <f>SUM(P27:P37)</f>
        <v>6</v>
      </c>
    </row>
    <row r="41" spans="1:16" x14ac:dyDescent="0.3">
      <c r="C41" s="34" t="s">
        <v>181</v>
      </c>
      <c r="D41" s="122">
        <f>D38+D26+D20+D12</f>
        <v>8</v>
      </c>
      <c r="G41" s="34" t="s">
        <v>181</v>
      </c>
      <c r="H41" s="122">
        <f>H38+H26+H20+H12</f>
        <v>7</v>
      </c>
      <c r="K41" t="s">
        <v>181</v>
      </c>
      <c r="L41">
        <f>L38+L26+L20+L12</f>
        <v>5</v>
      </c>
      <c r="O41" s="105" t="s">
        <v>181</v>
      </c>
      <c r="P41">
        <f>P38+P26+P20+P12</f>
        <v>10</v>
      </c>
    </row>
    <row r="45" spans="1:16" x14ac:dyDescent="0.3">
      <c r="B45" s="103" t="s">
        <v>171</v>
      </c>
      <c r="C45" s="106" t="s">
        <v>172</v>
      </c>
      <c r="D45"/>
      <c r="F45" s="103" t="s">
        <v>177</v>
      </c>
      <c r="G45" s="103" t="s">
        <v>178</v>
      </c>
      <c r="K45" s="105"/>
    </row>
    <row r="46" spans="1:16" x14ac:dyDescent="0.3">
      <c r="B46" s="104" t="s">
        <v>52</v>
      </c>
      <c r="C46" s="106">
        <v>2</v>
      </c>
      <c r="D46"/>
      <c r="G46" t="s">
        <v>173</v>
      </c>
      <c r="H46" t="s">
        <v>174</v>
      </c>
      <c r="I46" t="s">
        <v>175</v>
      </c>
      <c r="J46" t="s">
        <v>176</v>
      </c>
      <c r="K46" s="105" t="s">
        <v>170</v>
      </c>
    </row>
    <row r="47" spans="1:16" x14ac:dyDescent="0.3">
      <c r="B47" s="104" t="s">
        <v>30</v>
      </c>
      <c r="C47" s="106">
        <v>5</v>
      </c>
      <c r="D47"/>
      <c r="K47" s="105"/>
    </row>
    <row r="48" spans="1:16" x14ac:dyDescent="0.3">
      <c r="B48" s="104" t="s">
        <v>36</v>
      </c>
      <c r="C48" s="106">
        <v>5</v>
      </c>
      <c r="D48"/>
      <c r="F48" s="103" t="s">
        <v>171</v>
      </c>
      <c r="K48" s="105"/>
    </row>
    <row r="49" spans="2:11" x14ac:dyDescent="0.3">
      <c r="B49" s="104" t="s">
        <v>42</v>
      </c>
      <c r="C49" s="106">
        <v>4</v>
      </c>
      <c r="D49"/>
      <c r="F49" s="104" t="s">
        <v>52</v>
      </c>
      <c r="J49">
        <v>2</v>
      </c>
      <c r="K49" s="105">
        <v>2</v>
      </c>
    </row>
    <row r="50" spans="2:11" x14ac:dyDescent="0.3">
      <c r="B50" s="104" t="s">
        <v>46</v>
      </c>
      <c r="C50" s="106">
        <v>3</v>
      </c>
      <c r="D50"/>
      <c r="F50" s="104" t="s">
        <v>30</v>
      </c>
      <c r="H50">
        <v>3</v>
      </c>
      <c r="I50">
        <v>1</v>
      </c>
      <c r="J50">
        <v>1</v>
      </c>
      <c r="K50" s="105">
        <v>5</v>
      </c>
    </row>
    <row r="51" spans="2:11" x14ac:dyDescent="0.3">
      <c r="B51" s="104" t="s">
        <v>170</v>
      </c>
      <c r="C51" s="106">
        <v>19</v>
      </c>
      <c r="D51"/>
      <c r="F51" s="104" t="s">
        <v>36</v>
      </c>
      <c r="H51">
        <v>1</v>
      </c>
      <c r="I51">
        <v>1</v>
      </c>
      <c r="J51">
        <v>3</v>
      </c>
      <c r="K51" s="105">
        <v>5</v>
      </c>
    </row>
    <row r="52" spans="2:11" x14ac:dyDescent="0.3">
      <c r="F52" s="104" t="s">
        <v>42</v>
      </c>
      <c r="H52">
        <v>1</v>
      </c>
      <c r="I52">
        <v>3</v>
      </c>
      <c r="K52" s="105">
        <v>4</v>
      </c>
    </row>
    <row r="53" spans="2:11" x14ac:dyDescent="0.3">
      <c r="F53" s="104" t="s">
        <v>46</v>
      </c>
      <c r="G53">
        <v>1</v>
      </c>
      <c r="H53">
        <v>1</v>
      </c>
      <c r="J53">
        <v>1</v>
      </c>
      <c r="K53" s="105">
        <v>3</v>
      </c>
    </row>
    <row r="54" spans="2:11" x14ac:dyDescent="0.3">
      <c r="F54" s="104" t="s">
        <v>170</v>
      </c>
      <c r="G54">
        <v>1</v>
      </c>
      <c r="H54">
        <v>6</v>
      </c>
      <c r="I54">
        <v>5</v>
      </c>
      <c r="J54">
        <v>7</v>
      </c>
      <c r="K54" s="105">
        <v>19</v>
      </c>
    </row>
    <row r="56" spans="2:11" x14ac:dyDescent="0.3">
      <c r="G56" s="103" t="s">
        <v>180</v>
      </c>
      <c r="H56" s="107" t="s">
        <v>179</v>
      </c>
    </row>
    <row r="57" spans="2:11" x14ac:dyDescent="0.3">
      <c r="G57" s="103" t="s">
        <v>171</v>
      </c>
      <c r="H57" t="s">
        <v>37</v>
      </c>
      <c r="I57" t="s">
        <v>31</v>
      </c>
      <c r="J57" t="s">
        <v>43</v>
      </c>
      <c r="K57" s="106" t="s">
        <v>170</v>
      </c>
    </row>
    <row r="58" spans="2:11" x14ac:dyDescent="0.3">
      <c r="G58" s="104" t="s">
        <v>32</v>
      </c>
      <c r="I58">
        <v>1</v>
      </c>
      <c r="J58">
        <v>1</v>
      </c>
      <c r="K58" s="106">
        <v>2</v>
      </c>
    </row>
    <row r="59" spans="2:11" x14ac:dyDescent="0.3">
      <c r="G59" s="104" t="s">
        <v>50</v>
      </c>
      <c r="H59">
        <v>2</v>
      </c>
      <c r="K59" s="106">
        <v>2</v>
      </c>
    </row>
    <row r="60" spans="2:11" x14ac:dyDescent="0.3">
      <c r="G60" s="104" t="s">
        <v>53</v>
      </c>
      <c r="H60">
        <v>1</v>
      </c>
      <c r="K60" s="106">
        <v>1</v>
      </c>
    </row>
    <row r="61" spans="2:11" x14ac:dyDescent="0.3">
      <c r="G61" s="104" t="s">
        <v>47</v>
      </c>
      <c r="I61">
        <v>1</v>
      </c>
      <c r="K61" s="106">
        <v>1</v>
      </c>
    </row>
    <row r="62" spans="2:11" x14ac:dyDescent="0.3">
      <c r="G62" s="104" t="s">
        <v>44</v>
      </c>
      <c r="H62">
        <v>4</v>
      </c>
      <c r="I62">
        <v>5</v>
      </c>
      <c r="J62">
        <v>1</v>
      </c>
      <c r="K62" s="106">
        <v>10</v>
      </c>
    </row>
    <row r="63" spans="2:11" x14ac:dyDescent="0.3">
      <c r="G63" s="104" t="s">
        <v>38</v>
      </c>
      <c r="H63">
        <v>1</v>
      </c>
      <c r="I63">
        <v>2</v>
      </c>
      <c r="K63" s="106">
        <v>3</v>
      </c>
    </row>
    <row r="64" spans="2:11" x14ac:dyDescent="0.3">
      <c r="G64" s="104" t="s">
        <v>170</v>
      </c>
      <c r="H64">
        <v>8</v>
      </c>
      <c r="I64">
        <v>9</v>
      </c>
      <c r="J64">
        <v>2</v>
      </c>
      <c r="K64" s="106">
        <v>19</v>
      </c>
    </row>
  </sheetData>
  <mergeCells count="4">
    <mergeCell ref="B1:D1"/>
    <mergeCell ref="F1:H1"/>
    <mergeCell ref="J1:L1"/>
    <mergeCell ref="N1:P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ED4B9BED2B17545BADD61E66908A1D7" ma:contentTypeVersion="10" ma:contentTypeDescription="Crée un document." ma:contentTypeScope="" ma:versionID="359bbf01476e492e1aaf42d453c39c8c">
  <xsd:schema xmlns:xsd="http://www.w3.org/2001/XMLSchema" xmlns:xs="http://www.w3.org/2001/XMLSchema" xmlns:p="http://schemas.microsoft.com/office/2006/metadata/properties" xmlns:ns2="0ab54e14-4f01-45cc-8ca0-b87eadd13abc" xmlns:ns3="8bc0dc42-fc8b-4925-8276-50413ded98f8" targetNamespace="http://schemas.microsoft.com/office/2006/metadata/properties" ma:root="true" ma:fieldsID="78193b29ca1d00027224935dd372b075" ns2:_="" ns3:_="">
    <xsd:import namespace="0ab54e14-4f01-45cc-8ca0-b87eadd13abc"/>
    <xsd:import namespace="8bc0dc42-fc8b-4925-8276-50413ded98f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SearchPropertie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ab54e14-4f01-45cc-8ca0-b87eadd13ab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MediaServiceSearchProperties" ma:index="1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c0dc42-fc8b-4925-8276-50413ded98f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03602D0-6C2D-45D8-8A45-369DAA3EC639}">
  <ds:schemaRefs>
    <ds:schemaRef ds:uri="http://purl.org/dc/dcmitype/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www.w3.org/XML/1998/namespace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A65B4C5B-BAD4-40FA-AD0C-D83811E3D2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65EE86B-2120-4DE1-95BF-6942F44C8E2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Listes</vt:lpstr>
      <vt:lpstr>Feuil2</vt:lpstr>
      <vt:lpstr>Feuil1</vt:lpstr>
      <vt:lpstr>AGENTS</vt:lpstr>
      <vt:lpstr>AIDE_SOCIALE_ASG_OA_SASPA</vt:lpstr>
      <vt:lpstr>ASS._DE_COORD</vt:lpstr>
      <vt:lpstr>CATEGORIE</vt:lpstr>
      <vt:lpstr>FRONT_BACK</vt:lpstr>
      <vt:lpstr>Listes</vt:lpstr>
      <vt:lpstr>Origine</vt:lpstr>
      <vt:lpstr>PA_PH</vt:lpstr>
      <vt:lpstr>Reception</vt:lpstr>
      <vt:lpstr>SAISIE_IODAS</vt:lpstr>
      <vt:lpstr>Si_ASS_de_COORD</vt:lpstr>
      <vt:lpstr>SOCIAL</vt:lpstr>
      <vt:lpstr>VRAI_FAUX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MOURON  SABRINA</dc:creator>
  <cp:lastModifiedBy>MOURON  SABRINA</cp:lastModifiedBy>
  <dcterms:created xsi:type="dcterms:W3CDTF">2024-06-20T13:10:54Z</dcterms:created>
  <dcterms:modified xsi:type="dcterms:W3CDTF">2024-07-09T07:00:13Z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0x0101002ED4B9BED2B17545BADD61E66908A1D7</vt:lpwstr>
  </property>
</Properties>
</file>