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Ulis-user-2\Dt\3 - SECTEUR FLUIDES ET ENERGIES\3-FROID\Fluides-frigorigènes\Mouvement de fluide\"/>
    </mc:Choice>
  </mc:AlternateContent>
  <xr:revisionPtr revIDLastSave="0" documentId="8_{A427B5DE-B571-4F10-AC4F-2A90F674FC4D}" xr6:coauthVersionLast="47" xr6:coauthVersionMax="47" xr10:uidLastSave="{00000000-0000-0000-0000-000000000000}"/>
  <bookViews>
    <workbookView xWindow="-28920" yWindow="-120" windowWidth="29040" windowHeight="16440" activeTab="3" xr2:uid="{00000000-000D-0000-FFFF-FFFF00000000}"/>
  </bookViews>
  <sheets>
    <sheet name="Modemploi" sheetId="8" r:id="rId1"/>
    <sheet name="Achat fluide" sheetId="7" r:id="rId2"/>
    <sheet name="Inventaire" sheetId="9" r:id="rId3"/>
    <sheet name="R404A" sheetId="10" r:id="rId4"/>
    <sheet name="R134a" sheetId="17" r:id="rId5"/>
    <sheet name="R407F" sheetId="18" r:id="rId6"/>
    <sheet name="R449A" sheetId="19" r:id="rId7"/>
    <sheet name="R410A" sheetId="21" r:id="rId8"/>
    <sheet name="CO2" sheetId="22" r:id="rId9"/>
    <sheet name="Presta" sheetId="23" r:id="rId10"/>
    <sheet name="emission CO2 ulis" sheetId="16" r:id="rId11"/>
  </sheets>
  <externalReferences>
    <externalReference r:id="rId12"/>
  </externalReferences>
  <definedNames>
    <definedName name="_xlnm._FilterDatabase" localSheetId="1" hidden="1">'Achat fluide'!$A$5:$G$29</definedName>
    <definedName name="_xlnm.Print_Area" localSheetId="1">'Achat fluide'!$A$1:$G$34</definedName>
    <definedName name="_xlnm.Print_Area" localSheetId="10">'emission CO2 ulis'!#REF!</definedName>
    <definedName name="_xlnm.Print_Area" localSheetId="2">Inventaire!$A$1:$L$35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10" l="1"/>
  <c r="N7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P8" i="10"/>
  <c r="P9" i="10"/>
  <c r="P10" i="10"/>
  <c r="P7" i="10"/>
  <c r="O8" i="10"/>
  <c r="O9" i="10"/>
  <c r="O10" i="10"/>
  <c r="O7" i="10"/>
  <c r="U14" i="7"/>
  <c r="U13" i="7"/>
  <c r="U12" i="7"/>
  <c r="U11" i="7"/>
  <c r="U10" i="7"/>
  <c r="U9" i="7"/>
  <c r="U8" i="7"/>
  <c r="U7" i="7"/>
  <c r="U6" i="7"/>
  <c r="K7" i="17"/>
  <c r="M7" i="17"/>
  <c r="D10" i="16"/>
  <c r="E10" i="16"/>
  <c r="J10" i="16"/>
  <c r="E13" i="16"/>
  <c r="J13" i="16"/>
  <c r="J9" i="16"/>
  <c r="E11" i="16"/>
  <c r="K9" i="10"/>
  <c r="L9" i="10"/>
  <c r="M9" i="10"/>
  <c r="K10" i="10"/>
  <c r="L10" i="10"/>
  <c r="M10" i="10"/>
  <c r="D9" i="16"/>
  <c r="E9" i="16"/>
  <c r="J11" i="16"/>
  <c r="E19" i="16"/>
  <c r="D14" i="16"/>
  <c r="D13" i="16"/>
  <c r="D12" i="16"/>
  <c r="D11" i="16"/>
  <c r="E3" i="10"/>
  <c r="M26" i="23"/>
  <c r="N26" i="23"/>
  <c r="O26" i="23"/>
  <c r="P26" i="23"/>
  <c r="M25" i="23"/>
  <c r="N25" i="23"/>
  <c r="O25" i="23"/>
  <c r="P25" i="23"/>
  <c r="M24" i="23"/>
  <c r="N24" i="23"/>
  <c r="O24" i="23"/>
  <c r="P24" i="23"/>
  <c r="M23" i="23"/>
  <c r="N23" i="23"/>
  <c r="O23" i="23"/>
  <c r="P23" i="23"/>
  <c r="M22" i="23"/>
  <c r="N22" i="23"/>
  <c r="O22" i="23"/>
  <c r="P22" i="23"/>
  <c r="M21" i="23"/>
  <c r="N21" i="23"/>
  <c r="O21" i="23"/>
  <c r="P21" i="23"/>
  <c r="M20" i="23"/>
  <c r="N20" i="23"/>
  <c r="O20" i="23"/>
  <c r="P20" i="23"/>
  <c r="M19" i="23"/>
  <c r="N19" i="23"/>
  <c r="O19" i="23"/>
  <c r="P19" i="23"/>
  <c r="M18" i="23"/>
  <c r="N18" i="23"/>
  <c r="O18" i="23"/>
  <c r="P18" i="23"/>
  <c r="M17" i="23"/>
  <c r="N17" i="23"/>
  <c r="O17" i="23"/>
  <c r="P17" i="23"/>
  <c r="M16" i="23"/>
  <c r="N16" i="23"/>
  <c r="O16" i="23"/>
  <c r="P16" i="23"/>
  <c r="M15" i="23"/>
  <c r="N15" i="23"/>
  <c r="O15" i="23"/>
  <c r="P15" i="23"/>
  <c r="M14" i="23"/>
  <c r="N14" i="23"/>
  <c r="O14" i="23"/>
  <c r="P14" i="23"/>
  <c r="M13" i="23"/>
  <c r="N13" i="23"/>
  <c r="O13" i="23"/>
  <c r="P13" i="23"/>
  <c r="M12" i="23"/>
  <c r="N12" i="23"/>
  <c r="O12" i="23"/>
  <c r="P12" i="23"/>
  <c r="M11" i="23"/>
  <c r="N11" i="23"/>
  <c r="O11" i="23"/>
  <c r="P11" i="23"/>
  <c r="M10" i="23"/>
  <c r="N10" i="23"/>
  <c r="O10" i="23"/>
  <c r="P10" i="23"/>
  <c r="M9" i="23"/>
  <c r="N9" i="23"/>
  <c r="O9" i="23"/>
  <c r="P9" i="23"/>
  <c r="M8" i="23"/>
  <c r="N8" i="23"/>
  <c r="O8" i="23"/>
  <c r="P8" i="23"/>
  <c r="M7" i="23"/>
  <c r="N7" i="23"/>
  <c r="O7" i="23"/>
  <c r="P7" i="23"/>
  <c r="K26" i="22"/>
  <c r="L26" i="22"/>
  <c r="M26" i="22"/>
  <c r="N26" i="22"/>
  <c r="K25" i="22"/>
  <c r="L25" i="22"/>
  <c r="M25" i="22"/>
  <c r="N25" i="22"/>
  <c r="K24" i="22"/>
  <c r="L24" i="22"/>
  <c r="M24" i="22"/>
  <c r="N24" i="22"/>
  <c r="K23" i="22"/>
  <c r="L23" i="22"/>
  <c r="M23" i="22"/>
  <c r="N23" i="22"/>
  <c r="K22" i="22"/>
  <c r="L22" i="22"/>
  <c r="M22" i="22"/>
  <c r="N22" i="22"/>
  <c r="K21" i="22"/>
  <c r="L21" i="22"/>
  <c r="M21" i="22"/>
  <c r="N21" i="22"/>
  <c r="K20" i="22"/>
  <c r="L20" i="22"/>
  <c r="M20" i="22"/>
  <c r="N20" i="22"/>
  <c r="K19" i="22"/>
  <c r="L19" i="22"/>
  <c r="M19" i="22"/>
  <c r="N19" i="22"/>
  <c r="K18" i="22"/>
  <c r="L18" i="22"/>
  <c r="M18" i="22"/>
  <c r="N18" i="22"/>
  <c r="K17" i="22"/>
  <c r="L17" i="22"/>
  <c r="M17" i="22"/>
  <c r="N17" i="22"/>
  <c r="K16" i="22"/>
  <c r="L16" i="22"/>
  <c r="M16" i="22"/>
  <c r="N16" i="22"/>
  <c r="K15" i="22"/>
  <c r="L15" i="22"/>
  <c r="M15" i="22"/>
  <c r="N15" i="22"/>
  <c r="K14" i="22"/>
  <c r="L14" i="22"/>
  <c r="M14" i="22"/>
  <c r="N14" i="22"/>
  <c r="K13" i="22"/>
  <c r="L13" i="22"/>
  <c r="M13" i="22"/>
  <c r="N13" i="22"/>
  <c r="K12" i="22"/>
  <c r="L12" i="22"/>
  <c r="M12" i="22"/>
  <c r="N12" i="22"/>
  <c r="K11" i="22"/>
  <c r="L11" i="22"/>
  <c r="M11" i="22"/>
  <c r="N11" i="22"/>
  <c r="K10" i="22"/>
  <c r="L10" i="22"/>
  <c r="M10" i="22"/>
  <c r="N10" i="22"/>
  <c r="K9" i="22"/>
  <c r="L9" i="22"/>
  <c r="M9" i="22"/>
  <c r="N9" i="22"/>
  <c r="K8" i="22"/>
  <c r="L8" i="22"/>
  <c r="M8" i="22"/>
  <c r="N8" i="22"/>
  <c r="K7" i="22"/>
  <c r="L7" i="22"/>
  <c r="M7" i="22"/>
  <c r="N7" i="22"/>
  <c r="K26" i="21"/>
  <c r="L26" i="21"/>
  <c r="M26" i="21"/>
  <c r="N26" i="21"/>
  <c r="K25" i="21"/>
  <c r="L25" i="21"/>
  <c r="M25" i="21"/>
  <c r="N25" i="21"/>
  <c r="K24" i="21"/>
  <c r="L24" i="21"/>
  <c r="M24" i="21"/>
  <c r="N24" i="21"/>
  <c r="K23" i="21"/>
  <c r="L23" i="21"/>
  <c r="M23" i="21"/>
  <c r="N23" i="21"/>
  <c r="K22" i="21"/>
  <c r="L22" i="21"/>
  <c r="M22" i="21"/>
  <c r="N22" i="21"/>
  <c r="K21" i="21"/>
  <c r="L21" i="21"/>
  <c r="M21" i="21"/>
  <c r="N21" i="21"/>
  <c r="K20" i="21"/>
  <c r="L20" i="21"/>
  <c r="M20" i="21"/>
  <c r="N20" i="21"/>
  <c r="K19" i="21"/>
  <c r="L19" i="21"/>
  <c r="M19" i="21"/>
  <c r="N19" i="21"/>
  <c r="K18" i="21"/>
  <c r="L18" i="21"/>
  <c r="M18" i="21"/>
  <c r="N18" i="21"/>
  <c r="K17" i="21"/>
  <c r="L17" i="21"/>
  <c r="M17" i="21"/>
  <c r="N17" i="21"/>
  <c r="K16" i="21"/>
  <c r="L16" i="21"/>
  <c r="M16" i="21"/>
  <c r="N16" i="21"/>
  <c r="K15" i="21"/>
  <c r="L15" i="21"/>
  <c r="M15" i="21"/>
  <c r="N15" i="21"/>
  <c r="K14" i="21"/>
  <c r="L14" i="21"/>
  <c r="M14" i="21"/>
  <c r="N14" i="21"/>
  <c r="K13" i="21"/>
  <c r="L13" i="21"/>
  <c r="M13" i="21"/>
  <c r="N13" i="21"/>
  <c r="K12" i="21"/>
  <c r="L12" i="21"/>
  <c r="M12" i="21"/>
  <c r="N12" i="21"/>
  <c r="K11" i="21"/>
  <c r="L11" i="21"/>
  <c r="M11" i="21"/>
  <c r="N11" i="21"/>
  <c r="K10" i="21"/>
  <c r="L10" i="21"/>
  <c r="M10" i="21"/>
  <c r="N10" i="21"/>
  <c r="K9" i="21"/>
  <c r="L9" i="21"/>
  <c r="M9" i="21"/>
  <c r="N9" i="21"/>
  <c r="K8" i="21"/>
  <c r="L8" i="21"/>
  <c r="M8" i="21"/>
  <c r="N8" i="21"/>
  <c r="K7" i="21"/>
  <c r="L7" i="21"/>
  <c r="M7" i="21"/>
  <c r="N7" i="21"/>
  <c r="K26" i="19"/>
  <c r="L26" i="19"/>
  <c r="M26" i="19"/>
  <c r="N26" i="19"/>
  <c r="K25" i="19"/>
  <c r="L25" i="19"/>
  <c r="M25" i="19"/>
  <c r="N25" i="19"/>
  <c r="K24" i="19"/>
  <c r="L24" i="19"/>
  <c r="M24" i="19"/>
  <c r="N24" i="19"/>
  <c r="K23" i="19"/>
  <c r="L23" i="19"/>
  <c r="M23" i="19"/>
  <c r="N23" i="19"/>
  <c r="K22" i="19"/>
  <c r="L22" i="19"/>
  <c r="M22" i="19"/>
  <c r="N22" i="19"/>
  <c r="K21" i="19"/>
  <c r="L21" i="19"/>
  <c r="M21" i="19"/>
  <c r="N21" i="19"/>
  <c r="K20" i="19"/>
  <c r="L20" i="19"/>
  <c r="M20" i="19"/>
  <c r="N20" i="19"/>
  <c r="K19" i="19"/>
  <c r="L19" i="19"/>
  <c r="M19" i="19"/>
  <c r="N19" i="19"/>
  <c r="K18" i="19"/>
  <c r="L18" i="19"/>
  <c r="M18" i="19"/>
  <c r="N18" i="19"/>
  <c r="K17" i="19"/>
  <c r="L17" i="19"/>
  <c r="M17" i="19"/>
  <c r="N17" i="19"/>
  <c r="K16" i="19"/>
  <c r="L16" i="19"/>
  <c r="M16" i="19"/>
  <c r="N16" i="19"/>
  <c r="K15" i="19"/>
  <c r="L15" i="19"/>
  <c r="M15" i="19"/>
  <c r="N15" i="19"/>
  <c r="K14" i="19"/>
  <c r="L14" i="19"/>
  <c r="M14" i="19"/>
  <c r="N14" i="19"/>
  <c r="K13" i="19"/>
  <c r="L13" i="19"/>
  <c r="M13" i="19"/>
  <c r="N13" i="19"/>
  <c r="K12" i="19"/>
  <c r="L12" i="19"/>
  <c r="M12" i="19"/>
  <c r="N12" i="19"/>
  <c r="K11" i="19"/>
  <c r="L11" i="19"/>
  <c r="M11" i="19"/>
  <c r="N11" i="19"/>
  <c r="K10" i="19"/>
  <c r="L10" i="19"/>
  <c r="M10" i="19"/>
  <c r="N10" i="19"/>
  <c r="K9" i="19"/>
  <c r="L9" i="19"/>
  <c r="M9" i="19"/>
  <c r="N9" i="19"/>
  <c r="K8" i="19"/>
  <c r="L8" i="19"/>
  <c r="M8" i="19"/>
  <c r="N8" i="19"/>
  <c r="K7" i="19"/>
  <c r="L7" i="19"/>
  <c r="M7" i="19"/>
  <c r="N7" i="19"/>
  <c r="K26" i="18"/>
  <c r="L26" i="18"/>
  <c r="M26" i="18"/>
  <c r="N26" i="18"/>
  <c r="K25" i="18"/>
  <c r="L25" i="18"/>
  <c r="M25" i="18"/>
  <c r="N25" i="18"/>
  <c r="K24" i="18"/>
  <c r="L24" i="18"/>
  <c r="M24" i="18"/>
  <c r="N24" i="18"/>
  <c r="K23" i="18"/>
  <c r="L23" i="18"/>
  <c r="M23" i="18"/>
  <c r="N23" i="18"/>
  <c r="K22" i="18"/>
  <c r="L22" i="18"/>
  <c r="M22" i="18"/>
  <c r="N22" i="18"/>
  <c r="K21" i="18"/>
  <c r="L21" i="18"/>
  <c r="M21" i="18"/>
  <c r="N21" i="18"/>
  <c r="K20" i="18"/>
  <c r="L20" i="18"/>
  <c r="M20" i="18"/>
  <c r="N20" i="18"/>
  <c r="K19" i="18"/>
  <c r="L19" i="18"/>
  <c r="M19" i="18"/>
  <c r="N19" i="18"/>
  <c r="K18" i="18"/>
  <c r="L18" i="18"/>
  <c r="M18" i="18"/>
  <c r="N18" i="18"/>
  <c r="K17" i="18"/>
  <c r="L17" i="18"/>
  <c r="M17" i="18"/>
  <c r="N17" i="18"/>
  <c r="K16" i="18"/>
  <c r="L16" i="18"/>
  <c r="M16" i="18"/>
  <c r="N16" i="18"/>
  <c r="K15" i="18"/>
  <c r="L15" i="18"/>
  <c r="M15" i="18"/>
  <c r="N15" i="18"/>
  <c r="K14" i="18"/>
  <c r="L14" i="18"/>
  <c r="M14" i="18"/>
  <c r="N14" i="18"/>
  <c r="K13" i="18"/>
  <c r="L13" i="18"/>
  <c r="M13" i="18"/>
  <c r="N13" i="18"/>
  <c r="K12" i="18"/>
  <c r="L12" i="18"/>
  <c r="M12" i="18"/>
  <c r="N12" i="18"/>
  <c r="K11" i="18"/>
  <c r="L11" i="18"/>
  <c r="M11" i="18"/>
  <c r="N11" i="18"/>
  <c r="K10" i="18"/>
  <c r="L10" i="18"/>
  <c r="M10" i="18"/>
  <c r="N10" i="18"/>
  <c r="K9" i="18"/>
  <c r="L9" i="18"/>
  <c r="M9" i="18"/>
  <c r="N9" i="18"/>
  <c r="K8" i="18"/>
  <c r="L8" i="18"/>
  <c r="M8" i="18"/>
  <c r="N8" i="18"/>
  <c r="K7" i="18"/>
  <c r="L7" i="18"/>
  <c r="M7" i="18"/>
  <c r="N7" i="18"/>
  <c r="K26" i="17"/>
  <c r="L26" i="17"/>
  <c r="M26" i="17"/>
  <c r="N26" i="17"/>
  <c r="K25" i="17"/>
  <c r="L25" i="17"/>
  <c r="M25" i="17"/>
  <c r="N25" i="17"/>
  <c r="K24" i="17"/>
  <c r="L24" i="17"/>
  <c r="M24" i="17"/>
  <c r="N24" i="17"/>
  <c r="K23" i="17"/>
  <c r="L23" i="17"/>
  <c r="M23" i="17"/>
  <c r="N23" i="17"/>
  <c r="K22" i="17"/>
  <c r="L22" i="17"/>
  <c r="M22" i="17"/>
  <c r="N22" i="17"/>
  <c r="K21" i="17"/>
  <c r="L21" i="17"/>
  <c r="M21" i="17"/>
  <c r="N21" i="17"/>
  <c r="K20" i="17"/>
  <c r="L20" i="17"/>
  <c r="M20" i="17"/>
  <c r="N20" i="17"/>
  <c r="K19" i="17"/>
  <c r="L19" i="17"/>
  <c r="M19" i="17"/>
  <c r="N19" i="17"/>
  <c r="K18" i="17"/>
  <c r="L18" i="17"/>
  <c r="M18" i="17"/>
  <c r="N18" i="17"/>
  <c r="K17" i="17"/>
  <c r="L17" i="17"/>
  <c r="M17" i="17"/>
  <c r="N17" i="17"/>
  <c r="K16" i="17"/>
  <c r="L16" i="17"/>
  <c r="M16" i="17"/>
  <c r="N16" i="17"/>
  <c r="K15" i="17"/>
  <c r="L15" i="17"/>
  <c r="M15" i="17"/>
  <c r="N15" i="17"/>
  <c r="K14" i="17"/>
  <c r="L14" i="17"/>
  <c r="M14" i="17"/>
  <c r="N14" i="17"/>
  <c r="K13" i="17"/>
  <c r="L13" i="17"/>
  <c r="M13" i="17"/>
  <c r="N13" i="17"/>
  <c r="K12" i="17"/>
  <c r="L12" i="17"/>
  <c r="M12" i="17"/>
  <c r="N12" i="17"/>
  <c r="K11" i="17"/>
  <c r="L11" i="17"/>
  <c r="M11" i="17"/>
  <c r="N11" i="17"/>
  <c r="K10" i="17"/>
  <c r="L10" i="17"/>
  <c r="M10" i="17"/>
  <c r="N10" i="17"/>
  <c r="K9" i="17"/>
  <c r="L9" i="17"/>
  <c r="M9" i="17"/>
  <c r="N9" i="17"/>
  <c r="K8" i="17"/>
  <c r="L8" i="17"/>
  <c r="M8" i="17"/>
  <c r="N8" i="17"/>
  <c r="L7" i="17"/>
  <c r="N7" i="17"/>
  <c r="K8" i="10"/>
  <c r="L8" i="10"/>
  <c r="M8" i="10"/>
  <c r="K11" i="10"/>
  <c r="L11" i="10"/>
  <c r="M11" i="10"/>
  <c r="K12" i="10"/>
  <c r="L12" i="10"/>
  <c r="M12" i="10"/>
  <c r="K13" i="10"/>
  <c r="L13" i="10"/>
  <c r="M13" i="10"/>
  <c r="K14" i="10"/>
  <c r="L14" i="10"/>
  <c r="M14" i="10"/>
  <c r="K15" i="10"/>
  <c r="L15" i="10"/>
  <c r="M15" i="10"/>
  <c r="K16" i="10"/>
  <c r="L16" i="10"/>
  <c r="M16" i="10"/>
  <c r="K17" i="10"/>
  <c r="L17" i="10"/>
  <c r="M17" i="10"/>
  <c r="K18" i="10"/>
  <c r="L18" i="10"/>
  <c r="M18" i="10"/>
  <c r="K19" i="10"/>
  <c r="L19" i="10"/>
  <c r="M19" i="10"/>
  <c r="K20" i="10"/>
  <c r="L20" i="10"/>
  <c r="M20" i="10"/>
  <c r="K21" i="10"/>
  <c r="L21" i="10"/>
  <c r="M21" i="10"/>
  <c r="K22" i="10"/>
  <c r="L22" i="10"/>
  <c r="M22" i="10"/>
  <c r="K23" i="10"/>
  <c r="L23" i="10"/>
  <c r="M23" i="10"/>
  <c r="K24" i="10"/>
  <c r="L24" i="10"/>
  <c r="M24" i="10"/>
  <c r="K25" i="10"/>
  <c r="L25" i="10"/>
  <c r="M25" i="10"/>
  <c r="K26" i="10"/>
  <c r="L26" i="10"/>
  <c r="M26" i="10"/>
  <c r="K7" i="10"/>
  <c r="L7" i="10"/>
  <c r="M7" i="10"/>
  <c r="I10" i="16"/>
  <c r="I11" i="16"/>
  <c r="I12" i="16"/>
  <c r="I13" i="16"/>
  <c r="I14" i="16"/>
  <c r="I9" i="16"/>
  <c r="D12" i="9"/>
  <c r="D13" i="9"/>
  <c r="D14" i="9"/>
  <c r="D15" i="9"/>
  <c r="D8" i="9"/>
  <c r="D9" i="9"/>
  <c r="J14" i="16"/>
  <c r="J12" i="16"/>
  <c r="E14" i="16"/>
  <c r="E12" i="16"/>
  <c r="H4" i="22"/>
  <c r="K2" i="22"/>
  <c r="L10" i="9"/>
  <c r="K2" i="19"/>
  <c r="K10" i="9"/>
  <c r="K2" i="21"/>
  <c r="J10" i="9"/>
  <c r="K2" i="18"/>
  <c r="I10" i="9"/>
  <c r="K2" i="17"/>
  <c r="G10" i="9"/>
  <c r="K3" i="22"/>
  <c r="K4" i="22"/>
  <c r="E3" i="22"/>
  <c r="K1" i="22"/>
  <c r="H4" i="21"/>
  <c r="K3" i="21"/>
  <c r="K4" i="21"/>
  <c r="E3" i="21"/>
  <c r="K1" i="21"/>
  <c r="H4" i="19"/>
  <c r="K3" i="19"/>
  <c r="K4" i="19"/>
  <c r="E3" i="19"/>
  <c r="K1" i="19"/>
  <c r="H4" i="18"/>
  <c r="K3" i="18"/>
  <c r="K4" i="18"/>
  <c r="E3" i="18"/>
  <c r="K1" i="18"/>
  <c r="H4" i="17"/>
  <c r="K3" i="17"/>
  <c r="K4" i="17"/>
  <c r="E3" i="17"/>
  <c r="K1" i="17"/>
  <c r="H18" i="9"/>
  <c r="I18" i="9"/>
  <c r="J18" i="9"/>
  <c r="G18" i="9"/>
  <c r="G20" i="9"/>
  <c r="H20" i="9"/>
  <c r="I20" i="9"/>
  <c r="J20" i="9"/>
  <c r="G21" i="9"/>
  <c r="H21" i="9"/>
  <c r="I21" i="9"/>
  <c r="J21" i="9"/>
  <c r="G22" i="9"/>
  <c r="H22" i="9"/>
  <c r="I22" i="9"/>
  <c r="J22" i="9"/>
  <c r="G23" i="9"/>
  <c r="H23" i="9"/>
  <c r="I23" i="9"/>
  <c r="J23" i="9"/>
  <c r="G24" i="9"/>
  <c r="H24" i="9"/>
  <c r="I24" i="9"/>
  <c r="J24" i="9"/>
  <c r="H19" i="9"/>
  <c r="I19" i="9"/>
  <c r="J19" i="9"/>
  <c r="G19" i="9"/>
  <c r="D26" i="9"/>
  <c r="D27" i="9"/>
  <c r="D28" i="9"/>
  <c r="D29" i="9"/>
  <c r="D30" i="9"/>
  <c r="D31" i="9"/>
  <c r="D32" i="9"/>
  <c r="D33" i="9"/>
  <c r="D34" i="9"/>
  <c r="D35" i="9"/>
  <c r="G8" i="7"/>
  <c r="H4" i="10"/>
  <c r="K2" i="10"/>
  <c r="G9" i="7"/>
  <c r="D10" i="9"/>
  <c r="I6" i="9"/>
  <c r="I15" i="9"/>
  <c r="J6" i="9"/>
  <c r="J15" i="9"/>
  <c r="D11" i="9"/>
  <c r="L6" i="9"/>
  <c r="L15" i="9"/>
  <c r="D6" i="9"/>
  <c r="D7" i="9"/>
  <c r="G6" i="7"/>
  <c r="G7" i="7"/>
  <c r="H6" i="9"/>
  <c r="H15" i="9"/>
  <c r="K6" i="9"/>
  <c r="K15" i="9"/>
  <c r="D16" i="9"/>
  <c r="D17" i="9"/>
  <c r="D18" i="9"/>
  <c r="D19" i="9"/>
  <c r="D20" i="9"/>
  <c r="D21" i="9"/>
  <c r="D22" i="9"/>
  <c r="D23" i="9"/>
  <c r="D24" i="9"/>
  <c r="D25" i="9"/>
  <c r="K3" i="10"/>
  <c r="K1" i="10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6" i="9"/>
  <c r="G15" i="9"/>
  <c r="K14" i="9"/>
  <c r="K16" i="9"/>
  <c r="I14" i="9"/>
  <c r="I16" i="9"/>
  <c r="L14" i="9"/>
  <c r="L16" i="9"/>
  <c r="H10" i="9"/>
  <c r="H14" i="9"/>
  <c r="H16" i="9"/>
  <c r="K4" i="10"/>
  <c r="J14" i="9"/>
  <c r="J16" i="9"/>
  <c r="G14" i="9"/>
  <c r="G16" i="9"/>
</calcChain>
</file>

<file path=xl/sharedStrings.xml><?xml version="1.0" encoding="utf-8"?>
<sst xmlns="http://schemas.openxmlformats.org/spreadsheetml/2006/main" count="331" uniqueCount="117">
  <si>
    <t>N° intervention</t>
  </si>
  <si>
    <t>Date</t>
  </si>
  <si>
    <t>Type d'intervention</t>
  </si>
  <si>
    <t>Tableau de suivi des Stocks du fluide:</t>
  </si>
  <si>
    <t>Total:</t>
  </si>
  <si>
    <t>Equipement</t>
  </si>
  <si>
    <t>OT</t>
  </si>
  <si>
    <t>R410A</t>
  </si>
  <si>
    <t>R407F</t>
  </si>
  <si>
    <t xml:space="preserve">Date achat </t>
  </si>
  <si>
    <t>n° de commande</t>
  </si>
  <si>
    <t>Fluide</t>
  </si>
  <si>
    <t>Nombre de bouteille</t>
  </si>
  <si>
    <t>ACHATS</t>
  </si>
  <si>
    <t>R134a</t>
  </si>
  <si>
    <t>CO2</t>
  </si>
  <si>
    <t>R404a</t>
  </si>
  <si>
    <t>quantité unitaire (kg)</t>
  </si>
  <si>
    <t>Total (kg)</t>
  </si>
  <si>
    <t>Année</t>
  </si>
  <si>
    <t>Stock final de fluide recyclé:</t>
  </si>
  <si>
    <t xml:space="preserve">Onglet Achat Fluide </t>
  </si>
  <si>
    <t>Remplir tous les achats de fluide de l'année. Quantité en fonction du bon de livraison.</t>
  </si>
  <si>
    <t>Le poids des bouteilles peut legerement varier à la reception +/-1,5kg suivant la tare etc… donc ne pas prendre en compte</t>
  </si>
  <si>
    <t>Onglet Fluide</t>
  </si>
  <si>
    <t>notice Cerfa_52064#02.pdf</t>
  </si>
  <si>
    <t>Pour que la compréhension soit commune :</t>
  </si>
  <si>
    <t>A</t>
  </si>
  <si>
    <t>B</t>
  </si>
  <si>
    <t>C</t>
  </si>
  <si>
    <t>D</t>
  </si>
  <si>
    <t>E</t>
  </si>
  <si>
    <t>Fluide régénéré rempli dans l'installation (on parle de fluide régénéré et redistribué par un fournisseur, comme le R404aR)</t>
  </si>
  <si>
    <t>Fluide récupéré et destiné au traitement, attention, la partie BSDFF doit etre remplie sur le cerfa.</t>
  </si>
  <si>
    <t>Remplir les champs A,B,.. Suivant les champs du Cerfa.</t>
  </si>
  <si>
    <t>Fluide récupéré (reintroduit ou stocké)</t>
  </si>
  <si>
    <t>Fluide vierge rempli</t>
  </si>
  <si>
    <t xml:space="preserve">Fluide récupéré reintroduit </t>
  </si>
  <si>
    <r>
      <rPr>
        <b/>
        <sz val="11"/>
        <color theme="1"/>
        <rFont val="Calibri"/>
        <family val="2"/>
        <scheme val="minor"/>
      </rPr>
      <t xml:space="preserve">
C
</t>
    </r>
    <r>
      <rPr>
        <sz val="11"/>
        <color theme="1"/>
        <rFont val="Calibri"/>
        <family val="2"/>
        <scheme val="minor"/>
      </rPr>
      <t xml:space="preserve">
Fluide régénéré</t>
    </r>
  </si>
  <si>
    <r>
      <rPr>
        <b/>
        <sz val="11"/>
        <color theme="1"/>
        <rFont val="Calibri"/>
        <family val="2"/>
        <scheme val="minor"/>
      </rPr>
      <t xml:space="preserve">
B
</t>
    </r>
    <r>
      <rPr>
        <sz val="11"/>
        <color theme="1"/>
        <rFont val="Calibri"/>
        <family val="2"/>
        <scheme val="minor"/>
      </rPr>
      <t xml:space="preserve">
Fluide récupéré réintroduit</t>
    </r>
  </si>
  <si>
    <t xml:space="preserve">
A
Fluide
vierge</t>
  </si>
  <si>
    <r>
      <rPr>
        <b/>
        <sz val="11"/>
        <color theme="1"/>
        <rFont val="Calibri"/>
        <family val="2"/>
        <scheme val="minor"/>
      </rPr>
      <t xml:space="preserve">
D
</t>
    </r>
    <r>
      <rPr>
        <sz val="11"/>
        <color theme="1"/>
        <rFont val="Calibri"/>
        <family val="2"/>
        <scheme val="minor"/>
      </rPr>
      <t xml:space="preserve">
Récupéré destiné au traitement</t>
    </r>
  </si>
  <si>
    <r>
      <t xml:space="preserve">
E
</t>
    </r>
    <r>
      <rPr>
        <sz val="11"/>
        <color theme="1"/>
        <rFont val="Calibri"/>
        <family val="2"/>
        <scheme val="minor"/>
      </rPr>
      <t>Récupéré pour recyclage ou réintroduction</t>
    </r>
  </si>
  <si>
    <t>Stock final de fluide neuf</t>
  </si>
  <si>
    <t>Quantité retournée :</t>
  </si>
  <si>
    <t>Stock initial de fluide neuf :</t>
  </si>
  <si>
    <t>Fluide cédé :</t>
  </si>
  <si>
    <t>Fluide acheté :</t>
  </si>
  <si>
    <t>Stock initial de fluide recyclé :</t>
  </si>
  <si>
    <t>Tableau de suivi fluide:</t>
  </si>
  <si>
    <t>Stocks local gaz</t>
  </si>
  <si>
    <t>Poids des bouteilles Calorie</t>
  </si>
  <si>
    <t>62 L</t>
  </si>
  <si>
    <t>27 L</t>
  </si>
  <si>
    <t>12 L</t>
  </si>
  <si>
    <t>R449A</t>
  </si>
  <si>
    <t>Total inventaire :</t>
  </si>
  <si>
    <t>Total théorique (suivant feuilles d'interventions) :</t>
  </si>
  <si>
    <t>Ecart :</t>
  </si>
  <si>
    <t>Onglet Inventaire</t>
  </si>
  <si>
    <t>Rempli</t>
  </si>
  <si>
    <t>Récupéré</t>
  </si>
  <si>
    <t>total inventaire : la somme de chaque fluide s'inscrit dans la case</t>
  </si>
  <si>
    <t>Total théorique (suivant feuilles d'interventions) : Calcul = stock initial + acheté dans l'année - feuille d'intervention</t>
  </si>
  <si>
    <t>Ecart : la différence entre le stock réel du local B13 et le stock thérorique calculé doit etre inferieur à 2% =&gt; si case rouge, écart trop imporant. La couleur est reportée dans l'onglet fluide au niveau de la case stock final de fluide neuf.</t>
  </si>
  <si>
    <t>Inventaire à l'instant T. Compte des bouteilles et poids en stock dans le local du B13</t>
  </si>
  <si>
    <t>Si la case stock final de fluide neuf est rouge, c'est que l'inventaire n'est pas bon, si l'inventaire est bon, le remplissage des cases du cerfa n'est pas bon.</t>
  </si>
  <si>
    <t>A ne pas déclarer dans fluido</t>
  </si>
  <si>
    <t>Presta</t>
  </si>
  <si>
    <t>Total chargé
A+B+C</t>
  </si>
  <si>
    <t>Total Récupéré
D+E</t>
  </si>
  <si>
    <t>T Eq CO2</t>
  </si>
  <si>
    <t>Kg CO2</t>
  </si>
  <si>
    <t>T CO2 émis</t>
  </si>
  <si>
    <t>Prestataire</t>
  </si>
  <si>
    <t>Teq CO2 :</t>
  </si>
  <si>
    <t>Fluide frigorigene</t>
  </si>
  <si>
    <t>Tableau de suivi des interventions sous traitées 2024</t>
  </si>
  <si>
    <t>Fuite
Tot Chargé-Tot Recup</t>
  </si>
  <si>
    <t>RF11</t>
  </si>
  <si>
    <t>LFB</t>
  </si>
  <si>
    <t>quantité perdue 2024</t>
  </si>
  <si>
    <t>GWP</t>
  </si>
  <si>
    <t>Émission CO2 Les Ulis 2024</t>
  </si>
  <si>
    <t>Réparation 3 fuites identifiées pdt contrôle trimestriel</t>
  </si>
  <si>
    <t>RF10</t>
  </si>
  <si>
    <t>Isolation fuite evaporateur CF 1255 RF10EVA05</t>
  </si>
  <si>
    <t>RF67</t>
  </si>
  <si>
    <t>Fuite sur shrader collecteur BP</t>
  </si>
  <si>
    <r>
      <t>Teq</t>
    </r>
    <r>
      <rPr>
        <vertAlign val="subscript"/>
        <sz val="11"/>
        <color theme="1"/>
        <rFont val="Calibri"/>
        <family val="2"/>
        <scheme val="minor"/>
      </rPr>
      <t>CO2</t>
    </r>
  </si>
  <si>
    <r>
      <t>Total Teq</t>
    </r>
    <r>
      <rPr>
        <vertAlign val="subscript"/>
        <sz val="11"/>
        <color theme="1"/>
        <rFont val="Calibri"/>
        <family val="2"/>
        <scheme val="minor"/>
      </rPr>
      <t xml:space="preserve">CO2 </t>
    </r>
    <r>
      <rPr>
        <sz val="11"/>
        <color theme="1"/>
        <rFont val="Calibri"/>
        <family val="2"/>
        <scheme val="minor"/>
      </rPr>
      <t xml:space="preserve"> emis site les Ulis   =</t>
    </r>
  </si>
  <si>
    <t>Remplacement raccord HP CP2</t>
  </si>
  <si>
    <t>RF66</t>
  </si>
  <si>
    <t>Réparation fuite VAM SOUPAPE HP</t>
  </si>
  <si>
    <t>RF12</t>
  </si>
  <si>
    <t>Réparation fuite identifiée pendant contrôle réglementaire</t>
  </si>
  <si>
    <t>BAT</t>
  </si>
  <si>
    <t>Equipements</t>
  </si>
  <si>
    <t>Dessert</t>
  </si>
  <si>
    <t>Type de fluide</t>
  </si>
  <si>
    <t>Quantité (kg)</t>
  </si>
  <si>
    <t>T EQ cO2</t>
  </si>
  <si>
    <t>B1</t>
  </si>
  <si>
    <t>CF +4 Bt1 et Pharmacothèque</t>
  </si>
  <si>
    <t>R404A</t>
  </si>
  <si>
    <t>B11</t>
  </si>
  <si>
    <t>CF-40°C MGP</t>
  </si>
  <si>
    <t>RF13</t>
  </si>
  <si>
    <t>RF14</t>
  </si>
  <si>
    <t>RF15</t>
  </si>
  <si>
    <t>CF+4°C MGP</t>
  </si>
  <si>
    <t>RF03</t>
  </si>
  <si>
    <t>CF décongélation et CF -8° C</t>
  </si>
  <si>
    <t>B8</t>
  </si>
  <si>
    <t>RF22/23</t>
  </si>
  <si>
    <t>GW1/2</t>
  </si>
  <si>
    <t>RF24/25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</si>
</sst>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8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ck">
        <color indexed="64"/>
      </right>
      <top style="thick">
        <color indexed="64"/>
      </top>
      <bottom style="thin">
        <color theme="0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indexed="64"/>
      </right>
      <top style="thin">
        <color theme="0"/>
      </top>
      <bottom style="thin">
        <color theme="0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ck">
        <color indexed="64"/>
      </right>
      <top style="thin">
        <color theme="0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top" wrapText="1"/>
    </xf>
    <xf numFmtId="0" fontId="3" fillId="9" borderId="21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6" fillId="0" borderId="0" xfId="1" applyAlignment="1">
      <alignment horizontal="left" vertical="center"/>
    </xf>
    <xf numFmtId="0" fontId="0" fillId="6" borderId="27" xfId="0" applyFill="1" applyBorder="1" applyAlignment="1">
      <alignment vertical="center" wrapText="1"/>
    </xf>
    <xf numFmtId="0" fontId="0" fillId="6" borderId="28" xfId="0" applyFill="1" applyBorder="1" applyAlignment="1">
      <alignment vertical="center" wrapText="1"/>
    </xf>
    <xf numFmtId="0" fontId="0" fillId="6" borderId="14" xfId="0" applyFill="1" applyBorder="1" applyAlignment="1">
      <alignment vertical="center"/>
    </xf>
    <xf numFmtId="0" fontId="0" fillId="6" borderId="15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0" fillId="3" borderId="26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1" fillId="2" borderId="30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7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3" fillId="3" borderId="33" xfId="0" applyFont="1" applyFill="1" applyBorder="1" applyAlignment="1">
      <alignment vertical="center"/>
    </xf>
    <xf numFmtId="0" fontId="3" fillId="12" borderId="0" xfId="0" applyFont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7" fillId="11" borderId="25" xfId="0" applyFont="1" applyFill="1" applyBorder="1" applyAlignment="1" applyProtection="1">
      <alignment horizontal="center" vertical="center"/>
      <protection locked="0"/>
    </xf>
    <xf numFmtId="0" fontId="7" fillId="11" borderId="15" xfId="0" applyFont="1" applyFill="1" applyBorder="1" applyAlignment="1" applyProtection="1">
      <alignment horizontal="center" vertical="center"/>
      <protection locked="0"/>
    </xf>
    <xf numFmtId="0" fontId="0" fillId="11" borderId="30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top" wrapText="1"/>
    </xf>
    <xf numFmtId="0" fontId="0" fillId="9" borderId="17" xfId="0" applyFill="1" applyBorder="1" applyAlignment="1">
      <alignment horizontal="center" vertical="top" wrapText="1"/>
    </xf>
    <xf numFmtId="0" fontId="3" fillId="14" borderId="18" xfId="0" applyFont="1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0" fillId="3" borderId="31" xfId="0" applyFill="1" applyBorder="1" applyAlignment="1">
      <alignment horizontal="right" vertical="center"/>
    </xf>
    <xf numFmtId="0" fontId="0" fillId="8" borderId="14" xfId="0" applyFill="1" applyBorder="1" applyAlignment="1">
      <alignment horizontal="right" vertical="center"/>
    </xf>
    <xf numFmtId="0" fontId="13" fillId="6" borderId="25" xfId="0" applyFont="1" applyFill="1" applyBorder="1" applyAlignment="1" applyProtection="1">
      <alignment horizontal="center" vertical="center"/>
      <protection locked="0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13" borderId="52" xfId="0" applyFont="1" applyFill="1" applyBorder="1" applyAlignment="1">
      <alignment horizontal="center" vertical="center"/>
    </xf>
    <xf numFmtId="0" fontId="4" fillId="13" borderId="40" xfId="0" applyFont="1" applyFill="1" applyBorder="1" applyAlignment="1">
      <alignment horizontal="center" vertical="center"/>
    </xf>
    <xf numFmtId="0" fontId="4" fillId="13" borderId="53" xfId="0" applyFont="1" applyFill="1" applyBorder="1" applyAlignment="1">
      <alignment horizontal="center" vertical="center"/>
    </xf>
    <xf numFmtId="0" fontId="4" fillId="13" borderId="52" xfId="0" applyFont="1" applyFill="1" applyBorder="1" applyAlignment="1">
      <alignment horizontal="center" vertical="center"/>
    </xf>
    <xf numFmtId="0" fontId="9" fillId="13" borderId="40" xfId="0" applyFont="1" applyFill="1" applyBorder="1" applyAlignment="1">
      <alignment horizontal="center" vertical="center"/>
    </xf>
    <xf numFmtId="0" fontId="9" fillId="13" borderId="53" xfId="0" applyFont="1" applyFill="1" applyBorder="1" applyAlignment="1">
      <alignment horizontal="center" vertical="center"/>
    </xf>
    <xf numFmtId="0" fontId="4" fillId="13" borderId="54" xfId="0" applyFont="1" applyFill="1" applyBorder="1" applyAlignment="1">
      <alignment horizontal="center" vertical="center"/>
    </xf>
    <xf numFmtId="0" fontId="9" fillId="13" borderId="55" xfId="0" applyFont="1" applyFill="1" applyBorder="1" applyAlignment="1">
      <alignment horizontal="center" vertical="center"/>
    </xf>
    <xf numFmtId="0" fontId="9" fillId="13" borderId="5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4" fillId="10" borderId="39" xfId="0" applyFont="1" applyFill="1" applyBorder="1"/>
    <xf numFmtId="0" fontId="4" fillId="10" borderId="40" xfId="0" applyFont="1" applyFill="1" applyBorder="1" applyAlignment="1">
      <alignment horizontal="center" vertical="center"/>
    </xf>
    <xf numFmtId="0" fontId="4" fillId="10" borderId="41" xfId="0" applyFont="1" applyFill="1" applyBorder="1" applyAlignment="1">
      <alignment horizontal="center" vertical="center"/>
    </xf>
    <xf numFmtId="0" fontId="9" fillId="10" borderId="40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4" fillId="10" borderId="42" xfId="0" applyFont="1" applyFill="1" applyBorder="1"/>
    <xf numFmtId="0" fontId="9" fillId="10" borderId="43" xfId="0" applyFont="1" applyFill="1" applyBorder="1" applyAlignment="1">
      <alignment horizontal="center" vertical="center"/>
    </xf>
    <xf numFmtId="0" fontId="9" fillId="10" borderId="44" xfId="0" applyFont="1" applyFill="1" applyBorder="1" applyAlignment="1">
      <alignment horizontal="center" vertical="center"/>
    </xf>
    <xf numFmtId="0" fontId="4" fillId="10" borderId="52" xfId="0" applyFont="1" applyFill="1" applyBorder="1"/>
    <xf numFmtId="0" fontId="4" fillId="10" borderId="53" xfId="0" applyFont="1" applyFill="1" applyBorder="1" applyAlignment="1">
      <alignment horizontal="center" vertical="center"/>
    </xf>
    <xf numFmtId="0" fontId="9" fillId="10" borderId="53" xfId="0" applyFont="1" applyFill="1" applyBorder="1" applyAlignment="1">
      <alignment horizontal="center" vertical="center"/>
    </xf>
    <xf numFmtId="0" fontId="4" fillId="10" borderId="54" xfId="0" applyFont="1" applyFill="1" applyBorder="1"/>
    <xf numFmtId="0" fontId="9" fillId="10" borderId="55" xfId="0" applyFont="1" applyFill="1" applyBorder="1" applyAlignment="1">
      <alignment horizontal="center" vertical="center"/>
    </xf>
    <xf numFmtId="0" fontId="9" fillId="10" borderId="5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14" borderId="17" xfId="0" applyFont="1" applyFill="1" applyBorder="1" applyAlignment="1">
      <alignment horizontal="center" vertical="center" wrapText="1"/>
    </xf>
    <xf numFmtId="164" fontId="9" fillId="10" borderId="56" xfId="0" applyNumberFormat="1" applyFont="1" applyFill="1" applyBorder="1" applyAlignment="1">
      <alignment horizontal="center" vertical="center"/>
    </xf>
    <xf numFmtId="1" fontId="9" fillId="10" borderId="53" xfId="0" applyNumberFormat="1" applyFont="1" applyFill="1" applyBorder="1" applyAlignment="1">
      <alignment horizontal="center" vertical="center"/>
    </xf>
    <xf numFmtId="0" fontId="0" fillId="0" borderId="65" xfId="0" applyBorder="1"/>
    <xf numFmtId="1" fontId="0" fillId="0" borderId="66" xfId="0" applyNumberFormat="1" applyBorder="1" applyAlignment="1">
      <alignment horizontal="center"/>
    </xf>
    <xf numFmtId="1" fontId="0" fillId="0" borderId="67" xfId="0" applyNumberFormat="1" applyBorder="1"/>
    <xf numFmtId="1" fontId="0" fillId="0" borderId="0" xfId="0" applyNumberFormat="1"/>
    <xf numFmtId="0" fontId="0" fillId="0" borderId="66" xfId="0" applyBorder="1" applyAlignment="1">
      <alignment horizontal="right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/>
    </xf>
    <xf numFmtId="0" fontId="4" fillId="10" borderId="37" xfId="0" applyFont="1" applyFill="1" applyBorder="1" applyAlignment="1">
      <alignment horizontal="center"/>
    </xf>
    <xf numFmtId="0" fontId="4" fillId="10" borderId="38" xfId="0" applyFont="1" applyFill="1" applyBorder="1" applyAlignment="1">
      <alignment horizontal="center"/>
    </xf>
    <xf numFmtId="0" fontId="4" fillId="13" borderId="49" xfId="0" applyFont="1" applyFill="1" applyBorder="1" applyAlignment="1">
      <alignment horizontal="center" vertical="center"/>
    </xf>
    <xf numFmtId="0" fontId="4" fillId="13" borderId="50" xfId="0" applyFont="1" applyFill="1" applyBorder="1" applyAlignment="1">
      <alignment horizontal="center" vertical="center"/>
    </xf>
    <xf numFmtId="0" fontId="4" fillId="13" borderId="5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 vertical="center"/>
    </xf>
    <xf numFmtId="0" fontId="3" fillId="12" borderId="20" xfId="0" applyFont="1" applyFill="1" applyBorder="1" applyAlignment="1">
      <alignment horizontal="center" vertical="center"/>
    </xf>
    <xf numFmtId="0" fontId="3" fillId="12" borderId="21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10" fillId="5" borderId="34" xfId="0" applyFont="1" applyFill="1" applyBorder="1" applyAlignment="1" applyProtection="1">
      <alignment horizontal="center" vertical="center" wrapText="1"/>
      <protection locked="0"/>
    </xf>
    <xf numFmtId="0" fontId="10" fillId="5" borderId="3" xfId="0" applyFont="1" applyFill="1" applyBorder="1" applyAlignment="1" applyProtection="1">
      <alignment horizontal="center" vertical="center" wrapText="1"/>
      <protection locked="0"/>
    </xf>
    <xf numFmtId="0" fontId="10" fillId="5" borderId="4" xfId="0" applyFont="1" applyFill="1" applyBorder="1" applyAlignment="1" applyProtection="1">
      <alignment horizontal="center" vertical="center" wrapText="1"/>
      <protection locked="0"/>
    </xf>
    <xf numFmtId="0" fontId="10" fillId="5" borderId="35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3" borderId="31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4" fillId="10" borderId="59" xfId="0" applyFont="1" applyFill="1" applyBorder="1" applyAlignment="1">
      <alignment horizontal="center"/>
    </xf>
    <xf numFmtId="0" fontId="4" fillId="10" borderId="60" xfId="0" applyFont="1" applyFill="1" applyBorder="1" applyAlignment="1">
      <alignment horizontal="center"/>
    </xf>
    <xf numFmtId="0" fontId="4" fillId="10" borderId="61" xfId="0" applyFont="1" applyFill="1" applyBorder="1" applyAlignment="1">
      <alignment horizontal="center"/>
    </xf>
    <xf numFmtId="0" fontId="4" fillId="15" borderId="65" xfId="0" applyFont="1" applyFill="1" applyBorder="1" applyAlignment="1">
      <alignment horizontal="center"/>
    </xf>
    <xf numFmtId="0" fontId="4" fillId="15" borderId="66" xfId="0" applyFont="1" applyFill="1" applyBorder="1" applyAlignment="1">
      <alignment horizontal="center"/>
    </xf>
    <xf numFmtId="0" fontId="4" fillId="15" borderId="67" xfId="0" applyFont="1" applyFill="1" applyBorder="1" applyAlignment="1">
      <alignment horizontal="center"/>
    </xf>
    <xf numFmtId="0" fontId="4" fillId="10" borderId="62" xfId="0" applyFont="1" applyFill="1" applyBorder="1" applyAlignment="1">
      <alignment horizontal="center"/>
    </xf>
    <xf numFmtId="0" fontId="4" fillId="10" borderId="63" xfId="0" applyFont="1" applyFill="1" applyBorder="1" applyAlignment="1">
      <alignment horizontal="center"/>
    </xf>
    <xf numFmtId="0" fontId="4" fillId="10" borderId="64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34" xfId="0" applyFont="1" applyFill="1" applyBorder="1" applyAlignment="1">
      <alignment horizontal="center"/>
    </xf>
    <xf numFmtId="0" fontId="14" fillId="15" borderId="1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0" fontId="14" fillId="15" borderId="34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0" fontId="14" fillId="15" borderId="4" xfId="0" applyFont="1" applyFill="1" applyBorder="1" applyAlignment="1">
      <alignment horizontal="center" vertical="center"/>
    </xf>
    <xf numFmtId="0" fontId="14" fillId="15" borderId="35" xfId="0" applyFont="1" applyFill="1" applyBorder="1" applyAlignment="1">
      <alignment horizontal="center" vertical="center"/>
    </xf>
    <xf numFmtId="164" fontId="0" fillId="0" borderId="0" xfId="0" quotePrefix="1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4D79B"/>
      <color rgb="FFDCE6F1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icolas.deltheil\OneDrive%20-%20LFB\Bureau\Docs%20interessantes\Preventif%20et%20fluide\Suivi%20controles%20&#233;tanch&#233;it&#233;.xlsx" TargetMode="External"/><Relationship Id="rId1" Type="http://schemas.openxmlformats.org/officeDocument/2006/relationships/externalLinkPath" Target="file:///C:\Users\nicolas.deltheil\OneDrive%20-%20LFB\Bureau\Docs%20interessantes\Preventif%20et%20fluide\Suivi%20controles%20&#233;tanch&#233;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luides"/>
      <sheetName val="Energie"/>
      <sheetName val="Listes"/>
      <sheetName val="Fluides (2)"/>
    </sheetNames>
    <sheetDataSet>
      <sheetData sheetId="0"/>
      <sheetData sheetId="1"/>
      <sheetData sheetId="2">
        <row r="2">
          <cell r="C2" t="str">
            <v>R11</v>
          </cell>
          <cell r="D2">
            <v>4750</v>
          </cell>
        </row>
        <row r="3">
          <cell r="C3" t="str">
            <v>R115</v>
          </cell>
          <cell r="D3">
            <v>7370</v>
          </cell>
        </row>
        <row r="4">
          <cell r="C4" t="str">
            <v>R12</v>
          </cell>
          <cell r="D4">
            <v>10900</v>
          </cell>
        </row>
        <row r="5">
          <cell r="C5" t="str">
            <v>R1224yd</v>
          </cell>
          <cell r="D5">
            <v>1</v>
          </cell>
        </row>
        <row r="6">
          <cell r="C6" t="str">
            <v>R1233zd</v>
          </cell>
          <cell r="D6">
            <v>4.5</v>
          </cell>
        </row>
        <row r="7">
          <cell r="C7" t="str">
            <v>R1234yf</v>
          </cell>
          <cell r="D7">
            <v>4</v>
          </cell>
        </row>
        <row r="8">
          <cell r="C8" t="str">
            <v>R1234ze</v>
          </cell>
          <cell r="D8">
            <v>7</v>
          </cell>
        </row>
        <row r="9">
          <cell r="C9" t="str">
            <v>R124</v>
          </cell>
          <cell r="D9">
            <v>609</v>
          </cell>
        </row>
        <row r="10">
          <cell r="C10" t="str">
            <v>R125</v>
          </cell>
          <cell r="D10">
            <v>3500</v>
          </cell>
        </row>
        <row r="11">
          <cell r="C11" t="str">
            <v>R1336mzz</v>
          </cell>
          <cell r="D11">
            <v>2</v>
          </cell>
        </row>
        <row r="12">
          <cell r="C12" t="str">
            <v>R134a</v>
          </cell>
          <cell r="D12">
            <v>1430</v>
          </cell>
        </row>
        <row r="13">
          <cell r="C13" t="str">
            <v>R142b</v>
          </cell>
          <cell r="D13">
            <v>2310</v>
          </cell>
        </row>
        <row r="14">
          <cell r="C14" t="str">
            <v>R143a</v>
          </cell>
          <cell r="D14">
            <v>4470</v>
          </cell>
        </row>
        <row r="15">
          <cell r="C15" t="str">
            <v>R152a</v>
          </cell>
          <cell r="D15">
            <v>124</v>
          </cell>
        </row>
        <row r="16">
          <cell r="C16" t="str">
            <v>R22</v>
          </cell>
          <cell r="D16">
            <v>1810</v>
          </cell>
        </row>
        <row r="17">
          <cell r="C17" t="str">
            <v>R290</v>
          </cell>
          <cell r="D17">
            <v>20</v>
          </cell>
        </row>
        <row r="18">
          <cell r="C18" t="str">
            <v>R32</v>
          </cell>
          <cell r="D18">
            <v>675</v>
          </cell>
        </row>
        <row r="19">
          <cell r="C19" t="str">
            <v>R401A</v>
          </cell>
          <cell r="D19">
            <v>1200</v>
          </cell>
        </row>
        <row r="20">
          <cell r="C20" t="str">
            <v>R402A</v>
          </cell>
          <cell r="D20">
            <v>2788</v>
          </cell>
        </row>
        <row r="21">
          <cell r="C21" t="str">
            <v>R404A</v>
          </cell>
          <cell r="D21">
            <v>3922</v>
          </cell>
        </row>
        <row r="22">
          <cell r="C22" t="str">
            <v>R407A</v>
          </cell>
          <cell r="D22">
            <v>2107</v>
          </cell>
        </row>
        <row r="23">
          <cell r="C23" t="str">
            <v>R407C</v>
          </cell>
          <cell r="D23">
            <v>1774</v>
          </cell>
        </row>
        <row r="24">
          <cell r="C24" t="str">
            <v>R407F</v>
          </cell>
          <cell r="D24">
            <v>1825</v>
          </cell>
        </row>
        <row r="25">
          <cell r="C25" t="str">
            <v>R408A</v>
          </cell>
          <cell r="D25">
            <v>3200</v>
          </cell>
        </row>
        <row r="26">
          <cell r="C26" t="str">
            <v>R409B</v>
          </cell>
          <cell r="D26">
            <v>1560</v>
          </cell>
        </row>
        <row r="27">
          <cell r="C27" t="str">
            <v>R410A</v>
          </cell>
          <cell r="D27">
            <v>2088</v>
          </cell>
        </row>
        <row r="28">
          <cell r="C28" t="str">
            <v>R413A</v>
          </cell>
          <cell r="D28">
            <v>2053</v>
          </cell>
        </row>
        <row r="29">
          <cell r="C29" t="str">
            <v>R417A</v>
          </cell>
          <cell r="D29">
            <v>2346</v>
          </cell>
        </row>
        <row r="30">
          <cell r="C30" t="str">
            <v>R422A</v>
          </cell>
          <cell r="D30">
            <v>3143</v>
          </cell>
        </row>
        <row r="31">
          <cell r="C31" t="str">
            <v>R422D</v>
          </cell>
          <cell r="D31">
            <v>2729</v>
          </cell>
        </row>
        <row r="32">
          <cell r="C32" t="str">
            <v>R427A</v>
          </cell>
          <cell r="D32">
            <v>2138</v>
          </cell>
        </row>
        <row r="33">
          <cell r="C33" t="str">
            <v>R442A</v>
          </cell>
          <cell r="D33">
            <v>1888</v>
          </cell>
        </row>
        <row r="34">
          <cell r="C34" t="str">
            <v>R448A</v>
          </cell>
          <cell r="D34">
            <v>1387</v>
          </cell>
        </row>
        <row r="35">
          <cell r="C35" t="str">
            <v>R449A</v>
          </cell>
          <cell r="D35">
            <v>1397</v>
          </cell>
        </row>
        <row r="36">
          <cell r="C36" t="str">
            <v>R450A</v>
          </cell>
          <cell r="D36">
            <v>605</v>
          </cell>
        </row>
        <row r="37">
          <cell r="C37" t="str">
            <v>R451A</v>
          </cell>
          <cell r="D37">
            <v>149</v>
          </cell>
        </row>
        <row r="38">
          <cell r="C38" t="str">
            <v>R451B</v>
          </cell>
          <cell r="D38">
            <v>164</v>
          </cell>
        </row>
        <row r="39">
          <cell r="C39" t="str">
            <v>R452A</v>
          </cell>
          <cell r="D39">
            <v>2140</v>
          </cell>
        </row>
        <row r="40">
          <cell r="C40" t="str">
            <v>R452B</v>
          </cell>
          <cell r="D40">
            <v>698</v>
          </cell>
        </row>
        <row r="41">
          <cell r="C41" t="str">
            <v>R452C</v>
          </cell>
          <cell r="D41">
            <v>2220</v>
          </cell>
        </row>
        <row r="42">
          <cell r="C42" t="str">
            <v>R454B</v>
          </cell>
          <cell r="D42">
            <v>466</v>
          </cell>
        </row>
        <row r="43">
          <cell r="C43" t="str">
            <v>R454C</v>
          </cell>
          <cell r="D43">
            <v>239</v>
          </cell>
        </row>
        <row r="44">
          <cell r="C44" t="str">
            <v>R455A</v>
          </cell>
          <cell r="D44">
            <v>148</v>
          </cell>
        </row>
        <row r="45">
          <cell r="C45" t="str">
            <v>R502</v>
          </cell>
          <cell r="D45">
            <v>4657</v>
          </cell>
        </row>
        <row r="46">
          <cell r="C46" t="str">
            <v>R507</v>
          </cell>
          <cell r="D46">
            <v>3985</v>
          </cell>
        </row>
        <row r="47">
          <cell r="C47" t="str">
            <v>R513A</v>
          </cell>
          <cell r="D47">
            <v>631</v>
          </cell>
        </row>
        <row r="48">
          <cell r="C48" t="str">
            <v>R600a</v>
          </cell>
          <cell r="D48">
            <v>20</v>
          </cell>
        </row>
        <row r="49">
          <cell r="C49" t="str">
            <v>R717</v>
          </cell>
          <cell r="D49">
            <v>1</v>
          </cell>
        </row>
        <row r="50">
          <cell r="C50" t="str">
            <v>R744</v>
          </cell>
          <cell r="D50">
            <v>1</v>
          </cell>
        </row>
        <row r="51">
          <cell r="C51" t="str">
            <v>CO2</v>
          </cell>
          <cell r="D51">
            <v>1</v>
          </cell>
        </row>
        <row r="52">
          <cell r="C52" t="str">
            <v>R23</v>
          </cell>
          <cell r="D52">
            <v>14800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\\Ulis-user-2\Dt\3%20-%20SECTEUR%20FLUIDES%20ET%20ENERGIES\3-FROID\Fluides-frigorig&#232;nes\Mouvement%20de%20fluide\notice%20Cerfa_5206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4CFC9-AEE6-4162-B972-EABA8414BB97}">
  <dimension ref="C4:G25"/>
  <sheetViews>
    <sheetView showGridLines="0" workbookViewId="0">
      <selection activeCell="S15" sqref="S15"/>
    </sheetView>
  </sheetViews>
  <sheetFormatPr baseColWidth="10" defaultRowHeight="15" x14ac:dyDescent="0.25"/>
  <cols>
    <col min="1" max="2" width="11.42578125" style="2"/>
    <col min="3" max="3" width="24.28515625" style="11" customWidth="1"/>
    <col min="4" max="4" width="11.42578125" style="2"/>
    <col min="5" max="5" width="6.7109375" style="11" customWidth="1"/>
    <col min="6" max="6" width="3.140625" style="2" customWidth="1"/>
    <col min="7" max="16384" width="11.42578125" style="2"/>
  </cols>
  <sheetData>
    <row r="4" spans="3:4" x14ac:dyDescent="0.25">
      <c r="C4" s="40" t="s">
        <v>21</v>
      </c>
      <c r="D4" s="11" t="s">
        <v>22</v>
      </c>
    </row>
    <row r="5" spans="3:4" x14ac:dyDescent="0.25">
      <c r="D5" s="11" t="s">
        <v>23</v>
      </c>
    </row>
    <row r="6" spans="3:4" x14ac:dyDescent="0.25">
      <c r="D6" s="11"/>
    </row>
    <row r="7" spans="3:4" x14ac:dyDescent="0.25">
      <c r="D7" s="11"/>
    </row>
    <row r="8" spans="3:4" x14ac:dyDescent="0.25">
      <c r="C8" s="40" t="s">
        <v>59</v>
      </c>
      <c r="D8" s="11" t="s">
        <v>65</v>
      </c>
    </row>
    <row r="9" spans="3:4" x14ac:dyDescent="0.25">
      <c r="D9" s="11" t="s">
        <v>62</v>
      </c>
    </row>
    <row r="10" spans="3:4" x14ac:dyDescent="0.25">
      <c r="D10" s="11" t="s">
        <v>63</v>
      </c>
    </row>
    <row r="11" spans="3:4" x14ac:dyDescent="0.25">
      <c r="D11" s="11" t="s">
        <v>64</v>
      </c>
    </row>
    <row r="12" spans="3:4" x14ac:dyDescent="0.25">
      <c r="D12" s="11"/>
    </row>
    <row r="13" spans="3:4" x14ac:dyDescent="0.25">
      <c r="D13" s="11"/>
    </row>
    <row r="14" spans="3:4" x14ac:dyDescent="0.25">
      <c r="C14" s="40" t="s">
        <v>24</v>
      </c>
      <c r="D14" s="11" t="s">
        <v>34</v>
      </c>
    </row>
    <row r="15" spans="3:4" x14ac:dyDescent="0.25">
      <c r="D15" s="12" t="s">
        <v>25</v>
      </c>
    </row>
    <row r="16" spans="3:4" x14ac:dyDescent="0.25">
      <c r="D16" s="12"/>
    </row>
    <row r="17" spans="4:7" x14ac:dyDescent="0.25">
      <c r="D17" s="24" t="s">
        <v>26</v>
      </c>
    </row>
    <row r="18" spans="4:7" x14ac:dyDescent="0.25">
      <c r="D18" s="24"/>
    </row>
    <row r="19" spans="4:7" x14ac:dyDescent="0.25">
      <c r="D19" s="113" t="s">
        <v>60</v>
      </c>
      <c r="E19" s="25" t="s">
        <v>27</v>
      </c>
      <c r="G19" s="11" t="s">
        <v>36</v>
      </c>
    </row>
    <row r="20" spans="4:7" x14ac:dyDescent="0.25">
      <c r="D20" s="114"/>
      <c r="E20" s="25" t="s">
        <v>28</v>
      </c>
      <c r="G20" s="11" t="s">
        <v>37</v>
      </c>
    </row>
    <row r="21" spans="4:7" x14ac:dyDescent="0.25">
      <c r="D21" s="115"/>
      <c r="E21" s="25" t="s">
        <v>29</v>
      </c>
      <c r="G21" s="11" t="s">
        <v>32</v>
      </c>
    </row>
    <row r="22" spans="4:7" x14ac:dyDescent="0.25">
      <c r="D22" s="113" t="s">
        <v>61</v>
      </c>
      <c r="E22" s="25" t="s">
        <v>30</v>
      </c>
      <c r="G22" s="11" t="s">
        <v>33</v>
      </c>
    </row>
    <row r="23" spans="4:7" x14ac:dyDescent="0.25">
      <c r="D23" s="115"/>
      <c r="E23" s="25" t="s">
        <v>31</v>
      </c>
      <c r="G23" s="11" t="s">
        <v>35</v>
      </c>
    </row>
    <row r="25" spans="4:7" x14ac:dyDescent="0.25">
      <c r="D25" s="41" t="s">
        <v>66</v>
      </c>
    </row>
  </sheetData>
  <sheetProtection algorithmName="SHA-512" hashValue="i8GKfEaaXPpGiabvd2TSuT3YnAKbm0QSIk7U8AcsMawlcd8XOUjxZvWB+FbYtjBvY211huPd/h6/h0zbRMK4OA==" saltValue="vy0WUQoZYUzJnrgNX+7H9A==" spinCount="100000" sheet="1" objects="1" scenarios="1" selectLockedCells="1"/>
  <mergeCells count="2">
    <mergeCell ref="D19:D21"/>
    <mergeCell ref="D22:D23"/>
  </mergeCells>
  <hyperlinks>
    <hyperlink ref="D15" r:id="rId1" location="02.pdf" xr:uid="{78003CA6-C508-4D7F-9513-9DF604E682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F48B0-F89E-42CA-BBCB-6CBA0676FC2E}">
  <dimension ref="A1:U29"/>
  <sheetViews>
    <sheetView showGridLines="0" showZeros="0" topLeftCell="C1" workbookViewId="0">
      <selection activeCell="P18" sqref="P18"/>
    </sheetView>
  </sheetViews>
  <sheetFormatPr baseColWidth="10" defaultRowHeight="15" x14ac:dyDescent="0.25"/>
  <cols>
    <col min="1" max="1" width="11.140625" bestFit="1" customWidth="1"/>
    <col min="2" max="2" width="15.28515625" bestFit="1" customWidth="1"/>
    <col min="3" max="3" width="20.42578125" bestFit="1" customWidth="1"/>
    <col min="4" max="4" width="11.42578125" bestFit="1" customWidth="1"/>
    <col min="5" max="5" width="24.28515625" bestFit="1" customWidth="1"/>
    <col min="6" max="6" width="24.5703125" bestFit="1" customWidth="1"/>
    <col min="7" max="7" width="13.85546875" bestFit="1" customWidth="1"/>
    <col min="8" max="8" width="10.42578125" bestFit="1" customWidth="1"/>
  </cols>
  <sheetData>
    <row r="1" spans="1:21" x14ac:dyDescent="0.25">
      <c r="A1" s="116" t="s">
        <v>49</v>
      </c>
      <c r="B1" s="117"/>
      <c r="C1" s="117"/>
      <c r="D1" s="120" t="s">
        <v>13</v>
      </c>
      <c r="E1" s="120"/>
      <c r="F1" s="120"/>
      <c r="G1" s="121"/>
    </row>
    <row r="2" spans="1:21" ht="16.5" customHeight="1" thickBot="1" x14ac:dyDescent="0.3">
      <c r="A2" s="118"/>
      <c r="B2" s="119"/>
      <c r="C2" s="119"/>
      <c r="D2" s="122"/>
      <c r="E2" s="122"/>
      <c r="F2" s="122"/>
      <c r="G2" s="123"/>
    </row>
    <row r="4" spans="1:21" ht="15.75" thickBot="1" x14ac:dyDescent="0.3"/>
    <row r="5" spans="1:21" ht="15.75" thickBot="1" x14ac:dyDescent="0.3">
      <c r="A5" s="87" t="s">
        <v>11</v>
      </c>
      <c r="B5" s="88" t="s">
        <v>9</v>
      </c>
      <c r="C5" s="88" t="s">
        <v>10</v>
      </c>
      <c r="D5" s="88" t="s">
        <v>19</v>
      </c>
      <c r="E5" s="88" t="s">
        <v>12</v>
      </c>
      <c r="F5" s="88" t="s">
        <v>17</v>
      </c>
      <c r="G5" s="89" t="s">
        <v>18</v>
      </c>
      <c r="P5" s="2" t="s">
        <v>96</v>
      </c>
      <c r="Q5" s="2" t="s">
        <v>97</v>
      </c>
      <c r="R5" s="2" t="s">
        <v>98</v>
      </c>
      <c r="S5" s="2" t="s">
        <v>99</v>
      </c>
      <c r="T5" s="2" t="s">
        <v>100</v>
      </c>
      <c r="U5" s="2" t="s">
        <v>101</v>
      </c>
    </row>
    <row r="6" spans="1:21" x14ac:dyDescent="0.25">
      <c r="A6" s="26"/>
      <c r="B6" s="27"/>
      <c r="C6" s="28"/>
      <c r="D6" s="28"/>
      <c r="E6" s="28"/>
      <c r="F6" s="28"/>
      <c r="G6" s="63">
        <f>E6*F6</f>
        <v>0</v>
      </c>
      <c r="P6" s="2" t="s">
        <v>102</v>
      </c>
      <c r="Q6" s="2" t="s">
        <v>85</v>
      </c>
      <c r="R6" s="11" t="s">
        <v>103</v>
      </c>
      <c r="S6" s="2" t="s">
        <v>104</v>
      </c>
      <c r="T6" s="2">
        <v>150</v>
      </c>
      <c r="U6" s="185">
        <f>VLOOKUP(S6,[1]Listes!$C$2:$D$60,2,FALSE)*T6/1000</f>
        <v>588.29999999999995</v>
      </c>
    </row>
    <row r="7" spans="1:21" x14ac:dyDescent="0.25">
      <c r="A7" s="33"/>
      <c r="B7" s="29"/>
      <c r="C7" s="30"/>
      <c r="D7" s="30"/>
      <c r="E7" s="30"/>
      <c r="F7" s="30"/>
      <c r="G7" s="67">
        <f>E7*F7</f>
        <v>0</v>
      </c>
      <c r="P7" s="2" t="s">
        <v>105</v>
      </c>
      <c r="Q7" s="2" t="s">
        <v>79</v>
      </c>
      <c r="R7" s="11" t="s">
        <v>106</v>
      </c>
      <c r="S7" s="2" t="s">
        <v>104</v>
      </c>
      <c r="T7" s="2">
        <v>151</v>
      </c>
      <c r="U7" s="185">
        <f>VLOOKUP(S7,[1]Listes!$C$2:$D$60,2,FALSE)*T7/1000</f>
        <v>592.22199999999998</v>
      </c>
    </row>
    <row r="8" spans="1:21" x14ac:dyDescent="0.25">
      <c r="A8" s="33"/>
      <c r="B8" s="29"/>
      <c r="C8" s="30"/>
      <c r="D8" s="30"/>
      <c r="E8" s="30"/>
      <c r="F8" s="30"/>
      <c r="G8" s="67">
        <f t="shared" ref="G8:G25" si="0">E8*F8</f>
        <v>0</v>
      </c>
      <c r="P8" s="2" t="s">
        <v>105</v>
      </c>
      <c r="Q8" s="2" t="s">
        <v>94</v>
      </c>
      <c r="R8" s="11" t="s">
        <v>106</v>
      </c>
      <c r="S8" s="2" t="s">
        <v>104</v>
      </c>
      <c r="T8" s="2">
        <v>151</v>
      </c>
      <c r="U8" s="185">
        <f>VLOOKUP(S8,[1]Listes!$C$2:$D$60,2,FALSE)*T8/1000</f>
        <v>592.22199999999998</v>
      </c>
    </row>
    <row r="9" spans="1:21" ht="15.75" thickBot="1" x14ac:dyDescent="0.3">
      <c r="A9" s="33"/>
      <c r="B9" s="29"/>
      <c r="C9" s="30"/>
      <c r="D9" s="30"/>
      <c r="E9" s="30"/>
      <c r="F9" s="30"/>
      <c r="G9" s="67">
        <f t="shared" si="0"/>
        <v>0</v>
      </c>
      <c r="P9" s="2" t="s">
        <v>105</v>
      </c>
      <c r="Q9" s="2" t="s">
        <v>107</v>
      </c>
      <c r="R9" s="11" t="s">
        <v>106</v>
      </c>
      <c r="S9" s="2" t="s">
        <v>104</v>
      </c>
      <c r="T9" s="2">
        <v>156</v>
      </c>
      <c r="U9" s="185">
        <f>VLOOKUP(S9,[1]Listes!$C$2:$D$60,2,FALSE)*T9/1000</f>
        <v>611.83199999999999</v>
      </c>
    </row>
    <row r="10" spans="1:21" ht="15.75" thickTop="1" x14ac:dyDescent="0.25">
      <c r="A10" s="33"/>
      <c r="B10" s="37"/>
      <c r="C10" s="30"/>
      <c r="D10" s="38"/>
      <c r="E10" s="38"/>
      <c r="F10" s="38"/>
      <c r="G10" s="67">
        <f t="shared" si="0"/>
        <v>0</v>
      </c>
      <c r="J10" s="124" t="s">
        <v>51</v>
      </c>
      <c r="K10" s="125"/>
      <c r="L10" s="125"/>
      <c r="M10" s="126"/>
      <c r="P10" s="2" t="s">
        <v>105</v>
      </c>
      <c r="Q10" s="2" t="s">
        <v>108</v>
      </c>
      <c r="R10" s="11" t="s">
        <v>106</v>
      </c>
      <c r="S10" s="2" t="s">
        <v>104</v>
      </c>
      <c r="T10" s="2">
        <v>208</v>
      </c>
      <c r="U10" s="185">
        <f>VLOOKUP(S10,[1]Listes!$C$2:$D$60,2,FALSE)*T10/1000</f>
        <v>815.77599999999995</v>
      </c>
    </row>
    <row r="11" spans="1:21" x14ac:dyDescent="0.25">
      <c r="A11" s="33"/>
      <c r="B11" s="37"/>
      <c r="C11" s="38"/>
      <c r="D11" s="38"/>
      <c r="E11" s="38"/>
      <c r="F11" s="38"/>
      <c r="G11" s="67">
        <f t="shared" si="0"/>
        <v>0</v>
      </c>
      <c r="J11" s="90"/>
      <c r="K11" s="91" t="s">
        <v>52</v>
      </c>
      <c r="L11" s="91" t="s">
        <v>53</v>
      </c>
      <c r="M11" s="92" t="s">
        <v>54</v>
      </c>
      <c r="P11" s="2" t="s">
        <v>105</v>
      </c>
      <c r="Q11" s="2" t="s">
        <v>109</v>
      </c>
      <c r="R11" s="11" t="s">
        <v>110</v>
      </c>
      <c r="S11" s="2" t="s">
        <v>104</v>
      </c>
      <c r="T11" s="2">
        <v>250</v>
      </c>
      <c r="U11" s="185">
        <f>VLOOKUP(S11,[1]Listes!$C$2:$D$60,2,FALSE)*T11/1000</f>
        <v>980.5</v>
      </c>
    </row>
    <row r="12" spans="1:21" x14ac:dyDescent="0.25">
      <c r="A12" s="33"/>
      <c r="B12" s="38"/>
      <c r="C12" s="38"/>
      <c r="D12" s="38"/>
      <c r="E12" s="38"/>
      <c r="F12" s="38"/>
      <c r="G12" s="67">
        <f t="shared" si="0"/>
        <v>0</v>
      </c>
      <c r="J12" s="90" t="s">
        <v>14</v>
      </c>
      <c r="K12" s="93">
        <v>63.4</v>
      </c>
      <c r="L12" s="93"/>
      <c r="M12" s="94">
        <v>12.7</v>
      </c>
      <c r="P12" s="2" t="s">
        <v>102</v>
      </c>
      <c r="Q12" s="2" t="s">
        <v>111</v>
      </c>
      <c r="R12" s="11" t="s">
        <v>112</v>
      </c>
      <c r="S12" s="2" t="s">
        <v>104</v>
      </c>
      <c r="T12" s="2">
        <v>300</v>
      </c>
      <c r="U12" s="185">
        <f>VLOOKUP(S12,[1]Listes!$C$2:$D$60,2,FALSE)*T12/1000</f>
        <v>1176.5999999999999</v>
      </c>
    </row>
    <row r="13" spans="1:21" x14ac:dyDescent="0.25">
      <c r="A13" s="33"/>
      <c r="B13" s="38"/>
      <c r="C13" s="38"/>
      <c r="D13" s="38"/>
      <c r="E13" s="38"/>
      <c r="F13" s="38"/>
      <c r="G13" s="67">
        <f t="shared" si="0"/>
        <v>0</v>
      </c>
      <c r="J13" s="90" t="s">
        <v>16</v>
      </c>
      <c r="K13" s="93"/>
      <c r="L13" s="93">
        <v>16.8</v>
      </c>
      <c r="M13" s="94">
        <v>9.9</v>
      </c>
      <c r="P13" s="2" t="s">
        <v>113</v>
      </c>
      <c r="Q13" s="2" t="s">
        <v>114</v>
      </c>
      <c r="R13" s="11" t="s">
        <v>115</v>
      </c>
      <c r="S13" s="2" t="s">
        <v>104</v>
      </c>
      <c r="T13" s="2">
        <v>300</v>
      </c>
      <c r="U13" s="185">
        <f>VLOOKUP(S13,[1]Listes!$C$2:$D$60,2,FALSE)*T13/1000</f>
        <v>1176.5999999999999</v>
      </c>
    </row>
    <row r="14" spans="1:21" x14ac:dyDescent="0.25">
      <c r="A14" s="33"/>
      <c r="B14" s="38"/>
      <c r="C14" s="38"/>
      <c r="D14" s="38"/>
      <c r="E14" s="38"/>
      <c r="F14" s="38"/>
      <c r="G14" s="67">
        <f t="shared" si="0"/>
        <v>0</v>
      </c>
      <c r="J14" s="90" t="s">
        <v>8</v>
      </c>
      <c r="K14" s="93"/>
      <c r="L14" s="93"/>
      <c r="M14" s="94">
        <v>9.9</v>
      </c>
      <c r="P14" s="2" t="s">
        <v>113</v>
      </c>
      <c r="Q14" s="2" t="s">
        <v>116</v>
      </c>
      <c r="R14" s="11" t="s">
        <v>115</v>
      </c>
      <c r="S14" s="2" t="s">
        <v>104</v>
      </c>
      <c r="T14" s="2">
        <v>300</v>
      </c>
      <c r="U14" s="185">
        <f>VLOOKUP(S14,[1]Listes!$C$2:$D$60,2,FALSE)*T14/1000</f>
        <v>1176.5999999999999</v>
      </c>
    </row>
    <row r="15" spans="1:21" x14ac:dyDescent="0.25">
      <c r="A15" s="33"/>
      <c r="B15" s="38"/>
      <c r="C15" s="38"/>
      <c r="D15" s="38"/>
      <c r="E15" s="38"/>
      <c r="F15" s="38"/>
      <c r="G15" s="67">
        <f t="shared" si="0"/>
        <v>0</v>
      </c>
      <c r="J15" s="90" t="s">
        <v>7</v>
      </c>
      <c r="K15" s="93"/>
      <c r="L15" s="93"/>
      <c r="M15" s="94"/>
    </row>
    <row r="16" spans="1:21" x14ac:dyDescent="0.25">
      <c r="A16" s="33"/>
      <c r="B16" s="38"/>
      <c r="C16" s="38"/>
      <c r="D16" s="38"/>
      <c r="E16" s="38"/>
      <c r="F16" s="38"/>
      <c r="G16" s="67">
        <f t="shared" si="0"/>
        <v>0</v>
      </c>
      <c r="J16" s="90" t="s">
        <v>55</v>
      </c>
      <c r="K16" s="93">
        <v>54</v>
      </c>
      <c r="L16" s="93"/>
      <c r="M16" s="94"/>
    </row>
    <row r="17" spans="1:13" ht="15.75" thickBot="1" x14ac:dyDescent="0.3">
      <c r="A17" s="33"/>
      <c r="B17" s="38"/>
      <c r="C17" s="38"/>
      <c r="D17" s="38"/>
      <c r="E17" s="38"/>
      <c r="F17" s="38"/>
      <c r="G17" s="67">
        <f t="shared" si="0"/>
        <v>0</v>
      </c>
      <c r="J17" s="95" t="s">
        <v>15</v>
      </c>
      <c r="K17" s="96"/>
      <c r="L17" s="96"/>
      <c r="M17" s="97"/>
    </row>
    <row r="18" spans="1:13" ht="15.75" thickTop="1" x14ac:dyDescent="0.25">
      <c r="A18" s="33"/>
      <c r="B18" s="38"/>
      <c r="C18" s="38"/>
      <c r="D18" s="38"/>
      <c r="E18" s="38"/>
      <c r="F18" s="38"/>
      <c r="G18" s="67">
        <f t="shared" si="0"/>
        <v>0</v>
      </c>
    </row>
    <row r="19" spans="1:13" x14ac:dyDescent="0.25">
      <c r="A19" s="33"/>
      <c r="B19" s="38"/>
      <c r="C19" s="38"/>
      <c r="D19" s="38"/>
      <c r="E19" s="38"/>
      <c r="F19" s="38"/>
      <c r="G19" s="67">
        <f t="shared" si="0"/>
        <v>0</v>
      </c>
    </row>
    <row r="20" spans="1:13" x14ac:dyDescent="0.25">
      <c r="A20" s="33"/>
      <c r="B20" s="38"/>
      <c r="C20" s="38"/>
      <c r="D20" s="38"/>
      <c r="E20" s="38"/>
      <c r="F20" s="38"/>
      <c r="G20" s="67">
        <f t="shared" si="0"/>
        <v>0</v>
      </c>
    </row>
    <row r="21" spans="1:13" x14ac:dyDescent="0.25">
      <c r="A21" s="33"/>
      <c r="B21" s="38"/>
      <c r="C21" s="38"/>
      <c r="D21" s="38"/>
      <c r="E21" s="38"/>
      <c r="F21" s="38"/>
      <c r="G21" s="67">
        <f t="shared" si="0"/>
        <v>0</v>
      </c>
    </row>
    <row r="22" spans="1:13" x14ac:dyDescent="0.25">
      <c r="A22" s="33"/>
      <c r="B22" s="38"/>
      <c r="C22" s="38"/>
      <c r="D22" s="38"/>
      <c r="E22" s="38"/>
      <c r="F22" s="38"/>
      <c r="G22" s="67">
        <f t="shared" si="0"/>
        <v>0</v>
      </c>
    </row>
    <row r="23" spans="1:13" x14ac:dyDescent="0.25">
      <c r="A23" s="33"/>
      <c r="B23" s="38"/>
      <c r="C23" s="38"/>
      <c r="D23" s="38"/>
      <c r="E23" s="38"/>
      <c r="F23" s="38"/>
      <c r="G23" s="67">
        <f t="shared" si="0"/>
        <v>0</v>
      </c>
    </row>
    <row r="24" spans="1:13" x14ac:dyDescent="0.25">
      <c r="A24" s="33"/>
      <c r="B24" s="38"/>
      <c r="C24" s="38"/>
      <c r="D24" s="38"/>
      <c r="E24" s="38"/>
      <c r="F24" s="38"/>
      <c r="G24" s="67">
        <f t="shared" si="0"/>
        <v>0</v>
      </c>
    </row>
    <row r="25" spans="1:13" ht="15.75" thickBot="1" x14ac:dyDescent="0.3">
      <c r="A25" s="34"/>
      <c r="B25" s="45"/>
      <c r="C25" s="45"/>
      <c r="D25" s="45"/>
      <c r="E25" s="45"/>
      <c r="F25" s="45"/>
      <c r="G25" s="74">
        <f t="shared" si="0"/>
        <v>0</v>
      </c>
    </row>
    <row r="26" spans="1:13" x14ac:dyDescent="0.25">
      <c r="G26" s="2"/>
    </row>
    <row r="27" spans="1:13" x14ac:dyDescent="0.25">
      <c r="G27" s="2"/>
    </row>
    <row r="28" spans="1:13" x14ac:dyDescent="0.25">
      <c r="G28" s="2"/>
    </row>
    <row r="29" spans="1:13" x14ac:dyDescent="0.25">
      <c r="G29" s="2"/>
    </row>
  </sheetData>
  <sheetProtection selectLockedCells="1"/>
  <autoFilter ref="A5:G29" xr:uid="{045F48B0-F89E-42CA-BBCB-6CBA0676FC2E}"/>
  <mergeCells count="3">
    <mergeCell ref="A1:C2"/>
    <mergeCell ref="D1:G2"/>
    <mergeCell ref="J10:M10"/>
  </mergeCells>
  <dataValidations count="2">
    <dataValidation type="list" allowBlank="1" showInputMessage="1" showErrorMessage="1" sqref="A26:A85" xr:uid="{EA815C1F-60FB-4DA9-87D9-AB04E1F72A45}">
      <formula1>#REF!</formula1>
    </dataValidation>
    <dataValidation type="list" allowBlank="1" showInputMessage="1" showErrorMessage="1" sqref="A6:A25" xr:uid="{23E65AE6-5DE2-4E1A-88B6-50B55AA6DBFD}">
      <formula1>$J$12:$J$18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6701-97D6-4C78-AB81-C7B0D64DAD1E}">
  <sheetPr>
    <pageSetUpPr fitToPage="1"/>
  </sheetPr>
  <dimension ref="A1:N35"/>
  <sheetViews>
    <sheetView showGridLines="0" showZeros="0" workbookViewId="0">
      <selection activeCell="C16" sqref="C16"/>
    </sheetView>
  </sheetViews>
  <sheetFormatPr baseColWidth="10" defaultRowHeight="15" x14ac:dyDescent="0.25"/>
  <cols>
    <col min="2" max="4" width="21.5703125" customWidth="1"/>
  </cols>
  <sheetData>
    <row r="1" spans="1:14" ht="15.75" customHeight="1" x14ac:dyDescent="0.25">
      <c r="A1" s="130" t="s">
        <v>50</v>
      </c>
      <c r="B1" s="131"/>
      <c r="C1" s="131"/>
      <c r="D1" s="132"/>
    </row>
    <row r="2" spans="1:14" ht="16.5" customHeight="1" thickBot="1" x14ac:dyDescent="0.3">
      <c r="A2" s="139"/>
      <c r="B2" s="140"/>
      <c r="C2" s="140"/>
      <c r="D2" s="141"/>
    </row>
    <row r="3" spans="1:14" ht="15.75" thickBot="1" x14ac:dyDescent="0.3"/>
    <row r="4" spans="1:14" ht="15.75" thickBot="1" x14ac:dyDescent="0.3">
      <c r="G4" s="130" t="s">
        <v>56</v>
      </c>
      <c r="H4" s="131"/>
      <c r="I4" s="131"/>
      <c r="J4" s="131"/>
      <c r="K4" s="131"/>
      <c r="L4" s="132"/>
    </row>
    <row r="5" spans="1:14" ht="15.75" thickBot="1" x14ac:dyDescent="0.3">
      <c r="A5" s="58" t="s">
        <v>11</v>
      </c>
      <c r="B5" s="59" t="s">
        <v>12</v>
      </c>
      <c r="C5" s="59" t="s">
        <v>17</v>
      </c>
      <c r="D5" s="60" t="s">
        <v>18</v>
      </c>
      <c r="G5" s="61" t="s">
        <v>14</v>
      </c>
      <c r="H5" s="62" t="s">
        <v>16</v>
      </c>
      <c r="I5" s="62" t="s">
        <v>8</v>
      </c>
      <c r="J5" s="62" t="s">
        <v>7</v>
      </c>
      <c r="K5" s="62" t="s">
        <v>55</v>
      </c>
      <c r="L5" s="63" t="s">
        <v>15</v>
      </c>
    </row>
    <row r="6" spans="1:14" ht="15.75" thickBot="1" x14ac:dyDescent="0.3">
      <c r="A6" s="31" t="s">
        <v>14</v>
      </c>
      <c r="B6" s="28">
        <v>1</v>
      </c>
      <c r="C6" s="28">
        <v>29.3</v>
      </c>
      <c r="D6" s="63">
        <f>B6*C6</f>
        <v>29.3</v>
      </c>
      <c r="G6" s="64">
        <f t="shared" ref="G6:L6" si="0">SUMIFS($D$6:$D$35,$A$6:$A$35,G5)</f>
        <v>156.1</v>
      </c>
      <c r="H6" s="65">
        <f t="shared" si="0"/>
        <v>252</v>
      </c>
      <c r="I6" s="65">
        <f t="shared" si="0"/>
        <v>18</v>
      </c>
      <c r="J6" s="65">
        <f t="shared" si="0"/>
        <v>0</v>
      </c>
      <c r="K6" s="65">
        <f t="shared" si="0"/>
        <v>58.2</v>
      </c>
      <c r="L6" s="66">
        <f t="shared" si="0"/>
        <v>55</v>
      </c>
    </row>
    <row r="7" spans="1:14" ht="15.75" thickBot="1" x14ac:dyDescent="0.3">
      <c r="A7" s="32" t="s">
        <v>14</v>
      </c>
      <c r="B7" s="30">
        <v>2</v>
      </c>
      <c r="C7" s="30">
        <v>63.4</v>
      </c>
      <c r="D7" s="67">
        <f t="shared" ref="D7:D25" si="1">B7*C7</f>
        <v>126.8</v>
      </c>
      <c r="G7" s="2"/>
      <c r="H7" s="2"/>
      <c r="I7" s="2"/>
      <c r="J7" s="2"/>
      <c r="K7" s="2"/>
      <c r="L7" s="68"/>
    </row>
    <row r="8" spans="1:14" ht="15.75" thickBot="1" x14ac:dyDescent="0.3">
      <c r="A8" s="32" t="s">
        <v>8</v>
      </c>
      <c r="B8" s="30">
        <v>1</v>
      </c>
      <c r="C8" s="30">
        <v>18</v>
      </c>
      <c r="D8" s="67">
        <f t="shared" si="1"/>
        <v>18</v>
      </c>
      <c r="G8" s="133" t="s">
        <v>57</v>
      </c>
      <c r="H8" s="134"/>
      <c r="I8" s="134"/>
      <c r="J8" s="134"/>
      <c r="K8" s="134"/>
      <c r="L8" s="135"/>
    </row>
    <row r="9" spans="1:14" x14ac:dyDescent="0.25">
      <c r="A9" s="32" t="s">
        <v>55</v>
      </c>
      <c r="B9" s="30">
        <v>1</v>
      </c>
      <c r="C9" s="30">
        <v>52.6</v>
      </c>
      <c r="D9" s="67">
        <f t="shared" si="1"/>
        <v>52.6</v>
      </c>
      <c r="G9" s="69" t="s">
        <v>14</v>
      </c>
      <c r="H9" s="70" t="s">
        <v>16</v>
      </c>
      <c r="I9" s="70" t="s">
        <v>8</v>
      </c>
      <c r="J9" s="70" t="s">
        <v>7</v>
      </c>
      <c r="K9" s="70" t="s">
        <v>55</v>
      </c>
      <c r="L9" s="71" t="s">
        <v>15</v>
      </c>
    </row>
    <row r="10" spans="1:14" ht="15.75" thickBot="1" x14ac:dyDescent="0.3">
      <c r="A10" s="32" t="s">
        <v>15</v>
      </c>
      <c r="B10" s="30">
        <v>1</v>
      </c>
      <c r="C10" s="30">
        <v>55</v>
      </c>
      <c r="D10" s="67">
        <f t="shared" si="1"/>
        <v>55</v>
      </c>
      <c r="G10" s="72">
        <f>'R134a'!K2</f>
        <v>156.1</v>
      </c>
      <c r="H10" s="73">
        <f>'R404A'!K2</f>
        <v>252</v>
      </c>
      <c r="I10" s="73">
        <f>'R407F'!K2</f>
        <v>18</v>
      </c>
      <c r="J10" s="73">
        <f>'R410A'!K2</f>
        <v>0</v>
      </c>
      <c r="K10" s="73">
        <f>'R449A'!K2</f>
        <v>58.2</v>
      </c>
      <c r="L10" s="74">
        <f>'CO2'!K2</f>
        <v>55</v>
      </c>
    </row>
    <row r="11" spans="1:14" ht="15.75" thickBot="1" x14ac:dyDescent="0.3">
      <c r="A11" s="32" t="s">
        <v>16</v>
      </c>
      <c r="B11" s="30">
        <v>15</v>
      </c>
      <c r="C11" s="30">
        <v>16.8</v>
      </c>
      <c r="D11" s="67">
        <f t="shared" si="1"/>
        <v>252</v>
      </c>
      <c r="G11" s="2"/>
      <c r="H11" s="2"/>
      <c r="I11" s="2"/>
      <c r="J11" s="2"/>
      <c r="K11" s="2"/>
      <c r="L11" s="68"/>
    </row>
    <row r="12" spans="1:14" ht="15.75" thickBot="1" x14ac:dyDescent="0.3">
      <c r="A12" s="32" t="s">
        <v>55</v>
      </c>
      <c r="B12" s="30">
        <v>1</v>
      </c>
      <c r="C12" s="30">
        <v>5.6</v>
      </c>
      <c r="D12" s="67">
        <f t="shared" si="1"/>
        <v>5.6</v>
      </c>
      <c r="G12" s="136" t="s">
        <v>58</v>
      </c>
      <c r="H12" s="137"/>
      <c r="I12" s="137"/>
      <c r="J12" s="137"/>
      <c r="K12" s="137"/>
      <c r="L12" s="138"/>
    </row>
    <row r="13" spans="1:14" x14ac:dyDescent="0.25">
      <c r="A13" s="32"/>
      <c r="B13" s="30"/>
      <c r="C13" s="30"/>
      <c r="D13" s="67">
        <f t="shared" si="1"/>
        <v>0</v>
      </c>
      <c r="G13" s="61" t="s">
        <v>14</v>
      </c>
      <c r="H13" s="62" t="s">
        <v>16</v>
      </c>
      <c r="I13" s="62" t="s">
        <v>8</v>
      </c>
      <c r="J13" s="62" t="s">
        <v>7</v>
      </c>
      <c r="K13" s="62" t="s">
        <v>55</v>
      </c>
      <c r="L13" s="63" t="s">
        <v>15</v>
      </c>
    </row>
    <row r="14" spans="1:14" ht="15.75" thickBot="1" x14ac:dyDescent="0.3">
      <c r="A14" s="32"/>
      <c r="B14" s="30"/>
      <c r="C14" s="30"/>
      <c r="D14" s="67">
        <f t="shared" si="1"/>
        <v>0</v>
      </c>
      <c r="G14" s="72">
        <f>G6-G10</f>
        <v>0</v>
      </c>
      <c r="H14" s="73">
        <f t="shared" ref="H14:L14" si="2">H6-H10</f>
        <v>0</v>
      </c>
      <c r="I14" s="73">
        <f t="shared" si="2"/>
        <v>0</v>
      </c>
      <c r="J14" s="73">
        <f t="shared" si="2"/>
        <v>0</v>
      </c>
      <c r="K14" s="73">
        <f t="shared" si="2"/>
        <v>0</v>
      </c>
      <c r="L14" s="74">
        <f t="shared" si="2"/>
        <v>0</v>
      </c>
      <c r="N14" s="75"/>
    </row>
    <row r="15" spans="1:14" x14ac:dyDescent="0.25">
      <c r="A15" s="32"/>
      <c r="B15" s="30"/>
      <c r="C15" s="30"/>
      <c r="D15" s="67">
        <f t="shared" si="1"/>
        <v>0</v>
      </c>
      <c r="G15" s="76">
        <f>G6*0.025</f>
        <v>3.9024999999999999</v>
      </c>
      <c r="H15" s="76">
        <f t="shared" ref="H15:L15" si="3">H6*0.025</f>
        <v>6.3000000000000007</v>
      </c>
      <c r="I15" s="76">
        <f t="shared" si="3"/>
        <v>0.45</v>
      </c>
      <c r="J15" s="76">
        <f t="shared" si="3"/>
        <v>0</v>
      </c>
      <c r="K15" s="76">
        <f t="shared" si="3"/>
        <v>1.4550000000000001</v>
      </c>
      <c r="L15" s="76">
        <f t="shared" si="3"/>
        <v>1.375</v>
      </c>
    </row>
    <row r="16" spans="1:14" ht="15.75" thickBot="1" x14ac:dyDescent="0.3">
      <c r="A16" s="32"/>
      <c r="B16" s="30"/>
      <c r="C16" s="30"/>
      <c r="D16" s="67">
        <f t="shared" si="1"/>
        <v>0</v>
      </c>
      <c r="G16" s="77">
        <f>ABS(G14)</f>
        <v>0</v>
      </c>
      <c r="H16" s="77">
        <f t="shared" ref="H16:L16" si="4">ABS(H14)</f>
        <v>0</v>
      </c>
      <c r="I16" s="77">
        <f t="shared" si="4"/>
        <v>0</v>
      </c>
      <c r="J16" s="77">
        <f t="shared" si="4"/>
        <v>0</v>
      </c>
      <c r="K16" s="77">
        <f t="shared" si="4"/>
        <v>0</v>
      </c>
      <c r="L16" s="77">
        <f t="shared" si="4"/>
        <v>0</v>
      </c>
    </row>
    <row r="17" spans="1:10" x14ac:dyDescent="0.25">
      <c r="A17" s="32"/>
      <c r="B17" s="30"/>
      <c r="C17" s="30"/>
      <c r="D17" s="67">
        <f t="shared" si="1"/>
        <v>0</v>
      </c>
      <c r="G17" s="127" t="s">
        <v>51</v>
      </c>
      <c r="H17" s="128"/>
      <c r="I17" s="128"/>
      <c r="J17" s="129"/>
    </row>
    <row r="18" spans="1:10" x14ac:dyDescent="0.25">
      <c r="A18" s="32"/>
      <c r="B18" s="30"/>
      <c r="C18" s="30"/>
      <c r="D18" s="67">
        <f t="shared" si="1"/>
        <v>0</v>
      </c>
      <c r="G18" s="78">
        <f>'Achat fluide'!J11</f>
        <v>0</v>
      </c>
      <c r="H18" s="79" t="str">
        <f>'Achat fluide'!K11</f>
        <v>62 L</v>
      </c>
      <c r="I18" s="79" t="str">
        <f>'Achat fluide'!L11</f>
        <v>27 L</v>
      </c>
      <c r="J18" s="80" t="str">
        <f>'Achat fluide'!M11</f>
        <v>12 L</v>
      </c>
    </row>
    <row r="19" spans="1:10" x14ac:dyDescent="0.25">
      <c r="A19" s="32"/>
      <c r="B19" s="30"/>
      <c r="C19" s="30"/>
      <c r="D19" s="67">
        <f t="shared" si="1"/>
        <v>0</v>
      </c>
      <c r="G19" s="81" t="str">
        <f>'Achat fluide'!J12</f>
        <v>R134a</v>
      </c>
      <c r="H19" s="82">
        <f>'Achat fluide'!K12</f>
        <v>63.4</v>
      </c>
      <c r="I19" s="82">
        <f>'Achat fluide'!L12</f>
        <v>0</v>
      </c>
      <c r="J19" s="83">
        <f>'Achat fluide'!M12</f>
        <v>12.7</v>
      </c>
    </row>
    <row r="20" spans="1:10" x14ac:dyDescent="0.25">
      <c r="A20" s="32"/>
      <c r="B20" s="30"/>
      <c r="C20" s="30"/>
      <c r="D20" s="67">
        <f t="shared" si="1"/>
        <v>0</v>
      </c>
      <c r="G20" s="81" t="str">
        <f>'Achat fluide'!J13</f>
        <v>R404a</v>
      </c>
      <c r="H20" s="82">
        <f>'Achat fluide'!K13</f>
        <v>0</v>
      </c>
      <c r="I20" s="82">
        <f>'Achat fluide'!L13</f>
        <v>16.8</v>
      </c>
      <c r="J20" s="83">
        <f>'Achat fluide'!M13</f>
        <v>9.9</v>
      </c>
    </row>
    <row r="21" spans="1:10" x14ac:dyDescent="0.25">
      <c r="A21" s="32"/>
      <c r="B21" s="30"/>
      <c r="C21" s="30"/>
      <c r="D21" s="67">
        <f t="shared" si="1"/>
        <v>0</v>
      </c>
      <c r="G21" s="81" t="str">
        <f>'Achat fluide'!J14</f>
        <v>R407F</v>
      </c>
      <c r="H21" s="82">
        <f>'Achat fluide'!K14</f>
        <v>0</v>
      </c>
      <c r="I21" s="82">
        <f>'Achat fluide'!L14</f>
        <v>0</v>
      </c>
      <c r="J21" s="83">
        <f>'Achat fluide'!M14</f>
        <v>9.9</v>
      </c>
    </row>
    <row r="22" spans="1:10" x14ac:dyDescent="0.25">
      <c r="A22" s="32"/>
      <c r="B22" s="30"/>
      <c r="C22" s="30"/>
      <c r="D22" s="67">
        <f t="shared" si="1"/>
        <v>0</v>
      </c>
      <c r="G22" s="81" t="str">
        <f>'Achat fluide'!J15</f>
        <v>R410A</v>
      </c>
      <c r="H22" s="82">
        <f>'Achat fluide'!K15</f>
        <v>0</v>
      </c>
      <c r="I22" s="82">
        <f>'Achat fluide'!L15</f>
        <v>0</v>
      </c>
      <c r="J22" s="83">
        <f>'Achat fluide'!M15</f>
        <v>0</v>
      </c>
    </row>
    <row r="23" spans="1:10" x14ac:dyDescent="0.25">
      <c r="A23" s="32"/>
      <c r="B23" s="30"/>
      <c r="C23" s="30"/>
      <c r="D23" s="67">
        <f t="shared" si="1"/>
        <v>0</v>
      </c>
      <c r="G23" s="81" t="str">
        <f>'Achat fluide'!J16</f>
        <v>R449A</v>
      </c>
      <c r="H23" s="82">
        <f>'Achat fluide'!K16</f>
        <v>54</v>
      </c>
      <c r="I23" s="82">
        <f>'Achat fluide'!L16</f>
        <v>0</v>
      </c>
      <c r="J23" s="83">
        <f>'Achat fluide'!M16</f>
        <v>0</v>
      </c>
    </row>
    <row r="24" spans="1:10" ht="15.75" thickBot="1" x14ac:dyDescent="0.3">
      <c r="A24" s="32"/>
      <c r="B24" s="30"/>
      <c r="C24" s="30"/>
      <c r="D24" s="67">
        <f t="shared" si="1"/>
        <v>0</v>
      </c>
      <c r="G24" s="84" t="str">
        <f>'Achat fluide'!J17</f>
        <v>CO2</v>
      </c>
      <c r="H24" s="85">
        <f>'Achat fluide'!K17</f>
        <v>0</v>
      </c>
      <c r="I24" s="85">
        <f>'Achat fluide'!L17</f>
        <v>0</v>
      </c>
      <c r="J24" s="86">
        <f>'Achat fluide'!M17</f>
        <v>0</v>
      </c>
    </row>
    <row r="25" spans="1:10" x14ac:dyDescent="0.25">
      <c r="A25" s="32"/>
      <c r="B25" s="30"/>
      <c r="C25" s="30"/>
      <c r="D25" s="67">
        <f t="shared" si="1"/>
        <v>0</v>
      </c>
    </row>
    <row r="26" spans="1:10" x14ac:dyDescent="0.25">
      <c r="A26" s="32"/>
      <c r="B26" s="30"/>
      <c r="C26" s="30"/>
      <c r="D26" s="67">
        <f t="shared" ref="D26:D35" si="5">B26*C26</f>
        <v>0</v>
      </c>
    </row>
    <row r="27" spans="1:10" x14ac:dyDescent="0.25">
      <c r="A27" s="32"/>
      <c r="B27" s="30"/>
      <c r="C27" s="30"/>
      <c r="D27" s="67">
        <f t="shared" si="5"/>
        <v>0</v>
      </c>
    </row>
    <row r="28" spans="1:10" x14ac:dyDescent="0.25">
      <c r="A28" s="32"/>
      <c r="B28" s="30"/>
      <c r="C28" s="30"/>
      <c r="D28" s="67">
        <f t="shared" si="5"/>
        <v>0</v>
      </c>
    </row>
    <row r="29" spans="1:10" x14ac:dyDescent="0.25">
      <c r="A29" s="32"/>
      <c r="B29" s="30"/>
      <c r="C29" s="30"/>
      <c r="D29" s="67">
        <f t="shared" si="5"/>
        <v>0</v>
      </c>
    </row>
    <row r="30" spans="1:10" x14ac:dyDescent="0.25">
      <c r="A30" s="32"/>
      <c r="B30" s="30"/>
      <c r="C30" s="30"/>
      <c r="D30" s="67">
        <f t="shared" si="5"/>
        <v>0</v>
      </c>
    </row>
    <row r="31" spans="1:10" x14ac:dyDescent="0.25">
      <c r="A31" s="32"/>
      <c r="B31" s="30"/>
      <c r="C31" s="30"/>
      <c r="D31" s="67">
        <f t="shared" si="5"/>
        <v>0</v>
      </c>
    </row>
    <row r="32" spans="1:10" x14ac:dyDescent="0.25">
      <c r="A32" s="32"/>
      <c r="B32" s="30"/>
      <c r="C32" s="30"/>
      <c r="D32" s="67">
        <f t="shared" si="5"/>
        <v>0</v>
      </c>
    </row>
    <row r="33" spans="1:4" x14ac:dyDescent="0.25">
      <c r="A33" s="32"/>
      <c r="B33" s="30"/>
      <c r="C33" s="30"/>
      <c r="D33" s="67">
        <f t="shared" si="5"/>
        <v>0</v>
      </c>
    </row>
    <row r="34" spans="1:4" x14ac:dyDescent="0.25">
      <c r="A34" s="32"/>
      <c r="B34" s="30"/>
      <c r="C34" s="30"/>
      <c r="D34" s="67">
        <f t="shared" si="5"/>
        <v>0</v>
      </c>
    </row>
    <row r="35" spans="1:4" x14ac:dyDescent="0.25">
      <c r="A35" s="32"/>
      <c r="B35" s="30"/>
      <c r="C35" s="30"/>
      <c r="D35" s="67">
        <f t="shared" si="5"/>
        <v>0</v>
      </c>
    </row>
  </sheetData>
  <sheetProtection algorithmName="SHA-512" hashValue="c49wsg4WHk+BT8OFJLZdrR1oImruHR20UoC2QknnVrfPgi6XrZ1PvPV/2pevMvFjzaYeauw1rfcIMaJV2JXidg==" saltValue="HtoPM0p8OnvQd4cV2kkPYQ==" spinCount="100000" sheet="1" selectLockedCells="1"/>
  <mergeCells count="5">
    <mergeCell ref="G17:J17"/>
    <mergeCell ref="G4:L4"/>
    <mergeCell ref="G8:L8"/>
    <mergeCell ref="G12:L12"/>
    <mergeCell ref="A1:D2"/>
  </mergeCells>
  <conditionalFormatting sqref="G14:L14">
    <cfRule type="expression" dxfId="15" priority="1">
      <formula>G16&gt;G15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37BACF-1675-4388-B01B-54D6A9A6345A}">
          <x14:formula1>
            <xm:f>'Achat fluide'!$I$3:$I$9</xm:f>
          </x14:formula1>
          <xm:sqref>A6:A10</xm:sqref>
        </x14:dataValidation>
        <x14:dataValidation type="list" allowBlank="1" showInputMessage="1" showErrorMessage="1" xr:uid="{433CAE86-FADE-447C-A99C-0EAFBCF5A6EB}">
          <x14:formula1>
            <xm:f>'Achat fluide'!$J$11:$J$17</xm:f>
          </x14:formula1>
          <xm:sqref>A11:A35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C8EFE-188F-4D6A-A2F0-ED49554C4E83}">
  <dimension ref="A1:P26"/>
  <sheetViews>
    <sheetView showGridLines="0" showZeros="0" tabSelected="1" workbookViewId="0">
      <selection activeCell="N8" sqref="N8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6" ht="15.75" customHeight="1" x14ac:dyDescent="0.25">
      <c r="A1" s="150" t="s">
        <v>3</v>
      </c>
      <c r="B1" s="151"/>
      <c r="C1" s="151"/>
      <c r="D1" s="148" t="s">
        <v>16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6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252</v>
      </c>
      <c r="M2" s="2"/>
    </row>
    <row r="3" spans="1:16" ht="15" customHeight="1" x14ac:dyDescent="0.25">
      <c r="A3" s="154" t="s">
        <v>45</v>
      </c>
      <c r="B3" s="155"/>
      <c r="C3" s="57">
        <v>403.2</v>
      </c>
      <c r="D3" s="55" t="s">
        <v>4</v>
      </c>
      <c r="E3" s="52">
        <f>C3+C4</f>
        <v>403.2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6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252</v>
      </c>
      <c r="M4" s="2"/>
    </row>
    <row r="5" spans="1:16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s="1" customFormat="1" ht="90.75" thickBot="1" x14ac:dyDescent="0.3">
      <c r="A6" s="47" t="s">
        <v>0</v>
      </c>
      <c r="B6" s="48" t="s">
        <v>1</v>
      </c>
      <c r="C6" s="48" t="s">
        <v>5</v>
      </c>
      <c r="D6" s="48" t="s">
        <v>2</v>
      </c>
      <c r="E6" s="48" t="s">
        <v>6</v>
      </c>
      <c r="F6" s="49" t="s">
        <v>40</v>
      </c>
      <c r="G6" s="50" t="s">
        <v>39</v>
      </c>
      <c r="H6" s="50" t="s">
        <v>38</v>
      </c>
      <c r="I6" s="50" t="s">
        <v>41</v>
      </c>
      <c r="J6" s="49" t="s">
        <v>42</v>
      </c>
      <c r="K6" s="105" t="s">
        <v>69</v>
      </c>
      <c r="L6" s="105" t="s">
        <v>70</v>
      </c>
      <c r="M6" s="105" t="s">
        <v>78</v>
      </c>
      <c r="N6" s="51" t="s">
        <v>71</v>
      </c>
    </row>
    <row r="7" spans="1:16" x14ac:dyDescent="0.25">
      <c r="A7" s="26">
        <v>1</v>
      </c>
      <c r="B7" s="27">
        <v>45441</v>
      </c>
      <c r="C7" s="28" t="s">
        <v>79</v>
      </c>
      <c r="D7" s="46" t="s">
        <v>84</v>
      </c>
      <c r="E7" s="28">
        <v>618949</v>
      </c>
      <c r="F7" s="28"/>
      <c r="G7" s="28">
        <v>205</v>
      </c>
      <c r="H7" s="28"/>
      <c r="I7" s="28"/>
      <c r="J7" s="28">
        <v>205</v>
      </c>
      <c r="K7" s="62">
        <f>IF(F7+G7+H7=0,0,F7+G7+H7)</f>
        <v>205</v>
      </c>
      <c r="L7" s="62">
        <f>I7+J7</f>
        <v>205</v>
      </c>
      <c r="M7" s="62">
        <f>K7-L7</f>
        <v>0</v>
      </c>
      <c r="N7" s="67">
        <f t="shared" ref="N7:N26" si="0">IFERROR((M7*$E$4)/1000,"")</f>
        <v>0</v>
      </c>
      <c r="O7">
        <f>VLOOKUP(C7,'Achat fluide'!Q5:U14,5,0)</f>
        <v>592.22199999999998</v>
      </c>
      <c r="P7">
        <f>IF(N7&gt;0,IF(O7&gt;500,1,0),0)</f>
        <v>0</v>
      </c>
    </row>
    <row r="8" spans="1:16" x14ac:dyDescent="0.25">
      <c r="A8" s="33">
        <v>2</v>
      </c>
      <c r="B8" s="29">
        <v>45454</v>
      </c>
      <c r="C8" s="30" t="s">
        <v>85</v>
      </c>
      <c r="D8" s="36" t="s">
        <v>86</v>
      </c>
      <c r="E8" s="30">
        <v>654662</v>
      </c>
      <c r="F8" s="30">
        <v>50.4</v>
      </c>
      <c r="G8" s="30"/>
      <c r="H8" s="30">
        <v>0</v>
      </c>
      <c r="I8" s="30"/>
      <c r="J8" s="30"/>
      <c r="K8" s="104">
        <f>IF(F8+G8+H8=0,0,F8+G8+H8)</f>
        <v>50.4</v>
      </c>
      <c r="L8" s="104">
        <f t="shared" ref="L8:L26" si="1">I8+J8</f>
        <v>0</v>
      </c>
      <c r="M8" s="104">
        <f t="shared" ref="M8:M26" si="2">K8-L8</f>
        <v>50.4</v>
      </c>
      <c r="N8" s="67">
        <f t="shared" si="0"/>
        <v>198.57599999999999</v>
      </c>
      <c r="O8">
        <f>VLOOKUP(C8,'Achat fluide'!Q6:U15,5,0)</f>
        <v>588.29999999999995</v>
      </c>
      <c r="P8">
        <f t="shared" ref="P8:P10" si="3">IF(N8&gt;0,IF(O8&gt;500,1,0),0)</f>
        <v>1</v>
      </c>
    </row>
    <row r="9" spans="1:16" x14ac:dyDescent="0.25">
      <c r="A9" s="33">
        <v>3</v>
      </c>
      <c r="B9" s="29">
        <v>45476</v>
      </c>
      <c r="C9" s="30" t="s">
        <v>79</v>
      </c>
      <c r="D9" s="36" t="s">
        <v>91</v>
      </c>
      <c r="E9" s="30">
        <v>572246</v>
      </c>
      <c r="F9" s="30">
        <v>100.8</v>
      </c>
      <c r="G9" s="30"/>
      <c r="H9" s="30"/>
      <c r="I9" s="30"/>
      <c r="J9" s="30"/>
      <c r="K9" s="104">
        <f t="shared" ref="K9:K26" si="4">IF(F9+G9+H9=0,0,F9+G9+H9)</f>
        <v>100.8</v>
      </c>
      <c r="L9" s="104">
        <f t="shared" si="1"/>
        <v>0</v>
      </c>
      <c r="M9" s="104">
        <f t="shared" si="2"/>
        <v>100.8</v>
      </c>
      <c r="N9" s="67">
        <f t="shared" si="0"/>
        <v>397.15199999999999</v>
      </c>
      <c r="O9">
        <f>VLOOKUP(C9,'Achat fluide'!Q7:U16,5,0)</f>
        <v>592.22199999999998</v>
      </c>
      <c r="P9">
        <f t="shared" si="3"/>
        <v>1</v>
      </c>
    </row>
    <row r="10" spans="1:16" x14ac:dyDescent="0.25">
      <c r="A10" s="33">
        <v>4</v>
      </c>
      <c r="B10" s="29">
        <v>45463</v>
      </c>
      <c r="C10" s="30" t="s">
        <v>94</v>
      </c>
      <c r="D10" s="36" t="s">
        <v>95</v>
      </c>
      <c r="E10" s="30">
        <v>649727</v>
      </c>
      <c r="F10" s="30"/>
      <c r="G10" s="30">
        <v>115</v>
      </c>
      <c r="H10" s="30"/>
      <c r="I10" s="30"/>
      <c r="J10" s="30">
        <v>115</v>
      </c>
      <c r="K10" s="104">
        <f t="shared" si="4"/>
        <v>115</v>
      </c>
      <c r="L10" s="104">
        <f t="shared" si="1"/>
        <v>115</v>
      </c>
      <c r="M10" s="104">
        <f t="shared" si="2"/>
        <v>0</v>
      </c>
      <c r="N10" s="67">
        <f t="shared" si="0"/>
        <v>0</v>
      </c>
      <c r="O10">
        <f>VLOOKUP(C10,'Achat fluide'!Q8:U17,5,0)</f>
        <v>592.22199999999998</v>
      </c>
      <c r="P10">
        <f t="shared" si="3"/>
        <v>0</v>
      </c>
    </row>
    <row r="11" spans="1:16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4"/>
        <v>0</v>
      </c>
      <c r="L11" s="104">
        <f t="shared" si="1"/>
        <v>0</v>
      </c>
      <c r="M11" s="104">
        <f t="shared" si="2"/>
        <v>0</v>
      </c>
      <c r="N11" s="67">
        <f t="shared" si="0"/>
        <v>0</v>
      </c>
    </row>
    <row r="12" spans="1:16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4"/>
        <v>0</v>
      </c>
      <c r="L12" s="104">
        <f t="shared" si="1"/>
        <v>0</v>
      </c>
      <c r="M12" s="104">
        <f t="shared" si="2"/>
        <v>0</v>
      </c>
      <c r="N12" s="67">
        <f t="shared" si="0"/>
        <v>0</v>
      </c>
    </row>
    <row r="13" spans="1:16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4"/>
        <v>0</v>
      </c>
      <c r="L13" s="104">
        <f t="shared" si="1"/>
        <v>0</v>
      </c>
      <c r="M13" s="104">
        <f t="shared" si="2"/>
        <v>0</v>
      </c>
      <c r="N13" s="67">
        <f t="shared" si="0"/>
        <v>0</v>
      </c>
    </row>
    <row r="14" spans="1:16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4"/>
        <v>0</v>
      </c>
      <c r="L14" s="104">
        <f t="shared" si="1"/>
        <v>0</v>
      </c>
      <c r="M14" s="104">
        <f t="shared" si="2"/>
        <v>0</v>
      </c>
      <c r="N14" s="67">
        <f t="shared" si="0"/>
        <v>0</v>
      </c>
    </row>
    <row r="15" spans="1:16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4"/>
        <v>0</v>
      </c>
      <c r="L15" s="104">
        <f t="shared" si="1"/>
        <v>0</v>
      </c>
      <c r="M15" s="104">
        <f t="shared" si="2"/>
        <v>0</v>
      </c>
      <c r="N15" s="67">
        <f t="shared" si="0"/>
        <v>0</v>
      </c>
    </row>
    <row r="16" spans="1:16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4"/>
        <v>0</v>
      </c>
      <c r="L16" s="104">
        <f t="shared" si="1"/>
        <v>0</v>
      </c>
      <c r="M16" s="104">
        <f t="shared" si="2"/>
        <v>0</v>
      </c>
      <c r="N16" s="67">
        <f t="shared" si="0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4"/>
        <v>0</v>
      </c>
      <c r="L17" s="104">
        <f t="shared" si="1"/>
        <v>0</v>
      </c>
      <c r="M17" s="104">
        <f t="shared" si="2"/>
        <v>0</v>
      </c>
      <c r="N17" s="67">
        <f t="shared" si="0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4"/>
        <v>0</v>
      </c>
      <c r="L18" s="104">
        <f t="shared" si="1"/>
        <v>0</v>
      </c>
      <c r="M18" s="104">
        <f t="shared" si="2"/>
        <v>0</v>
      </c>
      <c r="N18" s="67">
        <f t="shared" si="0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4"/>
        <v>0</v>
      </c>
      <c r="L19" s="104">
        <f t="shared" si="1"/>
        <v>0</v>
      </c>
      <c r="M19" s="104">
        <f t="shared" si="2"/>
        <v>0</v>
      </c>
      <c r="N19" s="67">
        <f t="shared" si="0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4"/>
        <v>0</v>
      </c>
      <c r="L20" s="104">
        <f t="shared" si="1"/>
        <v>0</v>
      </c>
      <c r="M20" s="104">
        <f t="shared" si="2"/>
        <v>0</v>
      </c>
      <c r="N20" s="67">
        <f t="shared" si="0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4"/>
        <v>0</v>
      </c>
      <c r="L21" s="104">
        <f t="shared" si="1"/>
        <v>0</v>
      </c>
      <c r="M21" s="104">
        <f t="shared" si="2"/>
        <v>0</v>
      </c>
      <c r="N21" s="67">
        <f t="shared" si="0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4"/>
        <v>0</v>
      </c>
      <c r="L22" s="104">
        <f t="shared" si="1"/>
        <v>0</v>
      </c>
      <c r="M22" s="104">
        <f t="shared" si="2"/>
        <v>0</v>
      </c>
      <c r="N22" s="67">
        <f t="shared" si="0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4"/>
        <v>0</v>
      </c>
      <c r="L23" s="104">
        <f t="shared" si="1"/>
        <v>0</v>
      </c>
      <c r="M23" s="104">
        <f t="shared" si="2"/>
        <v>0</v>
      </c>
      <c r="N23" s="67">
        <f t="shared" si="0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4"/>
        <v>0</v>
      </c>
      <c r="L24" s="104">
        <f t="shared" si="1"/>
        <v>0</v>
      </c>
      <c r="M24" s="104">
        <f t="shared" si="2"/>
        <v>0</v>
      </c>
      <c r="N24" s="67">
        <f t="shared" si="0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4"/>
        <v>0</v>
      </c>
      <c r="L25" s="104">
        <f t="shared" si="1"/>
        <v>0</v>
      </c>
      <c r="M25" s="104">
        <f t="shared" si="2"/>
        <v>0</v>
      </c>
      <c r="N25" s="67">
        <f t="shared" si="0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4"/>
        <v>0</v>
      </c>
      <c r="L26" s="73">
        <f t="shared" si="1"/>
        <v>0</v>
      </c>
      <c r="M26" s="73">
        <f t="shared" si="2"/>
        <v>0</v>
      </c>
      <c r="N26" s="67">
        <f t="shared" si="0"/>
        <v>0</v>
      </c>
    </row>
  </sheetData>
  <sheetProtection selectLockedCells="1"/>
  <mergeCells count="5">
    <mergeCell ref="F1:H2"/>
    <mergeCell ref="D1:E2"/>
    <mergeCell ref="A1:C2"/>
    <mergeCell ref="A3:B3"/>
    <mergeCell ref="A4:B4"/>
  </mergeCells>
  <conditionalFormatting sqref="N7:N8">
    <cfRule type="expression" dxfId="0" priority="1">
      <formula>$P$7=1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A113ED57-C3ED-4284-9BEA-4782E0D23CAA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C900-DBF1-4C7E-BD63-4FCB209E3D57}">
  <dimension ref="A1:O26"/>
  <sheetViews>
    <sheetView showGridLines="0" showZeros="0" workbookViewId="0">
      <selection activeCell="D7" sqref="D7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5" ht="15.75" customHeight="1" x14ac:dyDescent="0.25">
      <c r="A1" s="150" t="s">
        <v>3</v>
      </c>
      <c r="B1" s="151"/>
      <c r="C1" s="151"/>
      <c r="D1" s="148" t="s">
        <v>14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5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156.1</v>
      </c>
      <c r="M2" s="2"/>
    </row>
    <row r="3" spans="1:15" ht="15" customHeight="1" x14ac:dyDescent="0.25">
      <c r="A3" s="154" t="s">
        <v>45</v>
      </c>
      <c r="B3" s="155"/>
      <c r="C3" s="57">
        <v>189.6</v>
      </c>
      <c r="D3" s="55" t="s">
        <v>4</v>
      </c>
      <c r="E3" s="52">
        <f>C3+C4</f>
        <v>189.6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5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156.1</v>
      </c>
      <c r="M4" s="2"/>
    </row>
    <row r="5" spans="1:15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90.75" thickBot="1" x14ac:dyDescent="0.3">
      <c r="A6" s="7" t="s">
        <v>0</v>
      </c>
      <c r="B6" s="8" t="s">
        <v>1</v>
      </c>
      <c r="C6" s="8" t="s">
        <v>5</v>
      </c>
      <c r="D6" s="8" t="s">
        <v>2</v>
      </c>
      <c r="E6" s="8" t="s">
        <v>6</v>
      </c>
      <c r="F6" s="10" t="s">
        <v>40</v>
      </c>
      <c r="G6" s="9" t="s">
        <v>39</v>
      </c>
      <c r="H6" s="9" t="s">
        <v>38</v>
      </c>
      <c r="I6" s="9" t="s">
        <v>41</v>
      </c>
      <c r="J6" s="10" t="s">
        <v>42</v>
      </c>
      <c r="K6" s="53" t="s">
        <v>69</v>
      </c>
      <c r="L6" s="53" t="s">
        <v>70</v>
      </c>
      <c r="M6" s="53" t="s">
        <v>78</v>
      </c>
      <c r="N6" s="54" t="s">
        <v>71</v>
      </c>
    </row>
    <row r="7" spans="1:15" x14ac:dyDescent="0.25">
      <c r="A7" s="26">
        <v>1</v>
      </c>
      <c r="B7" s="27">
        <v>45475</v>
      </c>
      <c r="C7" s="28" t="s">
        <v>92</v>
      </c>
      <c r="D7" s="46" t="s">
        <v>93</v>
      </c>
      <c r="E7" s="28">
        <v>643437</v>
      </c>
      <c r="F7" s="28">
        <v>33.5</v>
      </c>
      <c r="G7" s="28"/>
      <c r="H7" s="28"/>
      <c r="I7" s="28"/>
      <c r="J7" s="28"/>
      <c r="K7" s="62">
        <f>IF(F7+G7+H7=0,0,F7+G7+H7)</f>
        <v>33.5</v>
      </c>
      <c r="L7" s="62">
        <f>I7+J7</f>
        <v>0</v>
      </c>
      <c r="M7" s="62">
        <f>K7-L7</f>
        <v>33.5</v>
      </c>
      <c r="N7" s="63">
        <f>IFERROR((M7*$E$4)/1000,"")</f>
        <v>131.99</v>
      </c>
    </row>
    <row r="8" spans="1:15" x14ac:dyDescent="0.25">
      <c r="A8" s="33">
        <v>2</v>
      </c>
      <c r="B8" s="29"/>
      <c r="C8" s="30"/>
      <c r="D8" s="36"/>
      <c r="E8" s="30"/>
      <c r="F8" s="30"/>
      <c r="G8" s="30"/>
      <c r="H8" s="30"/>
      <c r="I8" s="30"/>
      <c r="J8" s="30"/>
      <c r="K8" s="104">
        <f>IF(F8+G8+H8=0,0,F8+G8+H8)</f>
        <v>0</v>
      </c>
      <c r="L8" s="104">
        <f t="shared" ref="L8:L26" si="0">I8+J8</f>
        <v>0</v>
      </c>
      <c r="M8" s="104">
        <f t="shared" ref="M8:M26" si="1">K8-L8</f>
        <v>0</v>
      </c>
      <c r="N8" s="67">
        <f t="shared" ref="N8:N26" si="2">IFERROR((M8*$E$4)/1000,"")</f>
        <v>0</v>
      </c>
    </row>
    <row r="9" spans="1:15" x14ac:dyDescent="0.25">
      <c r="A9" s="33">
        <v>3</v>
      </c>
      <c r="B9" s="29"/>
      <c r="C9" s="30"/>
      <c r="D9" s="36"/>
      <c r="E9" s="30"/>
      <c r="F9" s="30"/>
      <c r="G9" s="30"/>
      <c r="H9" s="30"/>
      <c r="I9" s="30"/>
      <c r="J9" s="30"/>
      <c r="K9" s="104">
        <f t="shared" ref="K9:K26" si="3">IF(F9+G9+H9=0,0,F9+G9+H9)</f>
        <v>0</v>
      </c>
      <c r="L9" s="104">
        <f t="shared" si="0"/>
        <v>0</v>
      </c>
      <c r="M9" s="104">
        <f t="shared" si="1"/>
        <v>0</v>
      </c>
      <c r="N9" s="67">
        <f t="shared" si="2"/>
        <v>0</v>
      </c>
    </row>
    <row r="10" spans="1:15" x14ac:dyDescent="0.25">
      <c r="A10" s="33">
        <v>4</v>
      </c>
      <c r="B10" s="29"/>
      <c r="C10" s="30"/>
      <c r="D10" s="36"/>
      <c r="E10" s="30"/>
      <c r="F10" s="30"/>
      <c r="G10" s="30"/>
      <c r="H10" s="30"/>
      <c r="I10" s="30"/>
      <c r="J10" s="30"/>
      <c r="K10" s="104">
        <f t="shared" si="3"/>
        <v>0</v>
      </c>
      <c r="L10" s="104">
        <f t="shared" si="0"/>
        <v>0</v>
      </c>
      <c r="M10" s="104">
        <f t="shared" si="1"/>
        <v>0</v>
      </c>
      <c r="N10" s="67">
        <f t="shared" si="2"/>
        <v>0</v>
      </c>
    </row>
    <row r="11" spans="1:15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3"/>
        <v>0</v>
      </c>
      <c r="L11" s="104">
        <f t="shared" si="0"/>
        <v>0</v>
      </c>
      <c r="M11" s="104">
        <f t="shared" si="1"/>
        <v>0</v>
      </c>
      <c r="N11" s="67">
        <f t="shared" si="2"/>
        <v>0</v>
      </c>
    </row>
    <row r="12" spans="1:15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3"/>
        <v>0</v>
      </c>
      <c r="L12" s="104">
        <f t="shared" si="0"/>
        <v>0</v>
      </c>
      <c r="M12" s="104">
        <f t="shared" si="1"/>
        <v>0</v>
      </c>
      <c r="N12" s="67">
        <f t="shared" si="2"/>
        <v>0</v>
      </c>
    </row>
    <row r="13" spans="1:15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3"/>
        <v>0</v>
      </c>
      <c r="L13" s="104">
        <f t="shared" si="0"/>
        <v>0</v>
      </c>
      <c r="M13" s="104">
        <f t="shared" si="1"/>
        <v>0</v>
      </c>
      <c r="N13" s="67">
        <f t="shared" si="2"/>
        <v>0</v>
      </c>
    </row>
    <row r="14" spans="1:15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3"/>
        <v>0</v>
      </c>
      <c r="L14" s="104">
        <f t="shared" si="0"/>
        <v>0</v>
      </c>
      <c r="M14" s="104">
        <f t="shared" si="1"/>
        <v>0</v>
      </c>
      <c r="N14" s="67">
        <f t="shared" si="2"/>
        <v>0</v>
      </c>
    </row>
    <row r="15" spans="1:15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3"/>
        <v>0</v>
      </c>
      <c r="L15" s="104">
        <f t="shared" si="0"/>
        <v>0</v>
      </c>
      <c r="M15" s="104">
        <f t="shared" si="1"/>
        <v>0</v>
      </c>
      <c r="N15" s="67">
        <f t="shared" si="2"/>
        <v>0</v>
      </c>
    </row>
    <row r="16" spans="1:15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3"/>
        <v>0</v>
      </c>
      <c r="L16" s="104">
        <f t="shared" si="0"/>
        <v>0</v>
      </c>
      <c r="M16" s="104">
        <f t="shared" si="1"/>
        <v>0</v>
      </c>
      <c r="N16" s="67">
        <f t="shared" si="2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3"/>
        <v>0</v>
      </c>
      <c r="L17" s="104">
        <f t="shared" si="0"/>
        <v>0</v>
      </c>
      <c r="M17" s="104">
        <f t="shared" si="1"/>
        <v>0</v>
      </c>
      <c r="N17" s="67">
        <f t="shared" si="2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3"/>
        <v>0</v>
      </c>
      <c r="L18" s="104">
        <f t="shared" si="0"/>
        <v>0</v>
      </c>
      <c r="M18" s="104">
        <f t="shared" si="1"/>
        <v>0</v>
      </c>
      <c r="N18" s="67">
        <f t="shared" si="2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3"/>
        <v>0</v>
      </c>
      <c r="L19" s="104">
        <f t="shared" si="0"/>
        <v>0</v>
      </c>
      <c r="M19" s="104">
        <f t="shared" si="1"/>
        <v>0</v>
      </c>
      <c r="N19" s="67">
        <f t="shared" si="2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3"/>
        <v>0</v>
      </c>
      <c r="L20" s="104">
        <f t="shared" si="0"/>
        <v>0</v>
      </c>
      <c r="M20" s="104">
        <f t="shared" si="1"/>
        <v>0</v>
      </c>
      <c r="N20" s="67">
        <f t="shared" si="2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3"/>
        <v>0</v>
      </c>
      <c r="L21" s="104">
        <f t="shared" si="0"/>
        <v>0</v>
      </c>
      <c r="M21" s="104">
        <f t="shared" si="1"/>
        <v>0</v>
      </c>
      <c r="N21" s="67">
        <f t="shared" si="2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3"/>
        <v>0</v>
      </c>
      <c r="L22" s="104">
        <f t="shared" si="0"/>
        <v>0</v>
      </c>
      <c r="M22" s="104">
        <f t="shared" si="1"/>
        <v>0</v>
      </c>
      <c r="N22" s="67">
        <f t="shared" si="2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3"/>
        <v>0</v>
      </c>
      <c r="L23" s="104">
        <f t="shared" si="0"/>
        <v>0</v>
      </c>
      <c r="M23" s="104">
        <f t="shared" si="1"/>
        <v>0</v>
      </c>
      <c r="N23" s="67">
        <f t="shared" si="2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3"/>
        <v>0</v>
      </c>
      <c r="L24" s="104">
        <f t="shared" si="0"/>
        <v>0</v>
      </c>
      <c r="M24" s="104">
        <f t="shared" si="1"/>
        <v>0</v>
      </c>
      <c r="N24" s="67">
        <f t="shared" si="2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3"/>
        <v>0</v>
      </c>
      <c r="L25" s="104">
        <f t="shared" si="0"/>
        <v>0</v>
      </c>
      <c r="M25" s="104">
        <f t="shared" si="1"/>
        <v>0</v>
      </c>
      <c r="N25" s="67">
        <f t="shared" si="2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3"/>
        <v>0</v>
      </c>
      <c r="L26" s="73">
        <f t="shared" si="0"/>
        <v>0</v>
      </c>
      <c r="M26" s="73">
        <f t="shared" si="1"/>
        <v>0</v>
      </c>
      <c r="N26" s="74">
        <f t="shared" si="2"/>
        <v>0</v>
      </c>
    </row>
  </sheetData>
  <sheetProtection algorithmName="SHA-512" hashValue="XzQGN92gNibf2CSG+NeZe6pEJblLoP0SqSIN8W7G5l0dY+1uthWK7gW8x7kgaUKUIv6HrLnPL1fljqbAYICuoA==" saltValue="q3T+I3JgPsf7cmI1kv6IZw==" spinCount="100000" sheet="1" selectLockedCells="1"/>
  <mergeCells count="5">
    <mergeCell ref="A1:C2"/>
    <mergeCell ref="D1:E2"/>
    <mergeCell ref="F1:H2"/>
    <mergeCell ref="A3:B3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FA21F0D-717C-4D51-9BE7-D6C8F58FDC64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48DB-6118-4776-8BB1-0D394EC5DA95}">
  <dimension ref="A1:O26"/>
  <sheetViews>
    <sheetView showGridLines="0" showZeros="0" workbookViewId="0">
      <selection activeCell="F1" sqref="F1:H2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5" ht="15.75" customHeight="1" x14ac:dyDescent="0.25">
      <c r="A1" s="150" t="s">
        <v>3</v>
      </c>
      <c r="B1" s="151"/>
      <c r="C1" s="151"/>
      <c r="D1" s="148" t="s">
        <v>8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5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18</v>
      </c>
      <c r="M2" s="2"/>
    </row>
    <row r="3" spans="1:15" ht="15" customHeight="1" x14ac:dyDescent="0.25">
      <c r="A3" s="154" t="s">
        <v>45</v>
      </c>
      <c r="B3" s="155"/>
      <c r="C3" s="57">
        <v>18</v>
      </c>
      <c r="D3" s="55" t="s">
        <v>4</v>
      </c>
      <c r="E3" s="52">
        <f>C3+C4</f>
        <v>18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5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18</v>
      </c>
      <c r="M4" s="2"/>
    </row>
    <row r="5" spans="1:15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90.75" thickBot="1" x14ac:dyDescent="0.3">
      <c r="A6" s="7" t="s">
        <v>0</v>
      </c>
      <c r="B6" s="8" t="s">
        <v>1</v>
      </c>
      <c r="C6" s="8" t="s">
        <v>5</v>
      </c>
      <c r="D6" s="8" t="s">
        <v>2</v>
      </c>
      <c r="E6" s="8" t="s">
        <v>6</v>
      </c>
      <c r="F6" s="10" t="s">
        <v>40</v>
      </c>
      <c r="G6" s="9" t="s">
        <v>39</v>
      </c>
      <c r="H6" s="9" t="s">
        <v>38</v>
      </c>
      <c r="I6" s="9" t="s">
        <v>41</v>
      </c>
      <c r="J6" s="10" t="s">
        <v>42</v>
      </c>
      <c r="K6" s="53" t="s">
        <v>69</v>
      </c>
      <c r="L6" s="53" t="s">
        <v>70</v>
      </c>
      <c r="M6" s="53" t="s">
        <v>78</v>
      </c>
      <c r="N6" s="54" t="s">
        <v>71</v>
      </c>
    </row>
    <row r="7" spans="1:15" x14ac:dyDescent="0.25">
      <c r="A7" s="26">
        <v>1</v>
      </c>
      <c r="B7" s="27"/>
      <c r="C7" s="28"/>
      <c r="D7" s="46"/>
      <c r="E7" s="28"/>
      <c r="F7" s="28"/>
      <c r="G7" s="28"/>
      <c r="H7" s="28"/>
      <c r="I7" s="28"/>
      <c r="J7" s="28"/>
      <c r="K7" s="62">
        <f>IF(F7+G7+H7=0,0,F7+G7+H7)</f>
        <v>0</v>
      </c>
      <c r="L7" s="62">
        <f>I7+J7</f>
        <v>0</v>
      </c>
      <c r="M7" s="62">
        <f>K7-L7</f>
        <v>0</v>
      </c>
      <c r="N7" s="63">
        <f>IFERROR((M7*$E$4)/1000,"")</f>
        <v>0</v>
      </c>
    </row>
    <row r="8" spans="1:15" x14ac:dyDescent="0.25">
      <c r="A8" s="33">
        <v>2</v>
      </c>
      <c r="B8" s="29"/>
      <c r="C8" s="30"/>
      <c r="D8" s="36"/>
      <c r="E8" s="30"/>
      <c r="F8" s="30"/>
      <c r="G8" s="30"/>
      <c r="H8" s="30"/>
      <c r="I8" s="30"/>
      <c r="J8" s="30"/>
      <c r="K8" s="104">
        <f>IF(F8+G8+H8=0,0,F8+G8+H8)</f>
        <v>0</v>
      </c>
      <c r="L8" s="104">
        <f t="shared" ref="L8:L26" si="0">I8+J8</f>
        <v>0</v>
      </c>
      <c r="M8" s="104">
        <f t="shared" ref="M8:M26" si="1">K8-L8</f>
        <v>0</v>
      </c>
      <c r="N8" s="67">
        <f t="shared" ref="N8:N26" si="2">IFERROR((M8*$E$4)/1000,"")</f>
        <v>0</v>
      </c>
    </row>
    <row r="9" spans="1:15" x14ac:dyDescent="0.25">
      <c r="A9" s="33">
        <v>3</v>
      </c>
      <c r="B9" s="29"/>
      <c r="C9" s="30"/>
      <c r="D9" s="36"/>
      <c r="E9" s="30"/>
      <c r="F9" s="30"/>
      <c r="G9" s="30"/>
      <c r="H9" s="30"/>
      <c r="I9" s="30"/>
      <c r="J9" s="30"/>
      <c r="K9" s="104">
        <f t="shared" ref="K9:K26" si="3">IF(F9+G9+H9=0,0,F9+G9+H9)</f>
        <v>0</v>
      </c>
      <c r="L9" s="104">
        <f t="shared" si="0"/>
        <v>0</v>
      </c>
      <c r="M9" s="104">
        <f t="shared" si="1"/>
        <v>0</v>
      </c>
      <c r="N9" s="67">
        <f t="shared" si="2"/>
        <v>0</v>
      </c>
    </row>
    <row r="10" spans="1:15" x14ac:dyDescent="0.25">
      <c r="A10" s="33">
        <v>4</v>
      </c>
      <c r="B10" s="29"/>
      <c r="C10" s="30"/>
      <c r="D10" s="36"/>
      <c r="E10" s="30"/>
      <c r="F10" s="30"/>
      <c r="G10" s="30"/>
      <c r="H10" s="30"/>
      <c r="I10" s="30"/>
      <c r="J10" s="30"/>
      <c r="K10" s="104">
        <f t="shared" si="3"/>
        <v>0</v>
      </c>
      <c r="L10" s="104">
        <f t="shared" si="0"/>
        <v>0</v>
      </c>
      <c r="M10" s="104">
        <f t="shared" si="1"/>
        <v>0</v>
      </c>
      <c r="N10" s="67">
        <f t="shared" si="2"/>
        <v>0</v>
      </c>
    </row>
    <row r="11" spans="1:15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3"/>
        <v>0</v>
      </c>
      <c r="L11" s="104">
        <f t="shared" si="0"/>
        <v>0</v>
      </c>
      <c r="M11" s="104">
        <f t="shared" si="1"/>
        <v>0</v>
      </c>
      <c r="N11" s="67">
        <f t="shared" si="2"/>
        <v>0</v>
      </c>
    </row>
    <row r="12" spans="1:15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3"/>
        <v>0</v>
      </c>
      <c r="L12" s="104">
        <f t="shared" si="0"/>
        <v>0</v>
      </c>
      <c r="M12" s="104">
        <f t="shared" si="1"/>
        <v>0</v>
      </c>
      <c r="N12" s="67">
        <f t="shared" si="2"/>
        <v>0</v>
      </c>
    </row>
    <row r="13" spans="1:15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3"/>
        <v>0</v>
      </c>
      <c r="L13" s="104">
        <f t="shared" si="0"/>
        <v>0</v>
      </c>
      <c r="M13" s="104">
        <f t="shared" si="1"/>
        <v>0</v>
      </c>
      <c r="N13" s="67">
        <f t="shared" si="2"/>
        <v>0</v>
      </c>
    </row>
    <row r="14" spans="1:15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3"/>
        <v>0</v>
      </c>
      <c r="L14" s="104">
        <f t="shared" si="0"/>
        <v>0</v>
      </c>
      <c r="M14" s="104">
        <f t="shared" si="1"/>
        <v>0</v>
      </c>
      <c r="N14" s="67">
        <f t="shared" si="2"/>
        <v>0</v>
      </c>
    </row>
    <row r="15" spans="1:15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3"/>
        <v>0</v>
      </c>
      <c r="L15" s="104">
        <f t="shared" si="0"/>
        <v>0</v>
      </c>
      <c r="M15" s="104">
        <f t="shared" si="1"/>
        <v>0</v>
      </c>
      <c r="N15" s="67">
        <f t="shared" si="2"/>
        <v>0</v>
      </c>
    </row>
    <row r="16" spans="1:15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3"/>
        <v>0</v>
      </c>
      <c r="L16" s="104">
        <f t="shared" si="0"/>
        <v>0</v>
      </c>
      <c r="M16" s="104">
        <f t="shared" si="1"/>
        <v>0</v>
      </c>
      <c r="N16" s="67">
        <f t="shared" si="2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3"/>
        <v>0</v>
      </c>
      <c r="L17" s="104">
        <f t="shared" si="0"/>
        <v>0</v>
      </c>
      <c r="M17" s="104">
        <f t="shared" si="1"/>
        <v>0</v>
      </c>
      <c r="N17" s="67">
        <f t="shared" si="2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3"/>
        <v>0</v>
      </c>
      <c r="L18" s="104">
        <f t="shared" si="0"/>
        <v>0</v>
      </c>
      <c r="M18" s="104">
        <f t="shared" si="1"/>
        <v>0</v>
      </c>
      <c r="N18" s="67">
        <f t="shared" si="2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3"/>
        <v>0</v>
      </c>
      <c r="L19" s="104">
        <f t="shared" si="0"/>
        <v>0</v>
      </c>
      <c r="M19" s="104">
        <f t="shared" si="1"/>
        <v>0</v>
      </c>
      <c r="N19" s="67">
        <f t="shared" si="2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3"/>
        <v>0</v>
      </c>
      <c r="L20" s="104">
        <f t="shared" si="0"/>
        <v>0</v>
      </c>
      <c r="M20" s="104">
        <f t="shared" si="1"/>
        <v>0</v>
      </c>
      <c r="N20" s="67">
        <f t="shared" si="2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3"/>
        <v>0</v>
      </c>
      <c r="L21" s="104">
        <f t="shared" si="0"/>
        <v>0</v>
      </c>
      <c r="M21" s="104">
        <f t="shared" si="1"/>
        <v>0</v>
      </c>
      <c r="N21" s="67">
        <f t="shared" si="2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3"/>
        <v>0</v>
      </c>
      <c r="L22" s="104">
        <f t="shared" si="0"/>
        <v>0</v>
      </c>
      <c r="M22" s="104">
        <f t="shared" si="1"/>
        <v>0</v>
      </c>
      <c r="N22" s="67">
        <f t="shared" si="2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3"/>
        <v>0</v>
      </c>
      <c r="L23" s="104">
        <f t="shared" si="0"/>
        <v>0</v>
      </c>
      <c r="M23" s="104">
        <f t="shared" si="1"/>
        <v>0</v>
      </c>
      <c r="N23" s="67">
        <f t="shared" si="2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3"/>
        <v>0</v>
      </c>
      <c r="L24" s="104">
        <f t="shared" si="0"/>
        <v>0</v>
      </c>
      <c r="M24" s="104">
        <f t="shared" si="1"/>
        <v>0</v>
      </c>
      <c r="N24" s="67">
        <f t="shared" si="2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3"/>
        <v>0</v>
      </c>
      <c r="L25" s="104">
        <f t="shared" si="0"/>
        <v>0</v>
      </c>
      <c r="M25" s="104">
        <f t="shared" si="1"/>
        <v>0</v>
      </c>
      <c r="N25" s="67">
        <f t="shared" si="2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3"/>
        <v>0</v>
      </c>
      <c r="L26" s="73">
        <f t="shared" si="0"/>
        <v>0</v>
      </c>
      <c r="M26" s="73">
        <f t="shared" si="1"/>
        <v>0</v>
      </c>
      <c r="N26" s="74">
        <f t="shared" si="2"/>
        <v>0</v>
      </c>
    </row>
  </sheetData>
  <sheetProtection algorithmName="SHA-512" hashValue="eSremeLiDKhyvGgsNM+1NerzPwFfmkGjCApSFhm8C5hG1fBOICst5YMa8pynMSIo5/VwRk7TPuemx+i6gUaNWA==" saltValue="0p63jBYvFTVc1QrroR+mOQ==" spinCount="100000" sheet="1" selectLockedCells="1"/>
  <mergeCells count="5">
    <mergeCell ref="A1:C2"/>
    <mergeCell ref="D1:E2"/>
    <mergeCell ref="F1:H2"/>
    <mergeCell ref="A3:B3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75970F-7912-464E-8B92-FB6229B6A272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CE603-7394-4E79-B333-202C7721F6E9}">
  <dimension ref="A1:O26"/>
  <sheetViews>
    <sheetView showGridLines="0" showZeros="0" workbookViewId="0">
      <selection activeCell="E14" sqref="E14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5" ht="15.75" customHeight="1" x14ac:dyDescent="0.25">
      <c r="A1" s="150" t="s">
        <v>3</v>
      </c>
      <c r="B1" s="151"/>
      <c r="C1" s="151"/>
      <c r="D1" s="148" t="s">
        <v>55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5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58.2</v>
      </c>
      <c r="M2" s="2"/>
    </row>
    <row r="3" spans="1:15" ht="15" customHeight="1" x14ac:dyDescent="0.25">
      <c r="A3" s="154" t="s">
        <v>45</v>
      </c>
      <c r="B3" s="155"/>
      <c r="C3" s="57">
        <v>163.4</v>
      </c>
      <c r="D3" s="55" t="s">
        <v>4</v>
      </c>
      <c r="E3" s="52">
        <f>C3+C4</f>
        <v>163.4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5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58.2</v>
      </c>
      <c r="M4" s="2"/>
    </row>
    <row r="5" spans="1:15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90.75" thickBot="1" x14ac:dyDescent="0.3">
      <c r="A6" s="7" t="s">
        <v>0</v>
      </c>
      <c r="B6" s="8" t="s">
        <v>1</v>
      </c>
      <c r="C6" s="8" t="s">
        <v>5</v>
      </c>
      <c r="D6" s="8" t="s">
        <v>2</v>
      </c>
      <c r="E6" s="8" t="s">
        <v>6</v>
      </c>
      <c r="F6" s="10" t="s">
        <v>40</v>
      </c>
      <c r="G6" s="9" t="s">
        <v>39</v>
      </c>
      <c r="H6" s="9" t="s">
        <v>38</v>
      </c>
      <c r="I6" s="9" t="s">
        <v>41</v>
      </c>
      <c r="J6" s="10" t="s">
        <v>42</v>
      </c>
      <c r="K6" s="53" t="s">
        <v>69</v>
      </c>
      <c r="L6" s="53" t="s">
        <v>70</v>
      </c>
      <c r="M6" s="53" t="s">
        <v>78</v>
      </c>
      <c r="N6" s="54" t="s">
        <v>71</v>
      </c>
    </row>
    <row r="7" spans="1:15" x14ac:dyDescent="0.25">
      <c r="A7" s="26">
        <v>1</v>
      </c>
      <c r="B7" s="27">
        <v>45422</v>
      </c>
      <c r="C7" s="28" t="s">
        <v>87</v>
      </c>
      <c r="D7" s="46" t="s">
        <v>88</v>
      </c>
      <c r="E7" s="28">
        <v>647333</v>
      </c>
      <c r="F7" s="28">
        <v>105.2</v>
      </c>
      <c r="G7" s="28"/>
      <c r="H7" s="28"/>
      <c r="I7" s="28"/>
      <c r="J7" s="28"/>
      <c r="K7" s="62">
        <f>IF(F7+G7+H7=0,0,F7+G7+H7)</f>
        <v>105.2</v>
      </c>
      <c r="L7" s="62">
        <f>I7+J7</f>
        <v>0</v>
      </c>
      <c r="M7" s="62">
        <f>K7-L7</f>
        <v>105.2</v>
      </c>
      <c r="N7" s="63">
        <f>IFERROR((M7*$E$4)/1000,"")</f>
        <v>414.488</v>
      </c>
    </row>
    <row r="8" spans="1:15" x14ac:dyDescent="0.25">
      <c r="A8" s="33">
        <v>2</v>
      </c>
      <c r="B8" s="29"/>
      <c r="C8" s="30"/>
      <c r="D8" s="36"/>
      <c r="E8" s="30"/>
      <c r="F8" s="30"/>
      <c r="G8" s="30"/>
      <c r="H8" s="30"/>
      <c r="I8" s="30"/>
      <c r="J8" s="30"/>
      <c r="K8" s="104">
        <f>IF(F8+G8+H8=0,0,F8+G8+H8)</f>
        <v>0</v>
      </c>
      <c r="L8" s="104">
        <f t="shared" ref="L8:L26" si="0">I8+J8</f>
        <v>0</v>
      </c>
      <c r="M8" s="104">
        <f t="shared" ref="M8:M26" si="1">K8-L8</f>
        <v>0</v>
      </c>
      <c r="N8" s="67">
        <f t="shared" ref="N8:N26" si="2">IFERROR((M8*$E$4)/1000,"")</f>
        <v>0</v>
      </c>
    </row>
    <row r="9" spans="1:15" x14ac:dyDescent="0.25">
      <c r="A9" s="33">
        <v>3</v>
      </c>
      <c r="B9" s="29"/>
      <c r="C9" s="30"/>
      <c r="D9" s="36"/>
      <c r="E9" s="30"/>
      <c r="F9" s="30"/>
      <c r="G9" s="30"/>
      <c r="H9" s="30"/>
      <c r="I9" s="30"/>
      <c r="J9" s="30"/>
      <c r="K9" s="104">
        <f t="shared" ref="K9:K26" si="3">IF(F9+G9+H9=0,0,F9+G9+H9)</f>
        <v>0</v>
      </c>
      <c r="L9" s="104">
        <f t="shared" si="0"/>
        <v>0</v>
      </c>
      <c r="M9" s="104">
        <f t="shared" si="1"/>
        <v>0</v>
      </c>
      <c r="N9" s="67">
        <f t="shared" si="2"/>
        <v>0</v>
      </c>
    </row>
    <row r="10" spans="1:15" x14ac:dyDescent="0.25">
      <c r="A10" s="33">
        <v>4</v>
      </c>
      <c r="B10" s="29"/>
      <c r="C10" s="30"/>
      <c r="D10" s="36"/>
      <c r="E10" s="30"/>
      <c r="F10" s="30"/>
      <c r="G10" s="30"/>
      <c r="H10" s="30"/>
      <c r="I10" s="30"/>
      <c r="J10" s="30"/>
      <c r="K10" s="104">
        <f t="shared" si="3"/>
        <v>0</v>
      </c>
      <c r="L10" s="104">
        <f t="shared" si="0"/>
        <v>0</v>
      </c>
      <c r="M10" s="104">
        <f t="shared" si="1"/>
        <v>0</v>
      </c>
      <c r="N10" s="67">
        <f t="shared" si="2"/>
        <v>0</v>
      </c>
    </row>
    <row r="11" spans="1:15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3"/>
        <v>0</v>
      </c>
      <c r="L11" s="104">
        <f t="shared" si="0"/>
        <v>0</v>
      </c>
      <c r="M11" s="104">
        <f t="shared" si="1"/>
        <v>0</v>
      </c>
      <c r="N11" s="67">
        <f t="shared" si="2"/>
        <v>0</v>
      </c>
    </row>
    <row r="12" spans="1:15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3"/>
        <v>0</v>
      </c>
      <c r="L12" s="104">
        <f t="shared" si="0"/>
        <v>0</v>
      </c>
      <c r="M12" s="104">
        <f t="shared" si="1"/>
        <v>0</v>
      </c>
      <c r="N12" s="67">
        <f t="shared" si="2"/>
        <v>0</v>
      </c>
    </row>
    <row r="13" spans="1:15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3"/>
        <v>0</v>
      </c>
      <c r="L13" s="104">
        <f t="shared" si="0"/>
        <v>0</v>
      </c>
      <c r="M13" s="104">
        <f t="shared" si="1"/>
        <v>0</v>
      </c>
      <c r="N13" s="67">
        <f t="shared" si="2"/>
        <v>0</v>
      </c>
    </row>
    <row r="14" spans="1:15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3"/>
        <v>0</v>
      </c>
      <c r="L14" s="104">
        <f t="shared" si="0"/>
        <v>0</v>
      </c>
      <c r="M14" s="104">
        <f t="shared" si="1"/>
        <v>0</v>
      </c>
      <c r="N14" s="67">
        <f t="shared" si="2"/>
        <v>0</v>
      </c>
    </row>
    <row r="15" spans="1:15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3"/>
        <v>0</v>
      </c>
      <c r="L15" s="104">
        <f t="shared" si="0"/>
        <v>0</v>
      </c>
      <c r="M15" s="104">
        <f t="shared" si="1"/>
        <v>0</v>
      </c>
      <c r="N15" s="67">
        <f t="shared" si="2"/>
        <v>0</v>
      </c>
    </row>
    <row r="16" spans="1:15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3"/>
        <v>0</v>
      </c>
      <c r="L16" s="104">
        <f t="shared" si="0"/>
        <v>0</v>
      </c>
      <c r="M16" s="104">
        <f t="shared" si="1"/>
        <v>0</v>
      </c>
      <c r="N16" s="67">
        <f t="shared" si="2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3"/>
        <v>0</v>
      </c>
      <c r="L17" s="104">
        <f t="shared" si="0"/>
        <v>0</v>
      </c>
      <c r="M17" s="104">
        <f t="shared" si="1"/>
        <v>0</v>
      </c>
      <c r="N17" s="67">
        <f t="shared" si="2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3"/>
        <v>0</v>
      </c>
      <c r="L18" s="104">
        <f t="shared" si="0"/>
        <v>0</v>
      </c>
      <c r="M18" s="104">
        <f t="shared" si="1"/>
        <v>0</v>
      </c>
      <c r="N18" s="67">
        <f t="shared" si="2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3"/>
        <v>0</v>
      </c>
      <c r="L19" s="104">
        <f t="shared" si="0"/>
        <v>0</v>
      </c>
      <c r="M19" s="104">
        <f t="shared" si="1"/>
        <v>0</v>
      </c>
      <c r="N19" s="67">
        <f t="shared" si="2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3"/>
        <v>0</v>
      </c>
      <c r="L20" s="104">
        <f t="shared" si="0"/>
        <v>0</v>
      </c>
      <c r="M20" s="104">
        <f t="shared" si="1"/>
        <v>0</v>
      </c>
      <c r="N20" s="67">
        <f t="shared" si="2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3"/>
        <v>0</v>
      </c>
      <c r="L21" s="104">
        <f t="shared" si="0"/>
        <v>0</v>
      </c>
      <c r="M21" s="104">
        <f t="shared" si="1"/>
        <v>0</v>
      </c>
      <c r="N21" s="67">
        <f t="shared" si="2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3"/>
        <v>0</v>
      </c>
      <c r="L22" s="104">
        <f t="shared" si="0"/>
        <v>0</v>
      </c>
      <c r="M22" s="104">
        <f t="shared" si="1"/>
        <v>0</v>
      </c>
      <c r="N22" s="67">
        <f t="shared" si="2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3"/>
        <v>0</v>
      </c>
      <c r="L23" s="104">
        <f t="shared" si="0"/>
        <v>0</v>
      </c>
      <c r="M23" s="104">
        <f t="shared" si="1"/>
        <v>0</v>
      </c>
      <c r="N23" s="67">
        <f t="shared" si="2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3"/>
        <v>0</v>
      </c>
      <c r="L24" s="104">
        <f t="shared" si="0"/>
        <v>0</v>
      </c>
      <c r="M24" s="104">
        <f t="shared" si="1"/>
        <v>0</v>
      </c>
      <c r="N24" s="67">
        <f t="shared" si="2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3"/>
        <v>0</v>
      </c>
      <c r="L25" s="104">
        <f t="shared" si="0"/>
        <v>0</v>
      </c>
      <c r="M25" s="104">
        <f t="shared" si="1"/>
        <v>0</v>
      </c>
      <c r="N25" s="67">
        <f t="shared" si="2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3"/>
        <v>0</v>
      </c>
      <c r="L26" s="73">
        <f t="shared" si="0"/>
        <v>0</v>
      </c>
      <c r="M26" s="73">
        <f t="shared" si="1"/>
        <v>0</v>
      </c>
      <c r="N26" s="74">
        <f t="shared" si="2"/>
        <v>0</v>
      </c>
    </row>
  </sheetData>
  <sheetProtection algorithmName="SHA-512" hashValue="NBx0VVL6VUajdrXptUUFgfrGsXM2dJz8THIb7unaZxgZXUDGNYIMUDaztkUE2IshBv+xB+0x+eq+FjCGda08pw==" saltValue="xDFC4yiR1eW3fviDU2YSRA==" spinCount="100000" sheet="1" selectLockedCells="1"/>
  <mergeCells count="5">
    <mergeCell ref="A1:C2"/>
    <mergeCell ref="D1:E2"/>
    <mergeCell ref="F1:H2"/>
    <mergeCell ref="A3:B3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2F37D72-C64F-4BE2-B260-7C7493A45411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C877-2126-463F-BC39-1C6612680987}">
  <dimension ref="A1:O26"/>
  <sheetViews>
    <sheetView showGridLines="0" showZeros="0" workbookViewId="0">
      <selection activeCell="C3" sqref="C3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5" ht="15.75" customHeight="1" x14ac:dyDescent="0.25">
      <c r="A1" s="150" t="s">
        <v>3</v>
      </c>
      <c r="B1" s="151"/>
      <c r="C1" s="151"/>
      <c r="D1" s="148" t="s">
        <v>7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5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0</v>
      </c>
      <c r="M2" s="2"/>
    </row>
    <row r="3" spans="1:15" ht="15" customHeight="1" x14ac:dyDescent="0.25">
      <c r="A3" s="154" t="s">
        <v>45</v>
      </c>
      <c r="B3" s="155"/>
      <c r="C3" s="57">
        <v>0</v>
      </c>
      <c r="D3" s="55" t="s">
        <v>4</v>
      </c>
      <c r="E3" s="52">
        <f>C3+C4</f>
        <v>0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5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0</v>
      </c>
      <c r="M4" s="2"/>
    </row>
    <row r="5" spans="1:15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90.75" thickBot="1" x14ac:dyDescent="0.3">
      <c r="A6" s="7" t="s">
        <v>0</v>
      </c>
      <c r="B6" s="8" t="s">
        <v>1</v>
      </c>
      <c r="C6" s="8" t="s">
        <v>5</v>
      </c>
      <c r="D6" s="8" t="s">
        <v>2</v>
      </c>
      <c r="E6" s="8" t="s">
        <v>6</v>
      </c>
      <c r="F6" s="10" t="s">
        <v>40</v>
      </c>
      <c r="G6" s="9" t="s">
        <v>39</v>
      </c>
      <c r="H6" s="9" t="s">
        <v>38</v>
      </c>
      <c r="I6" s="9" t="s">
        <v>41</v>
      </c>
      <c r="J6" s="10" t="s">
        <v>42</v>
      </c>
      <c r="K6" s="53" t="s">
        <v>69</v>
      </c>
      <c r="L6" s="53" t="s">
        <v>70</v>
      </c>
      <c r="M6" s="53" t="s">
        <v>78</v>
      </c>
      <c r="N6" s="54" t="s">
        <v>71</v>
      </c>
    </row>
    <row r="7" spans="1:15" x14ac:dyDescent="0.25">
      <c r="A7" s="26">
        <v>1</v>
      </c>
      <c r="B7" s="27"/>
      <c r="C7" s="28"/>
      <c r="D7" s="46"/>
      <c r="E7" s="28"/>
      <c r="F7" s="28"/>
      <c r="G7" s="28"/>
      <c r="H7" s="28"/>
      <c r="I7" s="28"/>
      <c r="J7" s="28"/>
      <c r="K7" s="62">
        <f>IF(F7+G7+H7=0,0,F7+G7+H7)</f>
        <v>0</v>
      </c>
      <c r="L7" s="62">
        <f>I7+J7</f>
        <v>0</v>
      </c>
      <c r="M7" s="62">
        <f>K7-L7</f>
        <v>0</v>
      </c>
      <c r="N7" s="63">
        <f>IFERROR((M7*$E$4)/1000,"")</f>
        <v>0</v>
      </c>
    </row>
    <row r="8" spans="1:15" x14ac:dyDescent="0.25">
      <c r="A8" s="33">
        <v>2</v>
      </c>
      <c r="B8" s="29"/>
      <c r="C8" s="30"/>
      <c r="D8" s="36"/>
      <c r="E8" s="30"/>
      <c r="F8" s="30"/>
      <c r="G8" s="30"/>
      <c r="H8" s="30"/>
      <c r="I8" s="30"/>
      <c r="J8" s="30"/>
      <c r="K8" s="104">
        <f>IF(F8+G8+H8=0,0,F8+G8+H8)</f>
        <v>0</v>
      </c>
      <c r="L8" s="104">
        <f t="shared" ref="L8:L26" si="0">I8+J8</f>
        <v>0</v>
      </c>
      <c r="M8" s="104">
        <f t="shared" ref="M8:M26" si="1">K8-L8</f>
        <v>0</v>
      </c>
      <c r="N8" s="67">
        <f t="shared" ref="N8:N26" si="2">IFERROR((M8*$E$4)/1000,"")</f>
        <v>0</v>
      </c>
    </row>
    <row r="9" spans="1:15" x14ac:dyDescent="0.25">
      <c r="A9" s="33">
        <v>3</v>
      </c>
      <c r="B9" s="29"/>
      <c r="C9" s="30"/>
      <c r="D9" s="36"/>
      <c r="E9" s="30"/>
      <c r="F9" s="30"/>
      <c r="G9" s="30"/>
      <c r="H9" s="30"/>
      <c r="I9" s="30"/>
      <c r="J9" s="30"/>
      <c r="K9" s="104">
        <f t="shared" ref="K9:K26" si="3">IF(F9+G9+H9=0,0,F9+G9+H9)</f>
        <v>0</v>
      </c>
      <c r="L9" s="104">
        <f t="shared" si="0"/>
        <v>0</v>
      </c>
      <c r="M9" s="104">
        <f t="shared" si="1"/>
        <v>0</v>
      </c>
      <c r="N9" s="67">
        <f t="shared" si="2"/>
        <v>0</v>
      </c>
    </row>
    <row r="10" spans="1:15" x14ac:dyDescent="0.25">
      <c r="A10" s="33">
        <v>4</v>
      </c>
      <c r="B10" s="29"/>
      <c r="C10" s="30"/>
      <c r="D10" s="36"/>
      <c r="E10" s="30"/>
      <c r="F10" s="30"/>
      <c r="G10" s="30"/>
      <c r="H10" s="30"/>
      <c r="I10" s="30"/>
      <c r="J10" s="30"/>
      <c r="K10" s="104">
        <f t="shared" si="3"/>
        <v>0</v>
      </c>
      <c r="L10" s="104">
        <f t="shared" si="0"/>
        <v>0</v>
      </c>
      <c r="M10" s="104">
        <f t="shared" si="1"/>
        <v>0</v>
      </c>
      <c r="N10" s="67">
        <f t="shared" si="2"/>
        <v>0</v>
      </c>
    </row>
    <row r="11" spans="1:15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3"/>
        <v>0</v>
      </c>
      <c r="L11" s="104">
        <f t="shared" si="0"/>
        <v>0</v>
      </c>
      <c r="M11" s="104">
        <f t="shared" si="1"/>
        <v>0</v>
      </c>
      <c r="N11" s="67">
        <f t="shared" si="2"/>
        <v>0</v>
      </c>
    </row>
    <row r="12" spans="1:15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3"/>
        <v>0</v>
      </c>
      <c r="L12" s="104">
        <f t="shared" si="0"/>
        <v>0</v>
      </c>
      <c r="M12" s="104">
        <f t="shared" si="1"/>
        <v>0</v>
      </c>
      <c r="N12" s="67">
        <f t="shared" si="2"/>
        <v>0</v>
      </c>
    </row>
    <row r="13" spans="1:15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3"/>
        <v>0</v>
      </c>
      <c r="L13" s="104">
        <f t="shared" si="0"/>
        <v>0</v>
      </c>
      <c r="M13" s="104">
        <f t="shared" si="1"/>
        <v>0</v>
      </c>
      <c r="N13" s="67">
        <f t="shared" si="2"/>
        <v>0</v>
      </c>
    </row>
    <row r="14" spans="1:15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3"/>
        <v>0</v>
      </c>
      <c r="L14" s="104">
        <f t="shared" si="0"/>
        <v>0</v>
      </c>
      <c r="M14" s="104">
        <f t="shared" si="1"/>
        <v>0</v>
      </c>
      <c r="N14" s="67">
        <f t="shared" si="2"/>
        <v>0</v>
      </c>
    </row>
    <row r="15" spans="1:15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3"/>
        <v>0</v>
      </c>
      <c r="L15" s="104">
        <f t="shared" si="0"/>
        <v>0</v>
      </c>
      <c r="M15" s="104">
        <f t="shared" si="1"/>
        <v>0</v>
      </c>
      <c r="N15" s="67">
        <f t="shared" si="2"/>
        <v>0</v>
      </c>
    </row>
    <row r="16" spans="1:15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3"/>
        <v>0</v>
      </c>
      <c r="L16" s="104">
        <f t="shared" si="0"/>
        <v>0</v>
      </c>
      <c r="M16" s="104">
        <f t="shared" si="1"/>
        <v>0</v>
      </c>
      <c r="N16" s="67">
        <f t="shared" si="2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3"/>
        <v>0</v>
      </c>
      <c r="L17" s="104">
        <f t="shared" si="0"/>
        <v>0</v>
      </c>
      <c r="M17" s="104">
        <f t="shared" si="1"/>
        <v>0</v>
      </c>
      <c r="N17" s="67">
        <f t="shared" si="2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3"/>
        <v>0</v>
      </c>
      <c r="L18" s="104">
        <f t="shared" si="0"/>
        <v>0</v>
      </c>
      <c r="M18" s="104">
        <f t="shared" si="1"/>
        <v>0</v>
      </c>
      <c r="N18" s="67">
        <f t="shared" si="2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3"/>
        <v>0</v>
      </c>
      <c r="L19" s="104">
        <f t="shared" si="0"/>
        <v>0</v>
      </c>
      <c r="M19" s="104">
        <f t="shared" si="1"/>
        <v>0</v>
      </c>
      <c r="N19" s="67">
        <f t="shared" si="2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3"/>
        <v>0</v>
      </c>
      <c r="L20" s="104">
        <f t="shared" si="0"/>
        <v>0</v>
      </c>
      <c r="M20" s="104">
        <f t="shared" si="1"/>
        <v>0</v>
      </c>
      <c r="N20" s="67">
        <f t="shared" si="2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3"/>
        <v>0</v>
      </c>
      <c r="L21" s="104">
        <f t="shared" si="0"/>
        <v>0</v>
      </c>
      <c r="M21" s="104">
        <f t="shared" si="1"/>
        <v>0</v>
      </c>
      <c r="N21" s="67">
        <f t="shared" si="2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3"/>
        <v>0</v>
      </c>
      <c r="L22" s="104">
        <f t="shared" si="0"/>
        <v>0</v>
      </c>
      <c r="M22" s="104">
        <f t="shared" si="1"/>
        <v>0</v>
      </c>
      <c r="N22" s="67">
        <f t="shared" si="2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3"/>
        <v>0</v>
      </c>
      <c r="L23" s="104">
        <f t="shared" si="0"/>
        <v>0</v>
      </c>
      <c r="M23" s="104">
        <f t="shared" si="1"/>
        <v>0</v>
      </c>
      <c r="N23" s="67">
        <f t="shared" si="2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3"/>
        <v>0</v>
      </c>
      <c r="L24" s="104">
        <f t="shared" si="0"/>
        <v>0</v>
      </c>
      <c r="M24" s="104">
        <f t="shared" si="1"/>
        <v>0</v>
      </c>
      <c r="N24" s="67">
        <f t="shared" si="2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3"/>
        <v>0</v>
      </c>
      <c r="L25" s="104">
        <f t="shared" si="0"/>
        <v>0</v>
      </c>
      <c r="M25" s="104">
        <f t="shared" si="1"/>
        <v>0</v>
      </c>
      <c r="N25" s="67">
        <f t="shared" si="2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3"/>
        <v>0</v>
      </c>
      <c r="L26" s="73">
        <f t="shared" si="0"/>
        <v>0</v>
      </c>
      <c r="M26" s="73">
        <f t="shared" si="1"/>
        <v>0</v>
      </c>
      <c r="N26" s="74">
        <f t="shared" si="2"/>
        <v>0</v>
      </c>
    </row>
  </sheetData>
  <sheetProtection algorithmName="SHA-512" hashValue="3qzdIRDjGGxAGwWfeQxY11hzQ6H5qYjMGHP6bs8gyIdW5c887Fjj2Bq6M/1tdk5157YR5TKIMp3IP6R5wDm/Kg==" saltValue="B8iqylH4mmtln9TXu3AD5Q==" spinCount="100000" sheet="1" selectLockedCells="1"/>
  <mergeCells count="5">
    <mergeCell ref="A1:C2"/>
    <mergeCell ref="D1:E2"/>
    <mergeCell ref="F1:H2"/>
    <mergeCell ref="A3:B3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4FE7D58-2D74-4762-93BF-7D3D3FB335AE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1E0D2-B78F-408F-817A-952F70E57D56}">
  <dimension ref="A1:O26"/>
  <sheetViews>
    <sheetView showGridLines="0" showZeros="0" workbookViewId="0">
      <selection activeCell="F1" sqref="F1:H2"/>
    </sheetView>
  </sheetViews>
  <sheetFormatPr baseColWidth="10" defaultRowHeight="15" x14ac:dyDescent="0.25"/>
  <cols>
    <col min="1" max="1" width="14.7109375" bestFit="1" customWidth="1"/>
    <col min="2" max="3" width="14.28515625" customWidth="1"/>
    <col min="4" max="4" width="51.42578125" customWidth="1"/>
    <col min="5" max="12" width="14.28515625" customWidth="1"/>
  </cols>
  <sheetData>
    <row r="1" spans="1:15" ht="15.75" customHeight="1" x14ac:dyDescent="0.25">
      <c r="A1" s="150" t="s">
        <v>3</v>
      </c>
      <c r="B1" s="151"/>
      <c r="C1" s="151"/>
      <c r="D1" s="148" t="s">
        <v>15</v>
      </c>
      <c r="E1" s="148"/>
      <c r="F1" s="142">
        <v>2024</v>
      </c>
      <c r="G1" s="143"/>
      <c r="H1" s="144"/>
      <c r="I1" s="17" t="s">
        <v>44</v>
      </c>
      <c r="J1" s="18"/>
      <c r="K1" s="4">
        <f>SUM(I7:I26)</f>
        <v>0</v>
      </c>
    </row>
    <row r="2" spans="1:15" ht="15.75" customHeight="1" thickBot="1" x14ac:dyDescent="0.3">
      <c r="A2" s="152"/>
      <c r="B2" s="153"/>
      <c r="C2" s="153"/>
      <c r="D2" s="149"/>
      <c r="E2" s="149"/>
      <c r="F2" s="145"/>
      <c r="G2" s="146"/>
      <c r="H2" s="147"/>
      <c r="I2" s="39" t="s">
        <v>43</v>
      </c>
      <c r="J2" s="20"/>
      <c r="K2" s="23">
        <f>C3+H4-H3-SUM(F7:F26)-SUM(H7:H26)</f>
        <v>55</v>
      </c>
      <c r="M2" s="2"/>
    </row>
    <row r="3" spans="1:15" ht="15" customHeight="1" x14ac:dyDescent="0.25">
      <c r="A3" s="154" t="s">
        <v>45</v>
      </c>
      <c r="B3" s="155"/>
      <c r="C3" s="42">
        <v>55</v>
      </c>
      <c r="D3" s="55" t="s">
        <v>4</v>
      </c>
      <c r="E3" s="52">
        <f>C3+C4</f>
        <v>55</v>
      </c>
      <c r="F3" s="13" t="s">
        <v>46</v>
      </c>
      <c r="G3" s="14"/>
      <c r="H3" s="44"/>
      <c r="I3" s="19" t="s">
        <v>20</v>
      </c>
      <c r="J3" s="20"/>
      <c r="K3" s="5">
        <f>C4+SUM(J7:J26)-SUM(G7:G26)</f>
        <v>0</v>
      </c>
      <c r="M3" s="2"/>
    </row>
    <row r="4" spans="1:15" ht="15.75" thickBot="1" x14ac:dyDescent="0.3">
      <c r="A4" s="156" t="s">
        <v>48</v>
      </c>
      <c r="B4" s="157"/>
      <c r="C4" s="43"/>
      <c r="D4" s="56" t="s">
        <v>75</v>
      </c>
      <c r="E4" s="3">
        <v>3940</v>
      </c>
      <c r="F4" s="15" t="s">
        <v>47</v>
      </c>
      <c r="G4" s="16"/>
      <c r="H4" s="3">
        <f>SUMIFS('Achat fluide'!G:G,'Achat fluide'!A:A,D1)</f>
        <v>0</v>
      </c>
      <c r="I4" s="21" t="s">
        <v>4</v>
      </c>
      <c r="J4" s="22"/>
      <c r="K4" s="6">
        <f>K2+K3</f>
        <v>55</v>
      </c>
      <c r="M4" s="2"/>
    </row>
    <row r="5" spans="1:15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s="1" customFormat="1" ht="90.75" thickBot="1" x14ac:dyDescent="0.3">
      <c r="A6" s="7" t="s">
        <v>0</v>
      </c>
      <c r="B6" s="8" t="s">
        <v>1</v>
      </c>
      <c r="C6" s="8" t="s">
        <v>5</v>
      </c>
      <c r="D6" s="8" t="s">
        <v>2</v>
      </c>
      <c r="E6" s="8" t="s">
        <v>6</v>
      </c>
      <c r="F6" s="10" t="s">
        <v>40</v>
      </c>
      <c r="G6" s="9" t="s">
        <v>39</v>
      </c>
      <c r="H6" s="9" t="s">
        <v>38</v>
      </c>
      <c r="I6" s="9" t="s">
        <v>41</v>
      </c>
      <c r="J6" s="10" t="s">
        <v>42</v>
      </c>
      <c r="K6" s="53" t="s">
        <v>69</v>
      </c>
      <c r="L6" s="53" t="s">
        <v>70</v>
      </c>
      <c r="M6" s="53" t="s">
        <v>78</v>
      </c>
      <c r="N6" s="54" t="s">
        <v>71</v>
      </c>
    </row>
    <row r="7" spans="1:15" x14ac:dyDescent="0.25">
      <c r="A7" s="26">
        <v>1</v>
      </c>
      <c r="B7" s="27"/>
      <c r="C7" s="28"/>
      <c r="D7" s="46"/>
      <c r="E7" s="28"/>
      <c r="F7" s="28"/>
      <c r="G7" s="28"/>
      <c r="H7" s="28"/>
      <c r="I7" s="28"/>
      <c r="J7" s="28"/>
      <c r="K7" s="62">
        <f>IF(F7+G7+H7=0,0,F7+G7+H7)</f>
        <v>0</v>
      </c>
      <c r="L7" s="62">
        <f>I7+J7</f>
        <v>0</v>
      </c>
      <c r="M7" s="62">
        <f>K7-L7</f>
        <v>0</v>
      </c>
      <c r="N7" s="63">
        <f>IFERROR((M7*$E$4)/1000,"")</f>
        <v>0</v>
      </c>
    </row>
    <row r="8" spans="1:15" x14ac:dyDescent="0.25">
      <c r="A8" s="33">
        <v>2</v>
      </c>
      <c r="B8" s="29"/>
      <c r="C8" s="30"/>
      <c r="D8" s="36"/>
      <c r="E8" s="30"/>
      <c r="F8" s="30"/>
      <c r="G8" s="30"/>
      <c r="H8" s="30"/>
      <c r="I8" s="30"/>
      <c r="J8" s="30"/>
      <c r="K8" s="104">
        <f>IF(F8+G8+H8=0,0,F8+G8+H8)</f>
        <v>0</v>
      </c>
      <c r="L8" s="104">
        <f t="shared" ref="L8:L26" si="0">I8+J8</f>
        <v>0</v>
      </c>
      <c r="M8" s="104">
        <f t="shared" ref="M8:M26" si="1">K8-L8</f>
        <v>0</v>
      </c>
      <c r="N8" s="67">
        <f t="shared" ref="N8:N26" si="2">IFERROR((M8*$E$4)/1000,"")</f>
        <v>0</v>
      </c>
    </row>
    <row r="9" spans="1:15" x14ac:dyDescent="0.25">
      <c r="A9" s="33">
        <v>3</v>
      </c>
      <c r="B9" s="29"/>
      <c r="C9" s="30"/>
      <c r="D9" s="36"/>
      <c r="E9" s="30"/>
      <c r="F9" s="30"/>
      <c r="G9" s="30"/>
      <c r="H9" s="30"/>
      <c r="I9" s="30"/>
      <c r="J9" s="30"/>
      <c r="K9" s="104">
        <f t="shared" ref="K9:K26" si="3">IF(F9+G9+H9=0,0,F9+G9+H9)</f>
        <v>0</v>
      </c>
      <c r="L9" s="104">
        <f t="shared" si="0"/>
        <v>0</v>
      </c>
      <c r="M9" s="104">
        <f t="shared" si="1"/>
        <v>0</v>
      </c>
      <c r="N9" s="67">
        <f t="shared" si="2"/>
        <v>0</v>
      </c>
    </row>
    <row r="10" spans="1:15" x14ac:dyDescent="0.25">
      <c r="A10" s="33">
        <v>4</v>
      </c>
      <c r="B10" s="29"/>
      <c r="C10" s="30"/>
      <c r="D10" s="36"/>
      <c r="E10" s="30"/>
      <c r="F10" s="30"/>
      <c r="G10" s="30"/>
      <c r="H10" s="30"/>
      <c r="I10" s="30"/>
      <c r="J10" s="30"/>
      <c r="K10" s="104">
        <f t="shared" si="3"/>
        <v>0</v>
      </c>
      <c r="L10" s="104">
        <f t="shared" si="0"/>
        <v>0</v>
      </c>
      <c r="M10" s="104">
        <f t="shared" si="1"/>
        <v>0</v>
      </c>
      <c r="N10" s="67">
        <f t="shared" si="2"/>
        <v>0</v>
      </c>
    </row>
    <row r="11" spans="1:15" x14ac:dyDescent="0.25">
      <c r="A11" s="33">
        <v>5</v>
      </c>
      <c r="B11" s="29"/>
      <c r="C11" s="30"/>
      <c r="D11" s="30"/>
      <c r="E11" s="30"/>
      <c r="F11" s="30"/>
      <c r="G11" s="30"/>
      <c r="H11" s="30"/>
      <c r="I11" s="30"/>
      <c r="J11" s="30"/>
      <c r="K11" s="104">
        <f t="shared" si="3"/>
        <v>0</v>
      </c>
      <c r="L11" s="104">
        <f t="shared" si="0"/>
        <v>0</v>
      </c>
      <c r="M11" s="104">
        <f t="shared" si="1"/>
        <v>0</v>
      </c>
      <c r="N11" s="67">
        <f t="shared" si="2"/>
        <v>0</v>
      </c>
    </row>
    <row r="12" spans="1:15" x14ac:dyDescent="0.25">
      <c r="A12" s="33">
        <v>6</v>
      </c>
      <c r="B12" s="29"/>
      <c r="C12" s="30"/>
      <c r="D12" s="30"/>
      <c r="E12" s="30"/>
      <c r="F12" s="30"/>
      <c r="G12" s="30"/>
      <c r="H12" s="30"/>
      <c r="I12" s="30"/>
      <c r="J12" s="30"/>
      <c r="K12" s="104">
        <f t="shared" si="3"/>
        <v>0</v>
      </c>
      <c r="L12" s="104">
        <f t="shared" si="0"/>
        <v>0</v>
      </c>
      <c r="M12" s="104">
        <f t="shared" si="1"/>
        <v>0</v>
      </c>
      <c r="N12" s="67">
        <f t="shared" si="2"/>
        <v>0</v>
      </c>
    </row>
    <row r="13" spans="1:15" x14ac:dyDescent="0.25">
      <c r="A13" s="33">
        <v>7</v>
      </c>
      <c r="B13" s="29"/>
      <c r="C13" s="30"/>
      <c r="D13" s="30"/>
      <c r="E13" s="30"/>
      <c r="F13" s="30"/>
      <c r="G13" s="30"/>
      <c r="H13" s="30"/>
      <c r="I13" s="30"/>
      <c r="J13" s="30"/>
      <c r="K13" s="104">
        <f t="shared" si="3"/>
        <v>0</v>
      </c>
      <c r="L13" s="104">
        <f t="shared" si="0"/>
        <v>0</v>
      </c>
      <c r="M13" s="104">
        <f t="shared" si="1"/>
        <v>0</v>
      </c>
      <c r="N13" s="67">
        <f t="shared" si="2"/>
        <v>0</v>
      </c>
    </row>
    <row r="14" spans="1:15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104">
        <f t="shared" si="3"/>
        <v>0</v>
      </c>
      <c r="L14" s="104">
        <f t="shared" si="0"/>
        <v>0</v>
      </c>
      <c r="M14" s="104">
        <f t="shared" si="1"/>
        <v>0</v>
      </c>
      <c r="N14" s="67">
        <f t="shared" si="2"/>
        <v>0</v>
      </c>
    </row>
    <row r="15" spans="1:15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104">
        <f t="shared" si="3"/>
        <v>0</v>
      </c>
      <c r="L15" s="104">
        <f t="shared" si="0"/>
        <v>0</v>
      </c>
      <c r="M15" s="104">
        <f t="shared" si="1"/>
        <v>0</v>
      </c>
      <c r="N15" s="67">
        <f t="shared" si="2"/>
        <v>0</v>
      </c>
    </row>
    <row r="16" spans="1:15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104">
        <f t="shared" si="3"/>
        <v>0</v>
      </c>
      <c r="L16" s="104">
        <f t="shared" si="0"/>
        <v>0</v>
      </c>
      <c r="M16" s="104">
        <f t="shared" si="1"/>
        <v>0</v>
      </c>
      <c r="N16" s="67">
        <f t="shared" si="2"/>
        <v>0</v>
      </c>
    </row>
    <row r="17" spans="1:14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104">
        <f t="shared" si="3"/>
        <v>0</v>
      </c>
      <c r="L17" s="104">
        <f t="shared" si="0"/>
        <v>0</v>
      </c>
      <c r="M17" s="104">
        <f t="shared" si="1"/>
        <v>0</v>
      </c>
      <c r="N17" s="67">
        <f t="shared" si="2"/>
        <v>0</v>
      </c>
    </row>
    <row r="18" spans="1:14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104">
        <f t="shared" si="3"/>
        <v>0</v>
      </c>
      <c r="L18" s="104">
        <f t="shared" si="0"/>
        <v>0</v>
      </c>
      <c r="M18" s="104">
        <f t="shared" si="1"/>
        <v>0</v>
      </c>
      <c r="N18" s="67">
        <f t="shared" si="2"/>
        <v>0</v>
      </c>
    </row>
    <row r="19" spans="1:14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104">
        <f t="shared" si="3"/>
        <v>0</v>
      </c>
      <c r="L19" s="104">
        <f t="shared" si="0"/>
        <v>0</v>
      </c>
      <c r="M19" s="104">
        <f t="shared" si="1"/>
        <v>0</v>
      </c>
      <c r="N19" s="67">
        <f t="shared" si="2"/>
        <v>0</v>
      </c>
    </row>
    <row r="20" spans="1:14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104">
        <f t="shared" si="3"/>
        <v>0</v>
      </c>
      <c r="L20" s="104">
        <f t="shared" si="0"/>
        <v>0</v>
      </c>
      <c r="M20" s="104">
        <f t="shared" si="1"/>
        <v>0</v>
      </c>
      <c r="N20" s="67">
        <f t="shared" si="2"/>
        <v>0</v>
      </c>
    </row>
    <row r="21" spans="1:14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104">
        <f t="shared" si="3"/>
        <v>0</v>
      </c>
      <c r="L21" s="104">
        <f t="shared" si="0"/>
        <v>0</v>
      </c>
      <c r="M21" s="104">
        <f t="shared" si="1"/>
        <v>0</v>
      </c>
      <c r="N21" s="67">
        <f t="shared" si="2"/>
        <v>0</v>
      </c>
    </row>
    <row r="22" spans="1:14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104">
        <f t="shared" si="3"/>
        <v>0</v>
      </c>
      <c r="L22" s="104">
        <f t="shared" si="0"/>
        <v>0</v>
      </c>
      <c r="M22" s="104">
        <f t="shared" si="1"/>
        <v>0</v>
      </c>
      <c r="N22" s="67">
        <f t="shared" si="2"/>
        <v>0</v>
      </c>
    </row>
    <row r="23" spans="1:14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104">
        <f t="shared" si="3"/>
        <v>0</v>
      </c>
      <c r="L23" s="104">
        <f t="shared" si="0"/>
        <v>0</v>
      </c>
      <c r="M23" s="104">
        <f t="shared" si="1"/>
        <v>0</v>
      </c>
      <c r="N23" s="67">
        <f t="shared" si="2"/>
        <v>0</v>
      </c>
    </row>
    <row r="24" spans="1:14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104">
        <f t="shared" si="3"/>
        <v>0</v>
      </c>
      <c r="L24" s="104">
        <f t="shared" si="0"/>
        <v>0</v>
      </c>
      <c r="M24" s="104">
        <f t="shared" si="1"/>
        <v>0</v>
      </c>
      <c r="N24" s="67">
        <f t="shared" si="2"/>
        <v>0</v>
      </c>
    </row>
    <row r="25" spans="1:14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104">
        <f t="shared" si="3"/>
        <v>0</v>
      </c>
      <c r="L25" s="104">
        <f t="shared" si="0"/>
        <v>0</v>
      </c>
      <c r="M25" s="104">
        <f t="shared" si="1"/>
        <v>0</v>
      </c>
      <c r="N25" s="67">
        <f t="shared" si="2"/>
        <v>0</v>
      </c>
    </row>
    <row r="26" spans="1:14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73">
        <f t="shared" si="3"/>
        <v>0</v>
      </c>
      <c r="L26" s="73">
        <f t="shared" si="0"/>
        <v>0</v>
      </c>
      <c r="M26" s="73">
        <f t="shared" si="1"/>
        <v>0</v>
      </c>
      <c r="N26" s="74">
        <f t="shared" si="2"/>
        <v>0</v>
      </c>
    </row>
  </sheetData>
  <sheetProtection algorithmName="SHA-512" hashValue="UpHPzlu6awSIOVcM2KOlOM+QZblbe3WzH/L9dDOaM8ReVwHFGicJ5/zX/Se1VEwCJDd0Gjm6AIAl9yApcUYpgw==" saltValue="9fsdke9lykI2p0+8k+Mrvw==" spinCount="100000" sheet="1" selectLockedCells="1"/>
  <mergeCells count="5">
    <mergeCell ref="A1:C2"/>
    <mergeCell ref="D1:E2"/>
    <mergeCell ref="F1:H2"/>
    <mergeCell ref="A3:B3"/>
    <mergeCell ref="A4:B4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01998F2-85D6-4060-A805-41BF3B26FC3B}">
            <xm:f>Inventaire!$H$16&gt;Inventaire!$H$15</xm:f>
            <x14:dxf>
              <fill>
                <patternFill>
                  <bgColor rgb="FFFF0000"/>
                </patternFill>
              </fill>
            </x14:dxf>
          </x14:cfRule>
          <xm:sqref>K2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2B887-3993-4B81-B975-7AF5A74D2B94}">
  <dimension ref="A1:Q26"/>
  <sheetViews>
    <sheetView showGridLines="0" showZeros="0" workbookViewId="0">
      <selection activeCell="F19" sqref="F19"/>
    </sheetView>
  </sheetViews>
  <sheetFormatPr baseColWidth="10" defaultRowHeight="15" x14ac:dyDescent="0.25"/>
  <cols>
    <col min="1" max="1" width="14.7109375" bestFit="1" customWidth="1"/>
    <col min="2" max="5" width="14.28515625" customWidth="1"/>
    <col min="6" max="6" width="51.42578125" customWidth="1"/>
    <col min="7" max="14" width="14.28515625" customWidth="1"/>
  </cols>
  <sheetData>
    <row r="1" spans="1:17" ht="15.75" customHeight="1" x14ac:dyDescent="0.25">
      <c r="A1" s="158" t="s">
        <v>77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60"/>
    </row>
    <row r="2" spans="1:17" ht="15.75" customHeight="1" x14ac:dyDescent="0.2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3"/>
    </row>
    <row r="3" spans="1:17" ht="15" customHeight="1" x14ac:dyDescent="0.25">
      <c r="A3" s="161" t="s">
        <v>67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3"/>
    </row>
    <row r="4" spans="1:17" ht="15.75" thickBot="1" x14ac:dyDescent="0.3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6"/>
    </row>
    <row r="5" spans="1:17" ht="15.75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s="1" customFormat="1" ht="90.75" thickBot="1" x14ac:dyDescent="0.3">
      <c r="A6" s="7" t="s">
        <v>0</v>
      </c>
      <c r="B6" s="8" t="s">
        <v>1</v>
      </c>
      <c r="C6" s="8" t="s">
        <v>68</v>
      </c>
      <c r="D6" s="8" t="s">
        <v>5</v>
      </c>
      <c r="E6" s="8" t="s">
        <v>76</v>
      </c>
      <c r="F6" s="8" t="s">
        <v>2</v>
      </c>
      <c r="G6" s="8" t="s">
        <v>6</v>
      </c>
      <c r="H6" s="10" t="s">
        <v>40</v>
      </c>
      <c r="I6" s="9" t="s">
        <v>39</v>
      </c>
      <c r="J6" s="9" t="s">
        <v>38</v>
      </c>
      <c r="K6" s="9" t="s">
        <v>41</v>
      </c>
      <c r="L6" s="10" t="s">
        <v>42</v>
      </c>
      <c r="M6" s="53" t="s">
        <v>69</v>
      </c>
      <c r="N6" s="53" t="s">
        <v>70</v>
      </c>
      <c r="O6" s="53" t="s">
        <v>78</v>
      </c>
      <c r="P6" s="54" t="s">
        <v>71</v>
      </c>
    </row>
    <row r="7" spans="1:17" x14ac:dyDescent="0.25">
      <c r="A7" s="26">
        <v>1</v>
      </c>
      <c r="B7" s="27"/>
      <c r="C7" s="27"/>
      <c r="D7" s="28"/>
      <c r="E7" s="28"/>
      <c r="F7" s="46"/>
      <c r="G7" s="28"/>
      <c r="H7" s="28"/>
      <c r="I7" s="28"/>
      <c r="J7" s="28"/>
      <c r="K7" s="28"/>
      <c r="L7" s="28"/>
      <c r="M7" s="62">
        <f>IF(H7+I7+J7=0,0,H7+I7+J7)</f>
        <v>0</v>
      </c>
      <c r="N7" s="62">
        <f>K7+L7</f>
        <v>0</v>
      </c>
      <c r="O7" s="62">
        <f>M7-N7</f>
        <v>0</v>
      </c>
      <c r="P7" s="63">
        <f>IFERROR((O7*$E$4)/1000,"")</f>
        <v>0</v>
      </c>
    </row>
    <row r="8" spans="1:17" x14ac:dyDescent="0.25">
      <c r="A8" s="33">
        <v>2</v>
      </c>
      <c r="B8" s="29"/>
      <c r="C8" s="29"/>
      <c r="D8" s="30"/>
      <c r="E8" s="30"/>
      <c r="F8" s="36"/>
      <c r="G8" s="30"/>
      <c r="H8" s="30"/>
      <c r="I8" s="30"/>
      <c r="J8" s="30"/>
      <c r="K8" s="30"/>
      <c r="L8" s="30"/>
      <c r="M8" s="104">
        <f>IF(H8+I8+J8=0,0,H8+I8+J8)</f>
        <v>0</v>
      </c>
      <c r="N8" s="104">
        <f t="shared" ref="N8:N26" si="0">K8+L8</f>
        <v>0</v>
      </c>
      <c r="O8" s="104">
        <f t="shared" ref="O8:O26" si="1">M8-N8</f>
        <v>0</v>
      </c>
      <c r="P8" s="67">
        <f t="shared" ref="P8:P26" si="2">IFERROR((O8*$E$4)/1000,"")</f>
        <v>0</v>
      </c>
    </row>
    <row r="9" spans="1:17" x14ac:dyDescent="0.25">
      <c r="A9" s="33">
        <v>3</v>
      </c>
      <c r="B9" s="29"/>
      <c r="C9" s="29"/>
      <c r="D9" s="30"/>
      <c r="E9" s="30"/>
      <c r="F9" s="36"/>
      <c r="G9" s="30"/>
      <c r="H9" s="30"/>
      <c r="I9" s="30"/>
      <c r="J9" s="30"/>
      <c r="K9" s="30"/>
      <c r="L9" s="30"/>
      <c r="M9" s="104">
        <f t="shared" ref="M9:M26" si="3">IF(H9+I9+J9=0,0,H9+I9+J9)</f>
        <v>0</v>
      </c>
      <c r="N9" s="104">
        <f t="shared" si="0"/>
        <v>0</v>
      </c>
      <c r="O9" s="104">
        <f t="shared" si="1"/>
        <v>0</v>
      </c>
      <c r="P9" s="67">
        <f t="shared" si="2"/>
        <v>0</v>
      </c>
    </row>
    <row r="10" spans="1:17" x14ac:dyDescent="0.25">
      <c r="A10" s="33">
        <v>4</v>
      </c>
      <c r="B10" s="29"/>
      <c r="C10" s="29"/>
      <c r="D10" s="30"/>
      <c r="E10" s="30"/>
      <c r="F10" s="36"/>
      <c r="G10" s="30"/>
      <c r="H10" s="30"/>
      <c r="I10" s="30"/>
      <c r="J10" s="30"/>
      <c r="K10" s="30"/>
      <c r="L10" s="30"/>
      <c r="M10" s="104">
        <f t="shared" si="3"/>
        <v>0</v>
      </c>
      <c r="N10" s="104">
        <f t="shared" si="0"/>
        <v>0</v>
      </c>
      <c r="O10" s="104">
        <f t="shared" si="1"/>
        <v>0</v>
      </c>
      <c r="P10" s="67">
        <f t="shared" si="2"/>
        <v>0</v>
      </c>
    </row>
    <row r="11" spans="1:17" x14ac:dyDescent="0.25">
      <c r="A11" s="33">
        <v>5</v>
      </c>
      <c r="B11" s="29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104">
        <f t="shared" si="3"/>
        <v>0</v>
      </c>
      <c r="N11" s="104">
        <f t="shared" si="0"/>
        <v>0</v>
      </c>
      <c r="O11" s="104">
        <f t="shared" si="1"/>
        <v>0</v>
      </c>
      <c r="P11" s="67">
        <f t="shared" si="2"/>
        <v>0</v>
      </c>
    </row>
    <row r="12" spans="1:17" x14ac:dyDescent="0.25">
      <c r="A12" s="33">
        <v>6</v>
      </c>
      <c r="B12" s="29"/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104">
        <f t="shared" si="3"/>
        <v>0</v>
      </c>
      <c r="N12" s="104">
        <f t="shared" si="0"/>
        <v>0</v>
      </c>
      <c r="O12" s="104">
        <f t="shared" si="1"/>
        <v>0</v>
      </c>
      <c r="P12" s="67">
        <f t="shared" si="2"/>
        <v>0</v>
      </c>
    </row>
    <row r="13" spans="1:17" x14ac:dyDescent="0.25">
      <c r="A13" s="33">
        <v>7</v>
      </c>
      <c r="B13" s="29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104">
        <f t="shared" si="3"/>
        <v>0</v>
      </c>
      <c r="N13" s="104">
        <f t="shared" si="0"/>
        <v>0</v>
      </c>
      <c r="O13" s="104">
        <f t="shared" si="1"/>
        <v>0</v>
      </c>
      <c r="P13" s="67">
        <f t="shared" si="2"/>
        <v>0</v>
      </c>
    </row>
    <row r="14" spans="1:17" x14ac:dyDescent="0.25">
      <c r="A14" s="33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04">
        <f t="shared" si="3"/>
        <v>0</v>
      </c>
      <c r="N14" s="104">
        <f t="shared" si="0"/>
        <v>0</v>
      </c>
      <c r="O14" s="104">
        <f t="shared" si="1"/>
        <v>0</v>
      </c>
      <c r="P14" s="67">
        <f t="shared" si="2"/>
        <v>0</v>
      </c>
    </row>
    <row r="15" spans="1:17" x14ac:dyDescent="0.25">
      <c r="A15" s="33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104">
        <f t="shared" si="3"/>
        <v>0</v>
      </c>
      <c r="N15" s="104">
        <f t="shared" si="0"/>
        <v>0</v>
      </c>
      <c r="O15" s="104">
        <f t="shared" si="1"/>
        <v>0</v>
      </c>
      <c r="P15" s="67">
        <f t="shared" si="2"/>
        <v>0</v>
      </c>
    </row>
    <row r="16" spans="1:17" x14ac:dyDescent="0.25">
      <c r="A16" s="33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104">
        <f t="shared" si="3"/>
        <v>0</v>
      </c>
      <c r="N16" s="104">
        <f t="shared" si="0"/>
        <v>0</v>
      </c>
      <c r="O16" s="104">
        <f t="shared" si="1"/>
        <v>0</v>
      </c>
      <c r="P16" s="67">
        <f t="shared" si="2"/>
        <v>0</v>
      </c>
    </row>
    <row r="17" spans="1:16" x14ac:dyDescent="0.25">
      <c r="A17" s="33">
        <v>11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04">
        <f t="shared" si="3"/>
        <v>0</v>
      </c>
      <c r="N17" s="104">
        <f t="shared" si="0"/>
        <v>0</v>
      </c>
      <c r="O17" s="104">
        <f t="shared" si="1"/>
        <v>0</v>
      </c>
      <c r="P17" s="67">
        <f t="shared" si="2"/>
        <v>0</v>
      </c>
    </row>
    <row r="18" spans="1:16" x14ac:dyDescent="0.25">
      <c r="A18" s="33">
        <v>12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104">
        <f t="shared" si="3"/>
        <v>0</v>
      </c>
      <c r="N18" s="104">
        <f t="shared" si="0"/>
        <v>0</v>
      </c>
      <c r="O18" s="104">
        <f t="shared" si="1"/>
        <v>0</v>
      </c>
      <c r="P18" s="67">
        <f t="shared" si="2"/>
        <v>0</v>
      </c>
    </row>
    <row r="19" spans="1:16" x14ac:dyDescent="0.25">
      <c r="A19" s="33">
        <v>13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104">
        <f t="shared" si="3"/>
        <v>0</v>
      </c>
      <c r="N19" s="104">
        <f t="shared" si="0"/>
        <v>0</v>
      </c>
      <c r="O19" s="104">
        <f t="shared" si="1"/>
        <v>0</v>
      </c>
      <c r="P19" s="67">
        <f t="shared" si="2"/>
        <v>0</v>
      </c>
    </row>
    <row r="20" spans="1:16" x14ac:dyDescent="0.25">
      <c r="A20" s="33">
        <v>14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104">
        <f t="shared" si="3"/>
        <v>0</v>
      </c>
      <c r="N20" s="104">
        <f t="shared" si="0"/>
        <v>0</v>
      </c>
      <c r="O20" s="104">
        <f t="shared" si="1"/>
        <v>0</v>
      </c>
      <c r="P20" s="67">
        <f t="shared" si="2"/>
        <v>0</v>
      </c>
    </row>
    <row r="21" spans="1:16" x14ac:dyDescent="0.25">
      <c r="A21" s="33">
        <v>15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104">
        <f t="shared" si="3"/>
        <v>0</v>
      </c>
      <c r="N21" s="104">
        <f t="shared" si="0"/>
        <v>0</v>
      </c>
      <c r="O21" s="104">
        <f t="shared" si="1"/>
        <v>0</v>
      </c>
      <c r="P21" s="67">
        <f t="shared" si="2"/>
        <v>0</v>
      </c>
    </row>
    <row r="22" spans="1:16" x14ac:dyDescent="0.25">
      <c r="A22" s="33">
        <v>16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104">
        <f t="shared" si="3"/>
        <v>0</v>
      </c>
      <c r="N22" s="104">
        <f t="shared" si="0"/>
        <v>0</v>
      </c>
      <c r="O22" s="104">
        <f t="shared" si="1"/>
        <v>0</v>
      </c>
      <c r="P22" s="67">
        <f t="shared" si="2"/>
        <v>0</v>
      </c>
    </row>
    <row r="23" spans="1:16" x14ac:dyDescent="0.25">
      <c r="A23" s="33">
        <v>17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104">
        <f t="shared" si="3"/>
        <v>0</v>
      </c>
      <c r="N23" s="104">
        <f t="shared" si="0"/>
        <v>0</v>
      </c>
      <c r="O23" s="104">
        <f t="shared" si="1"/>
        <v>0</v>
      </c>
      <c r="P23" s="67">
        <f t="shared" si="2"/>
        <v>0</v>
      </c>
    </row>
    <row r="24" spans="1:16" x14ac:dyDescent="0.25">
      <c r="A24" s="33">
        <v>18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104">
        <f t="shared" si="3"/>
        <v>0</v>
      </c>
      <c r="N24" s="104">
        <f t="shared" si="0"/>
        <v>0</v>
      </c>
      <c r="O24" s="104">
        <f t="shared" si="1"/>
        <v>0</v>
      </c>
      <c r="P24" s="67">
        <f t="shared" si="2"/>
        <v>0</v>
      </c>
    </row>
    <row r="25" spans="1:16" x14ac:dyDescent="0.25">
      <c r="A25" s="33">
        <v>19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104">
        <f t="shared" si="3"/>
        <v>0</v>
      </c>
      <c r="N25" s="104">
        <f t="shared" si="0"/>
        <v>0</v>
      </c>
      <c r="O25" s="104">
        <f t="shared" si="1"/>
        <v>0</v>
      </c>
      <c r="P25" s="67">
        <f t="shared" si="2"/>
        <v>0</v>
      </c>
    </row>
    <row r="26" spans="1:16" ht="15.75" thickBot="1" x14ac:dyDescent="0.3">
      <c r="A26" s="34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73">
        <f t="shared" si="3"/>
        <v>0</v>
      </c>
      <c r="N26" s="73">
        <f t="shared" si="0"/>
        <v>0</v>
      </c>
      <c r="O26" s="73">
        <f t="shared" si="1"/>
        <v>0</v>
      </c>
      <c r="P26" s="74">
        <f t="shared" si="2"/>
        <v>0</v>
      </c>
    </row>
  </sheetData>
  <sheetProtection algorithmName="SHA-512" hashValue="xoKm6i8h1G4qkVgJyOENgbMoTK7WBuCysn7rdzKVRE8wmlhzkdC8AwXNIQ+SCz9Fu4b1J7GQ4e+siPM5up0tZw==" saltValue="fS3L1vst9lZq/LXrZrxjMA==" spinCount="100000" sheet="1" selectLockedCells="1"/>
  <mergeCells count="2">
    <mergeCell ref="A1:P2"/>
    <mergeCell ref="A3:P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240C78-7F23-41CB-9080-33CE2E89BFAF}">
          <x14:formula1>
            <xm:f>'emission CO2 ulis'!$B$8:$B$14</xm:f>
          </x14:formula1>
          <xm:sqref>E7:E26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3F33A-0943-4063-9B6F-8467592D28E3}">
  <dimension ref="B1:J19"/>
  <sheetViews>
    <sheetView showGridLines="0" showZeros="0" workbookViewId="0">
      <selection activeCell="I22" sqref="I22"/>
    </sheetView>
  </sheetViews>
  <sheetFormatPr baseColWidth="10" defaultRowHeight="15" x14ac:dyDescent="0.25"/>
  <cols>
    <col min="4" max="4" width="21.42578125" customWidth="1"/>
    <col min="7" max="7" width="11.42578125" customWidth="1"/>
    <col min="9" max="9" width="21.42578125" customWidth="1"/>
  </cols>
  <sheetData>
    <row r="1" spans="2:10" ht="15.75" thickBot="1" x14ac:dyDescent="0.3"/>
    <row r="2" spans="2:10" x14ac:dyDescent="0.25">
      <c r="B2" s="179" t="s">
        <v>83</v>
      </c>
      <c r="C2" s="180"/>
      <c r="D2" s="180"/>
      <c r="E2" s="180"/>
      <c r="F2" s="180"/>
      <c r="G2" s="180"/>
      <c r="H2" s="180"/>
      <c r="I2" s="180"/>
      <c r="J2" s="181"/>
    </row>
    <row r="3" spans="2:10" ht="15.75" thickBot="1" x14ac:dyDescent="0.3">
      <c r="B3" s="182"/>
      <c r="C3" s="183"/>
      <c r="D3" s="183"/>
      <c r="E3" s="183"/>
      <c r="F3" s="183"/>
      <c r="G3" s="183"/>
      <c r="H3" s="183"/>
      <c r="I3" s="183"/>
      <c r="J3" s="184"/>
    </row>
    <row r="5" spans="2:10" ht="15.75" thickBot="1" x14ac:dyDescent="0.3"/>
    <row r="6" spans="2:10" ht="15.75" thickBot="1" x14ac:dyDescent="0.3">
      <c r="B6" s="176" t="s">
        <v>80</v>
      </c>
      <c r="C6" s="177"/>
      <c r="D6" s="177"/>
      <c r="E6" s="178"/>
      <c r="G6" s="170" t="s">
        <v>74</v>
      </c>
      <c r="H6" s="171"/>
      <c r="I6" s="171"/>
      <c r="J6" s="172"/>
    </row>
    <row r="7" spans="2:10" x14ac:dyDescent="0.25">
      <c r="B7" s="167" t="s">
        <v>82</v>
      </c>
      <c r="C7" s="168"/>
      <c r="D7" s="168"/>
      <c r="E7" s="169"/>
      <c r="G7" s="173" t="s">
        <v>82</v>
      </c>
      <c r="H7" s="174"/>
      <c r="I7" s="174"/>
      <c r="J7" s="175"/>
    </row>
    <row r="8" spans="2:10" x14ac:dyDescent="0.25">
      <c r="B8" s="98"/>
      <c r="C8" s="91" t="s">
        <v>72</v>
      </c>
      <c r="D8" s="91" t="s">
        <v>81</v>
      </c>
      <c r="E8" s="99" t="s">
        <v>73</v>
      </c>
      <c r="G8" s="98"/>
      <c r="H8" s="91" t="s">
        <v>72</v>
      </c>
      <c r="I8" s="91" t="s">
        <v>81</v>
      </c>
      <c r="J8" s="99" t="s">
        <v>73</v>
      </c>
    </row>
    <row r="9" spans="2:10" x14ac:dyDescent="0.25">
      <c r="B9" s="98" t="s">
        <v>16</v>
      </c>
      <c r="C9" s="93">
        <v>3922</v>
      </c>
      <c r="D9" s="93">
        <f>SUM('R404A'!M7:M26)</f>
        <v>151.19999999999999</v>
      </c>
      <c r="E9" s="107">
        <f>C9*D9/1000</f>
        <v>593.00639999999987</v>
      </c>
      <c r="G9" s="98" t="s">
        <v>16</v>
      </c>
      <c r="H9" s="93">
        <v>3922</v>
      </c>
      <c r="I9" s="93">
        <f>SUMIFS(Presta!O7:O26,Presta!E7:E26,'emission CO2 ulis'!G9)</f>
        <v>0</v>
      </c>
      <c r="J9" s="100">
        <f>H9*I9/1000</f>
        <v>0</v>
      </c>
    </row>
    <row r="10" spans="2:10" x14ac:dyDescent="0.25">
      <c r="B10" s="98" t="s">
        <v>14</v>
      </c>
      <c r="C10" s="93">
        <v>1430</v>
      </c>
      <c r="D10" s="93">
        <f>SUM('R134a'!M7:M26)</f>
        <v>33.5</v>
      </c>
      <c r="E10" s="107">
        <f t="shared" ref="E10:E14" si="0">C10*D10/1000</f>
        <v>47.905000000000001</v>
      </c>
      <c r="G10" s="98" t="s">
        <v>14</v>
      </c>
      <c r="H10" s="93">
        <v>1430</v>
      </c>
      <c r="I10" s="93">
        <f>SUMIFS(Presta!O8:O27,Presta!E8:E27,'emission CO2 ulis'!G10)</f>
        <v>0</v>
      </c>
      <c r="J10" s="100">
        <f t="shared" ref="J10:J14" si="1">H10*I10/1000</f>
        <v>0</v>
      </c>
    </row>
    <row r="11" spans="2:10" x14ac:dyDescent="0.25">
      <c r="B11" s="98" t="s">
        <v>8</v>
      </c>
      <c r="C11" s="93">
        <v>1825</v>
      </c>
      <c r="D11" s="93">
        <f>SUM('R407F'!M7:M26)</f>
        <v>0</v>
      </c>
      <c r="E11" s="107">
        <f t="shared" si="0"/>
        <v>0</v>
      </c>
      <c r="G11" s="98" t="s">
        <v>8</v>
      </c>
      <c r="H11" s="93">
        <v>1825</v>
      </c>
      <c r="I11" s="93">
        <f>SUMIFS(Presta!O9:O28,Presta!E9:E28,'emission CO2 ulis'!G11)</f>
        <v>0</v>
      </c>
      <c r="J11" s="100">
        <f t="shared" si="1"/>
        <v>0</v>
      </c>
    </row>
    <row r="12" spans="2:10" x14ac:dyDescent="0.25">
      <c r="B12" s="98" t="s">
        <v>55</v>
      </c>
      <c r="C12" s="93">
        <v>1397</v>
      </c>
      <c r="D12" s="93">
        <f>SUM('R449A'!M7:M26)</f>
        <v>105.2</v>
      </c>
      <c r="E12" s="107">
        <f t="shared" si="0"/>
        <v>146.96439999999998</v>
      </c>
      <c r="G12" s="98" t="s">
        <v>55</v>
      </c>
      <c r="H12" s="93">
        <v>1397</v>
      </c>
      <c r="I12" s="93">
        <f>SUMIFS(Presta!O10:O29,Presta!E10:E29,'emission CO2 ulis'!G12)</f>
        <v>0</v>
      </c>
      <c r="J12" s="100">
        <f t="shared" si="1"/>
        <v>0</v>
      </c>
    </row>
    <row r="13" spans="2:10" x14ac:dyDescent="0.25">
      <c r="B13" s="98" t="s">
        <v>7</v>
      </c>
      <c r="C13" s="93">
        <v>2088</v>
      </c>
      <c r="D13" s="93">
        <f>SUM('R410A'!M7:M26)</f>
        <v>0</v>
      </c>
      <c r="E13" s="107">
        <f t="shared" si="0"/>
        <v>0</v>
      </c>
      <c r="G13" s="98" t="s">
        <v>7</v>
      </c>
      <c r="H13" s="93">
        <v>2088</v>
      </c>
      <c r="I13" s="93">
        <f>SUMIFS(Presta!O11:O30,Presta!E11:E30,'emission CO2 ulis'!G13)</f>
        <v>0</v>
      </c>
      <c r="J13" s="100">
        <f t="shared" si="1"/>
        <v>0</v>
      </c>
    </row>
    <row r="14" spans="2:10" ht="15.75" thickBot="1" x14ac:dyDescent="0.3">
      <c r="B14" s="101" t="s">
        <v>15</v>
      </c>
      <c r="C14" s="102">
        <v>1</v>
      </c>
      <c r="D14" s="102">
        <f>SUM('CO2'!M7:M26)</f>
        <v>0</v>
      </c>
      <c r="E14" s="106">
        <f t="shared" si="0"/>
        <v>0</v>
      </c>
      <c r="G14" s="101" t="s">
        <v>15</v>
      </c>
      <c r="H14" s="102">
        <v>1</v>
      </c>
      <c r="I14" s="102">
        <f>SUMIFS(Presta!O12:O31,Presta!E12:E31,'emission CO2 ulis'!G14)</f>
        <v>0</v>
      </c>
      <c r="J14" s="103">
        <f t="shared" si="1"/>
        <v>0</v>
      </c>
    </row>
    <row r="18" spans="3:7" ht="15.75" thickBot="1" x14ac:dyDescent="0.3"/>
    <row r="19" spans="3:7" ht="18.75" thickBot="1" x14ac:dyDescent="0.4">
      <c r="C19" s="108"/>
      <c r="D19" s="112" t="s">
        <v>90</v>
      </c>
      <c r="E19" s="109">
        <f>SUM(E9:E14)+SUM(J9:J14)</f>
        <v>787.8757999999998</v>
      </c>
      <c r="F19" s="110" t="s">
        <v>89</v>
      </c>
      <c r="G19" s="111"/>
    </row>
  </sheetData>
  <sheetProtection algorithmName="SHA-512" hashValue="e8kTTQnJpG4MZ8oilBjBLtiAE2fztnZMgO325TcDLmLYPz1/RAbRLH8DHm+SiVDexo1Nxqes7D+O8cSKq1jWUg==" saltValue="I/VFYooP9No3GgAW3xFlWQ==" spinCount="100000" sheet="1" selectLockedCells="1"/>
  <mergeCells count="5">
    <mergeCell ref="B7:E7"/>
    <mergeCell ref="G6:J6"/>
    <mergeCell ref="G7:J7"/>
    <mergeCell ref="B6:E6"/>
    <mergeCell ref="B2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Modemploi</vt:lpstr>
      <vt:lpstr>Achat fluide</vt:lpstr>
      <vt:lpstr>Inventaire</vt:lpstr>
      <vt:lpstr>R404A</vt:lpstr>
      <vt:lpstr>R134a</vt:lpstr>
      <vt:lpstr>R407F</vt:lpstr>
      <vt:lpstr>R449A</vt:lpstr>
      <vt:lpstr>R410A</vt:lpstr>
      <vt:lpstr>CO2</vt:lpstr>
      <vt:lpstr>Presta</vt:lpstr>
      <vt:lpstr>emission CO2 ulis</vt:lpstr>
      <vt:lpstr>'Achat fluide'!Zone_d_impression</vt:lpstr>
      <vt:lpstr>Inventaire!Zone_d_impression</vt:lpstr>
    </vt:vector>
  </TitlesOfParts>
  <Company>LFB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AUBIGNAC Arnaud</dc:creator>
  <cp:lastModifiedBy>DELTHEIL Nicolas</cp:lastModifiedBy>
  <cp:lastPrinted>2024-06-07T14:18:00Z</cp:lastPrinted>
  <dcterms:created xsi:type="dcterms:W3CDTF">2019-02-28T09:19:59Z</dcterms:created>
  <dcterms:modified xsi:type="dcterms:W3CDTF">2024-07-11T13:33:50Z</dcterms:modified>
</cp:coreProperties>
</file>