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aul\Paul's work\2-BOQ models\"/>
    </mc:Choice>
  </mc:AlternateContent>
  <xr:revisionPtr revIDLastSave="0" documentId="13_ncr:1_{900C9F79-C107-4CA4-89F0-F338A0524484}" xr6:coauthVersionLast="36" xr6:coauthVersionMax="36" xr10:uidLastSave="{00000000-0000-0000-0000-000000000000}"/>
  <bookViews>
    <workbookView xWindow="0" yWindow="0" windowWidth="20490" windowHeight="7545" activeTab="3" xr2:uid="{6779E3F4-85A9-4949-94B9-38235F733E41}"/>
  </bookViews>
  <sheets>
    <sheet name="Guide &amp; Info" sheetId="5" r:id="rId1"/>
    <sheet name="Data" sheetId="2" r:id="rId2"/>
    <sheet name="Price reference" sheetId="4" r:id="rId3"/>
    <sheet name="BOQ Model" sheetId="1" r:id="rId4"/>
    <sheet name="Quick research" sheetId="6" r:id="rId5"/>
    <sheet name="Hidden data" sheetId="3" r:id="rId6"/>
  </sheets>
  <definedNames>
    <definedName name="_xlnm._FilterDatabase" localSheetId="3" hidden="1">'BOQ Model'!$C$5:$Q$172</definedName>
    <definedName name="Acid_resistant_brick_lining">'Price reference'!$F$128:$F$129</definedName>
    <definedName name="Activation">'Hidden data'!$B$2:$B$3</definedName>
    <definedName name="Amount">'Price reference'!$J$2:$P$2</definedName>
    <definedName name="Amountfrom">'Price reference'!$D$2</definedName>
    <definedName name="Category_format">'Hidden data'!$C$42:$T$42</definedName>
    <definedName name="Category_N">'BOQ Model'!$E$171:$E$171</definedName>
    <definedName name="Changerate">'Price reference'!$D$4</definedName>
    <definedName name="_xlnm.Criteria" localSheetId="4">'Quick research'!$C$1:$Q$2</definedName>
    <definedName name="Currency">'Price reference'!$B$9:$B$28</definedName>
    <definedName name="Demolition">'Price reference'!$F$156:$F$157</definedName>
    <definedName name="Doors_and_windows">'Price reference'!$F$86:$F$97</definedName>
    <definedName name="Earthworks">'Price reference'!$F$4:$F$12</definedName>
    <definedName name="Embedded_items">'Price reference'!$F$38:$F$40</definedName>
    <definedName name="Endcell">'BOQ Model'!$S$1</definedName>
    <definedName name="_xlnm.Extract" localSheetId="4">'Quick research'!$C$4:$Q$4</definedName>
    <definedName name="False_ceiling">'Price reference'!$F$122:$F$126</definedName>
    <definedName name="Flooring">'Price reference'!$F$98:$F$112</definedName>
    <definedName name="Form_work">'Price reference'!$F$26:$F$31</definedName>
    <definedName name="Insulation">'Price reference'!$F$130</definedName>
    <definedName name="Location">Data!$E$4:$E$53</definedName>
    <definedName name="Location_format">'Hidden data'!$C$32:$T$32</definedName>
    <definedName name="Location_N">'BOQ Model'!$C$171:$C$171</definedName>
    <definedName name="Location_table">Data!$D$4:$E$53</definedName>
    <definedName name="Location_table2">Data!$E$4:$G$53</definedName>
    <definedName name="Locationmax">Data!$D$54</definedName>
    <definedName name="Margin">'Price reference'!$D$6</definedName>
    <definedName name="Masonry_works">'Price reference'!$F$78:$F$82</definedName>
    <definedName name="Miscellaneous">'Price reference'!$F$52:$F$73</definedName>
    <definedName name="Package">Data!$I$4:$I$53</definedName>
    <definedName name="Package_format">'Hidden data'!$C$37:$T$37</definedName>
    <definedName name="Package_N">'BOQ Model'!$D$171:$D$171</definedName>
    <definedName name="Package_table">Data!$H$4:$I$53</definedName>
    <definedName name="Package_table2">Data!$I$4:$K$28</definedName>
    <definedName name="Packagemax">Data!$H$54</definedName>
    <definedName name="Painting">'Price reference'!$F$113:$F$121</definedName>
    <definedName name="Piles">'Price reference'!$F$158</definedName>
    <definedName name="Plain_cement_concrete">'Price reference'!$F$13:$F$16</definedName>
    <definedName name="Plastering_works">'Price reference'!$F$83:$F$85</definedName>
    <definedName name="POP_punning">'Price reference'!$F$127</definedName>
    <definedName name="pricereference_data">'Price reference'!$F$4:$H$158</definedName>
    <definedName name="Pricetable" localSheetId="4">Table1[#All]</definedName>
    <definedName name="Pricetable">Table1[#All]</definedName>
    <definedName name="Pricing" localSheetId="4">Table1[[#All],[Designation]:[Amount/Unit]]</definedName>
    <definedName name="Pricing">Table1[[#All],[Designation]:[Amount/Unit]]</definedName>
    <definedName name="_xlnm.Print_Area" localSheetId="3">'BOQ Model'!$B$1:$R$171</definedName>
    <definedName name="Reinforced_cement_concrete">'Price reference'!$F$17:$F$24</definedName>
    <definedName name="Reinforcement">'Price reference'!$F$25</definedName>
    <definedName name="Road_works">'Price reference'!$F$44:$F$51</definedName>
    <definedName name="Sanitary_works">'Price reference'!$F$145:$F$155</definedName>
    <definedName name="Sheeting">'Price reference'!$F$74:$F$77</definedName>
    <definedName name="Sort">'Hidden data'!$A$2:$A$3</definedName>
    <definedName name="Structural_steel_works">'Price reference'!$F$41:$F$43</definedName>
    <definedName name="Subcategory_format">'Hidden data'!$C$47:$T$47</definedName>
    <definedName name="Subcategory_N">'BOQ Model'!$F$171:$F$171</definedName>
    <definedName name="Table">'BOQ Model'!$A$6:$R$171</definedName>
    <definedName name="Table_criteria">'Quick research'!$C$1:$Q$2</definedName>
    <definedName name="Table_input">'BOQ Model'!$C$5:$Q$172</definedName>
    <definedName name="Total_format">'Hidden data'!$C$52:$T$52</definedName>
    <definedName name="Uncertainty_factor">'Price reference'!$D$5</definedName>
    <definedName name="Unit">Data!$C$4:$C$53</definedName>
    <definedName name="Water_proofing">'Price reference'!$F$32:$F$37</definedName>
    <definedName name="Water_supply">'Price reference'!$F$131:$F$144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1" l="1"/>
  <c r="D24" i="1"/>
  <c r="C24" i="1"/>
  <c r="E18" i="1"/>
  <c r="D18" i="1"/>
  <c r="C18" i="1"/>
  <c r="P15" i="1"/>
  <c r="P17" i="1"/>
  <c r="P16" i="1"/>
  <c r="E22" i="1"/>
  <c r="D22" i="1"/>
  <c r="C22" i="1"/>
  <c r="E21" i="1" l="1"/>
  <c r="D21" i="1"/>
  <c r="C21" i="1"/>
  <c r="P20" i="1"/>
  <c r="C13" i="1"/>
  <c r="D20" i="1"/>
  <c r="C20" i="1"/>
  <c r="D17" i="1" l="1"/>
  <c r="C17" i="1"/>
  <c r="I32" i="4"/>
  <c r="I33" i="4"/>
  <c r="I34" i="4"/>
  <c r="I35" i="4"/>
  <c r="P5" i="4"/>
  <c r="B4" i="4"/>
  <c r="D4" i="4"/>
  <c r="P6" i="4" l="1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H53" i="2"/>
  <c r="H52" i="2"/>
  <c r="K52" i="2" s="1"/>
  <c r="H51" i="2"/>
  <c r="H50" i="2"/>
  <c r="K50" i="2" s="1"/>
  <c r="H49" i="2"/>
  <c r="H48" i="2"/>
  <c r="H47" i="2"/>
  <c r="H46" i="2"/>
  <c r="H45" i="2"/>
  <c r="K45" i="2" s="1"/>
  <c r="H44" i="2"/>
  <c r="H43" i="2"/>
  <c r="K43" i="2" s="1"/>
  <c r="H42" i="2"/>
  <c r="K42" i="2" s="1"/>
  <c r="H41" i="2"/>
  <c r="H40" i="2"/>
  <c r="K40" i="2" s="1"/>
  <c r="H39" i="2"/>
  <c r="K39" i="2" s="1"/>
  <c r="H38" i="2"/>
  <c r="K38" i="2" s="1"/>
  <c r="H37" i="2"/>
  <c r="K37" i="2" s="1"/>
  <c r="H36" i="2"/>
  <c r="K36" i="2" s="1"/>
  <c r="H35" i="2"/>
  <c r="K35" i="2" s="1"/>
  <c r="H34" i="2"/>
  <c r="H33" i="2"/>
  <c r="H32" i="2"/>
  <c r="H31" i="2"/>
  <c r="H30" i="2"/>
  <c r="H29" i="2"/>
  <c r="K29" i="2" s="1"/>
  <c r="H28" i="2"/>
  <c r="K28" i="2" s="1"/>
  <c r="K33" i="2"/>
  <c r="K34" i="2"/>
  <c r="K41" i="2"/>
  <c r="K44" i="2"/>
  <c r="K49" i="2"/>
  <c r="K51" i="2"/>
  <c r="D53" i="2"/>
  <c r="D52" i="2"/>
  <c r="D51" i="2"/>
  <c r="D50" i="2"/>
  <c r="D49" i="2"/>
  <c r="G49" i="2" s="1"/>
  <c r="D48" i="2"/>
  <c r="G48" i="2" s="1"/>
  <c r="D47" i="2"/>
  <c r="D46" i="2"/>
  <c r="D45" i="2"/>
  <c r="D44" i="2"/>
  <c r="D43" i="2"/>
  <c r="G43" i="2" s="1"/>
  <c r="D42" i="2"/>
  <c r="G42" i="2" s="1"/>
  <c r="D41" i="2"/>
  <c r="D40" i="2"/>
  <c r="D39" i="2"/>
  <c r="D38" i="2"/>
  <c r="G38" i="2" s="1"/>
  <c r="D37" i="2"/>
  <c r="G37" i="2" s="1"/>
  <c r="D36" i="2"/>
  <c r="G36" i="2" s="1"/>
  <c r="D35" i="2"/>
  <c r="D34" i="2"/>
  <c r="D33" i="2"/>
  <c r="G33" i="2" s="1"/>
  <c r="D32" i="2"/>
  <c r="G32" i="2" s="1"/>
  <c r="D31" i="2"/>
  <c r="G31" i="2" s="1"/>
  <c r="D30" i="2"/>
  <c r="G30" i="2" s="1"/>
  <c r="D29" i="2"/>
  <c r="D28" i="2"/>
  <c r="K30" i="2"/>
  <c r="K31" i="2"/>
  <c r="K32" i="2"/>
  <c r="K46" i="2"/>
  <c r="K47" i="2"/>
  <c r="K48" i="2"/>
  <c r="K53" i="2"/>
  <c r="G28" i="2"/>
  <c r="G29" i="2"/>
  <c r="G34" i="2"/>
  <c r="G35" i="2"/>
  <c r="G39" i="2"/>
  <c r="G40" i="2"/>
  <c r="G41" i="2"/>
  <c r="G44" i="2"/>
  <c r="G45" i="2"/>
  <c r="G46" i="2"/>
  <c r="G47" i="2"/>
  <c r="G50" i="2"/>
  <c r="G51" i="2"/>
  <c r="G52" i="2"/>
  <c r="D8" i="2"/>
  <c r="I5" i="4" l="1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4" i="4"/>
  <c r="R9" i="1" l="1"/>
  <c r="R11" i="1"/>
  <c r="R13" i="1"/>
  <c r="R14" i="1"/>
  <c r="R15" i="1"/>
  <c r="R16" i="1"/>
  <c r="R19" i="1"/>
  <c r="R23" i="1"/>
  <c r="R25" i="1"/>
  <c r="R27" i="1"/>
  <c r="R29" i="1"/>
  <c r="R31" i="1"/>
  <c r="R33" i="1"/>
  <c r="R34" i="1"/>
  <c r="R35" i="1"/>
  <c r="R37" i="1"/>
  <c r="R38" i="1"/>
  <c r="R39" i="1"/>
  <c r="R41" i="1"/>
  <c r="R42" i="1"/>
  <c r="R43" i="1"/>
  <c r="R44" i="1"/>
  <c r="R45" i="1"/>
  <c r="R46" i="1"/>
  <c r="R47" i="1"/>
  <c r="R48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3" i="1"/>
  <c r="R74" i="1"/>
  <c r="R75" i="1"/>
  <c r="R76" i="1"/>
  <c r="R78" i="1"/>
  <c r="R79" i="1"/>
  <c r="R80" i="1"/>
  <c r="R81" i="1"/>
  <c r="R82" i="1"/>
  <c r="R84" i="1"/>
  <c r="R85" i="1"/>
  <c r="R86" i="1"/>
  <c r="R88" i="1"/>
  <c r="R89" i="1"/>
  <c r="R90" i="1"/>
  <c r="R91" i="1"/>
  <c r="R92" i="1"/>
  <c r="R93" i="1"/>
  <c r="R94" i="1"/>
  <c r="R95" i="1"/>
  <c r="R96" i="1"/>
  <c r="R97" i="1"/>
  <c r="R98" i="1"/>
  <c r="R99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7" i="1"/>
  <c r="R118" i="1"/>
  <c r="R119" i="1"/>
  <c r="R120" i="1"/>
  <c r="R121" i="1"/>
  <c r="R122" i="1"/>
  <c r="R123" i="1"/>
  <c r="R124" i="1"/>
  <c r="R125" i="1"/>
  <c r="R127" i="1"/>
  <c r="R128" i="1"/>
  <c r="R129" i="1"/>
  <c r="R130" i="1"/>
  <c r="R131" i="1"/>
  <c r="R133" i="1"/>
  <c r="R135" i="1"/>
  <c r="R136" i="1"/>
  <c r="R138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5" i="1"/>
  <c r="R156" i="1"/>
  <c r="R157" i="1"/>
  <c r="R158" i="1"/>
  <c r="R159" i="1"/>
  <c r="R160" i="1"/>
  <c r="R161" i="1"/>
  <c r="R162" i="1"/>
  <c r="R163" i="1"/>
  <c r="R164" i="1"/>
  <c r="R165" i="1"/>
  <c r="R167" i="1"/>
  <c r="R168" i="1"/>
  <c r="R170" i="1"/>
  <c r="R8" i="1"/>
  <c r="C71" i="1" l="1"/>
  <c r="C11" i="1"/>
  <c r="C27" i="1"/>
  <c r="C29" i="1"/>
  <c r="C31" i="1"/>
  <c r="C33" i="1"/>
  <c r="C37" i="1"/>
  <c r="C41" i="1"/>
  <c r="C50" i="1"/>
  <c r="C73" i="1"/>
  <c r="C78" i="1"/>
  <c r="C84" i="1"/>
  <c r="C88" i="1"/>
  <c r="C101" i="1"/>
  <c r="C117" i="1"/>
  <c r="C127" i="1"/>
  <c r="C133" i="1"/>
  <c r="C135" i="1"/>
  <c r="C138" i="1"/>
  <c r="C140" i="1"/>
  <c r="C155" i="1"/>
  <c r="C167" i="1"/>
  <c r="C170" i="1"/>
  <c r="C9" i="1"/>
  <c r="C14" i="1"/>
  <c r="C34" i="1"/>
  <c r="C38" i="1"/>
  <c r="C42" i="1"/>
  <c r="C51" i="1"/>
  <c r="C74" i="1"/>
  <c r="C79" i="1"/>
  <c r="C85" i="1"/>
  <c r="C89" i="1"/>
  <c r="C102" i="1"/>
  <c r="C118" i="1"/>
  <c r="C128" i="1"/>
  <c r="C136" i="1"/>
  <c r="C141" i="1"/>
  <c r="C156" i="1"/>
  <c r="C168" i="1"/>
  <c r="C15" i="1"/>
  <c r="C35" i="1"/>
  <c r="C39" i="1"/>
  <c r="C43" i="1"/>
  <c r="C52" i="1"/>
  <c r="C75" i="1"/>
  <c r="C80" i="1"/>
  <c r="C86" i="1"/>
  <c r="C90" i="1"/>
  <c r="C103" i="1"/>
  <c r="C119" i="1"/>
  <c r="C129" i="1"/>
  <c r="C142" i="1"/>
  <c r="C157" i="1"/>
  <c r="C16" i="1"/>
  <c r="C44" i="1"/>
  <c r="C53" i="1"/>
  <c r="C76" i="1"/>
  <c r="C81" i="1"/>
  <c r="C91" i="1"/>
  <c r="C104" i="1"/>
  <c r="C120" i="1"/>
  <c r="C130" i="1"/>
  <c r="C143" i="1"/>
  <c r="C158" i="1"/>
  <c r="C19" i="1"/>
  <c r="C45" i="1"/>
  <c r="C54" i="1"/>
  <c r="C82" i="1"/>
  <c r="C92" i="1"/>
  <c r="C105" i="1"/>
  <c r="C121" i="1"/>
  <c r="C131" i="1"/>
  <c r="C144" i="1"/>
  <c r="C159" i="1"/>
  <c r="C23" i="1"/>
  <c r="C46" i="1"/>
  <c r="C55" i="1"/>
  <c r="C93" i="1"/>
  <c r="C106" i="1"/>
  <c r="C122" i="1"/>
  <c r="C145" i="1"/>
  <c r="C160" i="1"/>
  <c r="C25" i="1"/>
  <c r="C47" i="1"/>
  <c r="C56" i="1"/>
  <c r="C94" i="1"/>
  <c r="C107" i="1"/>
  <c r="C123" i="1"/>
  <c r="C146" i="1"/>
  <c r="C161" i="1"/>
  <c r="C48" i="1"/>
  <c r="C57" i="1"/>
  <c r="C95" i="1"/>
  <c r="C108" i="1"/>
  <c r="C124" i="1"/>
  <c r="C147" i="1"/>
  <c r="C162" i="1"/>
  <c r="C58" i="1"/>
  <c r="C96" i="1"/>
  <c r="C109" i="1"/>
  <c r="C125" i="1"/>
  <c r="C148" i="1"/>
  <c r="C163" i="1"/>
  <c r="C59" i="1"/>
  <c r="C97" i="1"/>
  <c r="C110" i="1"/>
  <c r="C149" i="1"/>
  <c r="C164" i="1"/>
  <c r="C60" i="1"/>
  <c r="C98" i="1"/>
  <c r="C111" i="1"/>
  <c r="C150" i="1"/>
  <c r="C165" i="1"/>
  <c r="C61" i="1"/>
  <c r="C99" i="1"/>
  <c r="C112" i="1"/>
  <c r="C151" i="1"/>
  <c r="C62" i="1"/>
  <c r="C113" i="1"/>
  <c r="C152" i="1"/>
  <c r="C63" i="1"/>
  <c r="C114" i="1"/>
  <c r="C153" i="1"/>
  <c r="C64" i="1"/>
  <c r="C115" i="1"/>
  <c r="C65" i="1"/>
  <c r="C66" i="1"/>
  <c r="C67" i="1"/>
  <c r="C68" i="1"/>
  <c r="C69" i="1"/>
  <c r="C70" i="1"/>
  <c r="C8" i="1"/>
  <c r="D6" i="2" l="1"/>
  <c r="O31" i="1" l="1"/>
  <c r="P170" i="1"/>
  <c r="O170" i="1"/>
  <c r="P168" i="1"/>
  <c r="O168" i="1"/>
  <c r="P167" i="1"/>
  <c r="O167" i="1"/>
  <c r="P165" i="1"/>
  <c r="O165" i="1"/>
  <c r="P164" i="1"/>
  <c r="O164" i="1"/>
  <c r="P163" i="1"/>
  <c r="O163" i="1"/>
  <c r="P162" i="1"/>
  <c r="O162" i="1"/>
  <c r="P161" i="1"/>
  <c r="O161" i="1"/>
  <c r="P160" i="1"/>
  <c r="O160" i="1"/>
  <c r="P159" i="1"/>
  <c r="O159" i="1"/>
  <c r="P158" i="1"/>
  <c r="O158" i="1"/>
  <c r="P157" i="1"/>
  <c r="O157" i="1"/>
  <c r="P156" i="1"/>
  <c r="O156" i="1"/>
  <c r="P155" i="1"/>
  <c r="O155" i="1"/>
  <c r="P153" i="1"/>
  <c r="O153" i="1"/>
  <c r="P152" i="1"/>
  <c r="O152" i="1"/>
  <c r="P151" i="1"/>
  <c r="O151" i="1"/>
  <c r="P150" i="1"/>
  <c r="O150" i="1"/>
  <c r="P149" i="1"/>
  <c r="O149" i="1"/>
  <c r="P148" i="1"/>
  <c r="O148" i="1"/>
  <c r="P147" i="1"/>
  <c r="O147" i="1"/>
  <c r="P146" i="1"/>
  <c r="O146" i="1"/>
  <c r="P145" i="1"/>
  <c r="O145" i="1"/>
  <c r="P144" i="1"/>
  <c r="O144" i="1"/>
  <c r="P143" i="1"/>
  <c r="O143" i="1"/>
  <c r="P142" i="1"/>
  <c r="O142" i="1"/>
  <c r="P141" i="1"/>
  <c r="O141" i="1"/>
  <c r="P140" i="1"/>
  <c r="O140" i="1"/>
  <c r="P138" i="1"/>
  <c r="O138" i="1"/>
  <c r="P136" i="1"/>
  <c r="O136" i="1"/>
  <c r="P135" i="1"/>
  <c r="O135" i="1"/>
  <c r="P133" i="1"/>
  <c r="O133" i="1"/>
  <c r="P131" i="1"/>
  <c r="O131" i="1"/>
  <c r="P130" i="1"/>
  <c r="O130" i="1"/>
  <c r="P129" i="1"/>
  <c r="O129" i="1"/>
  <c r="P128" i="1"/>
  <c r="O128" i="1"/>
  <c r="P127" i="1"/>
  <c r="O127" i="1"/>
  <c r="P125" i="1"/>
  <c r="O125" i="1"/>
  <c r="P124" i="1"/>
  <c r="O124" i="1"/>
  <c r="P123" i="1"/>
  <c r="O123" i="1"/>
  <c r="P122" i="1"/>
  <c r="O122" i="1"/>
  <c r="P121" i="1"/>
  <c r="O121" i="1"/>
  <c r="P120" i="1"/>
  <c r="O120" i="1"/>
  <c r="P119" i="1"/>
  <c r="O119" i="1"/>
  <c r="P118" i="1"/>
  <c r="O118" i="1"/>
  <c r="P117" i="1"/>
  <c r="O117" i="1"/>
  <c r="P115" i="1"/>
  <c r="O115" i="1"/>
  <c r="P114" i="1"/>
  <c r="O114" i="1"/>
  <c r="P113" i="1"/>
  <c r="O113" i="1"/>
  <c r="P112" i="1"/>
  <c r="O112" i="1"/>
  <c r="P111" i="1"/>
  <c r="O111" i="1"/>
  <c r="P110" i="1"/>
  <c r="O110" i="1"/>
  <c r="P109" i="1"/>
  <c r="O109" i="1"/>
  <c r="P108" i="1"/>
  <c r="O108" i="1"/>
  <c r="P107" i="1"/>
  <c r="O107" i="1"/>
  <c r="P106" i="1"/>
  <c r="O106" i="1"/>
  <c r="P105" i="1"/>
  <c r="O105" i="1"/>
  <c r="P104" i="1"/>
  <c r="O104" i="1"/>
  <c r="P103" i="1"/>
  <c r="O103" i="1"/>
  <c r="P102" i="1"/>
  <c r="O102" i="1"/>
  <c r="P101" i="1"/>
  <c r="O101" i="1"/>
  <c r="P99" i="1"/>
  <c r="O99" i="1"/>
  <c r="P98" i="1"/>
  <c r="O98" i="1"/>
  <c r="P97" i="1"/>
  <c r="O97" i="1"/>
  <c r="P96" i="1"/>
  <c r="O96" i="1"/>
  <c r="P95" i="1"/>
  <c r="O95" i="1"/>
  <c r="P94" i="1"/>
  <c r="O94" i="1"/>
  <c r="P93" i="1"/>
  <c r="O93" i="1"/>
  <c r="P92" i="1"/>
  <c r="O92" i="1"/>
  <c r="P91" i="1"/>
  <c r="O91" i="1"/>
  <c r="P90" i="1"/>
  <c r="O90" i="1"/>
  <c r="P89" i="1"/>
  <c r="O89" i="1"/>
  <c r="P88" i="1"/>
  <c r="O88" i="1"/>
  <c r="P86" i="1"/>
  <c r="O86" i="1"/>
  <c r="P85" i="1"/>
  <c r="O85" i="1"/>
  <c r="P84" i="1"/>
  <c r="O84" i="1"/>
  <c r="P82" i="1"/>
  <c r="O82" i="1"/>
  <c r="P81" i="1"/>
  <c r="O81" i="1"/>
  <c r="P80" i="1"/>
  <c r="O80" i="1"/>
  <c r="P79" i="1"/>
  <c r="O79" i="1"/>
  <c r="P78" i="1"/>
  <c r="O78" i="1"/>
  <c r="P76" i="1"/>
  <c r="O76" i="1"/>
  <c r="P75" i="1"/>
  <c r="O75" i="1"/>
  <c r="P74" i="1"/>
  <c r="O74" i="1"/>
  <c r="P73" i="1"/>
  <c r="O73" i="1"/>
  <c r="P71" i="1"/>
  <c r="O71" i="1"/>
  <c r="P70" i="1"/>
  <c r="O70" i="1"/>
  <c r="P69" i="1"/>
  <c r="O69" i="1"/>
  <c r="P68" i="1"/>
  <c r="O68" i="1"/>
  <c r="P67" i="1"/>
  <c r="O67" i="1"/>
  <c r="P66" i="1"/>
  <c r="O66" i="1"/>
  <c r="P65" i="1"/>
  <c r="O65" i="1"/>
  <c r="P64" i="1"/>
  <c r="O64" i="1"/>
  <c r="P63" i="1"/>
  <c r="O63" i="1"/>
  <c r="P62" i="1"/>
  <c r="O62" i="1"/>
  <c r="P61" i="1"/>
  <c r="O61" i="1"/>
  <c r="P60" i="1"/>
  <c r="O60" i="1"/>
  <c r="P59" i="1"/>
  <c r="O59" i="1"/>
  <c r="P58" i="1"/>
  <c r="O58" i="1"/>
  <c r="P57" i="1"/>
  <c r="O57" i="1"/>
  <c r="P56" i="1"/>
  <c r="O56" i="1"/>
  <c r="P55" i="1"/>
  <c r="O55" i="1"/>
  <c r="P54" i="1"/>
  <c r="O54" i="1"/>
  <c r="P53" i="1"/>
  <c r="O53" i="1"/>
  <c r="P52" i="1"/>
  <c r="O52" i="1"/>
  <c r="P51" i="1"/>
  <c r="O51" i="1"/>
  <c r="P50" i="1"/>
  <c r="O50" i="1"/>
  <c r="P48" i="1"/>
  <c r="O48" i="1"/>
  <c r="P47" i="1"/>
  <c r="O47" i="1"/>
  <c r="P46" i="1"/>
  <c r="O46" i="1"/>
  <c r="P45" i="1"/>
  <c r="O45" i="1"/>
  <c r="O44" i="1"/>
  <c r="O43" i="1"/>
  <c r="O42" i="1"/>
  <c r="O41" i="1"/>
  <c r="O39" i="1"/>
  <c r="O38" i="1"/>
  <c r="O37" i="1"/>
  <c r="O35" i="1"/>
  <c r="O34" i="1"/>
  <c r="O33" i="1"/>
  <c r="O29" i="1"/>
  <c r="O27" i="1"/>
  <c r="O25" i="1"/>
  <c r="O23" i="1"/>
  <c r="O19" i="1"/>
  <c r="O16" i="1"/>
  <c r="O15" i="1"/>
  <c r="O14" i="1"/>
  <c r="O13" i="1"/>
  <c r="O11" i="1"/>
  <c r="O9" i="1"/>
  <c r="O8" i="1"/>
  <c r="Q88" i="1" l="1"/>
  <c r="Q94" i="1"/>
  <c r="Q101" i="1"/>
  <c r="Q105" i="1"/>
  <c r="Q109" i="1"/>
  <c r="Q113" i="1"/>
  <c r="Q118" i="1"/>
  <c r="Q127" i="1"/>
  <c r="Q131" i="1"/>
  <c r="Q138" i="1"/>
  <c r="Q143" i="1"/>
  <c r="Q145" i="1"/>
  <c r="Q147" i="1"/>
  <c r="Q149" i="1"/>
  <c r="Q151" i="1"/>
  <c r="Q153" i="1"/>
  <c r="Q156" i="1"/>
  <c r="Q158" i="1"/>
  <c r="Q160" i="1"/>
  <c r="Q162" i="1"/>
  <c r="Q164" i="1"/>
  <c r="Q167" i="1"/>
  <c r="Q90" i="1"/>
  <c r="Q98" i="1"/>
  <c r="Q103" i="1"/>
  <c r="Q107" i="1"/>
  <c r="Q111" i="1"/>
  <c r="Q115" i="1"/>
  <c r="Q120" i="1"/>
  <c r="Q124" i="1"/>
  <c r="Q129" i="1"/>
  <c r="Q141" i="1"/>
  <c r="Q92" i="1"/>
  <c r="Q85" i="1"/>
  <c r="Q96" i="1"/>
  <c r="Q135" i="1"/>
  <c r="Q122" i="1"/>
  <c r="Q89" i="1"/>
  <c r="Q97" i="1"/>
  <c r="Q104" i="1"/>
  <c r="Q108" i="1"/>
  <c r="Q117" i="1"/>
  <c r="Q121" i="1"/>
  <c r="Q125" i="1"/>
  <c r="Q130" i="1"/>
  <c r="Q133" i="1"/>
  <c r="Q136" i="1"/>
  <c r="Q142" i="1"/>
  <c r="Q144" i="1"/>
  <c r="Q146" i="1"/>
  <c r="Q148" i="1"/>
  <c r="Q150" i="1"/>
  <c r="Q152" i="1"/>
  <c r="Q155" i="1"/>
  <c r="Q157" i="1"/>
  <c r="Q159" i="1"/>
  <c r="Q161" i="1"/>
  <c r="Q163" i="1"/>
  <c r="Q165" i="1"/>
  <c r="Q168" i="1"/>
  <c r="Q91" i="1"/>
  <c r="Q99" i="1"/>
  <c r="Q106" i="1"/>
  <c r="Q110" i="1"/>
  <c r="Q119" i="1"/>
  <c r="Q123" i="1"/>
  <c r="Q128" i="1"/>
  <c r="Q140" i="1"/>
  <c r="Q84" i="1"/>
  <c r="Q95" i="1"/>
  <c r="Q114" i="1"/>
  <c r="Q86" i="1"/>
  <c r="Q93" i="1"/>
  <c r="Q102" i="1"/>
  <c r="Q112" i="1"/>
  <c r="Q170" i="1"/>
  <c r="Q46" i="1"/>
  <c r="Q48" i="1"/>
  <c r="Q51" i="1"/>
  <c r="Q53" i="1"/>
  <c r="Q55" i="1"/>
  <c r="Q57" i="1"/>
  <c r="Q59" i="1"/>
  <c r="Q61" i="1"/>
  <c r="Q63" i="1"/>
  <c r="Q65" i="1"/>
  <c r="Q67" i="1"/>
  <c r="Q69" i="1"/>
  <c r="Q71" i="1"/>
  <c r="Q79" i="1"/>
  <c r="Q81" i="1"/>
  <c r="Q78" i="1"/>
  <c r="Q80" i="1"/>
  <c r="Q74" i="1"/>
  <c r="Q82" i="1"/>
  <c r="Q45" i="1"/>
  <c r="Q47" i="1"/>
  <c r="Q50" i="1"/>
  <c r="Q52" i="1"/>
  <c r="Q54" i="1"/>
  <c r="Q56" i="1"/>
  <c r="Q58" i="1"/>
  <c r="Q60" i="1"/>
  <c r="Q62" i="1"/>
  <c r="Q64" i="1"/>
  <c r="Q66" i="1"/>
  <c r="Q68" i="1"/>
  <c r="Q70" i="1"/>
  <c r="Q73" i="1"/>
  <c r="Q75" i="1"/>
  <c r="Q76" i="1"/>
  <c r="P37" i="1" l="1"/>
  <c r="Q37" i="1" s="1"/>
  <c r="P8" i="1"/>
  <c r="P25" i="1" l="1"/>
  <c r="Q25" i="1" s="1"/>
  <c r="Q16" i="1"/>
  <c r="P41" i="1"/>
  <c r="Q41" i="1" s="1"/>
  <c r="P38" i="1"/>
  <c r="Q38" i="1" s="1"/>
  <c r="P34" i="1"/>
  <c r="Q34" i="1" s="1"/>
  <c r="P29" i="1"/>
  <c r="Q29" i="1" s="1"/>
  <c r="P11" i="1"/>
  <c r="Q11" i="1" s="1"/>
  <c r="P23" i="1"/>
  <c r="Q23" i="1" s="1"/>
  <c r="P39" i="1"/>
  <c r="Q39" i="1" s="1"/>
  <c r="P9" i="1"/>
  <c r="Q9" i="1" s="1"/>
  <c r="P33" i="1"/>
  <c r="Q33" i="1" s="1"/>
  <c r="Q8" i="1"/>
  <c r="P27" i="1"/>
  <c r="Q27" i="1" s="1"/>
  <c r="P13" i="1"/>
  <c r="Q13" i="1" s="1"/>
  <c r="P14" i="1"/>
  <c r="Q14" i="1" s="1"/>
  <c r="P44" i="1"/>
  <c r="Q44" i="1" s="1"/>
  <c r="P43" i="1"/>
  <c r="Q43" i="1" s="1"/>
  <c r="P19" i="1"/>
  <c r="Q19" i="1" s="1"/>
  <c r="P31" i="1"/>
  <c r="Q31" i="1" s="1"/>
  <c r="Q15" i="1"/>
  <c r="P35" i="1"/>
  <c r="Q35" i="1" s="1"/>
  <c r="P42" i="1"/>
  <c r="Q42" i="1" s="1"/>
  <c r="P4" i="4" l="1"/>
  <c r="H26" i="2"/>
  <c r="K26" i="2" s="1"/>
  <c r="H4" i="2"/>
  <c r="G7" i="1" s="1"/>
  <c r="H5" i="2"/>
  <c r="H6" i="2"/>
  <c r="K6" i="2" s="1"/>
  <c r="H7" i="2"/>
  <c r="K7" i="2" s="1"/>
  <c r="D27" i="1" s="1"/>
  <c r="H8" i="2"/>
  <c r="K8" i="2" s="1"/>
  <c r="D29" i="1" s="1"/>
  <c r="H9" i="2"/>
  <c r="H10" i="2"/>
  <c r="K10" i="2" s="1"/>
  <c r="H11" i="2"/>
  <c r="K11" i="2" s="1"/>
  <c r="H12" i="2"/>
  <c r="K12" i="2" s="1"/>
  <c r="H13" i="2"/>
  <c r="K13" i="2" s="1"/>
  <c r="H14" i="2"/>
  <c r="K14" i="2" s="1"/>
  <c r="H15" i="2"/>
  <c r="K15" i="2" s="1"/>
  <c r="H16" i="2"/>
  <c r="K16" i="2" s="1"/>
  <c r="H17" i="2"/>
  <c r="K17" i="2" s="1"/>
  <c r="H18" i="2"/>
  <c r="K18" i="2" s="1"/>
  <c r="H19" i="2"/>
  <c r="K19" i="2" s="1"/>
  <c r="H20" i="2"/>
  <c r="K20" i="2" s="1"/>
  <c r="H21" i="2"/>
  <c r="K21" i="2" s="1"/>
  <c r="D133" i="1" s="1"/>
  <c r="H22" i="2"/>
  <c r="K22" i="2" s="1"/>
  <c r="H23" i="2"/>
  <c r="K23" i="2" s="1"/>
  <c r="D138" i="1" s="1"/>
  <c r="H24" i="2"/>
  <c r="K24" i="2" s="1"/>
  <c r="H25" i="2"/>
  <c r="K25" i="2" s="1"/>
  <c r="H27" i="2"/>
  <c r="K27" i="2" s="1"/>
  <c r="D170" i="1" s="1"/>
  <c r="G53" i="2"/>
  <c r="D27" i="2"/>
  <c r="G27" i="2" s="1"/>
  <c r="D26" i="2"/>
  <c r="G26" i="2" s="1"/>
  <c r="D25" i="2"/>
  <c r="G25" i="2" s="1"/>
  <c r="D24" i="2"/>
  <c r="G24" i="2" s="1"/>
  <c r="D23" i="2"/>
  <c r="G23" i="2" s="1"/>
  <c r="D22" i="2"/>
  <c r="G22" i="2" s="1"/>
  <c r="D21" i="2"/>
  <c r="G21" i="2" s="1"/>
  <c r="D20" i="2"/>
  <c r="G20" i="2" s="1"/>
  <c r="D19" i="2"/>
  <c r="G19" i="2" s="1"/>
  <c r="D18" i="2"/>
  <c r="G18" i="2" s="1"/>
  <c r="D17" i="2"/>
  <c r="G17" i="2" s="1"/>
  <c r="D16" i="2"/>
  <c r="G16" i="2" s="1"/>
  <c r="D15" i="2"/>
  <c r="G15" i="2" s="1"/>
  <c r="D14" i="2"/>
  <c r="G14" i="2" s="1"/>
  <c r="D13" i="2"/>
  <c r="G13" i="2" s="1"/>
  <c r="D12" i="2"/>
  <c r="G12" i="2" s="1"/>
  <c r="D11" i="2"/>
  <c r="G11" i="2" s="1"/>
  <c r="D10" i="2"/>
  <c r="G10" i="2" s="1"/>
  <c r="D9" i="2"/>
  <c r="G9" i="2" s="1"/>
  <c r="G8" i="2"/>
  <c r="D7" i="2"/>
  <c r="G7" i="2" s="1"/>
  <c r="G6" i="2"/>
  <c r="D5" i="2"/>
  <c r="D4" i="2"/>
  <c r="K5" i="2" l="1"/>
  <c r="D11" i="1" s="1"/>
  <c r="G10" i="1"/>
  <c r="G28" i="1"/>
  <c r="G26" i="1"/>
  <c r="G12" i="1"/>
  <c r="K9" i="2"/>
  <c r="D31" i="1" s="1"/>
  <c r="G139" i="1"/>
  <c r="G83" i="1"/>
  <c r="G137" i="1"/>
  <c r="G77" i="1"/>
  <c r="G32" i="1"/>
  <c r="G134" i="1"/>
  <c r="G72" i="1"/>
  <c r="G132" i="1"/>
  <c r="G49" i="1"/>
  <c r="G166" i="1"/>
  <c r="G126" i="1"/>
  <c r="G40" i="1"/>
  <c r="G169" i="1"/>
  <c r="G116" i="1"/>
  <c r="G36" i="1"/>
  <c r="G100" i="1"/>
  <c r="G154" i="1"/>
  <c r="G87" i="1"/>
  <c r="G30" i="1"/>
  <c r="D119" i="1"/>
  <c r="D120" i="1"/>
  <c r="D125" i="1"/>
  <c r="D117" i="1"/>
  <c r="D121" i="1"/>
  <c r="D124" i="1"/>
  <c r="D122" i="1"/>
  <c r="D123" i="1"/>
  <c r="D118" i="1"/>
  <c r="D38" i="1"/>
  <c r="D37" i="1"/>
  <c r="D39" i="1"/>
  <c r="D167" i="1"/>
  <c r="D168" i="1"/>
  <c r="D102" i="1"/>
  <c r="D110" i="1"/>
  <c r="D109" i="1"/>
  <c r="D112" i="1"/>
  <c r="D104" i="1"/>
  <c r="D101" i="1"/>
  <c r="D115" i="1"/>
  <c r="D105" i="1"/>
  <c r="D108" i="1"/>
  <c r="D114" i="1"/>
  <c r="D106" i="1"/>
  <c r="D107" i="1"/>
  <c r="D111" i="1"/>
  <c r="D113" i="1"/>
  <c r="D103" i="1"/>
  <c r="D33" i="1"/>
  <c r="D35" i="1"/>
  <c r="D34" i="1"/>
  <c r="D161" i="1"/>
  <c r="D155" i="1"/>
  <c r="D164" i="1"/>
  <c r="D157" i="1"/>
  <c r="D160" i="1"/>
  <c r="D156" i="1"/>
  <c r="D165" i="1"/>
  <c r="D159" i="1"/>
  <c r="D163" i="1"/>
  <c r="D162" i="1"/>
  <c r="D158" i="1"/>
  <c r="D91" i="1"/>
  <c r="D96" i="1"/>
  <c r="D99" i="1"/>
  <c r="D88" i="1"/>
  <c r="D92" i="1"/>
  <c r="D95" i="1"/>
  <c r="D97" i="1"/>
  <c r="D93" i="1"/>
  <c r="D94" i="1"/>
  <c r="D98" i="1"/>
  <c r="D89" i="1"/>
  <c r="D90" i="1"/>
  <c r="D84" i="1"/>
  <c r="D85" i="1"/>
  <c r="D86" i="1"/>
  <c r="D82" i="1"/>
  <c r="D79" i="1"/>
  <c r="D80" i="1"/>
  <c r="D78" i="1"/>
  <c r="D81" i="1"/>
  <c r="D146" i="1"/>
  <c r="D140" i="1"/>
  <c r="D149" i="1"/>
  <c r="D153" i="1"/>
  <c r="D142" i="1"/>
  <c r="D141" i="1"/>
  <c r="D151" i="1"/>
  <c r="D148" i="1"/>
  <c r="D147" i="1"/>
  <c r="D152" i="1"/>
  <c r="D144" i="1"/>
  <c r="D143" i="1"/>
  <c r="D150" i="1"/>
  <c r="D145" i="1"/>
  <c r="D136" i="1"/>
  <c r="D135" i="1"/>
  <c r="D73" i="1"/>
  <c r="D74" i="1"/>
  <c r="D75" i="1"/>
  <c r="D76" i="1"/>
  <c r="D13" i="1"/>
  <c r="D19" i="1"/>
  <c r="D23" i="1"/>
  <c r="D25" i="1"/>
  <c r="D16" i="1"/>
  <c r="D14" i="1"/>
  <c r="D15" i="1"/>
  <c r="D68" i="1"/>
  <c r="D54" i="1"/>
  <c r="D70" i="1"/>
  <c r="D51" i="1"/>
  <c r="D52" i="1"/>
  <c r="D57" i="1"/>
  <c r="D64" i="1"/>
  <c r="D69" i="1"/>
  <c r="D55" i="1"/>
  <c r="D56" i="1"/>
  <c r="D60" i="1"/>
  <c r="D62" i="1"/>
  <c r="D65" i="1"/>
  <c r="D71" i="1"/>
  <c r="D66" i="1"/>
  <c r="D59" i="1"/>
  <c r="D67" i="1"/>
  <c r="D58" i="1"/>
  <c r="D50" i="1"/>
  <c r="D53" i="1"/>
  <c r="D63" i="1"/>
  <c r="D61" i="1"/>
  <c r="D128" i="1"/>
  <c r="D129" i="1"/>
  <c r="D130" i="1"/>
  <c r="D131" i="1"/>
  <c r="D127" i="1"/>
  <c r="D42" i="1"/>
  <c r="D43" i="1"/>
  <c r="D48" i="1"/>
  <c r="D47" i="1"/>
  <c r="D46" i="1"/>
  <c r="D41" i="1"/>
  <c r="D44" i="1"/>
  <c r="D45" i="1"/>
  <c r="G4" i="2"/>
  <c r="G5" i="2"/>
  <c r="K4" i="2"/>
  <c r="D54" i="2"/>
  <c r="H54" i="2"/>
  <c r="D9" i="1" l="1"/>
  <c r="D8" i="1"/>
</calcChain>
</file>

<file path=xl/sharedStrings.xml><?xml version="1.0" encoding="utf-8"?>
<sst xmlns="http://schemas.openxmlformats.org/spreadsheetml/2006/main" count="1368" uniqueCount="335">
  <si>
    <t>Project :</t>
  </si>
  <si>
    <t>BOQ Model</t>
  </si>
  <si>
    <t>Project No.</t>
  </si>
  <si>
    <t>Prepared by</t>
  </si>
  <si>
    <t>Checked by</t>
  </si>
  <si>
    <t>Version</t>
  </si>
  <si>
    <t>Pages</t>
  </si>
  <si>
    <t>Date</t>
  </si>
  <si>
    <t>AA</t>
  </si>
  <si>
    <t>Unit</t>
  </si>
  <si>
    <t>Nos.</t>
  </si>
  <si>
    <t>Length</t>
  </si>
  <si>
    <t>Breadth or weight</t>
  </si>
  <si>
    <t>Height or conversion</t>
  </si>
  <si>
    <t>Quantities</t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</si>
  <si>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</si>
  <si>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</si>
  <si>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t>Rm</t>
  </si>
  <si>
    <t>MT</t>
  </si>
  <si>
    <t>kg</t>
  </si>
  <si>
    <t>Location</t>
  </si>
  <si>
    <t>Bid package</t>
  </si>
  <si>
    <t>Location No.</t>
  </si>
  <si>
    <t>Package No.</t>
  </si>
  <si>
    <t>Package N.</t>
  </si>
  <si>
    <t>Category N.</t>
  </si>
  <si>
    <t>Subcategory N.</t>
  </si>
  <si>
    <r>
      <rPr>
        <b/>
        <sz val="14"/>
        <color rgb="FF00B050"/>
        <rFont val="Arial Narrow"/>
        <family val="2"/>
      </rPr>
      <t>Constant (1)</t>
    </r>
    <r>
      <rPr>
        <b/>
        <sz val="14"/>
        <color theme="0"/>
        <rFont val="Arial Narrow"/>
        <family val="2"/>
      </rPr>
      <t xml:space="preserve"> or </t>
    </r>
    <r>
      <rPr>
        <b/>
        <sz val="14"/>
        <color rgb="FFFF0000"/>
        <rFont val="Arial Narrow"/>
        <family val="2"/>
      </rPr>
      <t>Variable (0)</t>
    </r>
  </si>
  <si>
    <t>Sort by</t>
  </si>
  <si>
    <t>Package</t>
  </si>
  <si>
    <t>Location N.</t>
  </si>
  <si>
    <t>Sort</t>
  </si>
  <si>
    <t>D</t>
  </si>
  <si>
    <t>Hidden format</t>
  </si>
  <si>
    <t>Location Row</t>
  </si>
  <si>
    <t>Package Row</t>
  </si>
  <si>
    <t>Category Row</t>
  </si>
  <si>
    <t>Text</t>
  </si>
  <si>
    <t>Subcategory Row</t>
  </si>
  <si>
    <t>Total Row</t>
  </si>
  <si>
    <t>Warning</t>
  </si>
  <si>
    <t>C</t>
  </si>
  <si>
    <t>A</t>
  </si>
  <si>
    <t>1. Only yellow cells can be modified</t>
  </si>
  <si>
    <t>2. You can modify the header format according to your preference</t>
  </si>
  <si>
    <t>Price reference</t>
  </si>
  <si>
    <t>Hidden data</t>
  </si>
  <si>
    <r>
      <t xml:space="preserve">3. In the A column, you can type 0 or 1 to indicate if this line change between 2 projects or if it stays the same. </t>
    </r>
    <r>
      <rPr>
        <i/>
        <sz val="11"/>
        <color rgb="FF00B050"/>
        <rFont val="Calibri"/>
        <family val="2"/>
        <scheme val="minor"/>
      </rPr>
      <t>1 = constant</t>
    </r>
    <r>
      <rPr>
        <i/>
        <sz val="11"/>
        <color theme="1"/>
        <rFont val="Calibri"/>
        <family val="2"/>
        <scheme val="minor"/>
      </rPr>
      <t xml:space="preserve"> / </t>
    </r>
    <r>
      <rPr>
        <i/>
        <sz val="11"/>
        <color rgb="FFFF0000"/>
        <rFont val="Calibri"/>
        <family val="2"/>
        <scheme val="minor"/>
      </rPr>
      <t>0 = variable</t>
    </r>
    <r>
      <rPr>
        <i/>
        <sz val="11"/>
        <color theme="1"/>
        <rFont val="Calibri"/>
        <family val="2"/>
        <scheme val="minor"/>
      </rPr>
      <t>. An indiactor is then displayed</t>
    </r>
  </si>
  <si>
    <t>1. In the upper part of this sheet, nothing should be modified</t>
  </si>
  <si>
    <r>
      <t xml:space="preserve">3. For the "hidden format" part you </t>
    </r>
    <r>
      <rPr>
        <b/>
        <i/>
        <sz val="11"/>
        <color theme="1"/>
        <rFont val="Calibri"/>
        <family val="2"/>
        <scheme val="minor"/>
      </rPr>
      <t>should take in condideration the warning on the right.</t>
    </r>
  </si>
  <si>
    <r>
      <t xml:space="preserve">2. In the bottom part "Hidden format", you can modified each line according to your preference. Then, </t>
    </r>
    <r>
      <rPr>
        <b/>
        <i/>
        <sz val="11"/>
        <color theme="1"/>
        <rFont val="Calibri"/>
        <family val="2"/>
        <scheme val="minor"/>
      </rPr>
      <t>these formats are applied in the BOQ Model sheet</t>
    </r>
  </si>
  <si>
    <r>
      <t xml:space="preserve">1.Every </t>
    </r>
    <r>
      <rPr>
        <b/>
        <i/>
        <sz val="11"/>
        <color theme="1"/>
        <rFont val="Calibri"/>
        <family val="2"/>
        <scheme val="minor"/>
      </rPr>
      <t>shapes in the header are in reality shortcuts</t>
    </r>
    <r>
      <rPr>
        <i/>
        <sz val="11"/>
        <color theme="1"/>
        <rFont val="Calibri"/>
        <family val="2"/>
        <scheme val="minor"/>
      </rPr>
      <t>, you can activate them just with a click</t>
    </r>
  </si>
  <si>
    <t>Data</t>
  </si>
  <si>
    <r>
      <t>2. If you want to arrange location/package number, it must be done</t>
    </r>
    <r>
      <rPr>
        <b/>
        <i/>
        <sz val="11"/>
        <color theme="1"/>
        <rFont val="Calibri"/>
        <family val="2"/>
        <scheme val="minor"/>
      </rPr>
      <t xml:space="preserve"> on the Data sheet</t>
    </r>
  </si>
  <si>
    <t>4. For columns H/I/J, you must choose  values from a list. These lists come directly from the Data sheet.</t>
  </si>
  <si>
    <t>Subject</t>
  </si>
  <si>
    <r>
      <t xml:space="preserve">5. For each subject No. :
- </t>
    </r>
    <r>
      <rPr>
        <b/>
        <i/>
        <sz val="11"/>
        <color theme="1"/>
        <rFont val="Calibri"/>
        <family val="2"/>
        <scheme val="minor"/>
      </rPr>
      <t>Location/Package No. are automatically filled</t>
    </r>
    <r>
      <rPr>
        <i/>
        <sz val="11"/>
        <color theme="1"/>
        <rFont val="Calibri"/>
        <family val="2"/>
        <scheme val="minor"/>
      </rPr>
      <t xml:space="preserve"> with the choice made in H/I columns
- </t>
    </r>
    <r>
      <rPr>
        <b/>
        <i/>
        <sz val="11"/>
        <color theme="1"/>
        <rFont val="Calibri"/>
        <family val="2"/>
        <scheme val="minor"/>
      </rPr>
      <t>Category/Subcategory No. should be manually filled</t>
    </r>
    <r>
      <rPr>
        <i/>
        <sz val="11"/>
        <color theme="1"/>
        <rFont val="Calibri"/>
        <family val="2"/>
        <scheme val="minor"/>
      </rPr>
      <t xml:space="preserve"> according to your preferences</t>
    </r>
  </si>
  <si>
    <t>6. In O column, the quantity is automatically calculated depending on Nos. and dimensions. But you can change the formula if necessary.</t>
  </si>
  <si>
    <t>7. In the Q column, same commentary than the 6th one, but it's calculated depending of the quantity and the price /quantity.</t>
  </si>
  <si>
    <t>Columns C/F/G/H need to keep this format. Column I to S must be merged.</t>
  </si>
  <si>
    <t>Columns C/E/G/H need to keep this format. Column I to S must be merged.</t>
  </si>
  <si>
    <t>Column C/H need to keep this format</t>
  </si>
  <si>
    <t>Column C needs to keep this format</t>
  </si>
  <si>
    <t>Row format - explanations</t>
  </si>
  <si>
    <t>Part which can be modified (but you have to take the warning in consideration for each row format)</t>
  </si>
  <si>
    <r>
      <t xml:space="preserve">8. </t>
    </r>
    <r>
      <rPr>
        <b/>
        <i/>
        <sz val="11"/>
        <color rgb="FFFF0000"/>
        <rFont val="Calibri"/>
        <family val="2"/>
        <scheme val="minor"/>
      </rPr>
      <t>The fact to sort by location or by package update all the page layout</t>
    </r>
  </si>
  <si>
    <r>
      <t xml:space="preserve">5. In these columns D &amp; T, you should keep the </t>
    </r>
    <r>
      <rPr>
        <b/>
        <i/>
        <sz val="11"/>
        <color theme="1"/>
        <rFont val="Calibri"/>
        <family val="2"/>
        <scheme val="minor"/>
      </rPr>
      <t>text white</t>
    </r>
  </si>
  <si>
    <t>4. Always for the Hidden format, the word "text" write in each cell between the column C &amp; S, it permittes to get an overview of the row format</t>
  </si>
  <si>
    <t>Demolition</t>
  </si>
  <si>
    <t>Earthworks</t>
  </si>
  <si>
    <t>Bunker Pit</t>
  </si>
  <si>
    <t>Boiler house</t>
  </si>
  <si>
    <t>Flue gas treatment</t>
  </si>
  <si>
    <t>Amount [₹]</t>
  </si>
  <si>
    <t>Rate Price/Unit [₹]</t>
  </si>
  <si>
    <t>Change rate</t>
  </si>
  <si>
    <t>Currency</t>
  </si>
  <si>
    <t>INR/USD</t>
  </si>
  <si>
    <t>INR/EUR</t>
  </si>
  <si>
    <t>INR/GBP</t>
  </si>
  <si>
    <t>INR/CNH</t>
  </si>
  <si>
    <t>INR/THB</t>
  </si>
  <si>
    <t>Designation</t>
  </si>
  <si>
    <t>INR/INR</t>
  </si>
  <si>
    <t>Change</t>
  </si>
  <si>
    <t>Indian roupie [₹]</t>
  </si>
  <si>
    <t>US Dollar [$]</t>
  </si>
  <si>
    <t>Euro [€]</t>
  </si>
  <si>
    <t>Yuan [¥]</t>
  </si>
  <si>
    <r>
      <t>GB Pound [</t>
    </r>
    <r>
      <rPr>
        <sz val="11"/>
        <color theme="1"/>
        <rFont val="Calibri"/>
        <family val="2"/>
      </rPr>
      <t>£]</t>
    </r>
  </si>
  <si>
    <t>Baht [฿]</t>
  </si>
  <si>
    <t>Amount [$]</t>
  </si>
  <si>
    <t>Amount [€]</t>
  </si>
  <si>
    <t>Amount [£]</t>
  </si>
  <si>
    <t>Amount [¥]</t>
  </si>
  <si>
    <t>Amount [฿]</t>
  </si>
  <si>
    <t>Obtain BOQ Amount from</t>
  </si>
  <si>
    <t>m3</t>
  </si>
  <si>
    <t>m2</t>
  </si>
  <si>
    <t>Amount/Unit</t>
  </si>
  <si>
    <t>Column No.</t>
  </si>
  <si>
    <t>P</t>
  </si>
  <si>
    <t>Plain Cement Concrete</t>
  </si>
  <si>
    <t>Reinforced Cement Concrete</t>
  </si>
  <si>
    <t>Reinforcement</t>
  </si>
  <si>
    <t>Form Work</t>
  </si>
  <si>
    <t>Non shrink grout</t>
  </si>
  <si>
    <t>Embedded Items</t>
  </si>
  <si>
    <t>Structural Steel Works</t>
  </si>
  <si>
    <t>Road Works</t>
  </si>
  <si>
    <t>Miscellaneous</t>
  </si>
  <si>
    <t>Sheeting</t>
  </si>
  <si>
    <t>Masonry works</t>
  </si>
  <si>
    <t>Plastering works</t>
  </si>
  <si>
    <t>Doors and Windows</t>
  </si>
  <si>
    <t>Flooring</t>
  </si>
  <si>
    <t>Painting</t>
  </si>
  <si>
    <t>False ceiling</t>
  </si>
  <si>
    <t>POP Punning</t>
  </si>
  <si>
    <t>Acid Resistant Brick Lining</t>
  </si>
  <si>
    <t>Insulation</t>
  </si>
  <si>
    <t>Water supply</t>
  </si>
  <si>
    <t>Sanitary works</t>
  </si>
  <si>
    <t>Piles</t>
  </si>
  <si>
    <t>Excavation</t>
  </si>
  <si>
    <t>Backfilling</t>
  </si>
  <si>
    <t>M15 for Mudmat</t>
  </si>
  <si>
    <t>M25 for foundations</t>
  </si>
  <si>
    <t>M25 for super structures</t>
  </si>
  <si>
    <t>M20 for super structures &amp; grade slab</t>
  </si>
  <si>
    <t xml:space="preserve">M25 for water retaining structures </t>
  </si>
  <si>
    <t>M40 for chimney shell</t>
  </si>
  <si>
    <t>M25 for TG foundation</t>
  </si>
  <si>
    <t>M30 for precast concrete</t>
  </si>
  <si>
    <t>Cutting, bending and tieing of reinforcement for all civil works</t>
  </si>
  <si>
    <t>Form work</t>
  </si>
  <si>
    <t>Fabrication and fixing of Insert plates</t>
  </si>
  <si>
    <t>Fixing of foundation bolts including providing necessary templates.</t>
  </si>
  <si>
    <t>Providing and fixing MS grating or chequered plates</t>
  </si>
  <si>
    <t>Fabrication and erection of structural steel works with two coats of  primer and one coat of final paint</t>
  </si>
  <si>
    <t>Painting of structural steel with synthetic enamel paint</t>
  </si>
  <si>
    <t>Painting of structural steel with Epoxy paint</t>
  </si>
  <si>
    <t>Preparation of sub grade</t>
  </si>
  <si>
    <t>Sub base grading 1 (100mm thick ) with 90 - 40 metal</t>
  </si>
  <si>
    <t>Sub base grading 2 (75mm thick ) with 63 - 40 metal</t>
  </si>
  <si>
    <t>Sub base grading 3 (75mm thick ) with 50 - 20 metal</t>
  </si>
  <si>
    <t>Prime Tack coat</t>
  </si>
  <si>
    <t>50mm thick premix carpet</t>
  </si>
  <si>
    <t>Asphaltic concrete 25mm thick</t>
  </si>
  <si>
    <t xml:space="preserve">Seal coat </t>
  </si>
  <si>
    <t>Gravel fill for transformer pits</t>
  </si>
  <si>
    <t>8 gauge GI Chainlink fencing</t>
  </si>
  <si>
    <t>25mm Aluminum nosing for steps</t>
  </si>
  <si>
    <t>32nb GI pipe Hand rail with toe guard plate</t>
  </si>
  <si>
    <t>50 dia SS Hand rail</t>
  </si>
  <si>
    <t>150 dia HDPE pipe for rain water down take pipe</t>
  </si>
  <si>
    <t>150 dia GI pipe for rain water down take pipe</t>
  </si>
  <si>
    <t>80 dia MS pipe for rain water down take pipe</t>
  </si>
  <si>
    <t>150 dia CI pipe for soil line</t>
  </si>
  <si>
    <t>100 dia CI pipe for soil line</t>
  </si>
  <si>
    <t>NP2 class 100 dia Hume pipes</t>
  </si>
  <si>
    <t>NP2 class 150 dia Hume pipes</t>
  </si>
  <si>
    <t>NP2 class 200 dia Hume pipes</t>
  </si>
  <si>
    <t>NP2 class 250 dia Hume pipes</t>
  </si>
  <si>
    <t>NP2 class 300 dia Hume pipes</t>
  </si>
  <si>
    <t>NP2 class 450 dia Hume pipes</t>
  </si>
  <si>
    <t>NP2 class 600 dia Hume pipes</t>
  </si>
  <si>
    <t>90 lb rails</t>
  </si>
  <si>
    <t>250micron thk LDPE film</t>
  </si>
  <si>
    <t>Antitermite treatment</t>
  </si>
  <si>
    <t>Anti weed treatment</t>
  </si>
  <si>
    <t>Site grading</t>
  </si>
  <si>
    <t>Sheeting with AC sheets</t>
  </si>
  <si>
    <t>Translucent sheeting</t>
  </si>
  <si>
    <t>Sheeting with permanent color coated sheets</t>
  </si>
  <si>
    <t>Sheeting with permanent color coated sandwiched insulated sheets</t>
  </si>
  <si>
    <t>350mm thick brick work with fly ash bricks for super structure</t>
  </si>
  <si>
    <t>230mm thick brick work with fly ash bricks for super structure</t>
  </si>
  <si>
    <t>Concrete block masonry for sub structure</t>
  </si>
  <si>
    <t>Concrete block masonry for super structure</t>
  </si>
  <si>
    <t>115mm thick brick work in partition walls with flyash bricks</t>
  </si>
  <si>
    <t>20mm thick plastering in outside surfaces</t>
  </si>
  <si>
    <t>12mm thick plastering for inside surfaces</t>
  </si>
  <si>
    <t>6mm thick plastering for roof slabs</t>
  </si>
  <si>
    <t>Double plate flush doors 45mm thick with 18 gauge steel sheets</t>
  </si>
  <si>
    <t>Aluminum doors with extruded sections with min wall thickness of 3mm and glazing with 6mm plain glass</t>
  </si>
  <si>
    <t>Wooden flush doors with teak wood frame and particle board core</t>
  </si>
  <si>
    <t>Wooden paneled door with 1.5mm thick laminated plastic sheets for toilet doors</t>
  </si>
  <si>
    <t>Electrically and mechanically operable rolling shutters</t>
  </si>
  <si>
    <t>Fixed type steel windows with 6mm wired glass</t>
  </si>
  <si>
    <t>Openable type steel windows and ventilators</t>
  </si>
  <si>
    <t>Fixed type Aluminum windows</t>
  </si>
  <si>
    <t>Openable type Aluminum windows and ventilators</t>
  </si>
  <si>
    <t>Glazed Aluminum partitions</t>
  </si>
  <si>
    <t>Fire resistant doors as per LPA regulations</t>
  </si>
  <si>
    <t>Door closers</t>
  </si>
  <si>
    <t>Cement concrete with metalic hardener topping</t>
  </si>
  <si>
    <t>Cement concrete with non metalic granular topping</t>
  </si>
  <si>
    <t>50mm thk precast concrete tiles</t>
  </si>
  <si>
    <t>20mm thick polished granite slab</t>
  </si>
  <si>
    <t>7mm thick vitrified ceramic tiles in combination of mirror polished and un polished tiles</t>
  </si>
  <si>
    <t>7mm thick vitrified ceramic tiles ( un polished)</t>
  </si>
  <si>
    <t>vitrified tiles over cement concrete flooring</t>
  </si>
  <si>
    <t>20mm thick Thandur blue stone</t>
  </si>
  <si>
    <t>20mm thick polished kota stone</t>
  </si>
  <si>
    <t>7mm thick dust pressed ceramic tiles in combination with 20mm thick polished granite stone</t>
  </si>
  <si>
    <t>20mm thick polished kota stone with marble stone border</t>
  </si>
  <si>
    <t>20mm thick acid resistant tiles over bitumen primer</t>
  </si>
  <si>
    <t>Oil resistant paint ( Epoxy based and amine cured) 150 micron over CC flooring</t>
  </si>
  <si>
    <t>Marble in Dado up to 1.5m height</t>
  </si>
  <si>
    <t>5mm thick ceramic tiles in dado upto 2.1m height</t>
  </si>
  <si>
    <t>OBD for ceiling</t>
  </si>
  <si>
    <t>Colour wash</t>
  </si>
  <si>
    <t>Oil bound distemper</t>
  </si>
  <si>
    <t>Acylic emulsion paint</t>
  </si>
  <si>
    <t>Resin bonded granular textureed paint</t>
  </si>
  <si>
    <t>Chemical resistant epoxy paint</t>
  </si>
  <si>
    <t>Acid and heat resistant Bitumastic paint for internal shell of chimney</t>
  </si>
  <si>
    <t>Synthetic enamel paint</t>
  </si>
  <si>
    <t>Acid and heat resistant  paint for External shell of chimney</t>
  </si>
  <si>
    <t>Metal deck for roofing shuttering</t>
  </si>
  <si>
    <t>0.5mm thick precoated (color) / Al Lineal false ceiling in approved pattern</t>
  </si>
  <si>
    <t>Gypsum board false ceiling</t>
  </si>
  <si>
    <t>False ceiling with Mineral fibre board and MS coated frame work</t>
  </si>
  <si>
    <t>Under deck Insulation</t>
  </si>
  <si>
    <t>230mm thick AR Brick Lining</t>
  </si>
  <si>
    <t>115 mm thick AR Brick lining</t>
  </si>
  <si>
    <t>Heavy duty chromium plated brass bib cock</t>
  </si>
  <si>
    <t>Heavy duty brass stop cock 15mm nominal bore</t>
  </si>
  <si>
    <t>Brass full way valve 25mm nominal bore</t>
  </si>
  <si>
    <t>Brass full way valve 50mm nominal bore</t>
  </si>
  <si>
    <t>15nb GI pipes</t>
  </si>
  <si>
    <t>25nb GI pipes</t>
  </si>
  <si>
    <t>50mm GI pipes</t>
  </si>
  <si>
    <t>SS Towel rail</t>
  </si>
  <si>
    <t>SS Soap holder</t>
  </si>
  <si>
    <t>Paper  holder</t>
  </si>
  <si>
    <t>Shower set</t>
  </si>
  <si>
    <t>1000 lit PVC tank</t>
  </si>
  <si>
    <t>2000 Lit PVC tank</t>
  </si>
  <si>
    <t>Pressure relief valves in water retaining structures of 160mm dia</t>
  </si>
  <si>
    <t>Wash basin 600 x 450</t>
  </si>
  <si>
    <t>Acid resistant laboratory sink</t>
  </si>
  <si>
    <t>SS sink for pantry</t>
  </si>
  <si>
    <t>EWC with flushing cistern</t>
  </si>
  <si>
    <t>IWC with flushing cistern</t>
  </si>
  <si>
    <t>Large flat back censor operated urinals</t>
  </si>
  <si>
    <t>CI manhole cover 1m x 1m</t>
  </si>
  <si>
    <t>CI manhole cover 0.6m dia</t>
  </si>
  <si>
    <t>100mm x 100mm size square type gully trap with complete set</t>
  </si>
  <si>
    <t>CI floor traps with CP jolly</t>
  </si>
  <si>
    <t>Providing &amp; fixing urinal partitions</t>
  </si>
  <si>
    <t>Cleaning and Levelling</t>
  </si>
  <si>
    <t>Reoving existing facilities</t>
  </si>
  <si>
    <t>LS</t>
  </si>
  <si>
    <t/>
  </si>
  <si>
    <t>Margin [%]</t>
  </si>
  <si>
    <t>Display</t>
  </si>
  <si>
    <t>ON</t>
  </si>
  <si>
    <t>OFF</t>
  </si>
  <si>
    <t>Activation</t>
  </si>
  <si>
    <t>H</t>
  </si>
  <si>
    <t>Uncertainty factor on material [%]</t>
  </si>
  <si>
    <t>Acy</t>
  </si>
  <si>
    <t>Tipping hall (30x60x10m)</t>
  </si>
  <si>
    <t>Waste bunker (50x20x5m)</t>
  </si>
  <si>
    <t>Administration building</t>
  </si>
  <si>
    <t>Sludge pond (15x7x1.5m)</t>
  </si>
  <si>
    <t>Evaporation pond (19x10x1.5m)</t>
  </si>
  <si>
    <t>Neutralization pond (12x7x1.5m)</t>
  </si>
  <si>
    <t>Raw water buffet tank (20x10x2m)</t>
  </si>
  <si>
    <t>Filtered water tank(10x10x2m)</t>
  </si>
  <si>
    <t>Bottom ash storage building</t>
  </si>
  <si>
    <t>Silo &amp; Reagent stroage room</t>
  </si>
  <si>
    <t>Storage building</t>
  </si>
  <si>
    <t>Air cool condenser</t>
  </si>
  <si>
    <t>Electrical building</t>
  </si>
  <si>
    <t>Compressor building</t>
  </si>
  <si>
    <t>Transformers</t>
  </si>
  <si>
    <t>Emergency diesel generator building</t>
  </si>
  <si>
    <t xml:space="preserve">LDO storage tank </t>
  </si>
  <si>
    <t>Switchyard</t>
  </si>
  <si>
    <t>Auxilary cooling tower</t>
  </si>
  <si>
    <t>Raw water &amp; fire water reservoir</t>
  </si>
  <si>
    <t>Raw water &amp; fire waterpump house</t>
  </si>
  <si>
    <t>water treatment plant building</t>
  </si>
  <si>
    <t>workshop building</t>
  </si>
  <si>
    <t>CEMS</t>
  </si>
  <si>
    <t>Conveyor</t>
  </si>
  <si>
    <t>Buffer tank</t>
  </si>
  <si>
    <t>Gatehouse building</t>
  </si>
  <si>
    <t>Weigh bridge</t>
  </si>
  <si>
    <t>Water proofing</t>
  </si>
  <si>
    <t>40mm thick cement screed treatment mixed with water proofing compound in 2.5m panels and joint filling with elastomeric sealant</t>
  </si>
  <si>
    <t>Providing and fixing of 225 x 5 pvc water stopper</t>
  </si>
  <si>
    <t>Providing and fixing 25mm thick impregneous fibre board ( Shalitex)</t>
  </si>
  <si>
    <t>Providing and applying 25mm x 25mm polysulphide sealant in expansion joints</t>
  </si>
  <si>
    <t>Excavation in soil up to 1m</t>
  </si>
  <si>
    <t>Excavation in soft disintegerated rock from 1m to 2m</t>
  </si>
  <si>
    <t>Excavation in Hard rock</t>
  </si>
  <si>
    <t>Back filling of Earth with available earth</t>
  </si>
  <si>
    <t>Back filling of Earth with borrowed earth with a lead of 5 km</t>
  </si>
  <si>
    <t>Disposal of surplus earth up to a distance of 5 km</t>
  </si>
  <si>
    <t>Filling with Ash</t>
  </si>
  <si>
    <t>River sand Filling</t>
  </si>
  <si>
    <t>230mm thick Rubble soling</t>
  </si>
  <si>
    <t>PCC 1:3:6</t>
  </si>
  <si>
    <t>PCC 1:2:4</t>
  </si>
  <si>
    <t>Plum concrete 1:5:10 with plum 30 to 40%</t>
  </si>
  <si>
    <t>50 thick guniting for bunker</t>
  </si>
  <si>
    <t>Ordinary form work below finished ground level</t>
  </si>
  <si>
    <t>Fair face form work below finished ground level</t>
  </si>
  <si>
    <t>Ordinary form work above finished ground level</t>
  </si>
  <si>
    <t>Fair face form work above finished ground level</t>
  </si>
  <si>
    <t>Form work for TG foundation</t>
  </si>
  <si>
    <t>Slipform form work</t>
  </si>
  <si>
    <t>Choose currency for change</t>
  </si>
  <si>
    <t>Providing and applying Lloyd Foam 30mm thick poly urethane</t>
  </si>
  <si>
    <t>Water_proofing</t>
  </si>
  <si>
    <t>Plain_cement_concrete</t>
  </si>
  <si>
    <t>Reinforced_cement_concrete</t>
  </si>
  <si>
    <t>Form_work</t>
  </si>
  <si>
    <t>Structural_steel_works</t>
  </si>
  <si>
    <t>Embedded_items</t>
  </si>
  <si>
    <t>Masonry_works</t>
  </si>
  <si>
    <t>Plastering_works</t>
  </si>
  <si>
    <t>Doors_and_windows</t>
  </si>
  <si>
    <t>False_ceiling</t>
  </si>
  <si>
    <t>POP_punning</t>
  </si>
  <si>
    <t>Acid_resistant_brick_lining</t>
  </si>
  <si>
    <t>Water_supply</t>
  </si>
  <si>
    <t>Sanitary_works</t>
  </si>
  <si>
    <t>Road_works</t>
  </si>
  <si>
    <t>No.</t>
  </si>
  <si>
    <t>Category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</si>
</sst>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₹&quot;\ #,##0.00"/>
    <numFmt numFmtId="165" formatCode="0.0%"/>
  </numFmts>
  <fonts count="3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Arial"/>
      <family val="2"/>
    </font>
    <font>
      <b/>
      <sz val="18"/>
      <color theme="0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vertAlign val="superscript"/>
      <sz val="11"/>
      <color theme="1"/>
      <name val="Calibri"/>
      <family val="2"/>
      <scheme val="minor"/>
    </font>
    <font>
      <b/>
      <sz val="14"/>
      <color theme="0"/>
      <name val="Arial Narrow"/>
      <family val="2"/>
    </font>
    <font>
      <b/>
      <sz val="14"/>
      <color rgb="FFFF0000"/>
      <name val="Arial Narrow"/>
      <family val="2"/>
    </font>
    <font>
      <b/>
      <sz val="14"/>
      <color rgb="FF00B050"/>
      <name val="Arial Narrow"/>
      <family val="2"/>
    </font>
    <font>
      <b/>
      <u/>
      <sz val="14"/>
      <color rgb="FF00206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u/>
      <sz val="10"/>
      <color rgb="FF0070C0"/>
      <name val="Arial"/>
      <family val="2"/>
    </font>
    <font>
      <b/>
      <u/>
      <sz val="14"/>
      <color rgb="FF0070C0"/>
      <name val="Arial"/>
      <family val="2"/>
    </font>
    <font>
      <sz val="11"/>
      <color theme="0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sz val="14"/>
      <color theme="0"/>
      <name val="Arial"/>
      <family val="2"/>
    </font>
    <font>
      <b/>
      <sz val="14"/>
      <color rgb="FF0070C0"/>
      <name val="Arial"/>
      <family val="2"/>
    </font>
    <font>
      <sz val="10"/>
      <color theme="1"/>
      <name val="Arial"/>
      <family val="2"/>
    </font>
    <font>
      <sz val="10"/>
      <color theme="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i/>
      <sz val="22"/>
      <color rgb="FFFF0000"/>
      <name val="Calibri"/>
      <family val="2"/>
      <scheme val="minor"/>
    </font>
    <font>
      <b/>
      <sz val="10"/>
      <color rgb="FF002060"/>
      <name val="Arial"/>
      <family val="2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rgb="FF00B05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0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0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ashDot">
        <color indexed="64"/>
      </left>
      <right style="thin">
        <color indexed="64"/>
      </right>
      <top/>
      <bottom/>
      <diagonal/>
    </border>
    <border>
      <left style="dashDot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 style="dashDot">
        <color indexed="64"/>
      </bottom>
      <diagonal/>
    </border>
    <border>
      <left/>
      <right style="medium">
        <color auto="1"/>
      </right>
      <top style="medium">
        <color indexed="64"/>
      </top>
      <bottom style="dashDot">
        <color indexed="64"/>
      </bottom>
      <diagonal/>
    </border>
    <border>
      <left style="medium">
        <color auto="1"/>
      </left>
      <right style="hair">
        <color indexed="64"/>
      </right>
      <top style="medium">
        <color indexed="64"/>
      </top>
      <bottom style="dashDot">
        <color indexed="64"/>
      </bottom>
      <diagonal/>
    </border>
    <border diagonalUp="1">
      <left style="hair">
        <color indexed="64"/>
      </left>
      <right style="hair">
        <color indexed="64"/>
      </right>
      <top style="medium">
        <color indexed="64"/>
      </top>
      <bottom style="dashDot">
        <color indexed="64"/>
      </bottom>
      <diagonal style="thin">
        <color indexed="64"/>
      </diagonal>
    </border>
    <border diagonalUp="1">
      <left style="hair">
        <color indexed="64"/>
      </left>
      <right style="thin">
        <color indexed="64"/>
      </right>
      <top style="medium">
        <color indexed="64"/>
      </top>
      <bottom style="dashDot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medium">
        <color auto="1"/>
      </left>
      <right style="hair">
        <color indexed="64"/>
      </right>
      <top style="medium">
        <color indexed="64"/>
      </top>
      <bottom style="dashDot">
        <color indexed="64"/>
      </bottom>
      <diagonal style="thin">
        <color auto="1"/>
      </diagonal>
    </border>
    <border>
      <left style="hair">
        <color indexed="64"/>
      </left>
      <right style="hair">
        <color indexed="64"/>
      </right>
      <top style="medium">
        <color indexed="64"/>
      </top>
      <bottom style="dashDot">
        <color indexed="64"/>
      </bottom>
      <diagonal/>
    </border>
    <border>
      <left style="medium">
        <color auto="1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theme="0"/>
      </left>
      <right style="thin">
        <color theme="0"/>
      </right>
      <top/>
      <bottom style="medium">
        <color indexed="64"/>
      </bottom>
      <diagonal/>
    </border>
    <border>
      <left/>
      <right style="dashDot">
        <color indexed="64"/>
      </right>
      <top/>
      <bottom/>
      <diagonal/>
    </border>
    <border>
      <left/>
      <right style="dashDot">
        <color indexed="64"/>
      </right>
      <top/>
      <bottom style="medium">
        <color indexed="64"/>
      </bottom>
      <diagonal/>
    </border>
    <border>
      <left style="thin">
        <color indexed="64"/>
      </left>
      <right style="dashDotDot">
        <color indexed="64"/>
      </right>
      <top/>
      <bottom/>
      <diagonal/>
    </border>
    <border>
      <left style="thin">
        <color indexed="64"/>
      </left>
      <right style="dashDotDot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ashDotDot">
        <color indexed="64"/>
      </right>
      <top style="medium">
        <color indexed="64"/>
      </top>
      <bottom style="double">
        <color indexed="64"/>
      </bottom>
      <diagonal/>
    </border>
    <border>
      <left/>
      <right style="dashDot">
        <color indexed="64"/>
      </right>
      <top style="medium">
        <color indexed="64"/>
      </top>
      <bottom style="double">
        <color indexed="64"/>
      </bottom>
      <diagonal/>
    </border>
    <border>
      <left style="dashDot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ashDotDot">
        <color indexed="64"/>
      </left>
      <right style="medium">
        <color indexed="64"/>
      </right>
      <top/>
      <bottom/>
      <diagonal/>
    </border>
    <border>
      <left style="dashDotDot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Dot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dashDotDot">
        <color indexed="64"/>
      </left>
      <right/>
      <top style="medium">
        <color indexed="64"/>
      </top>
      <bottom style="double">
        <color indexed="64"/>
      </bottom>
      <diagonal/>
    </border>
    <border>
      <left style="dashDotDot">
        <color indexed="64"/>
      </left>
      <right/>
      <top/>
      <bottom/>
      <diagonal/>
    </border>
    <border>
      <left style="dashDotDot">
        <color indexed="64"/>
      </left>
      <right/>
      <top/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9" fontId="34" fillId="0" borderId="0" applyFont="0" applyFill="0" applyBorder="0" applyAlignment="0" applyProtection="0"/>
  </cellStyleXfs>
  <cellXfs count="215">
    <xf numFmtId="0" fontId="0" fillId="0" borderId="0" xfId="0"/>
    <xf numFmtId="0" fontId="1" fillId="3" borderId="0" xfId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3" borderId="0" xfId="1" applyFill="1" applyAlignment="1">
      <alignment horizontal="center" vertical="center"/>
    </xf>
    <xf numFmtId="0" fontId="0" fillId="6" borderId="0" xfId="0" applyFill="1"/>
    <xf numFmtId="0" fontId="0" fillId="2" borderId="0" xfId="0" applyFill="1" applyAlignment="1">
      <alignment horizontal="center" vertical="center" textRotation="90"/>
    </xf>
    <xf numFmtId="0" fontId="0" fillId="3" borderId="0" xfId="0" applyFill="1" applyAlignment="1">
      <alignment horizontal="center" vertical="center"/>
    </xf>
    <xf numFmtId="0" fontId="7" fillId="2" borderId="0" xfId="0" applyFont="1" applyFill="1" applyAlignment="1">
      <alignment horizontal="center" vertical="center" textRotation="90"/>
    </xf>
    <xf numFmtId="0" fontId="0" fillId="8" borderId="0" xfId="0" applyFill="1"/>
    <xf numFmtId="0" fontId="0" fillId="3" borderId="0" xfId="0" applyFill="1"/>
    <xf numFmtId="0" fontId="0" fillId="3" borderId="16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4" xfId="0" applyFill="1" applyBorder="1"/>
    <xf numFmtId="0" fontId="0" fillId="3" borderId="2" xfId="0" applyFill="1" applyBorder="1"/>
    <xf numFmtId="0" fontId="0" fillId="3" borderId="5" xfId="0" applyFill="1" applyBorder="1"/>
    <xf numFmtId="0" fontId="0" fillId="3" borderId="1" xfId="0" applyFill="1" applyBorder="1"/>
    <xf numFmtId="0" fontId="0" fillId="3" borderId="3" xfId="0" applyFill="1" applyBorder="1"/>
    <xf numFmtId="0" fontId="0" fillId="3" borderId="18" xfId="0" applyFill="1" applyBorder="1"/>
    <xf numFmtId="0" fontId="0" fillId="3" borderId="19" xfId="0" applyFill="1" applyBorder="1"/>
    <xf numFmtId="0" fontId="16" fillId="3" borderId="17" xfId="0" applyFont="1" applyFill="1" applyBorder="1"/>
    <xf numFmtId="0" fontId="16" fillId="3" borderId="0" xfId="0" applyFont="1" applyFill="1"/>
    <xf numFmtId="0" fontId="16" fillId="3" borderId="18" xfId="0" applyFont="1" applyFill="1" applyBorder="1"/>
    <xf numFmtId="0" fontId="14" fillId="3" borderId="0" xfId="1" applyNumberFormat="1" applyFont="1" applyFill="1" applyBorder="1" applyAlignment="1">
      <alignment horizontal="center" vertical="center"/>
    </xf>
    <xf numFmtId="0" fontId="17" fillId="3" borderId="14" xfId="1" applyNumberFormat="1" applyFont="1" applyFill="1" applyBorder="1" applyAlignment="1">
      <alignment horizontal="center" vertical="center"/>
    </xf>
    <xf numFmtId="0" fontId="17" fillId="3" borderId="15" xfId="1" applyNumberFormat="1" applyFont="1" applyFill="1" applyBorder="1" applyAlignment="1">
      <alignment horizontal="center" vertical="center"/>
    </xf>
    <xf numFmtId="0" fontId="15" fillId="3" borderId="2" xfId="0" applyFont="1" applyFill="1" applyBorder="1"/>
    <xf numFmtId="0" fontId="17" fillId="3" borderId="20" xfId="1" applyNumberFormat="1" applyFont="1" applyFill="1" applyBorder="1" applyAlignment="1">
      <alignment horizontal="center" vertical="center"/>
    </xf>
    <xf numFmtId="0" fontId="18" fillId="3" borderId="13" xfId="1" applyNumberFormat="1" applyFont="1" applyFill="1" applyBorder="1" applyAlignment="1">
      <alignment horizontal="center" vertical="center"/>
    </xf>
    <xf numFmtId="0" fontId="18" fillId="3" borderId="21" xfId="1" applyNumberFormat="1" applyFont="1" applyFill="1" applyBorder="1" applyAlignment="1">
      <alignment horizontal="center" vertical="center"/>
    </xf>
    <xf numFmtId="0" fontId="11" fillId="3" borderId="22" xfId="1" applyNumberFormat="1" applyFont="1" applyFill="1" applyBorder="1" applyAlignment="1">
      <alignment horizontal="center" vertical="center"/>
    </xf>
    <xf numFmtId="0" fontId="11" fillId="3" borderId="23" xfId="1" applyNumberFormat="1" applyFont="1" applyFill="1" applyBorder="1" applyAlignment="1">
      <alignment horizontal="center" vertical="center"/>
    </xf>
    <xf numFmtId="0" fontId="11" fillId="3" borderId="25" xfId="1" applyNumberFormat="1" applyFont="1" applyFill="1" applyBorder="1" applyAlignment="1">
      <alignment horizontal="left" vertical="center"/>
    </xf>
    <xf numFmtId="0" fontId="11" fillId="3" borderId="26" xfId="1" applyNumberFormat="1" applyFont="1" applyFill="1" applyBorder="1" applyAlignment="1">
      <alignment horizontal="center" vertical="center"/>
    </xf>
    <xf numFmtId="0" fontId="11" fillId="3" borderId="27" xfId="1" applyNumberFormat="1" applyFont="1" applyFill="1" applyBorder="1" applyAlignment="1">
      <alignment horizontal="center" vertical="center"/>
    </xf>
    <xf numFmtId="0" fontId="19" fillId="3" borderId="22" xfId="1" applyNumberFormat="1" applyFont="1" applyFill="1" applyBorder="1" applyAlignment="1">
      <alignment horizontal="center" vertical="center"/>
    </xf>
    <xf numFmtId="0" fontId="19" fillId="3" borderId="23" xfId="1" applyNumberFormat="1" applyFont="1" applyFill="1" applyBorder="1" applyAlignment="1">
      <alignment horizontal="center" vertical="center"/>
    </xf>
    <xf numFmtId="0" fontId="19" fillId="3" borderId="24" xfId="1" applyNumberFormat="1" applyFont="1" applyFill="1" applyBorder="1" applyAlignment="1">
      <alignment horizontal="center" vertical="center"/>
    </xf>
    <xf numFmtId="0" fontId="19" fillId="3" borderId="25" xfId="1" applyNumberFormat="1" applyFont="1" applyFill="1" applyBorder="1" applyAlignment="1">
      <alignment horizontal="left" vertical="center"/>
    </xf>
    <xf numFmtId="0" fontId="19" fillId="3" borderId="26" xfId="1" applyNumberFormat="1" applyFont="1" applyFill="1" applyBorder="1" applyAlignment="1">
      <alignment horizontal="center" vertical="center"/>
    </xf>
    <xf numFmtId="0" fontId="19" fillId="3" borderId="27" xfId="1" applyNumberFormat="1" applyFont="1" applyFill="1" applyBorder="1" applyAlignment="1">
      <alignment horizontal="center" vertical="center"/>
    </xf>
    <xf numFmtId="0" fontId="4" fillId="3" borderId="0" xfId="1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0" fillId="3" borderId="2" xfId="0" applyFont="1" applyFill="1" applyBorder="1"/>
    <xf numFmtId="0" fontId="4" fillId="3" borderId="4" xfId="1" applyNumberFormat="1" applyFont="1" applyFill="1" applyBorder="1" applyAlignment="1">
      <alignment horizontal="left" vertical="center"/>
    </xf>
    <xf numFmtId="0" fontId="12" fillId="5" borderId="29" xfId="1" applyNumberFormat="1" applyFont="1" applyFill="1" applyBorder="1" applyAlignment="1">
      <alignment horizontal="center" vertical="center"/>
    </xf>
    <xf numFmtId="0" fontId="12" fillId="5" borderId="29" xfId="1" applyNumberFormat="1" applyFont="1" applyFill="1" applyBorder="1" applyAlignment="1">
      <alignment horizontal="left" vertical="center"/>
    </xf>
    <xf numFmtId="0" fontId="12" fillId="5" borderId="30" xfId="1" applyNumberFormat="1" applyFont="1" applyFill="1" applyBorder="1" applyAlignment="1">
      <alignment horizontal="center" vertical="center"/>
    </xf>
    <xf numFmtId="0" fontId="22" fillId="3" borderId="17" xfId="0" applyFont="1" applyFill="1" applyBorder="1"/>
    <xf numFmtId="0" fontId="21" fillId="3" borderId="18" xfId="0" applyFont="1" applyFill="1" applyBorder="1" applyAlignment="1">
      <alignment horizontal="center"/>
    </xf>
    <xf numFmtId="0" fontId="0" fillId="0" borderId="32" xfId="0" applyBorder="1"/>
    <xf numFmtId="0" fontId="15" fillId="3" borderId="0" xfId="0" applyFont="1" applyFill="1" applyAlignment="1">
      <alignment horizontal="center" vertical="center"/>
    </xf>
    <xf numFmtId="0" fontId="4" fillId="5" borderId="33" xfId="1" applyFont="1" applyFill="1" applyBorder="1" applyAlignment="1">
      <alignment horizontal="center" vertical="center"/>
    </xf>
    <xf numFmtId="0" fontId="5" fillId="3" borderId="33" xfId="1" applyNumberFormat="1" applyFont="1" applyFill="1" applyBorder="1" applyAlignment="1">
      <alignment horizontal="center" vertical="center"/>
    </xf>
    <xf numFmtId="0" fontId="11" fillId="3" borderId="33" xfId="1" applyNumberFormat="1" applyFont="1" applyFill="1" applyBorder="1" applyAlignment="1">
      <alignment horizontal="center" vertical="center"/>
    </xf>
    <xf numFmtId="0" fontId="4" fillId="5" borderId="35" xfId="1" applyFont="1" applyFill="1" applyBorder="1" applyAlignment="1">
      <alignment horizontal="center" vertical="center"/>
    </xf>
    <xf numFmtId="0" fontId="5" fillId="3" borderId="35" xfId="1" applyNumberFormat="1" applyFont="1" applyFill="1" applyBorder="1" applyAlignment="1">
      <alignment horizontal="center" vertical="center"/>
    </xf>
    <xf numFmtId="0" fontId="13" fillId="3" borderId="34" xfId="1" applyNumberFormat="1" applyFont="1" applyFill="1" applyBorder="1" applyAlignment="1">
      <alignment horizontal="center" vertical="center"/>
    </xf>
    <xf numFmtId="0" fontId="11" fillId="3" borderId="31" xfId="1" applyNumberFormat="1" applyFont="1" applyFill="1" applyBorder="1" applyAlignment="1">
      <alignment horizontal="center" vertical="center"/>
    </xf>
    <xf numFmtId="0" fontId="19" fillId="3" borderId="31" xfId="1" applyNumberFormat="1" applyFont="1" applyFill="1" applyBorder="1" applyAlignment="1">
      <alignment horizontal="center" vertical="center"/>
    </xf>
    <xf numFmtId="0" fontId="12" fillId="5" borderId="39" xfId="1" applyNumberFormat="1" applyFont="1" applyFill="1" applyBorder="1" applyAlignment="1">
      <alignment horizontal="center" vertical="center"/>
    </xf>
    <xf numFmtId="0" fontId="12" fillId="3" borderId="24" xfId="1" applyNumberFormat="1" applyFont="1" applyFill="1" applyBorder="1" applyAlignment="1">
      <alignment horizontal="center" vertical="center"/>
    </xf>
    <xf numFmtId="0" fontId="11" fillId="3" borderId="43" xfId="1" applyNumberFormat="1" applyFont="1" applyFill="1" applyBorder="1" applyAlignment="1">
      <alignment horizontal="center" vertical="center"/>
    </xf>
    <xf numFmtId="0" fontId="19" fillId="3" borderId="43" xfId="1" applyNumberFormat="1" applyFont="1" applyFill="1" applyBorder="1" applyAlignment="1">
      <alignment horizontal="center" vertical="center"/>
    </xf>
    <xf numFmtId="0" fontId="12" fillId="5" borderId="44" xfId="1" applyNumberFormat="1" applyFont="1" applyFill="1" applyBorder="1" applyAlignment="1">
      <alignment horizontal="center" vertical="center"/>
    </xf>
    <xf numFmtId="0" fontId="23" fillId="5" borderId="29" xfId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textRotation="90"/>
    </xf>
    <xf numFmtId="0" fontId="0" fillId="7" borderId="4" xfId="0" applyFont="1" applyFill="1" applyBorder="1" applyAlignment="1">
      <alignment horizontal="center"/>
    </xf>
    <xf numFmtId="0" fontId="0" fillId="7" borderId="45" xfId="0" applyFont="1" applyFill="1" applyBorder="1" applyAlignment="1">
      <alignment horizontal="center"/>
    </xf>
    <xf numFmtId="0" fontId="0" fillId="7" borderId="5" xfId="0" applyFont="1" applyFill="1" applyBorder="1" applyAlignment="1">
      <alignment horizontal="center"/>
    </xf>
    <xf numFmtId="0" fontId="0" fillId="7" borderId="46" xfId="0" applyFont="1" applyFill="1" applyBorder="1" applyAlignment="1">
      <alignment horizontal="center"/>
    </xf>
    <xf numFmtId="0" fontId="0" fillId="3" borderId="47" xfId="0" applyFont="1" applyFill="1" applyBorder="1" applyAlignment="1">
      <alignment horizontal="center"/>
    </xf>
    <xf numFmtId="0" fontId="0" fillId="3" borderId="48" xfId="0" applyFont="1" applyFill="1" applyBorder="1" applyAlignment="1">
      <alignment horizontal="center"/>
    </xf>
    <xf numFmtId="0" fontId="0" fillId="3" borderId="7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0" fontId="0" fillId="3" borderId="49" xfId="0" applyFill="1" applyBorder="1" applyAlignment="1">
      <alignment horizontal="center"/>
    </xf>
    <xf numFmtId="0" fontId="0" fillId="3" borderId="50" xfId="0" applyFont="1" applyFill="1" applyBorder="1" applyAlignment="1">
      <alignment horizontal="center"/>
    </xf>
    <xf numFmtId="0" fontId="0" fillId="3" borderId="51" xfId="0" applyFill="1" applyBorder="1" applyAlignment="1">
      <alignment horizontal="center"/>
    </xf>
    <xf numFmtId="0" fontId="0" fillId="3" borderId="52" xfId="0" applyFill="1" applyBorder="1" applyAlignment="1">
      <alignment horizontal="center"/>
    </xf>
    <xf numFmtId="0" fontId="0" fillId="3" borderId="50" xfId="0" applyFill="1" applyBorder="1" applyAlignment="1">
      <alignment horizontal="center"/>
    </xf>
    <xf numFmtId="0" fontId="0" fillId="3" borderId="53" xfId="0" applyFill="1" applyBorder="1" applyAlignment="1">
      <alignment horizontal="center"/>
    </xf>
    <xf numFmtId="0" fontId="0" fillId="3" borderId="25" xfId="0" applyFont="1" applyFill="1" applyBorder="1" applyAlignment="1">
      <alignment horizontal="center"/>
    </xf>
    <xf numFmtId="0" fontId="0" fillId="3" borderId="54" xfId="0" applyFill="1" applyBorder="1" applyAlignment="1">
      <alignment horizontal="center"/>
    </xf>
    <xf numFmtId="0" fontId="0" fillId="9" borderId="0" xfId="0" applyFill="1"/>
    <xf numFmtId="0" fontId="24" fillId="3" borderId="57" xfId="0" applyFont="1" applyFill="1" applyBorder="1" applyAlignment="1">
      <alignment horizontal="left" vertical="top" wrapText="1"/>
    </xf>
    <xf numFmtId="0" fontId="25" fillId="3" borderId="59" xfId="0" applyFont="1" applyFill="1" applyBorder="1" applyAlignment="1">
      <alignment horizontal="center" vertical="center"/>
    </xf>
    <xf numFmtId="0" fontId="25" fillId="9" borderId="0" xfId="0" applyFont="1" applyFill="1" applyAlignment="1">
      <alignment vertical="center"/>
    </xf>
    <xf numFmtId="0" fontId="0" fillId="9" borderId="0" xfId="0" applyFill="1" applyAlignment="1">
      <alignment vertical="center"/>
    </xf>
    <xf numFmtId="0" fontId="24" fillId="3" borderId="58" xfId="0" applyFont="1" applyFill="1" applyBorder="1" applyAlignment="1">
      <alignment horizontal="left" vertical="top" wrapText="1"/>
    </xf>
    <xf numFmtId="0" fontId="28" fillId="3" borderId="57" xfId="0" applyFont="1" applyFill="1" applyBorder="1" applyAlignment="1">
      <alignment horizontal="left" vertical="top" wrapText="1"/>
    </xf>
    <xf numFmtId="0" fontId="24" fillId="9" borderId="0" xfId="0" applyFont="1" applyFill="1" applyAlignment="1">
      <alignment horizontal="left" vertical="top" wrapText="1"/>
    </xf>
    <xf numFmtId="0" fontId="0" fillId="0" borderId="34" xfId="0" applyBorder="1"/>
    <xf numFmtId="0" fontId="0" fillId="0" borderId="36" xfId="0" applyBorder="1"/>
    <xf numFmtId="0" fontId="0" fillId="0" borderId="60" xfId="0" applyBorder="1"/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2" xfId="0" applyBorder="1"/>
    <xf numFmtId="0" fontId="0" fillId="0" borderId="66" xfId="0" applyBorder="1"/>
    <xf numFmtId="0" fontId="0" fillId="0" borderId="69" xfId="0" applyBorder="1"/>
    <xf numFmtId="0" fontId="31" fillId="5" borderId="63" xfId="0" applyFont="1" applyFill="1" applyBorder="1"/>
    <xf numFmtId="0" fontId="31" fillId="5" borderId="64" xfId="0" applyFont="1" applyFill="1" applyBorder="1" applyAlignment="1">
      <alignment horizontal="center" vertical="center"/>
    </xf>
    <xf numFmtId="0" fontId="31" fillId="5" borderId="65" xfId="0" applyFont="1" applyFill="1" applyBorder="1" applyAlignment="1">
      <alignment horizontal="center" vertical="center"/>
    </xf>
    <xf numFmtId="0" fontId="31" fillId="4" borderId="42" xfId="0" applyFont="1" applyFill="1" applyBorder="1"/>
    <xf numFmtId="0" fontId="0" fillId="5" borderId="67" xfId="0" applyFill="1" applyBorder="1"/>
    <xf numFmtId="0" fontId="0" fillId="5" borderId="61" xfId="0" applyFill="1" applyBorder="1"/>
    <xf numFmtId="0" fontId="0" fillId="5" borderId="68" xfId="0" applyFill="1" applyBorder="1" applyAlignment="1">
      <alignment horizontal="center"/>
    </xf>
    <xf numFmtId="0" fontId="31" fillId="4" borderId="70" xfId="0" applyFont="1" applyFill="1" applyBorder="1"/>
    <xf numFmtId="0" fontId="31" fillId="4" borderId="71" xfId="0" applyFont="1" applyFill="1" applyBorder="1"/>
    <xf numFmtId="0" fontId="0" fillId="5" borderId="67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10" fillId="3" borderId="72" xfId="1" applyNumberFormat="1" applyFont="1" applyFill="1" applyBorder="1" applyAlignment="1">
      <alignment horizontal="left" vertical="center" textRotation="90" wrapText="1"/>
    </xf>
    <xf numFmtId="0" fontId="10" fillId="3" borderId="73" xfId="1" applyNumberFormat="1" applyFont="1" applyFill="1" applyBorder="1" applyAlignment="1">
      <alignment horizontal="left" vertical="center" textRotation="90" wrapText="1"/>
    </xf>
    <xf numFmtId="0" fontId="10" fillId="3" borderId="73" xfId="1" applyNumberFormat="1" applyFont="1" applyFill="1" applyBorder="1" applyAlignment="1">
      <alignment horizontal="left" vertical="top" textRotation="90" wrapText="1"/>
    </xf>
    <xf numFmtId="0" fontId="10" fillId="3" borderId="73" xfId="1" applyNumberFormat="1" applyFont="1" applyFill="1" applyBorder="1" applyAlignment="1">
      <alignment horizontal="left" vertical="center"/>
    </xf>
    <xf numFmtId="0" fontId="10" fillId="3" borderId="73" xfId="1" applyNumberFormat="1" applyFont="1" applyFill="1" applyBorder="1" applyAlignment="1">
      <alignment horizontal="center" vertical="center"/>
    </xf>
    <xf numFmtId="0" fontId="10" fillId="3" borderId="73" xfId="1" applyNumberFormat="1" applyFont="1" applyFill="1" applyBorder="1" applyAlignment="1">
      <alignment horizontal="center" vertical="center" wrapText="1"/>
    </xf>
    <xf numFmtId="0" fontId="10" fillId="3" borderId="74" xfId="1" applyNumberFormat="1" applyFont="1" applyFill="1" applyBorder="1" applyAlignment="1">
      <alignment horizontal="center" vertical="center"/>
    </xf>
    <xf numFmtId="0" fontId="10" fillId="3" borderId="72" xfId="1" applyNumberFormat="1" applyFont="1" applyFill="1" applyBorder="1" applyAlignment="1">
      <alignment horizontal="center" vertical="center"/>
    </xf>
    <xf numFmtId="0" fontId="10" fillId="3" borderId="75" xfId="1" applyNumberFormat="1" applyFont="1" applyFill="1" applyBorder="1" applyAlignment="1">
      <alignment horizontal="center" vertical="center"/>
    </xf>
    <xf numFmtId="0" fontId="0" fillId="0" borderId="69" xfId="0" applyNumberFormat="1" applyBorder="1"/>
    <xf numFmtId="0" fontId="0" fillId="0" borderId="25" xfId="0" applyNumberFormat="1" applyBorder="1"/>
    <xf numFmtId="0" fontId="0" fillId="0" borderId="33" xfId="0" applyBorder="1"/>
    <xf numFmtId="0" fontId="0" fillId="0" borderId="76" xfId="0" applyBorder="1"/>
    <xf numFmtId="0" fontId="32" fillId="4" borderId="70" xfId="0" applyFont="1" applyFill="1" applyBorder="1"/>
    <xf numFmtId="0" fontId="32" fillId="4" borderId="71" xfId="0" applyFont="1" applyFill="1" applyBorder="1"/>
    <xf numFmtId="0" fontId="32" fillId="4" borderId="77" xfId="0" applyFont="1" applyFill="1" applyBorder="1"/>
    <xf numFmtId="0" fontId="35" fillId="7" borderId="80" xfId="0" applyFont="1" applyFill="1" applyBorder="1" applyAlignment="1">
      <alignment horizontal="center" vertical="center"/>
    </xf>
    <xf numFmtId="0" fontId="35" fillId="7" borderId="35" xfId="0" applyFont="1" applyFill="1" applyBorder="1" applyAlignment="1">
      <alignment horizontal="center" vertical="center"/>
    </xf>
    <xf numFmtId="165" fontId="35" fillId="7" borderId="38" xfId="2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36" fillId="3" borderId="0" xfId="1" applyNumberFormat="1" applyFont="1" applyFill="1" applyBorder="1" applyAlignment="1">
      <alignment horizontal="center" vertical="center"/>
    </xf>
    <xf numFmtId="0" fontId="37" fillId="3" borderId="0" xfId="1" applyNumberFormat="1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 textRotation="90"/>
    </xf>
    <xf numFmtId="0" fontId="4" fillId="5" borderId="76" xfId="1" applyFont="1" applyFill="1" applyBorder="1" applyAlignment="1">
      <alignment horizontal="center" vertical="center"/>
    </xf>
    <xf numFmtId="14" fontId="4" fillId="5" borderId="76" xfId="1" applyNumberFormat="1" applyFont="1" applyFill="1" applyBorder="1" applyAlignment="1">
      <alignment horizontal="center" vertical="center"/>
    </xf>
    <xf numFmtId="0" fontId="4" fillId="5" borderId="76" xfId="1" applyNumberFormat="1" applyFont="1" applyFill="1" applyBorder="1" applyAlignment="1">
      <alignment horizontal="center" vertical="center"/>
    </xf>
    <xf numFmtId="0" fontId="4" fillId="5" borderId="82" xfId="1" applyNumberFormat="1" applyFont="1" applyFill="1" applyBorder="1" applyAlignment="1">
      <alignment horizontal="center" vertical="center"/>
    </xf>
    <xf numFmtId="0" fontId="11" fillId="3" borderId="78" xfId="1" applyNumberFormat="1" applyFont="1" applyFill="1" applyBorder="1" applyAlignment="1">
      <alignment horizontal="center" vertical="center" textRotation="90" wrapText="1"/>
    </xf>
    <xf numFmtId="0" fontId="13" fillId="3" borderId="79" xfId="1" applyNumberFormat="1" applyFont="1" applyFill="1" applyBorder="1" applyAlignment="1">
      <alignment horizontal="center" vertical="center" textRotation="90" wrapText="1"/>
    </xf>
    <xf numFmtId="0" fontId="5" fillId="3" borderId="79" xfId="1" applyNumberFormat="1" applyFont="1" applyFill="1" applyBorder="1" applyAlignment="1">
      <alignment horizontal="center" vertical="center" textRotation="90" wrapText="1"/>
    </xf>
    <xf numFmtId="0" fontId="5" fillId="3" borderId="79" xfId="1" applyNumberFormat="1" applyFont="1" applyFill="1" applyBorder="1" applyAlignment="1">
      <alignment horizontal="center" vertical="top" textRotation="90" wrapText="1"/>
    </xf>
    <xf numFmtId="0" fontId="5" fillId="3" borderId="79" xfId="1" applyNumberFormat="1" applyFont="1" applyFill="1" applyBorder="1" applyAlignment="1">
      <alignment horizontal="center" vertical="center"/>
    </xf>
    <xf numFmtId="0" fontId="5" fillId="3" borderId="79" xfId="1" applyNumberFormat="1" applyFont="1" applyFill="1" applyBorder="1" applyAlignment="1">
      <alignment horizontal="center" vertical="center" wrapText="1"/>
    </xf>
    <xf numFmtId="0" fontId="5" fillId="3" borderId="80" xfId="1" applyNumberFormat="1" applyFont="1" applyFill="1" applyBorder="1" applyAlignment="1">
      <alignment horizontal="center" vertical="center"/>
    </xf>
    <xf numFmtId="0" fontId="5" fillId="3" borderId="83" xfId="1" applyNumberFormat="1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38" fillId="3" borderId="0" xfId="1" applyNumberFormat="1" applyFont="1" applyFill="1" applyBorder="1" applyAlignment="1">
      <alignment horizontal="center" vertical="center"/>
    </xf>
    <xf numFmtId="0" fontId="12" fillId="3" borderId="0" xfId="1" applyNumberFormat="1" applyFont="1" applyFill="1" applyBorder="1" applyAlignment="1">
      <alignment horizontal="center" vertical="center"/>
    </xf>
    <xf numFmtId="0" fontId="0" fillId="3" borderId="84" xfId="0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85" xfId="0" applyFill="1" applyBorder="1" applyAlignment="1">
      <alignment horizontal="center"/>
    </xf>
    <xf numFmtId="0" fontId="0" fillId="7" borderId="86" xfId="0" applyFont="1" applyFill="1" applyBorder="1" applyAlignment="1">
      <alignment horizontal="center"/>
    </xf>
    <xf numFmtId="0" fontId="0" fillId="7" borderId="87" xfId="0" applyFont="1" applyFill="1" applyBorder="1" applyAlignment="1">
      <alignment horizontal="center"/>
    </xf>
    <xf numFmtId="0" fontId="0" fillId="3" borderId="55" xfId="0" applyFont="1" applyFill="1" applyBorder="1" applyAlignment="1">
      <alignment horizontal="center"/>
    </xf>
    <xf numFmtId="0" fontId="0" fillId="3" borderId="56" xfId="0" applyFont="1" applyFill="1" applyBorder="1" applyAlignment="1">
      <alignment horizontal="center"/>
    </xf>
    <xf numFmtId="0" fontId="0" fillId="3" borderId="88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 textRotation="90"/>
    </xf>
    <xf numFmtId="165" fontId="35" fillId="7" borderId="35" xfId="2" applyNumberFormat="1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 textRotation="90"/>
    </xf>
    <xf numFmtId="0" fontId="0" fillId="0" borderId="25" xfId="0" applyBorder="1"/>
    <xf numFmtId="0" fontId="0" fillId="0" borderId="76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26" xfId="0" quotePrefix="1" applyBorder="1" applyAlignment="1">
      <alignment horizontal="left" wrapText="1"/>
    </xf>
    <xf numFmtId="0" fontId="0" fillId="0" borderId="61" xfId="0" applyBorder="1" applyAlignment="1">
      <alignment wrapText="1"/>
    </xf>
    <xf numFmtId="0" fontId="7" fillId="2" borderId="0" xfId="0" applyFont="1" applyFill="1" applyAlignment="1">
      <alignment horizontal="center" vertical="center" textRotation="90"/>
    </xf>
    <xf numFmtId="0" fontId="35" fillId="3" borderId="35" xfId="0" applyFont="1" applyFill="1" applyBorder="1" applyAlignment="1">
      <alignment horizontal="center" vertical="center"/>
    </xf>
    <xf numFmtId="0" fontId="35" fillId="3" borderId="42" xfId="0" applyFont="1" applyFill="1" applyBorder="1" applyAlignment="1">
      <alignment vertical="center"/>
    </xf>
    <xf numFmtId="0" fontId="0" fillId="0" borderId="69" xfId="0" applyBorder="1" applyAlignment="1">
      <alignment wrapText="1"/>
    </xf>
    <xf numFmtId="0" fontId="0" fillId="0" borderId="25" xfId="0" applyBorder="1" applyAlignment="1">
      <alignment wrapText="1"/>
    </xf>
    <xf numFmtId="0" fontId="23" fillId="5" borderId="28" xfId="1" applyNumberFormat="1" applyFont="1" applyFill="1" applyBorder="1" applyAlignment="1">
      <alignment horizontal="center" vertical="center"/>
    </xf>
    <xf numFmtId="0" fontId="24" fillId="3" borderId="57" xfId="0" applyFont="1" applyFill="1" applyBorder="1" applyAlignment="1">
      <alignment horizontal="left" vertical="top" wrapText="1"/>
    </xf>
    <xf numFmtId="0" fontId="35" fillId="3" borderId="34" xfId="0" applyFont="1" applyFill="1" applyBorder="1" applyAlignment="1">
      <alignment horizontal="center" vertical="center"/>
    </xf>
    <xf numFmtId="0" fontId="35" fillId="3" borderId="33" xfId="0" applyFont="1" applyFill="1" applyBorder="1" applyAlignment="1">
      <alignment horizontal="center" vertical="center"/>
    </xf>
    <xf numFmtId="0" fontId="35" fillId="3" borderId="78" xfId="0" applyFont="1" applyFill="1" applyBorder="1" applyAlignment="1">
      <alignment horizontal="center" vertical="center"/>
    </xf>
    <xf numFmtId="0" fontId="35" fillId="3" borderId="79" xfId="0" applyFont="1" applyFill="1" applyBorder="1" applyAlignment="1">
      <alignment horizontal="center" vertical="center"/>
    </xf>
    <xf numFmtId="0" fontId="35" fillId="3" borderId="36" xfId="0" applyFont="1" applyFill="1" applyBorder="1" applyAlignment="1">
      <alignment horizontal="center"/>
    </xf>
    <xf numFmtId="0" fontId="35" fillId="3" borderId="37" xfId="0" applyFont="1" applyFill="1" applyBorder="1" applyAlignment="1">
      <alignment horizontal="center"/>
    </xf>
    <xf numFmtId="0" fontId="35" fillId="3" borderId="34" xfId="0" applyFont="1" applyFill="1" applyBorder="1" applyAlignment="1">
      <alignment horizontal="center"/>
    </xf>
    <xf numFmtId="0" fontId="35" fillId="3" borderId="33" xfId="0" applyFont="1" applyFill="1" applyBorder="1" applyAlignment="1">
      <alignment horizontal="center"/>
    </xf>
    <xf numFmtId="0" fontId="14" fillId="3" borderId="11" xfId="1" applyNumberFormat="1" applyFont="1" applyFill="1" applyBorder="1" applyAlignment="1">
      <alignment horizontal="left" vertical="center"/>
    </xf>
    <xf numFmtId="0" fontId="14" fillId="3" borderId="12" xfId="1" applyNumberFormat="1" applyFont="1" applyFill="1" applyBorder="1" applyAlignment="1">
      <alignment horizontal="left" vertical="center"/>
    </xf>
    <xf numFmtId="0" fontId="7" fillId="2" borderId="0" xfId="0" applyFont="1" applyFill="1" applyAlignment="1">
      <alignment horizontal="center" vertical="center" textRotation="90"/>
    </xf>
    <xf numFmtId="0" fontId="3" fillId="5" borderId="33" xfId="1" applyFont="1" applyFill="1" applyBorder="1" applyAlignment="1">
      <alignment horizontal="center" vertical="center"/>
    </xf>
    <xf numFmtId="0" fontId="3" fillId="5" borderId="76" xfId="1" applyFont="1" applyFill="1" applyBorder="1" applyAlignment="1">
      <alignment horizontal="center" vertical="center"/>
    </xf>
    <xf numFmtId="0" fontId="2" fillId="5" borderId="34" xfId="1" applyFont="1" applyFill="1" applyBorder="1" applyAlignment="1">
      <alignment horizontal="center" vertical="center"/>
    </xf>
    <xf numFmtId="0" fontId="2" fillId="5" borderId="33" xfId="1" applyFont="1" applyFill="1" applyBorder="1" applyAlignment="1">
      <alignment horizontal="center" vertical="center"/>
    </xf>
    <xf numFmtId="0" fontId="2" fillId="5" borderId="81" xfId="1" applyFont="1" applyFill="1" applyBorder="1" applyAlignment="1">
      <alignment horizontal="center" vertical="center"/>
    </xf>
    <xf numFmtId="0" fontId="2" fillId="5" borderId="76" xfId="1" applyFont="1" applyFill="1" applyBorder="1" applyAlignment="1">
      <alignment horizontal="center" vertical="center"/>
    </xf>
    <xf numFmtId="0" fontId="1" fillId="4" borderId="41" xfId="1" applyFont="1" applyFill="1" applyBorder="1" applyAlignment="1">
      <alignment horizontal="left" vertical="center" wrapText="1"/>
    </xf>
    <xf numFmtId="0" fontId="1" fillId="4" borderId="9" xfId="1" applyFont="1" applyFill="1" applyBorder="1" applyAlignment="1">
      <alignment horizontal="left" vertical="center" wrapText="1"/>
    </xf>
    <xf numFmtId="0" fontId="1" fillId="4" borderId="10" xfId="1" applyFont="1" applyFill="1" applyBorder="1" applyAlignment="1">
      <alignment horizontal="left" vertical="center" wrapText="1"/>
    </xf>
    <xf numFmtId="0" fontId="12" fillId="5" borderId="33" xfId="1" applyFont="1" applyFill="1" applyBorder="1" applyAlignment="1">
      <alignment horizontal="center" vertical="center"/>
    </xf>
    <xf numFmtId="0" fontId="33" fillId="5" borderId="76" xfId="1" applyFont="1" applyFill="1" applyBorder="1" applyAlignment="1">
      <alignment horizontal="center" vertical="center"/>
    </xf>
    <xf numFmtId="0" fontId="1" fillId="3" borderId="6" xfId="1" applyFill="1" applyBorder="1" applyAlignment="1">
      <alignment horizontal="center" vertical="center"/>
    </xf>
    <xf numFmtId="0" fontId="1" fillId="3" borderId="40" xfId="1" applyFill="1" applyBorder="1" applyAlignment="1">
      <alignment horizontal="center" vertical="center"/>
    </xf>
    <xf numFmtId="0" fontId="28" fillId="7" borderId="0" xfId="0" applyFont="1" applyFill="1" applyAlignment="1">
      <alignment horizontal="center" vertical="center"/>
    </xf>
    <xf numFmtId="0" fontId="24" fillId="3" borderId="16" xfId="0" applyFont="1" applyFill="1" applyBorder="1" applyAlignment="1">
      <alignment horizontal="left" vertical="top" wrapText="1"/>
    </xf>
    <xf numFmtId="0" fontId="24" fillId="3" borderId="9" xfId="0" applyFont="1" applyFill="1" applyBorder="1" applyAlignment="1">
      <alignment horizontal="left" vertical="top" wrapText="1"/>
    </xf>
    <xf numFmtId="0" fontId="24" fillId="3" borderId="10" xfId="0" applyFont="1" applyFill="1" applyBorder="1" applyAlignment="1">
      <alignment horizontal="left" vertical="top" wrapText="1"/>
    </xf>
    <xf numFmtId="0" fontId="24" fillId="3" borderId="4" xfId="0" applyFont="1" applyFill="1" applyBorder="1" applyAlignment="1">
      <alignment horizontal="left" vertical="top" wrapText="1"/>
    </xf>
    <xf numFmtId="0" fontId="24" fillId="3" borderId="0" xfId="0" applyFont="1" applyFill="1" applyBorder="1" applyAlignment="1">
      <alignment horizontal="left" vertical="top" wrapText="1"/>
    </xf>
    <xf numFmtId="0" fontId="24" fillId="3" borderId="2" xfId="0" applyFont="1" applyFill="1" applyBorder="1" applyAlignment="1">
      <alignment horizontal="left" vertical="top" wrapText="1"/>
    </xf>
    <xf numFmtId="0" fontId="24" fillId="3" borderId="5" xfId="0" applyFont="1" applyFill="1" applyBorder="1" applyAlignment="1">
      <alignment horizontal="left" vertical="top" wrapText="1"/>
    </xf>
    <xf numFmtId="0" fontId="24" fillId="3" borderId="1" xfId="0" applyFont="1" applyFill="1" applyBorder="1" applyAlignment="1">
      <alignment horizontal="left" vertical="top" wrapText="1"/>
    </xf>
    <xf numFmtId="0" fontId="24" fillId="3" borderId="3" xfId="0" applyFont="1" applyFill="1" applyBorder="1" applyAlignment="1">
      <alignment horizontal="left" vertical="top" wrapText="1"/>
    </xf>
  </cellXfs>
  <cellStyles count="3">
    <cellStyle name="Normal" xfId="0" builtinId="0"/>
    <cellStyle name="Normal 2" xfId="1" xr:uid="{EAE9FD00-9FC3-40EE-8672-0354E7D06591}"/>
    <cellStyle name="Percent" xfId="2" builtinId="5"/>
  </cellStyles>
  <dxfs count="20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206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theme="0" tint="-0.24994659260841701"/>
        </patternFill>
      </fill>
      <border>
        <right style="thick">
          <color auto="1"/>
        </right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ck">
          <color auto="1"/>
        </bottom>
      </border>
    </dxf>
  </dxfs>
  <tableStyles count="2" defaultTableStyle="TableStyleMedium2" defaultPivotStyle="PivotStyleLight16">
    <tableStyle name="Table Style 1" pivot="0" count="0" xr9:uid="{D80C62E3-D7DA-4157-929A-02CD3AFF39BF}"/>
    <tableStyle name="Table Style 2" pivot="0" count="3" xr9:uid="{5354F1DE-373E-4329-830F-A457629AC1DA}">
      <tableStyleElement type="headerRow" dxfId="19"/>
      <tableStyleElement type="firstColumn" dxfId="18"/>
      <tableStyleElement type="firstRowStripe" dxfId="1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11205</xdr:colOff>
      <xdr:row>1</xdr:row>
      <xdr:rowOff>627526</xdr:rowOff>
    </xdr:from>
    <xdr:to>
      <xdr:col>24</xdr:col>
      <xdr:colOff>355852</xdr:colOff>
      <xdr:row>4</xdr:row>
      <xdr:rowOff>92467</xdr:rowOff>
    </xdr:to>
    <xdr:sp macro="[0]!startcommandsform" textlink="">
      <xdr:nvSpPr>
        <xdr:cNvPr id="3" name="Rectangle 2">
          <a:extLst>
            <a:ext uri="{FF2B5EF4-FFF2-40B4-BE49-F238E27FC236}">
              <a16:creationId xmlns:a16="http://schemas.microsoft.com/office/drawing/2014/main" id="{43C0D11F-52BF-4C79-BCE2-558685750380}"/>
            </a:ext>
          </a:extLst>
        </xdr:cNvPr>
        <xdr:cNvSpPr/>
      </xdr:nvSpPr>
      <xdr:spPr>
        <a:xfrm>
          <a:off x="13637558" y="829232"/>
          <a:ext cx="2160000" cy="72000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 b="1">
              <a:solidFill>
                <a:schemeClr val="tx1"/>
              </a:solidFill>
            </a:rPr>
            <a:t>Click</a:t>
          </a:r>
          <a:r>
            <a:rPr lang="en-GB" sz="1600" b="1" baseline="0">
              <a:solidFill>
                <a:schemeClr val="tx1"/>
              </a:solidFill>
            </a:rPr>
            <a:t> here to activate a macro</a:t>
          </a:r>
          <a:endParaRPr lang="en-GB" sz="16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11206</xdr:colOff>
      <xdr:row>3</xdr:row>
      <xdr:rowOff>245407</xdr:rowOff>
    </xdr:from>
    <xdr:to>
      <xdr:col>24</xdr:col>
      <xdr:colOff>355853</xdr:colOff>
      <xdr:row>3</xdr:row>
      <xdr:rowOff>965407</xdr:rowOff>
    </xdr:to>
    <xdr:sp macro="[0]!startquickresearchform" textlink="">
      <xdr:nvSpPr>
        <xdr:cNvPr id="4" name="Rectangle 3">
          <a:extLst>
            <a:ext uri="{FF2B5EF4-FFF2-40B4-BE49-F238E27FC236}">
              <a16:creationId xmlns:a16="http://schemas.microsoft.com/office/drawing/2014/main" id="{1380CA09-869D-4895-800E-C1B7E2A17F80}"/>
            </a:ext>
          </a:extLst>
        </xdr:cNvPr>
        <xdr:cNvSpPr/>
      </xdr:nvSpPr>
      <xdr:spPr>
        <a:xfrm>
          <a:off x="13637559" y="828113"/>
          <a:ext cx="2160000" cy="72000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 b="1">
              <a:solidFill>
                <a:schemeClr val="tx1"/>
              </a:solidFill>
            </a:rPr>
            <a:t>Click</a:t>
          </a:r>
          <a:r>
            <a:rPr lang="en-GB" sz="1600" b="1" baseline="0">
              <a:solidFill>
                <a:schemeClr val="tx1"/>
              </a:solidFill>
            </a:rPr>
            <a:t> here to activate a macro</a:t>
          </a:r>
          <a:endParaRPr lang="en-GB" sz="1600" b="1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D8A60B-4D67-4BDE-A0EE-06C8516E8092}" name="Table1" displayName="Table1" ref="F2:P158" totalsRowShown="0" headerRowDxfId="14" headerRowBorderDxfId="13" tableBorderDxfId="12" totalsRowBorderDxfId="11">
  <autoFilter ref="F2:P158" xr:uid="{1856DFE8-36C8-4F84-BCA6-0A7EFB52A216}">
    <filterColumn colId="0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90FE2350-9EDF-4F8A-BBA3-9273F0C647FB}" name="Designation" dataDxfId="10"/>
    <tableColumn id="11" xr3:uid="{80E81928-3DFD-45FD-B155-58E8F4EE83BC}" name="No." dataDxfId="9"/>
    <tableColumn id="10" xr3:uid="{7D93E15B-6E6E-4CF5-9B78-F305E6986070}" name="Unit" dataDxfId="8"/>
    <tableColumn id="9" xr3:uid="{476EB7F6-33C1-40D4-A918-9B3A35EED1BF}" name="Amount/Unit" dataDxfId="7">
      <calculatedColumnFormula>VLOOKUP(Table1[[#This Row],[Designation]],Pricetable,HLOOKUP(Amountfrom,Pricetable,2,FALSE),FALSE)</calculatedColumnFormula>
    </tableColumn>
    <tableColumn id="2" xr3:uid="{7D6C57F8-3129-4672-A988-CFB09F0FA8B7}" name="Amount [₹]" dataDxfId="6">
      <calculatedColumnFormula>RANDBETWEEN(0,10)</calculatedColumnFormula>
    </tableColumn>
    <tableColumn id="3" xr3:uid="{87E959CD-C76B-415F-80D0-107C9D177421}" name="Amount [$]" dataDxfId="5">
      <calculatedColumnFormula>RANDBETWEEN(0,10)</calculatedColumnFormula>
    </tableColumn>
    <tableColumn id="4" xr3:uid="{603D3797-40DA-4E18-9666-83FCEF07B255}" name="Amount [€]" dataDxfId="4">
      <calculatedColumnFormula>RANDBETWEEN(0,10)</calculatedColumnFormula>
    </tableColumn>
    <tableColumn id="5" xr3:uid="{B78BE1D5-574C-4B09-8633-66F5FEBF0E41}" name="Amount [£]" dataDxfId="3">
      <calculatedColumnFormula>RANDBETWEEN(0,10)</calculatedColumnFormula>
    </tableColumn>
    <tableColumn id="6" xr3:uid="{42F09FA2-68AC-4B26-9AB7-A174B7B07AE5}" name="Amount [¥]" dataDxfId="2">
      <calculatedColumnFormula>RANDBETWEEN(0,10)</calculatedColumnFormula>
    </tableColumn>
    <tableColumn id="7" xr3:uid="{7B4B0DCF-6B8F-4B89-B035-1C97CF5330E8}" name="Amount [฿]" dataDxfId="1">
      <calculatedColumnFormula>RANDBETWEEN(0,10)</calculatedColumnFormula>
    </tableColumn>
    <tableColumn id="8" xr3:uid="{24A06B23-8BE6-4130-A53C-A2F172A08D55}" name="Change" dataDxfId="0"/>
  </tableColumns>
  <tableStyleInfo name="Table Style 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6171A-A5B5-40D8-8E0C-4E996EF0B516}">
  <sheetPr codeName="Sheet5">
    <tabColor theme="1"/>
  </sheetPr>
  <dimension ref="B1:H12"/>
  <sheetViews>
    <sheetView workbookViewId="0">
      <selection activeCell="B18" sqref="B18"/>
    </sheetView>
  </sheetViews>
  <sheetFormatPr defaultRowHeight="15" x14ac:dyDescent="0.25"/>
  <cols>
    <col min="1" max="1" width="10.7109375" style="83" customWidth="1"/>
    <col min="2" max="2" width="50.7109375" style="83" customWidth="1"/>
    <col min="3" max="3" width="10.7109375" style="83" customWidth="1"/>
    <col min="4" max="4" width="50.7109375" style="83" customWidth="1"/>
    <col min="5" max="5" width="10.7109375" style="83" customWidth="1"/>
    <col min="6" max="6" width="50.7109375" style="83" customWidth="1"/>
    <col min="7" max="7" width="10.7109375" style="83" customWidth="1"/>
    <col min="8" max="8" width="50.7109375" style="83" customWidth="1"/>
    <col min="9" max="18" width="9.140625" style="83"/>
    <col min="19" max="19" width="50.7109375" style="83" customWidth="1"/>
    <col min="20" max="16384" width="9.140625" style="83"/>
  </cols>
  <sheetData>
    <row r="1" spans="2:8" ht="15.75" thickBot="1" x14ac:dyDescent="0.3"/>
    <row r="2" spans="2:8" s="87" customFormat="1" ht="30" customHeight="1" x14ac:dyDescent="0.25">
      <c r="B2" s="85" t="s">
        <v>52</v>
      </c>
      <c r="C2" s="86"/>
      <c r="D2" s="85" t="s">
        <v>45</v>
      </c>
      <c r="E2" s="86"/>
      <c r="F2" s="85" t="s">
        <v>1</v>
      </c>
      <c r="G2" s="86"/>
      <c r="H2" s="85" t="s">
        <v>46</v>
      </c>
    </row>
    <row r="3" spans="2:8" ht="45" customHeight="1" x14ac:dyDescent="0.25">
      <c r="B3" s="89" t="s">
        <v>43</v>
      </c>
      <c r="C3" s="90"/>
      <c r="D3" s="84"/>
      <c r="E3" s="90"/>
      <c r="F3" s="84" t="s">
        <v>51</v>
      </c>
      <c r="G3" s="90"/>
      <c r="H3" s="89" t="s">
        <v>48</v>
      </c>
    </row>
    <row r="4" spans="2:8" ht="45" customHeight="1" x14ac:dyDescent="0.25">
      <c r="B4" s="84" t="s">
        <v>53</v>
      </c>
      <c r="C4" s="90"/>
      <c r="D4" s="84"/>
      <c r="E4" s="90"/>
      <c r="F4" s="84" t="s">
        <v>44</v>
      </c>
      <c r="G4" s="90"/>
      <c r="H4" s="84" t="s">
        <v>50</v>
      </c>
    </row>
    <row r="5" spans="2:8" ht="45" customHeight="1" x14ac:dyDescent="0.25">
      <c r="B5" s="84"/>
      <c r="C5" s="90"/>
      <c r="D5" s="84"/>
      <c r="E5" s="90"/>
      <c r="F5" s="84" t="s">
        <v>47</v>
      </c>
      <c r="G5" s="90"/>
      <c r="H5" s="84" t="s">
        <v>49</v>
      </c>
    </row>
    <row r="6" spans="2:8" ht="45" customHeight="1" x14ac:dyDescent="0.25">
      <c r="B6" s="84"/>
      <c r="C6" s="90"/>
      <c r="D6" s="84"/>
      <c r="E6" s="90"/>
      <c r="F6" s="84" t="s">
        <v>54</v>
      </c>
      <c r="G6" s="90"/>
      <c r="H6" s="84" t="s">
        <v>67</v>
      </c>
    </row>
    <row r="7" spans="2:8" ht="45" customHeight="1" x14ac:dyDescent="0.25">
      <c r="B7" s="84"/>
      <c r="C7" s="90"/>
      <c r="D7" s="84"/>
      <c r="E7" s="90"/>
      <c r="F7" s="180" t="s">
        <v>56</v>
      </c>
      <c r="G7" s="90"/>
      <c r="H7" s="84" t="s">
        <v>66</v>
      </c>
    </row>
    <row r="8" spans="2:8" ht="45" customHeight="1" x14ac:dyDescent="0.25">
      <c r="B8" s="84"/>
      <c r="C8" s="90"/>
      <c r="D8" s="84"/>
      <c r="E8" s="90"/>
      <c r="F8" s="180"/>
      <c r="G8" s="90"/>
      <c r="H8" s="84"/>
    </row>
    <row r="9" spans="2:8" ht="45" customHeight="1" x14ac:dyDescent="0.25">
      <c r="B9" s="84"/>
      <c r="C9" s="90"/>
      <c r="D9" s="84"/>
      <c r="E9" s="90"/>
      <c r="F9" s="84" t="s">
        <v>57</v>
      </c>
      <c r="G9" s="90"/>
      <c r="H9" s="84"/>
    </row>
    <row r="10" spans="2:8" ht="45" customHeight="1" x14ac:dyDescent="0.25">
      <c r="B10" s="84"/>
      <c r="C10" s="90"/>
      <c r="D10" s="84"/>
      <c r="E10" s="90"/>
      <c r="F10" s="84" t="s">
        <v>58</v>
      </c>
      <c r="G10" s="90"/>
      <c r="H10" s="84"/>
    </row>
    <row r="11" spans="2:8" ht="45" customHeight="1" x14ac:dyDescent="0.25">
      <c r="B11" s="84"/>
      <c r="C11" s="90"/>
      <c r="D11" s="84"/>
      <c r="E11" s="90"/>
      <c r="F11" s="84" t="s">
        <v>65</v>
      </c>
      <c r="G11" s="90"/>
      <c r="H11" s="84"/>
    </row>
    <row r="12" spans="2:8" ht="45" customHeight="1" thickBot="1" x14ac:dyDescent="0.3">
      <c r="B12" s="88"/>
      <c r="C12" s="90"/>
      <c r="D12" s="88"/>
      <c r="E12" s="90"/>
      <c r="F12" s="88"/>
      <c r="G12" s="90"/>
      <c r="H12" s="88"/>
    </row>
  </sheetData>
  <mergeCells count="1">
    <mergeCell ref="F7:F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B90B-3D8C-490E-BF1A-3D1055181BB5}">
  <sheetPr codeName="Sheet2">
    <tabColor rgb="FFFFFF00"/>
  </sheetPr>
  <dimension ref="C2:K54"/>
  <sheetViews>
    <sheetView topLeftCell="A25" zoomScale="115" zoomScaleNormal="115" workbookViewId="0">
      <selection activeCell="I27" sqref="I27"/>
    </sheetView>
  </sheetViews>
  <sheetFormatPr defaultRowHeight="15" x14ac:dyDescent="0.25"/>
  <cols>
    <col min="1" max="2" width="9.140625" style="4"/>
    <col min="3" max="3" width="12.7109375" style="4" customWidth="1"/>
    <col min="4" max="4" width="15.7109375" style="4" customWidth="1"/>
    <col min="5" max="5" width="40.7109375" style="4" customWidth="1"/>
    <col min="6" max="6" width="10.7109375" style="4" customWidth="1"/>
    <col min="7" max="7" width="15.7109375" style="4" hidden="1" customWidth="1"/>
    <col min="8" max="8" width="15.7109375" style="4" customWidth="1"/>
    <col min="9" max="9" width="40.7109375" style="4" customWidth="1"/>
    <col min="10" max="10" width="10.7109375" style="4" customWidth="1"/>
    <col min="11" max="11" width="15.7109375" style="4" hidden="1" customWidth="1"/>
    <col min="12" max="17" width="10.7109375" style="4" customWidth="1"/>
    <col min="18" max="16384" width="9.140625" style="4"/>
  </cols>
  <sheetData>
    <row r="2" spans="3:11" ht="15.75" thickBot="1" x14ac:dyDescent="0.3"/>
    <row r="3" spans="3:11" ht="15.75" thickBot="1" x14ac:dyDescent="0.3">
      <c r="C3" s="75" t="s">
        <v>9</v>
      </c>
      <c r="D3" s="76" t="s">
        <v>22</v>
      </c>
      <c r="E3" s="77" t="s">
        <v>20</v>
      </c>
      <c r="F3" s="157" t="s">
        <v>257</v>
      </c>
      <c r="G3" s="78" t="s">
        <v>22</v>
      </c>
      <c r="H3" s="79" t="s">
        <v>23</v>
      </c>
      <c r="I3" s="160" t="s">
        <v>21</v>
      </c>
      <c r="J3" s="82" t="s">
        <v>257</v>
      </c>
      <c r="K3" s="80" t="s">
        <v>23</v>
      </c>
    </row>
    <row r="4" spans="3:11" ht="18" thickTop="1" x14ac:dyDescent="0.25">
      <c r="C4" s="67" t="s">
        <v>15</v>
      </c>
      <c r="D4" s="71">
        <f>IF(E4="","",1)</f>
        <v>1</v>
      </c>
      <c r="E4" s="68" t="s">
        <v>264</v>
      </c>
      <c r="F4" s="158" t="s">
        <v>258</v>
      </c>
      <c r="G4" s="73">
        <f>D4</f>
        <v>1</v>
      </c>
      <c r="H4" s="71">
        <f>IF(I4="","",1)</f>
        <v>1</v>
      </c>
      <c r="I4" s="161" t="s">
        <v>69</v>
      </c>
      <c r="J4" s="165" t="s">
        <v>258</v>
      </c>
      <c r="K4" s="81">
        <f>H4</f>
        <v>1</v>
      </c>
    </row>
    <row r="5" spans="3:11" ht="15" customHeight="1" x14ac:dyDescent="0.25">
      <c r="C5" s="67" t="s">
        <v>16</v>
      </c>
      <c r="D5" s="71">
        <f>IF(E5="","",2)</f>
        <v>2</v>
      </c>
      <c r="E5" s="68" t="s">
        <v>265</v>
      </c>
      <c r="F5" s="158" t="s">
        <v>258</v>
      </c>
      <c r="G5" s="73">
        <f t="shared" ref="G5:G27" si="0">D5</f>
        <v>2</v>
      </c>
      <c r="H5" s="71">
        <f>IF(I5="","",2)</f>
        <v>2</v>
      </c>
      <c r="I5" s="161" t="s">
        <v>319</v>
      </c>
      <c r="J5" s="163" t="s">
        <v>258</v>
      </c>
      <c r="K5" s="81">
        <f t="shared" ref="K5:K53" si="1">H5</f>
        <v>2</v>
      </c>
    </row>
    <row r="6" spans="3:11" ht="15" customHeight="1" x14ac:dyDescent="0.25">
      <c r="C6" s="67" t="s">
        <v>17</v>
      </c>
      <c r="D6" s="71">
        <f>IF(E6="","",3)</f>
        <v>3</v>
      </c>
      <c r="E6" s="68" t="s">
        <v>71</v>
      </c>
      <c r="F6" s="158" t="s">
        <v>258</v>
      </c>
      <c r="G6" s="73">
        <f t="shared" si="0"/>
        <v>3</v>
      </c>
      <c r="H6" s="71">
        <f>IF(I6="","",3)</f>
        <v>3</v>
      </c>
      <c r="I6" s="161" t="s">
        <v>320</v>
      </c>
      <c r="J6" s="163" t="s">
        <v>258</v>
      </c>
      <c r="K6" s="81">
        <f t="shared" si="1"/>
        <v>3</v>
      </c>
    </row>
    <row r="7" spans="3:11" ht="15" customHeight="1" x14ac:dyDescent="0.25">
      <c r="C7" s="67" t="s">
        <v>18</v>
      </c>
      <c r="D7" s="71">
        <f>IF(E7="","",4)</f>
        <v>4</v>
      </c>
      <c r="E7" s="68" t="s">
        <v>266</v>
      </c>
      <c r="F7" s="158" t="s">
        <v>258</v>
      </c>
      <c r="G7" s="73">
        <f t="shared" si="0"/>
        <v>4</v>
      </c>
      <c r="H7" s="71">
        <f>IF(I7="","",4)</f>
        <v>4</v>
      </c>
      <c r="I7" s="161" t="s">
        <v>104</v>
      </c>
      <c r="J7" s="163" t="s">
        <v>258</v>
      </c>
      <c r="K7" s="81">
        <f t="shared" si="1"/>
        <v>4</v>
      </c>
    </row>
    <row r="8" spans="3:11" x14ac:dyDescent="0.25">
      <c r="C8" s="67" t="s">
        <v>19</v>
      </c>
      <c r="D8" s="71">
        <f>IF(E8="","",5)</f>
        <v>5</v>
      </c>
      <c r="E8" s="68" t="s">
        <v>72</v>
      </c>
      <c r="F8" s="158" t="s">
        <v>258</v>
      </c>
      <c r="G8" s="73">
        <f t="shared" si="0"/>
        <v>5</v>
      </c>
      <c r="H8" s="71">
        <f>IF(I8="","",5)</f>
        <v>5</v>
      </c>
      <c r="I8" s="161" t="s">
        <v>321</v>
      </c>
      <c r="J8" s="163" t="s">
        <v>258</v>
      </c>
      <c r="K8" s="81">
        <f t="shared" si="1"/>
        <v>5</v>
      </c>
    </row>
    <row r="9" spans="3:11" x14ac:dyDescent="0.25">
      <c r="C9" s="67" t="s">
        <v>10</v>
      </c>
      <c r="D9" s="71">
        <f>IF(E9="","",6)</f>
        <v>6</v>
      </c>
      <c r="E9" s="68" t="s">
        <v>267</v>
      </c>
      <c r="F9" s="158" t="s">
        <v>258</v>
      </c>
      <c r="G9" s="73">
        <f t="shared" si="0"/>
        <v>6</v>
      </c>
      <c r="H9" s="71">
        <f>IF(I9="","",6)</f>
        <v>6</v>
      </c>
      <c r="I9" s="161" t="s">
        <v>318</v>
      </c>
      <c r="J9" s="163" t="s">
        <v>258</v>
      </c>
      <c r="K9" s="81">
        <f t="shared" si="1"/>
        <v>6</v>
      </c>
    </row>
    <row r="10" spans="3:11" x14ac:dyDescent="0.25">
      <c r="C10" s="67" t="s">
        <v>254</v>
      </c>
      <c r="D10" s="71">
        <f>IF(E10="","",7)</f>
        <v>7</v>
      </c>
      <c r="E10" s="68" t="s">
        <v>268</v>
      </c>
      <c r="F10" s="158" t="s">
        <v>258</v>
      </c>
      <c r="G10" s="73">
        <f t="shared" si="0"/>
        <v>7</v>
      </c>
      <c r="H10" s="71">
        <f>IF(I10="","",7)</f>
        <v>7</v>
      </c>
      <c r="I10" s="161" t="s">
        <v>323</v>
      </c>
      <c r="J10" s="163" t="s">
        <v>258</v>
      </c>
      <c r="K10" s="81">
        <f t="shared" si="1"/>
        <v>7</v>
      </c>
    </row>
    <row r="11" spans="3:11" x14ac:dyDescent="0.25">
      <c r="C11" s="67"/>
      <c r="D11" s="71">
        <f>IF(E11="","",8)</f>
        <v>8</v>
      </c>
      <c r="E11" s="68" t="s">
        <v>269</v>
      </c>
      <c r="F11" s="158" t="s">
        <v>258</v>
      </c>
      <c r="G11" s="73">
        <f t="shared" si="0"/>
        <v>8</v>
      </c>
      <c r="H11" s="71">
        <f>IF(I11="","",8)</f>
        <v>8</v>
      </c>
      <c r="I11" s="161" t="s">
        <v>322</v>
      </c>
      <c r="J11" s="163" t="s">
        <v>258</v>
      </c>
      <c r="K11" s="81">
        <f t="shared" si="1"/>
        <v>8</v>
      </c>
    </row>
    <row r="12" spans="3:11" x14ac:dyDescent="0.25">
      <c r="C12" s="67"/>
      <c r="D12" s="71">
        <f>IF(E12="","",9)</f>
        <v>9</v>
      </c>
      <c r="E12" s="68" t="s">
        <v>270</v>
      </c>
      <c r="F12" s="158" t="s">
        <v>258</v>
      </c>
      <c r="G12" s="73">
        <f t="shared" si="0"/>
        <v>9</v>
      </c>
      <c r="H12" s="71">
        <f>IF(I12="","",9)</f>
        <v>9</v>
      </c>
      <c r="I12" s="161" t="s">
        <v>332</v>
      </c>
      <c r="J12" s="163" t="s">
        <v>258</v>
      </c>
      <c r="K12" s="81">
        <f t="shared" si="1"/>
        <v>9</v>
      </c>
    </row>
    <row r="13" spans="3:11" x14ac:dyDescent="0.25">
      <c r="C13" s="67"/>
      <c r="D13" s="71">
        <f>IF(E13="","",10)</f>
        <v>10</v>
      </c>
      <c r="E13" s="68" t="s">
        <v>271</v>
      </c>
      <c r="F13" s="158" t="s">
        <v>258</v>
      </c>
      <c r="G13" s="73">
        <f t="shared" si="0"/>
        <v>10</v>
      </c>
      <c r="H13" s="71">
        <f>IF(I13="","",10)</f>
        <v>10</v>
      </c>
      <c r="I13" s="161" t="s">
        <v>110</v>
      </c>
      <c r="J13" s="163" t="s">
        <v>258</v>
      </c>
      <c r="K13" s="81">
        <f t="shared" si="1"/>
        <v>10</v>
      </c>
    </row>
    <row r="14" spans="3:11" x14ac:dyDescent="0.25">
      <c r="C14" s="67"/>
      <c r="D14" s="71">
        <f>IF(E14="","",11)</f>
        <v>11</v>
      </c>
      <c r="E14" s="68" t="s">
        <v>272</v>
      </c>
      <c r="F14" s="158" t="s">
        <v>258</v>
      </c>
      <c r="G14" s="73">
        <f t="shared" si="0"/>
        <v>11</v>
      </c>
      <c r="H14" s="71">
        <f>IF(I14="","",11)</f>
        <v>11</v>
      </c>
      <c r="I14" s="161" t="s">
        <v>111</v>
      </c>
      <c r="J14" s="163" t="s">
        <v>258</v>
      </c>
      <c r="K14" s="81">
        <f t="shared" si="1"/>
        <v>11</v>
      </c>
    </row>
    <row r="15" spans="3:11" x14ac:dyDescent="0.25">
      <c r="C15" s="67"/>
      <c r="D15" s="71">
        <f>IF(E15="","",12)</f>
        <v>12</v>
      </c>
      <c r="E15" s="68" t="s">
        <v>273</v>
      </c>
      <c r="F15" s="158" t="s">
        <v>258</v>
      </c>
      <c r="G15" s="73">
        <f t="shared" si="0"/>
        <v>12</v>
      </c>
      <c r="H15" s="71">
        <f>IF(I15="","",12)</f>
        <v>12</v>
      </c>
      <c r="I15" s="161" t="s">
        <v>324</v>
      </c>
      <c r="J15" s="163" t="s">
        <v>258</v>
      </c>
      <c r="K15" s="81">
        <f t="shared" si="1"/>
        <v>12</v>
      </c>
    </row>
    <row r="16" spans="3:11" x14ac:dyDescent="0.25">
      <c r="C16" s="67"/>
      <c r="D16" s="71">
        <f>IF(E16="","",13)</f>
        <v>13</v>
      </c>
      <c r="E16" s="68" t="s">
        <v>274</v>
      </c>
      <c r="F16" s="158" t="s">
        <v>258</v>
      </c>
      <c r="G16" s="73">
        <f t="shared" si="0"/>
        <v>13</v>
      </c>
      <c r="H16" s="71">
        <f>IF(I16="","",13)</f>
        <v>13</v>
      </c>
      <c r="I16" s="161" t="s">
        <v>325</v>
      </c>
      <c r="J16" s="163" t="s">
        <v>258</v>
      </c>
      <c r="K16" s="81">
        <f t="shared" si="1"/>
        <v>13</v>
      </c>
    </row>
    <row r="17" spans="3:11" x14ac:dyDescent="0.25">
      <c r="C17" s="67"/>
      <c r="D17" s="71">
        <f>IF(E17="","",14)</f>
        <v>14</v>
      </c>
      <c r="E17" s="68" t="s">
        <v>275</v>
      </c>
      <c r="F17" s="158" t="s">
        <v>258</v>
      </c>
      <c r="G17" s="73">
        <f t="shared" si="0"/>
        <v>14</v>
      </c>
      <c r="H17" s="71">
        <f>IF(I17="","",14)</f>
        <v>14</v>
      </c>
      <c r="I17" s="161" t="s">
        <v>326</v>
      </c>
      <c r="J17" s="163" t="s">
        <v>258</v>
      </c>
      <c r="K17" s="81">
        <f t="shared" si="1"/>
        <v>14</v>
      </c>
    </row>
    <row r="18" spans="3:11" x14ac:dyDescent="0.25">
      <c r="C18" s="67"/>
      <c r="D18" s="71">
        <f>IF(E18="","",15)</f>
        <v>15</v>
      </c>
      <c r="E18" s="68" t="s">
        <v>276</v>
      </c>
      <c r="F18" s="158" t="s">
        <v>258</v>
      </c>
      <c r="G18" s="73">
        <f t="shared" si="0"/>
        <v>15</v>
      </c>
      <c r="H18" s="71">
        <f>IF(I18="","",15)</f>
        <v>15</v>
      </c>
      <c r="I18" s="161" t="s">
        <v>115</v>
      </c>
      <c r="J18" s="163" t="s">
        <v>258</v>
      </c>
      <c r="K18" s="81">
        <f t="shared" si="1"/>
        <v>15</v>
      </c>
    </row>
    <row r="19" spans="3:11" x14ac:dyDescent="0.25">
      <c r="C19" s="67"/>
      <c r="D19" s="71">
        <f>IF(E19="","",16)</f>
        <v>16</v>
      </c>
      <c r="E19" s="68" t="s">
        <v>277</v>
      </c>
      <c r="F19" s="158" t="s">
        <v>258</v>
      </c>
      <c r="G19" s="73">
        <f t="shared" si="0"/>
        <v>16</v>
      </c>
      <c r="H19" s="71">
        <f>IF(I19="","",16)</f>
        <v>16</v>
      </c>
      <c r="I19" s="161" t="s">
        <v>116</v>
      </c>
      <c r="J19" s="163" t="s">
        <v>258</v>
      </c>
      <c r="K19" s="81">
        <f t="shared" si="1"/>
        <v>16</v>
      </c>
    </row>
    <row r="20" spans="3:11" x14ac:dyDescent="0.25">
      <c r="C20" s="67"/>
      <c r="D20" s="71">
        <f>IF(E20="","",17)</f>
        <v>17</v>
      </c>
      <c r="E20" s="68" t="s">
        <v>278</v>
      </c>
      <c r="F20" s="158" t="s">
        <v>258</v>
      </c>
      <c r="G20" s="73">
        <f t="shared" si="0"/>
        <v>17</v>
      </c>
      <c r="H20" s="71">
        <f>IF(I20="","",17)</f>
        <v>17</v>
      </c>
      <c r="I20" s="161" t="s">
        <v>327</v>
      </c>
      <c r="J20" s="163" t="s">
        <v>258</v>
      </c>
      <c r="K20" s="81">
        <f t="shared" si="1"/>
        <v>17</v>
      </c>
    </row>
    <row r="21" spans="3:11" x14ac:dyDescent="0.25">
      <c r="C21" s="67"/>
      <c r="D21" s="71">
        <f>IF(E21="","",18)</f>
        <v>18</v>
      </c>
      <c r="E21" s="68" t="s">
        <v>279</v>
      </c>
      <c r="F21" s="158" t="s">
        <v>258</v>
      </c>
      <c r="G21" s="73">
        <f t="shared" si="0"/>
        <v>18</v>
      </c>
      <c r="H21" s="71">
        <f>IF(I21="","",18)</f>
        <v>18</v>
      </c>
      <c r="I21" s="161" t="s">
        <v>328</v>
      </c>
      <c r="J21" s="163" t="s">
        <v>258</v>
      </c>
      <c r="K21" s="81">
        <f t="shared" si="1"/>
        <v>18</v>
      </c>
    </row>
    <row r="22" spans="3:11" x14ac:dyDescent="0.25">
      <c r="C22" s="67"/>
      <c r="D22" s="71">
        <f>IF(E22="","",19)</f>
        <v>19</v>
      </c>
      <c r="E22" s="68" t="s">
        <v>280</v>
      </c>
      <c r="F22" s="158" t="s">
        <v>258</v>
      </c>
      <c r="G22" s="73">
        <f t="shared" si="0"/>
        <v>19</v>
      </c>
      <c r="H22" s="71">
        <f>IF(I22="","",19)</f>
        <v>19</v>
      </c>
      <c r="I22" s="161" t="s">
        <v>329</v>
      </c>
      <c r="J22" s="163" t="s">
        <v>258</v>
      </c>
      <c r="K22" s="81">
        <f t="shared" si="1"/>
        <v>19</v>
      </c>
    </row>
    <row r="23" spans="3:11" x14ac:dyDescent="0.25">
      <c r="C23" s="67"/>
      <c r="D23" s="71">
        <f>IF(E23="","",20)</f>
        <v>20</v>
      </c>
      <c r="E23" s="68" t="s">
        <v>281</v>
      </c>
      <c r="F23" s="158" t="s">
        <v>258</v>
      </c>
      <c r="G23" s="73">
        <f t="shared" si="0"/>
        <v>20</v>
      </c>
      <c r="H23" s="71">
        <f>IF(I23="","",20)</f>
        <v>20</v>
      </c>
      <c r="I23" s="161" t="s">
        <v>120</v>
      </c>
      <c r="J23" s="163" t="s">
        <v>258</v>
      </c>
      <c r="K23" s="81">
        <f t="shared" si="1"/>
        <v>20</v>
      </c>
    </row>
    <row r="24" spans="3:11" x14ac:dyDescent="0.25">
      <c r="C24" s="67"/>
      <c r="D24" s="71">
        <f>IF(E24="","",21)</f>
        <v>21</v>
      </c>
      <c r="E24" s="68" t="s">
        <v>282</v>
      </c>
      <c r="F24" s="158" t="s">
        <v>258</v>
      </c>
      <c r="G24" s="73">
        <f t="shared" si="0"/>
        <v>21</v>
      </c>
      <c r="H24" s="71">
        <f>IF(I24="","",21)</f>
        <v>21</v>
      </c>
      <c r="I24" s="161" t="s">
        <v>330</v>
      </c>
      <c r="J24" s="163" t="s">
        <v>258</v>
      </c>
      <c r="K24" s="81">
        <f t="shared" si="1"/>
        <v>21</v>
      </c>
    </row>
    <row r="25" spans="3:11" x14ac:dyDescent="0.25">
      <c r="C25" s="67"/>
      <c r="D25" s="71">
        <f>IF(E25="","",22)</f>
        <v>22</v>
      </c>
      <c r="E25" s="68" t="s">
        <v>283</v>
      </c>
      <c r="F25" s="158" t="s">
        <v>258</v>
      </c>
      <c r="G25" s="73">
        <f t="shared" si="0"/>
        <v>22</v>
      </c>
      <c r="H25" s="71">
        <f>IF(I25="","",22)</f>
        <v>22</v>
      </c>
      <c r="I25" s="161" t="s">
        <v>331</v>
      </c>
      <c r="J25" s="163" t="s">
        <v>258</v>
      </c>
      <c r="K25" s="81">
        <f t="shared" si="1"/>
        <v>22</v>
      </c>
    </row>
    <row r="26" spans="3:11" x14ac:dyDescent="0.25">
      <c r="C26" s="67"/>
      <c r="D26" s="71">
        <f>IF(E26="","",23)</f>
        <v>23</v>
      </c>
      <c r="E26" s="68" t="s">
        <v>284</v>
      </c>
      <c r="F26" s="158" t="s">
        <v>258</v>
      </c>
      <c r="G26" s="73">
        <f t="shared" si="0"/>
        <v>23</v>
      </c>
      <c r="H26" s="71">
        <f>IF(I26="","",23)</f>
        <v>23</v>
      </c>
      <c r="I26" s="161" t="s">
        <v>68</v>
      </c>
      <c r="J26" s="163" t="s">
        <v>258</v>
      </c>
      <c r="K26" s="81">
        <f t="shared" si="1"/>
        <v>23</v>
      </c>
    </row>
    <row r="27" spans="3:11" x14ac:dyDescent="0.25">
      <c r="C27" s="67"/>
      <c r="D27" s="71">
        <f>IF(E27="","",24)</f>
        <v>24</v>
      </c>
      <c r="E27" s="68" t="s">
        <v>285</v>
      </c>
      <c r="F27" s="158" t="s">
        <v>258</v>
      </c>
      <c r="G27" s="73">
        <f t="shared" si="0"/>
        <v>24</v>
      </c>
      <c r="H27" s="71">
        <f>IF(I27="","",24)</f>
        <v>24</v>
      </c>
      <c r="I27" s="161" t="s">
        <v>123</v>
      </c>
      <c r="J27" s="163" t="s">
        <v>258</v>
      </c>
      <c r="K27" s="81">
        <f t="shared" si="1"/>
        <v>24</v>
      </c>
    </row>
    <row r="28" spans="3:11" x14ac:dyDescent="0.25">
      <c r="C28" s="67"/>
      <c r="D28" s="71">
        <f>IF(E28="","",25)</f>
        <v>25</v>
      </c>
      <c r="E28" s="68" t="s">
        <v>286</v>
      </c>
      <c r="F28" s="158" t="s">
        <v>258</v>
      </c>
      <c r="G28" s="73">
        <f t="shared" ref="G28:G52" si="2">D28</f>
        <v>25</v>
      </c>
      <c r="H28" s="71" t="str">
        <f>IF(I28="","",25)</f>
        <v/>
      </c>
      <c r="I28" s="161"/>
      <c r="J28" s="163"/>
      <c r="K28" s="81" t="str">
        <f t="shared" si="1"/>
        <v/>
      </c>
    </row>
    <row r="29" spans="3:11" x14ac:dyDescent="0.25">
      <c r="C29" s="67"/>
      <c r="D29" s="71">
        <f>IF(E29="","",26)</f>
        <v>26</v>
      </c>
      <c r="E29" s="68" t="s">
        <v>287</v>
      </c>
      <c r="F29" s="158" t="s">
        <v>258</v>
      </c>
      <c r="G29" s="73">
        <f t="shared" si="2"/>
        <v>26</v>
      </c>
      <c r="H29" s="71" t="str">
        <f>IF(I29="","",26)</f>
        <v/>
      </c>
      <c r="I29" s="161"/>
      <c r="J29" s="163"/>
      <c r="K29" s="81" t="str">
        <f t="shared" si="1"/>
        <v/>
      </c>
    </row>
    <row r="30" spans="3:11" x14ac:dyDescent="0.25">
      <c r="C30" s="67"/>
      <c r="D30" s="71">
        <f>IF(E30="","",27)</f>
        <v>27</v>
      </c>
      <c r="E30" s="68" t="s">
        <v>288</v>
      </c>
      <c r="F30" s="158" t="s">
        <v>258</v>
      </c>
      <c r="G30" s="73">
        <f t="shared" si="2"/>
        <v>27</v>
      </c>
      <c r="H30" s="71" t="str">
        <f>IF(I30="","",27)</f>
        <v/>
      </c>
      <c r="I30" s="161"/>
      <c r="J30" s="163"/>
      <c r="K30" s="81" t="str">
        <f t="shared" si="1"/>
        <v/>
      </c>
    </row>
    <row r="31" spans="3:11" x14ac:dyDescent="0.25">
      <c r="C31" s="67"/>
      <c r="D31" s="71">
        <f>IF(E31="","",28)</f>
        <v>28</v>
      </c>
      <c r="E31" s="68" t="s">
        <v>289</v>
      </c>
      <c r="F31" s="158" t="s">
        <v>258</v>
      </c>
      <c r="G31" s="73">
        <f t="shared" si="2"/>
        <v>28</v>
      </c>
      <c r="H31" s="71" t="str">
        <f>IF(I31="","",28)</f>
        <v/>
      </c>
      <c r="I31" s="161"/>
      <c r="J31" s="163"/>
      <c r="K31" s="81" t="str">
        <f t="shared" si="1"/>
        <v/>
      </c>
    </row>
    <row r="32" spans="3:11" x14ac:dyDescent="0.25">
      <c r="C32" s="67"/>
      <c r="D32" s="71">
        <f>IF(E32="","",29)</f>
        <v>29</v>
      </c>
      <c r="E32" s="68" t="s">
        <v>290</v>
      </c>
      <c r="F32" s="158" t="s">
        <v>258</v>
      </c>
      <c r="G32" s="73">
        <f t="shared" si="2"/>
        <v>29</v>
      </c>
      <c r="H32" s="71" t="str">
        <f>IF(I32="","",29)</f>
        <v/>
      </c>
      <c r="I32" s="161"/>
      <c r="J32" s="163"/>
      <c r="K32" s="81" t="str">
        <f t="shared" si="1"/>
        <v/>
      </c>
    </row>
    <row r="33" spans="3:11" x14ac:dyDescent="0.25">
      <c r="C33" s="67"/>
      <c r="D33" s="71">
        <f>IF(E33="","",30)</f>
        <v>30</v>
      </c>
      <c r="E33" s="68" t="s">
        <v>291</v>
      </c>
      <c r="F33" s="158" t="s">
        <v>258</v>
      </c>
      <c r="G33" s="73">
        <f t="shared" si="2"/>
        <v>30</v>
      </c>
      <c r="H33" s="71" t="str">
        <f>IF(I33="","",30)</f>
        <v/>
      </c>
      <c r="I33" s="161"/>
      <c r="J33" s="163"/>
      <c r="K33" s="81" t="str">
        <f t="shared" si="1"/>
        <v/>
      </c>
    </row>
    <row r="34" spans="3:11" x14ac:dyDescent="0.25">
      <c r="C34" s="67"/>
      <c r="D34" s="71" t="str">
        <f>IF(E34="","",31)</f>
        <v/>
      </c>
      <c r="E34" s="68"/>
      <c r="F34" s="158"/>
      <c r="G34" s="73" t="str">
        <f t="shared" si="2"/>
        <v/>
      </c>
      <c r="H34" s="71" t="str">
        <f>IF(I34="","",31)</f>
        <v/>
      </c>
      <c r="I34" s="161"/>
      <c r="J34" s="163"/>
      <c r="K34" s="81" t="str">
        <f t="shared" si="1"/>
        <v/>
      </c>
    </row>
    <row r="35" spans="3:11" x14ac:dyDescent="0.25">
      <c r="C35" s="67"/>
      <c r="D35" s="71" t="str">
        <f>IF(E35="","",32)</f>
        <v/>
      </c>
      <c r="E35" s="68"/>
      <c r="F35" s="158"/>
      <c r="G35" s="73" t="str">
        <f t="shared" si="2"/>
        <v/>
      </c>
      <c r="H35" s="71" t="str">
        <f>IF(I35="","",32)</f>
        <v/>
      </c>
      <c r="I35" s="161"/>
      <c r="J35" s="163"/>
      <c r="K35" s="81" t="str">
        <f t="shared" si="1"/>
        <v/>
      </c>
    </row>
    <row r="36" spans="3:11" x14ac:dyDescent="0.25">
      <c r="C36" s="67"/>
      <c r="D36" s="71" t="str">
        <f>IF(E36="","",33)</f>
        <v/>
      </c>
      <c r="E36" s="68"/>
      <c r="F36" s="158"/>
      <c r="G36" s="73" t="str">
        <f t="shared" si="2"/>
        <v/>
      </c>
      <c r="H36" s="71" t="str">
        <f>IF(I36="","",33)</f>
        <v/>
      </c>
      <c r="I36" s="161"/>
      <c r="J36" s="163"/>
      <c r="K36" s="81" t="str">
        <f t="shared" si="1"/>
        <v/>
      </c>
    </row>
    <row r="37" spans="3:11" x14ac:dyDescent="0.25">
      <c r="C37" s="67"/>
      <c r="D37" s="71" t="str">
        <f>IF(E37="","",34)</f>
        <v/>
      </c>
      <c r="E37" s="68"/>
      <c r="F37" s="158"/>
      <c r="G37" s="73" t="str">
        <f t="shared" si="2"/>
        <v/>
      </c>
      <c r="H37" s="71" t="str">
        <f>IF(I37="","",34)</f>
        <v/>
      </c>
      <c r="I37" s="161"/>
      <c r="J37" s="163"/>
      <c r="K37" s="81" t="str">
        <f t="shared" si="1"/>
        <v/>
      </c>
    </row>
    <row r="38" spans="3:11" x14ac:dyDescent="0.25">
      <c r="C38" s="67"/>
      <c r="D38" s="71" t="str">
        <f>IF(E38="","",35)</f>
        <v/>
      </c>
      <c r="E38" s="68"/>
      <c r="F38" s="158"/>
      <c r="G38" s="73" t="str">
        <f t="shared" si="2"/>
        <v/>
      </c>
      <c r="H38" s="71" t="str">
        <f>IF(I38="","",35)</f>
        <v/>
      </c>
      <c r="I38" s="161"/>
      <c r="J38" s="163"/>
      <c r="K38" s="81" t="str">
        <f t="shared" si="1"/>
        <v/>
      </c>
    </row>
    <row r="39" spans="3:11" x14ac:dyDescent="0.25">
      <c r="C39" s="67"/>
      <c r="D39" s="71" t="str">
        <f>IF(E39="","",36)</f>
        <v/>
      </c>
      <c r="E39" s="68"/>
      <c r="F39" s="158"/>
      <c r="G39" s="73" t="str">
        <f t="shared" si="2"/>
        <v/>
      </c>
      <c r="H39" s="71" t="str">
        <f>IF(I39="","",36)</f>
        <v/>
      </c>
      <c r="I39" s="161"/>
      <c r="J39" s="163"/>
      <c r="K39" s="81" t="str">
        <f t="shared" si="1"/>
        <v/>
      </c>
    </row>
    <row r="40" spans="3:11" x14ac:dyDescent="0.25">
      <c r="C40" s="67"/>
      <c r="D40" s="71" t="str">
        <f>IF(E40="","",37)</f>
        <v/>
      </c>
      <c r="E40" s="68"/>
      <c r="F40" s="158"/>
      <c r="G40" s="73" t="str">
        <f t="shared" si="2"/>
        <v/>
      </c>
      <c r="H40" s="71" t="str">
        <f>IF(I40="","",37)</f>
        <v/>
      </c>
      <c r="I40" s="161"/>
      <c r="J40" s="163"/>
      <c r="K40" s="81" t="str">
        <f t="shared" si="1"/>
        <v/>
      </c>
    </row>
    <row r="41" spans="3:11" x14ac:dyDescent="0.25">
      <c r="C41" s="67"/>
      <c r="D41" s="71" t="str">
        <f>IF(E41="","",38)</f>
        <v/>
      </c>
      <c r="E41" s="68"/>
      <c r="F41" s="158"/>
      <c r="G41" s="73" t="str">
        <f t="shared" si="2"/>
        <v/>
      </c>
      <c r="H41" s="71" t="str">
        <f>IF(I41="","",38)</f>
        <v/>
      </c>
      <c r="I41" s="161"/>
      <c r="J41" s="163"/>
      <c r="K41" s="81" t="str">
        <f t="shared" si="1"/>
        <v/>
      </c>
    </row>
    <row r="42" spans="3:11" x14ac:dyDescent="0.25">
      <c r="C42" s="67"/>
      <c r="D42" s="71" t="str">
        <f>IF(E42="","",39)</f>
        <v/>
      </c>
      <c r="E42" s="68"/>
      <c r="F42" s="158"/>
      <c r="G42" s="73" t="str">
        <f t="shared" si="2"/>
        <v/>
      </c>
      <c r="H42" s="71" t="str">
        <f>IF(I42="","",39)</f>
        <v/>
      </c>
      <c r="I42" s="161"/>
      <c r="J42" s="163"/>
      <c r="K42" s="81" t="str">
        <f t="shared" si="1"/>
        <v/>
      </c>
    </row>
    <row r="43" spans="3:11" x14ac:dyDescent="0.25">
      <c r="C43" s="67"/>
      <c r="D43" s="71" t="str">
        <f>IF(E43="","",40)</f>
        <v/>
      </c>
      <c r="E43" s="68"/>
      <c r="F43" s="158"/>
      <c r="G43" s="73" t="str">
        <f t="shared" si="2"/>
        <v/>
      </c>
      <c r="H43" s="71" t="str">
        <f>IF(I43="","",40)</f>
        <v/>
      </c>
      <c r="I43" s="161"/>
      <c r="J43" s="163"/>
      <c r="K43" s="81" t="str">
        <f t="shared" si="1"/>
        <v/>
      </c>
    </row>
    <row r="44" spans="3:11" x14ac:dyDescent="0.25">
      <c r="C44" s="67"/>
      <c r="D44" s="71" t="str">
        <f>IF(E44="","",41)</f>
        <v/>
      </c>
      <c r="E44" s="68"/>
      <c r="F44" s="158"/>
      <c r="G44" s="73" t="str">
        <f t="shared" si="2"/>
        <v/>
      </c>
      <c r="H44" s="71" t="str">
        <f>IF(I44="","",41)</f>
        <v/>
      </c>
      <c r="I44" s="161"/>
      <c r="J44" s="163"/>
      <c r="K44" s="81" t="str">
        <f t="shared" si="1"/>
        <v/>
      </c>
    </row>
    <row r="45" spans="3:11" x14ac:dyDescent="0.25">
      <c r="C45" s="67"/>
      <c r="D45" s="71" t="str">
        <f>IF(E45="","",42)</f>
        <v/>
      </c>
      <c r="E45" s="68"/>
      <c r="F45" s="158"/>
      <c r="G45" s="73" t="str">
        <f t="shared" si="2"/>
        <v/>
      </c>
      <c r="H45" s="71" t="str">
        <f>IF(I45="","",42)</f>
        <v/>
      </c>
      <c r="I45" s="161"/>
      <c r="J45" s="163"/>
      <c r="K45" s="81" t="str">
        <f t="shared" si="1"/>
        <v/>
      </c>
    </row>
    <row r="46" spans="3:11" x14ac:dyDescent="0.25">
      <c r="C46" s="67"/>
      <c r="D46" s="71" t="str">
        <f>IF(E46="","",43)</f>
        <v/>
      </c>
      <c r="E46" s="68"/>
      <c r="F46" s="158"/>
      <c r="G46" s="73" t="str">
        <f t="shared" si="2"/>
        <v/>
      </c>
      <c r="H46" s="71" t="str">
        <f>IF(I46="","",43)</f>
        <v/>
      </c>
      <c r="I46" s="161"/>
      <c r="J46" s="163"/>
      <c r="K46" s="81" t="str">
        <f t="shared" si="1"/>
        <v/>
      </c>
    </row>
    <row r="47" spans="3:11" x14ac:dyDescent="0.25">
      <c r="C47" s="67"/>
      <c r="D47" s="71" t="str">
        <f>IF(E47="","",44)</f>
        <v/>
      </c>
      <c r="E47" s="68"/>
      <c r="F47" s="158"/>
      <c r="G47" s="73" t="str">
        <f t="shared" si="2"/>
        <v/>
      </c>
      <c r="H47" s="71" t="str">
        <f>IF(I47="","",44)</f>
        <v/>
      </c>
      <c r="I47" s="161"/>
      <c r="J47" s="163"/>
      <c r="K47" s="81" t="str">
        <f t="shared" si="1"/>
        <v/>
      </c>
    </row>
    <row r="48" spans="3:11" x14ac:dyDescent="0.25">
      <c r="C48" s="67"/>
      <c r="D48" s="71" t="str">
        <f>IF(E48="","",45)</f>
        <v/>
      </c>
      <c r="E48" s="68"/>
      <c r="F48" s="158"/>
      <c r="G48" s="73" t="str">
        <f t="shared" si="2"/>
        <v/>
      </c>
      <c r="H48" s="71" t="str">
        <f>IF(I48="","",45)</f>
        <v/>
      </c>
      <c r="I48" s="161"/>
      <c r="J48" s="163"/>
      <c r="K48" s="81" t="str">
        <f t="shared" si="1"/>
        <v/>
      </c>
    </row>
    <row r="49" spans="3:11" x14ac:dyDescent="0.25">
      <c r="C49" s="67"/>
      <c r="D49" s="71" t="str">
        <f>IF(E49="","",46)</f>
        <v/>
      </c>
      <c r="E49" s="68"/>
      <c r="F49" s="158"/>
      <c r="G49" s="73" t="str">
        <f t="shared" si="2"/>
        <v/>
      </c>
      <c r="H49" s="71" t="str">
        <f>IF(I49="","",46)</f>
        <v/>
      </c>
      <c r="I49" s="161"/>
      <c r="J49" s="163"/>
      <c r="K49" s="81" t="str">
        <f t="shared" si="1"/>
        <v/>
      </c>
    </row>
    <row r="50" spans="3:11" x14ac:dyDescent="0.25">
      <c r="C50" s="67"/>
      <c r="D50" s="71" t="str">
        <f>IF(E50="","",47)</f>
        <v/>
      </c>
      <c r="E50" s="68"/>
      <c r="F50" s="158"/>
      <c r="G50" s="73" t="str">
        <f t="shared" si="2"/>
        <v/>
      </c>
      <c r="H50" s="71" t="str">
        <f>IF(I50="","",47)</f>
        <v/>
      </c>
      <c r="I50" s="161"/>
      <c r="J50" s="163"/>
      <c r="K50" s="81" t="str">
        <f t="shared" si="1"/>
        <v/>
      </c>
    </row>
    <row r="51" spans="3:11" x14ac:dyDescent="0.25">
      <c r="C51" s="67"/>
      <c r="D51" s="71" t="str">
        <f>IF(E51="","",48)</f>
        <v/>
      </c>
      <c r="E51" s="68"/>
      <c r="F51" s="158"/>
      <c r="G51" s="73" t="str">
        <f t="shared" si="2"/>
        <v/>
      </c>
      <c r="H51" s="71" t="str">
        <f>IF(I51="","",48)</f>
        <v/>
      </c>
      <c r="I51" s="161"/>
      <c r="J51" s="163"/>
      <c r="K51" s="81" t="str">
        <f t="shared" si="1"/>
        <v/>
      </c>
    </row>
    <row r="52" spans="3:11" x14ac:dyDescent="0.25">
      <c r="C52" s="67"/>
      <c r="D52" s="71" t="str">
        <f>IF(E52="","",49)</f>
        <v/>
      </c>
      <c r="E52" s="68"/>
      <c r="F52" s="158"/>
      <c r="G52" s="73" t="str">
        <f t="shared" si="2"/>
        <v/>
      </c>
      <c r="H52" s="71" t="str">
        <f>IF(I52="","",49)</f>
        <v/>
      </c>
      <c r="I52" s="161"/>
      <c r="J52" s="163"/>
      <c r="K52" s="81" t="str">
        <f t="shared" si="1"/>
        <v/>
      </c>
    </row>
    <row r="53" spans="3:11" ht="15.75" thickBot="1" x14ac:dyDescent="0.3">
      <c r="C53" s="69"/>
      <c r="D53" s="72" t="str">
        <f>IF(E53="","",50)</f>
        <v/>
      </c>
      <c r="E53" s="70"/>
      <c r="F53" s="159"/>
      <c r="G53" s="74" t="str">
        <f>D53</f>
        <v/>
      </c>
      <c r="H53" s="72" t="str">
        <f>IF(I53="","",50)</f>
        <v/>
      </c>
      <c r="I53" s="162"/>
      <c r="J53" s="164"/>
      <c r="K53" s="81" t="str">
        <f t="shared" si="1"/>
        <v/>
      </c>
    </row>
    <row r="54" spans="3:11" x14ac:dyDescent="0.25">
      <c r="D54" s="4">
        <f>MAX(D4:D53)</f>
        <v>30</v>
      </c>
      <c r="H54" s="4">
        <f>MAX(H4:H53)</f>
        <v>24</v>
      </c>
    </row>
  </sheetData>
  <conditionalFormatting sqref="J4:J53 F4:F53">
    <cfRule type="cellIs" dxfId="16" priority="3" operator="equal">
      <formula>"OFF"</formula>
    </cfRule>
    <cfRule type="cellIs" dxfId="15" priority="4" operator="equal">
      <formula>"ON"</formula>
    </cfRule>
  </conditionalFormatting>
  <dataValidations count="1">
    <dataValidation type="list" allowBlank="1" showInputMessage="1" showErrorMessage="1" sqref="J4:J53 F4:F53" xr:uid="{F84FA002-4FFC-4C49-A331-347FBA97F13A}">
      <formula1>Activation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A8A1F-B171-4308-A025-963CCD5BE355}">
  <sheetPr codeName="Sheet4">
    <tabColor rgb="FFFFFF00"/>
  </sheetPr>
  <dimension ref="B1:P158"/>
  <sheetViews>
    <sheetView zoomScale="130" zoomScaleNormal="130" workbookViewId="0">
      <selection activeCell="G22" sqref="G22"/>
    </sheetView>
  </sheetViews>
  <sheetFormatPr defaultRowHeight="15" x14ac:dyDescent="0.25"/>
  <cols>
    <col min="2" max="3" width="15.7109375" customWidth="1"/>
    <col min="4" max="4" width="25.7109375" customWidth="1"/>
    <col min="6" max="6" width="50.7109375" customWidth="1"/>
    <col min="7" max="7" width="6.7109375" customWidth="1"/>
    <col min="8" max="8" width="8.7109375" customWidth="1"/>
    <col min="9" max="9" width="12.7109375" customWidth="1"/>
    <col min="10" max="15" width="12.85546875" customWidth="1"/>
    <col min="16" max="16" width="15.7109375" customWidth="1"/>
  </cols>
  <sheetData>
    <row r="1" spans="2:16" ht="15.75" thickBot="1" x14ac:dyDescent="0.3"/>
    <row r="2" spans="2:16" x14ac:dyDescent="0.25">
      <c r="B2" s="183" t="s">
        <v>96</v>
      </c>
      <c r="C2" s="184"/>
      <c r="D2" s="134" t="s">
        <v>91</v>
      </c>
      <c r="F2" s="108" t="s">
        <v>82</v>
      </c>
      <c r="G2" s="108" t="s">
        <v>333</v>
      </c>
      <c r="H2" s="113" t="s">
        <v>9</v>
      </c>
      <c r="I2" s="113" t="s">
        <v>99</v>
      </c>
      <c r="J2" s="109" t="s">
        <v>73</v>
      </c>
      <c r="K2" s="109" t="s">
        <v>91</v>
      </c>
      <c r="L2" s="109" t="s">
        <v>92</v>
      </c>
      <c r="M2" s="109" t="s">
        <v>93</v>
      </c>
      <c r="N2" s="109" t="s">
        <v>94</v>
      </c>
      <c r="O2" s="109" t="s">
        <v>95</v>
      </c>
      <c r="P2" s="110" t="s">
        <v>84</v>
      </c>
    </row>
    <row r="3" spans="2:16" x14ac:dyDescent="0.25">
      <c r="B3" s="181" t="s">
        <v>316</v>
      </c>
      <c r="C3" s="182"/>
      <c r="D3" s="135" t="s">
        <v>90</v>
      </c>
      <c r="E3" s="176"/>
      <c r="F3" s="107" t="s">
        <v>100</v>
      </c>
      <c r="G3" s="107"/>
      <c r="H3" s="111"/>
      <c r="I3" s="112"/>
      <c r="J3" s="131">
        <v>4</v>
      </c>
      <c r="K3" s="132">
        <v>5</v>
      </c>
      <c r="L3" s="132">
        <v>6</v>
      </c>
      <c r="M3" s="132">
        <v>7</v>
      </c>
      <c r="N3" s="132">
        <v>8</v>
      </c>
      <c r="O3" s="132">
        <v>9</v>
      </c>
      <c r="P3" s="133">
        <v>10</v>
      </c>
    </row>
    <row r="4" spans="2:16" x14ac:dyDescent="0.25">
      <c r="B4" s="181" t="str">
        <f>VLOOKUP(D3,B9:D28,2,FALSE)</f>
        <v>INR/THB</v>
      </c>
      <c r="C4" s="182"/>
      <c r="D4" s="175">
        <f>VLOOKUP(D3,B9:D28,3,FALSE)</f>
        <v>0.44</v>
      </c>
      <c r="F4" s="170" t="s">
        <v>297</v>
      </c>
      <c r="G4" s="177">
        <v>1</v>
      </c>
      <c r="H4" s="101" t="s">
        <v>97</v>
      </c>
      <c r="I4" s="101">
        <f>VLOOKUP(Table1[[#This Row],[Designation]],Pricetable,HLOOKUP(Amountfrom,Pricetable,2,FALSE),FALSE)*(1+Margin+Uncertainty_factor)</f>
        <v>0</v>
      </c>
      <c r="J4" s="101"/>
      <c r="K4" s="101"/>
      <c r="L4" s="101"/>
      <c r="M4" s="101"/>
      <c r="N4" s="101"/>
      <c r="O4" s="101"/>
      <c r="P4" s="102">
        <f t="shared" ref="P4:P67" si="0">J4*Changerate</f>
        <v>0</v>
      </c>
    </row>
    <row r="5" spans="2:16" x14ac:dyDescent="0.25">
      <c r="B5" s="187" t="s">
        <v>262</v>
      </c>
      <c r="C5" s="188"/>
      <c r="D5" s="167">
        <v>0</v>
      </c>
      <c r="F5" s="171" t="s">
        <v>298</v>
      </c>
      <c r="G5" s="178">
        <v>2</v>
      </c>
      <c r="H5" s="101" t="s">
        <v>97</v>
      </c>
      <c r="I5" s="101">
        <f>VLOOKUP(Table1[[#This Row],[Designation]],Pricetable,HLOOKUP(Amountfrom,Pricetable,2,FALSE),FALSE)*(1+Margin+Uncertainty_factor)</f>
        <v>0</v>
      </c>
      <c r="J5" s="101"/>
      <c r="K5" s="101"/>
      <c r="L5" s="101"/>
      <c r="M5" s="101"/>
      <c r="N5" s="101"/>
      <c r="O5" s="101"/>
      <c r="P5" s="102">
        <f>J5*Changerate</f>
        <v>0</v>
      </c>
    </row>
    <row r="6" spans="2:16" ht="15.75" thickBot="1" x14ac:dyDescent="0.3">
      <c r="B6" s="185" t="s">
        <v>256</v>
      </c>
      <c r="C6" s="186"/>
      <c r="D6" s="136">
        <v>0.08</v>
      </c>
      <c r="F6" s="171" t="s">
        <v>299</v>
      </c>
      <c r="G6" s="177">
        <v>3</v>
      </c>
      <c r="H6" s="101" t="s">
        <v>97</v>
      </c>
      <c r="I6" s="101">
        <f>VLOOKUP(Table1[[#This Row],[Designation]],Pricetable,HLOOKUP(Amountfrom,Pricetable,2,FALSE),FALSE)*(1+Margin+Uncertainty_factor)</f>
        <v>0</v>
      </c>
      <c r="J6" s="129"/>
      <c r="K6" s="129"/>
      <c r="L6" s="129"/>
      <c r="M6" s="129"/>
      <c r="N6" s="129"/>
      <c r="O6" s="129"/>
      <c r="P6" s="102">
        <f t="shared" si="0"/>
        <v>0</v>
      </c>
    </row>
    <row r="7" spans="2:16" ht="15.75" thickBot="1" x14ac:dyDescent="0.3">
      <c r="F7" s="171" t="s">
        <v>300</v>
      </c>
      <c r="G7" s="178">
        <v>4</v>
      </c>
      <c r="H7" s="101" t="s">
        <v>97</v>
      </c>
      <c r="I7" s="101">
        <f>VLOOKUP(Table1[[#This Row],[Designation]],Pricetable,HLOOKUP(Amountfrom,Pricetable,2,FALSE),FALSE)*(1+Margin+Uncertainty_factor)</f>
        <v>0</v>
      </c>
      <c r="J7" s="129"/>
      <c r="K7" s="129"/>
      <c r="L7" s="129"/>
      <c r="M7" s="129"/>
      <c r="N7" s="129"/>
      <c r="O7" s="129"/>
      <c r="P7" s="102">
        <f t="shared" si="0"/>
        <v>0</v>
      </c>
    </row>
    <row r="8" spans="2:16" ht="15" customHeight="1" thickBot="1" x14ac:dyDescent="0.3">
      <c r="B8" s="104" t="s">
        <v>76</v>
      </c>
      <c r="C8" s="105" t="s">
        <v>84</v>
      </c>
      <c r="D8" s="106" t="s">
        <v>75</v>
      </c>
      <c r="F8" s="172" t="s">
        <v>301</v>
      </c>
      <c r="G8" s="177">
        <v>5</v>
      </c>
      <c r="H8" s="101" t="s">
        <v>97</v>
      </c>
      <c r="I8" s="101">
        <f>VLOOKUP(Table1[[#This Row],[Designation]],Pricetable,HLOOKUP(Amountfrom,Pricetable,2,FALSE),FALSE)*(1+Margin+Uncertainty_factor)</f>
        <v>0</v>
      </c>
      <c r="J8" s="129"/>
      <c r="K8" s="129"/>
      <c r="L8" s="129"/>
      <c r="M8" s="129"/>
      <c r="N8" s="129"/>
      <c r="O8" s="129"/>
      <c r="P8" s="102">
        <f t="shared" si="0"/>
        <v>0</v>
      </c>
    </row>
    <row r="9" spans="2:16" x14ac:dyDescent="0.25">
      <c r="B9" s="93" t="s">
        <v>85</v>
      </c>
      <c r="C9" s="94" t="s">
        <v>83</v>
      </c>
      <c r="D9" s="95">
        <v>1</v>
      </c>
      <c r="F9" s="172" t="s">
        <v>302</v>
      </c>
      <c r="G9" s="178">
        <v>6</v>
      </c>
      <c r="H9" s="101" t="s">
        <v>97</v>
      </c>
      <c r="I9" s="101">
        <f>VLOOKUP(Table1[[#This Row],[Designation]],Pricetable,HLOOKUP(Amountfrom,Pricetable,2,FALSE),FALSE)*(1+Margin+Uncertainty_factor)</f>
        <v>0</v>
      </c>
      <c r="J9" s="129"/>
      <c r="K9" s="129"/>
      <c r="L9" s="129"/>
      <c r="M9" s="129"/>
      <c r="N9" s="129"/>
      <c r="O9" s="129"/>
      <c r="P9" s="102">
        <f t="shared" si="0"/>
        <v>0</v>
      </c>
    </row>
    <row r="10" spans="2:16" x14ac:dyDescent="0.25">
      <c r="B10" s="91" t="s">
        <v>86</v>
      </c>
      <c r="C10" s="96" t="s">
        <v>77</v>
      </c>
      <c r="D10" s="97">
        <v>1.2E-2</v>
      </c>
      <c r="F10" s="172" t="s">
        <v>303</v>
      </c>
      <c r="G10" s="177">
        <v>7</v>
      </c>
      <c r="H10" s="101" t="s">
        <v>97</v>
      </c>
      <c r="I10" s="101">
        <f>VLOOKUP(Table1[[#This Row],[Designation]],Pricetable,HLOOKUP(Amountfrom,Pricetable,2,FALSE),FALSE)*(1+Margin+Uncertainty_factor)</f>
        <v>0</v>
      </c>
      <c r="J10" s="129"/>
      <c r="K10" s="129"/>
      <c r="L10" s="129"/>
      <c r="M10" s="129"/>
      <c r="N10" s="129"/>
      <c r="O10" s="129"/>
      <c r="P10" s="102">
        <f t="shared" si="0"/>
        <v>0</v>
      </c>
    </row>
    <row r="11" spans="2:16" x14ac:dyDescent="0.25">
      <c r="B11" s="91" t="s">
        <v>87</v>
      </c>
      <c r="C11" s="98" t="s">
        <v>78</v>
      </c>
      <c r="D11" s="97">
        <v>1.0999999999999999E-2</v>
      </c>
      <c r="F11" s="171" t="s">
        <v>304</v>
      </c>
      <c r="G11" s="178">
        <v>8</v>
      </c>
      <c r="H11" s="101" t="s">
        <v>97</v>
      </c>
      <c r="I11" s="101">
        <f>VLOOKUP(Table1[[#This Row],[Designation]],Pricetable,HLOOKUP(Amountfrom,Pricetable,2,FALSE),FALSE)*(1+Margin+Uncertainty_factor)</f>
        <v>0</v>
      </c>
      <c r="J11" s="129"/>
      <c r="K11" s="129"/>
      <c r="L11" s="129"/>
      <c r="M11" s="129"/>
      <c r="N11" s="129"/>
      <c r="O11" s="129"/>
      <c r="P11" s="102">
        <f t="shared" si="0"/>
        <v>0</v>
      </c>
    </row>
    <row r="12" spans="2:16" x14ac:dyDescent="0.25">
      <c r="B12" s="91" t="s">
        <v>89</v>
      </c>
      <c r="C12" s="98" t="s">
        <v>79</v>
      </c>
      <c r="D12" s="97">
        <v>9.4000000000000004E-3</v>
      </c>
      <c r="F12" s="173" t="s">
        <v>305</v>
      </c>
      <c r="G12" s="177">
        <v>9</v>
      </c>
      <c r="H12" s="101" t="s">
        <v>98</v>
      </c>
      <c r="I12" s="101">
        <f>VLOOKUP(Table1[[#This Row],[Designation]],Pricetable,HLOOKUP(Amountfrom,Pricetable,2,FALSE),FALSE)*(1+Margin+Uncertainty_factor)</f>
        <v>0</v>
      </c>
      <c r="J12" s="129"/>
      <c r="K12" s="129"/>
      <c r="L12" s="129"/>
      <c r="M12" s="129"/>
      <c r="N12" s="129"/>
      <c r="O12" s="129"/>
      <c r="P12" s="102">
        <f t="shared" si="0"/>
        <v>0</v>
      </c>
    </row>
    <row r="13" spans="2:16" x14ac:dyDescent="0.25">
      <c r="B13" s="91" t="s">
        <v>88</v>
      </c>
      <c r="C13" s="98" t="s">
        <v>80</v>
      </c>
      <c r="D13" s="97">
        <v>8.6999999999999994E-2</v>
      </c>
      <c r="F13" s="103" t="s">
        <v>126</v>
      </c>
      <c r="G13" s="103">
        <v>1</v>
      </c>
      <c r="H13" s="101" t="s">
        <v>97</v>
      </c>
      <c r="I13" s="101">
        <f>VLOOKUP(Table1[[#This Row],[Designation]],Pricetable,HLOOKUP(Amountfrom,Pricetable,2,FALSE),FALSE)*(1+Margin+Uncertainty_factor)</f>
        <v>0</v>
      </c>
      <c r="J13" s="101"/>
      <c r="K13" s="101"/>
      <c r="L13" s="101"/>
      <c r="M13" s="101"/>
      <c r="N13" s="101"/>
      <c r="O13" s="101"/>
      <c r="P13" s="102">
        <f t="shared" si="0"/>
        <v>0</v>
      </c>
    </row>
    <row r="14" spans="2:16" x14ac:dyDescent="0.25">
      <c r="B14" s="91" t="s">
        <v>90</v>
      </c>
      <c r="C14" s="98" t="s">
        <v>81</v>
      </c>
      <c r="D14" s="97">
        <v>0.44</v>
      </c>
      <c r="F14" s="171" t="s">
        <v>306</v>
      </c>
      <c r="G14" s="178">
        <v>2</v>
      </c>
      <c r="H14" s="101" t="s">
        <v>97</v>
      </c>
      <c r="I14" s="101">
        <f>VLOOKUP(Table1[[#This Row],[Designation]],Pricetable,HLOOKUP(Amountfrom,Pricetable,2,FALSE),FALSE)*(1+Margin+Uncertainty_factor)</f>
        <v>0</v>
      </c>
      <c r="J14" s="129"/>
      <c r="K14" s="129"/>
      <c r="L14" s="129"/>
      <c r="M14" s="129"/>
      <c r="N14" s="129"/>
      <c r="O14" s="129"/>
      <c r="P14" s="102">
        <f t="shared" si="0"/>
        <v>0</v>
      </c>
    </row>
    <row r="15" spans="2:16" x14ac:dyDescent="0.25">
      <c r="B15" s="91"/>
      <c r="C15" s="98"/>
      <c r="D15" s="97"/>
      <c r="F15" s="171" t="s">
        <v>307</v>
      </c>
      <c r="G15" s="103">
        <v>3</v>
      </c>
      <c r="H15" s="101" t="s">
        <v>97</v>
      </c>
      <c r="I15" s="101">
        <f>VLOOKUP(Table1[[#This Row],[Designation]],Pricetable,HLOOKUP(Amountfrom,Pricetable,2,FALSE),FALSE)*(1+Margin+Uncertainty_factor)</f>
        <v>0</v>
      </c>
      <c r="J15" s="129"/>
      <c r="K15" s="129"/>
      <c r="L15" s="129"/>
      <c r="M15" s="129"/>
      <c r="N15" s="129"/>
      <c r="O15" s="129"/>
      <c r="P15" s="102">
        <f t="shared" si="0"/>
        <v>0</v>
      </c>
    </row>
    <row r="16" spans="2:16" x14ac:dyDescent="0.25">
      <c r="B16" s="91"/>
      <c r="C16" s="98"/>
      <c r="D16" s="97"/>
      <c r="F16" s="173" t="s">
        <v>308</v>
      </c>
      <c r="G16" s="178">
        <v>4</v>
      </c>
      <c r="H16" s="101" t="s">
        <v>97</v>
      </c>
      <c r="I16" s="101">
        <f>VLOOKUP(Table1[[#This Row],[Designation]],Pricetable,HLOOKUP(Amountfrom,Pricetable,2,FALSE),FALSE)*(1+Margin+Uncertainty_factor)</f>
        <v>0</v>
      </c>
      <c r="J16" s="129"/>
      <c r="K16" s="129"/>
      <c r="L16" s="129"/>
      <c r="M16" s="129"/>
      <c r="N16" s="129"/>
      <c r="O16" s="129"/>
      <c r="P16" s="102">
        <f t="shared" si="0"/>
        <v>0</v>
      </c>
    </row>
    <row r="17" spans="2:16" x14ac:dyDescent="0.25">
      <c r="B17" s="91"/>
      <c r="C17" s="98"/>
      <c r="D17" s="97"/>
      <c r="F17" s="103" t="s">
        <v>127</v>
      </c>
      <c r="G17" s="103">
        <v>1</v>
      </c>
      <c r="H17" s="101" t="s">
        <v>97</v>
      </c>
      <c r="I17" s="101">
        <f>VLOOKUP(Table1[[#This Row],[Designation]],Pricetable,HLOOKUP(Amountfrom,Pricetable,2,FALSE),FALSE)*(1+Margin+Uncertainty_factor)</f>
        <v>0</v>
      </c>
      <c r="J17" s="101"/>
      <c r="K17" s="101"/>
      <c r="L17" s="101"/>
      <c r="M17" s="101"/>
      <c r="N17" s="101"/>
      <c r="O17" s="101"/>
      <c r="P17" s="102">
        <f t="shared" si="0"/>
        <v>0</v>
      </c>
    </row>
    <row r="18" spans="2:16" x14ac:dyDescent="0.25">
      <c r="B18" s="91"/>
      <c r="C18" s="98"/>
      <c r="D18" s="97"/>
      <c r="F18" s="169" t="s">
        <v>128</v>
      </c>
      <c r="G18" s="169">
        <v>2</v>
      </c>
      <c r="H18" s="101" t="s">
        <v>97</v>
      </c>
      <c r="I18" s="101">
        <f>VLOOKUP(Table1[[#This Row],[Designation]],Pricetable,HLOOKUP(Amountfrom,Pricetable,2,FALSE),FALSE)*(1+Margin+Uncertainty_factor)</f>
        <v>0</v>
      </c>
      <c r="J18" s="101"/>
      <c r="K18" s="101"/>
      <c r="L18" s="101"/>
      <c r="M18" s="101"/>
      <c r="N18" s="101"/>
      <c r="O18" s="101"/>
      <c r="P18" s="102">
        <f t="shared" si="0"/>
        <v>0</v>
      </c>
    </row>
    <row r="19" spans="2:16" x14ac:dyDescent="0.25">
      <c r="B19" s="91"/>
      <c r="C19" s="98"/>
      <c r="D19" s="97"/>
      <c r="F19" s="169" t="s">
        <v>129</v>
      </c>
      <c r="G19" s="103">
        <v>3</v>
      </c>
      <c r="H19" s="101" t="s">
        <v>97</v>
      </c>
      <c r="I19" s="101">
        <f>VLOOKUP(Table1[[#This Row],[Designation]],Pricetable,HLOOKUP(Amountfrom,Pricetable,2,FALSE),FALSE)*(1+Margin+Uncertainty_factor)</f>
        <v>0</v>
      </c>
      <c r="J19" s="101"/>
      <c r="K19" s="101"/>
      <c r="L19" s="101"/>
      <c r="M19" s="101"/>
      <c r="N19" s="101"/>
      <c r="O19" s="101"/>
      <c r="P19" s="102">
        <f t="shared" si="0"/>
        <v>0</v>
      </c>
    </row>
    <row r="20" spans="2:16" x14ac:dyDescent="0.25">
      <c r="B20" s="91"/>
      <c r="C20" s="98"/>
      <c r="D20" s="97"/>
      <c r="F20" s="169" t="s">
        <v>130</v>
      </c>
      <c r="G20" s="169">
        <v>4</v>
      </c>
      <c r="H20" s="101" t="s">
        <v>97</v>
      </c>
      <c r="I20" s="101">
        <f>VLOOKUP(Table1[[#This Row],[Designation]],Pricetable,HLOOKUP(Amountfrom,Pricetable,2,FALSE),FALSE)*(1+Margin+Uncertainty_factor)</f>
        <v>0</v>
      </c>
      <c r="J20" s="101"/>
      <c r="K20" s="101"/>
      <c r="L20" s="101"/>
      <c r="M20" s="101"/>
      <c r="N20" s="101"/>
      <c r="O20" s="101"/>
      <c r="P20" s="102">
        <f t="shared" si="0"/>
        <v>0</v>
      </c>
    </row>
    <row r="21" spans="2:16" x14ac:dyDescent="0.25">
      <c r="B21" s="91"/>
      <c r="C21" s="98"/>
      <c r="D21" s="97"/>
      <c r="F21" s="169" t="s">
        <v>131</v>
      </c>
      <c r="G21" s="103">
        <v>5</v>
      </c>
      <c r="H21" s="101" t="s">
        <v>97</v>
      </c>
      <c r="I21" s="101">
        <f>VLOOKUP(Table1[[#This Row],[Designation]],Pricetable,HLOOKUP(Amountfrom,Pricetable,2,FALSE),FALSE)*(1+Margin+Uncertainty_factor)</f>
        <v>0</v>
      </c>
      <c r="J21" s="101"/>
      <c r="K21" s="101"/>
      <c r="L21" s="101"/>
      <c r="M21" s="101"/>
      <c r="N21" s="101"/>
      <c r="O21" s="101"/>
      <c r="P21" s="102">
        <f t="shared" si="0"/>
        <v>0</v>
      </c>
    </row>
    <row r="22" spans="2:16" x14ac:dyDescent="0.25">
      <c r="B22" s="91"/>
      <c r="C22" s="98"/>
      <c r="D22" s="97"/>
      <c r="F22" s="169" t="s">
        <v>132</v>
      </c>
      <c r="G22" s="169">
        <v>6</v>
      </c>
      <c r="H22" s="101" t="s">
        <v>97</v>
      </c>
      <c r="I22" s="101">
        <f>VLOOKUP(Table1[[#This Row],[Designation]],Pricetable,HLOOKUP(Amountfrom,Pricetable,2,FALSE),FALSE)*(1+Margin+Uncertainty_factor)</f>
        <v>0</v>
      </c>
      <c r="J22" s="101"/>
      <c r="K22" s="101"/>
      <c r="L22" s="101"/>
      <c r="M22" s="101"/>
      <c r="N22" s="101"/>
      <c r="O22" s="101"/>
      <c r="P22" s="102">
        <f t="shared" si="0"/>
        <v>0</v>
      </c>
    </row>
    <row r="23" spans="2:16" x14ac:dyDescent="0.25">
      <c r="B23" s="91"/>
      <c r="C23" s="98"/>
      <c r="D23" s="97"/>
      <c r="F23" s="169" t="s">
        <v>133</v>
      </c>
      <c r="G23" s="103">
        <v>7</v>
      </c>
      <c r="H23" s="101" t="s">
        <v>97</v>
      </c>
      <c r="I23" s="101">
        <f>VLOOKUP(Table1[[#This Row],[Designation]],Pricetable,HLOOKUP(Amountfrom,Pricetable,2,FALSE),FALSE)*(1+Margin+Uncertainty_factor)</f>
        <v>0</v>
      </c>
      <c r="J23" s="101"/>
      <c r="K23" s="101"/>
      <c r="L23" s="101"/>
      <c r="M23" s="101"/>
      <c r="N23" s="101"/>
      <c r="O23" s="101"/>
      <c r="P23" s="102">
        <f t="shared" si="0"/>
        <v>0</v>
      </c>
    </row>
    <row r="24" spans="2:16" x14ac:dyDescent="0.25">
      <c r="B24" s="91"/>
      <c r="C24" s="98"/>
      <c r="D24" s="97"/>
      <c r="F24" s="173" t="s">
        <v>309</v>
      </c>
      <c r="G24" s="169">
        <v>8</v>
      </c>
      <c r="H24" s="103" t="s">
        <v>97</v>
      </c>
      <c r="I24" s="101">
        <f>VLOOKUP(Table1[[#This Row],[Designation]],Pricetable,HLOOKUP(Amountfrom,Pricetable,2,FALSE),FALSE)*(1+Margin+Uncertainty_factor)</f>
        <v>0</v>
      </c>
      <c r="J24" s="129"/>
      <c r="K24" s="129"/>
      <c r="L24" s="129"/>
      <c r="M24" s="129"/>
      <c r="N24" s="129"/>
      <c r="O24" s="129"/>
      <c r="P24" s="102">
        <f t="shared" si="0"/>
        <v>0</v>
      </c>
    </row>
    <row r="25" spans="2:16" x14ac:dyDescent="0.25">
      <c r="B25" s="91"/>
      <c r="C25" s="98"/>
      <c r="D25" s="97"/>
      <c r="F25" s="101" t="s">
        <v>134</v>
      </c>
      <c r="G25" s="101">
        <v>1</v>
      </c>
      <c r="H25" s="101" t="s">
        <v>18</v>
      </c>
      <c r="I25" s="101">
        <f>VLOOKUP(Table1[[#This Row],[Designation]],Pricetable,HLOOKUP(Amountfrom,Pricetable,2,FALSE),FALSE)*(1+Margin+Uncertainty_factor)</f>
        <v>0</v>
      </c>
      <c r="J25" s="101"/>
      <c r="K25" s="101"/>
      <c r="L25" s="101"/>
      <c r="M25" s="101"/>
      <c r="N25" s="101"/>
      <c r="O25" s="101"/>
      <c r="P25" s="102">
        <f t="shared" si="0"/>
        <v>0</v>
      </c>
    </row>
    <row r="26" spans="2:16" x14ac:dyDescent="0.25">
      <c r="B26" s="91"/>
      <c r="C26" s="98"/>
      <c r="D26" s="97"/>
      <c r="F26" s="170" t="s">
        <v>310</v>
      </c>
      <c r="G26" s="177">
        <v>1</v>
      </c>
      <c r="H26" s="101" t="s">
        <v>98</v>
      </c>
      <c r="I26" s="101">
        <f>VLOOKUP(Table1[[#This Row],[Designation]],Pricetable,HLOOKUP(Amountfrom,Pricetable,2,FALSE),FALSE)*(1+Margin+Uncertainty_factor)</f>
        <v>0</v>
      </c>
      <c r="J26" s="101"/>
      <c r="K26" s="101"/>
      <c r="L26" s="101"/>
      <c r="M26" s="101"/>
      <c r="N26" s="101"/>
      <c r="O26" s="101"/>
      <c r="P26" s="102">
        <f t="shared" si="0"/>
        <v>0</v>
      </c>
    </row>
    <row r="27" spans="2:16" x14ac:dyDescent="0.25">
      <c r="B27" s="91"/>
      <c r="C27" s="98"/>
      <c r="D27" s="97"/>
      <c r="F27" s="171" t="s">
        <v>311</v>
      </c>
      <c r="G27" s="178">
        <v>2</v>
      </c>
      <c r="H27" s="101" t="s">
        <v>98</v>
      </c>
      <c r="I27" s="101">
        <f>VLOOKUP(Table1[[#This Row],[Designation]],Pricetable,HLOOKUP(Amountfrom,Pricetable,2,FALSE),FALSE)*(1+Margin+Uncertainty_factor)</f>
        <v>0</v>
      </c>
      <c r="J27" s="129"/>
      <c r="K27" s="129"/>
      <c r="L27" s="129"/>
      <c r="M27" s="129"/>
      <c r="N27" s="129"/>
      <c r="O27" s="129"/>
      <c r="P27" s="102">
        <f t="shared" si="0"/>
        <v>0</v>
      </c>
    </row>
    <row r="28" spans="2:16" ht="15.75" thickBot="1" x14ac:dyDescent="0.3">
      <c r="B28" s="92"/>
      <c r="C28" s="99"/>
      <c r="D28" s="100"/>
      <c r="F28" s="171" t="s">
        <v>312</v>
      </c>
      <c r="G28" s="177">
        <v>3</v>
      </c>
      <c r="H28" s="101" t="s">
        <v>98</v>
      </c>
      <c r="I28" s="101">
        <f>VLOOKUP(Table1[[#This Row],[Designation]],Pricetable,HLOOKUP(Amountfrom,Pricetable,2,FALSE),FALSE)*(1+Margin+Uncertainty_factor)</f>
        <v>0</v>
      </c>
      <c r="J28" s="129"/>
      <c r="K28" s="129"/>
      <c r="L28" s="129"/>
      <c r="M28" s="129"/>
      <c r="N28" s="129"/>
      <c r="O28" s="129"/>
      <c r="P28" s="102">
        <f t="shared" si="0"/>
        <v>0</v>
      </c>
    </row>
    <row r="29" spans="2:16" x14ac:dyDescent="0.25">
      <c r="F29" s="172" t="s">
        <v>313</v>
      </c>
      <c r="G29" s="178">
        <v>4</v>
      </c>
      <c r="H29" s="101" t="s">
        <v>98</v>
      </c>
      <c r="I29" s="101">
        <f>VLOOKUP(Table1[[#This Row],[Designation]],Pricetable,HLOOKUP(Amountfrom,Pricetable,2,FALSE),FALSE)*(1+Margin+Uncertainty_factor)</f>
        <v>0</v>
      </c>
      <c r="J29" s="129"/>
      <c r="K29" s="129"/>
      <c r="L29" s="129"/>
      <c r="M29" s="129"/>
      <c r="N29" s="129"/>
      <c r="O29" s="129"/>
      <c r="P29" s="102">
        <f t="shared" si="0"/>
        <v>0</v>
      </c>
    </row>
    <row r="30" spans="2:16" x14ac:dyDescent="0.25">
      <c r="F30" s="171" t="s">
        <v>314</v>
      </c>
      <c r="G30" s="177">
        <v>5</v>
      </c>
      <c r="H30" s="101" t="s">
        <v>98</v>
      </c>
      <c r="I30" s="101">
        <f>VLOOKUP(Table1[[#This Row],[Designation]],Pricetable,HLOOKUP(Amountfrom,Pricetable,2,FALSE),FALSE)*(1+Margin+Uncertainty_factor)</f>
        <v>0</v>
      </c>
      <c r="J30" s="129"/>
      <c r="K30" s="129"/>
      <c r="L30" s="129"/>
      <c r="M30" s="129"/>
      <c r="N30" s="129"/>
      <c r="O30" s="129"/>
      <c r="P30" s="102">
        <f t="shared" si="0"/>
        <v>0</v>
      </c>
    </row>
    <row r="31" spans="2:16" x14ac:dyDescent="0.25">
      <c r="F31" s="173" t="s">
        <v>315</v>
      </c>
      <c r="G31" s="178">
        <v>6</v>
      </c>
      <c r="H31" s="103" t="s">
        <v>254</v>
      </c>
      <c r="I31" s="101">
        <f>VLOOKUP(Table1[[#This Row],[Designation]],Pricetable,HLOOKUP(Amountfrom,Pricetable,2,FALSE),FALSE)*(1+Margin+Uncertainty_factor)</f>
        <v>0</v>
      </c>
      <c r="J31" s="129"/>
      <c r="K31" s="129"/>
      <c r="L31" s="129"/>
      <c r="M31" s="129"/>
      <c r="N31" s="129"/>
      <c r="O31" s="129"/>
      <c r="P31" s="102">
        <f t="shared" si="0"/>
        <v>0</v>
      </c>
    </row>
    <row r="32" spans="2:16" x14ac:dyDescent="0.25">
      <c r="F32" s="101" t="s">
        <v>317</v>
      </c>
      <c r="G32" s="101">
        <v>1</v>
      </c>
      <c r="H32" s="101" t="s">
        <v>98</v>
      </c>
      <c r="I32" s="101">
        <f>VLOOKUP(Table1[[#This Row],[Designation]],Pricetable,HLOOKUP(Amountfrom,Pricetable,2,FALSE),FALSE)*(1+Margin+Uncertainty_factor)</f>
        <v>0</v>
      </c>
      <c r="J32" s="101"/>
      <c r="K32" s="101"/>
      <c r="L32" s="101"/>
      <c r="M32" s="101"/>
      <c r="N32" s="101"/>
      <c r="O32" s="101"/>
      <c r="P32" s="102">
        <f t="shared" si="0"/>
        <v>0</v>
      </c>
    </row>
    <row r="33" spans="6:16" x14ac:dyDescent="0.25">
      <c r="F33" s="101" t="s">
        <v>293</v>
      </c>
      <c r="G33" s="101">
        <v>2</v>
      </c>
      <c r="H33" s="101" t="s">
        <v>98</v>
      </c>
      <c r="I33" s="101">
        <f>VLOOKUP(Table1[[#This Row],[Designation]],Pricetable,HLOOKUP(Amountfrom,Pricetable,2,FALSE),FALSE)*(1+Margin+Uncertainty_factor)</f>
        <v>0</v>
      </c>
      <c r="J33" s="129"/>
      <c r="K33" s="129"/>
      <c r="L33" s="129"/>
      <c r="M33" s="129"/>
      <c r="N33" s="129"/>
      <c r="O33" s="129"/>
      <c r="P33" s="102">
        <f t="shared" si="0"/>
        <v>0</v>
      </c>
    </row>
    <row r="34" spans="6:16" x14ac:dyDescent="0.25">
      <c r="F34" s="101" t="s">
        <v>294</v>
      </c>
      <c r="G34" s="101">
        <v>3</v>
      </c>
      <c r="H34" s="101" t="s">
        <v>98</v>
      </c>
      <c r="I34" s="101">
        <f>VLOOKUP(Table1[[#This Row],[Designation]],Pricetable,HLOOKUP(Amountfrom,Pricetable,2,FALSE),FALSE)*(1+Margin+Uncertainty_factor)</f>
        <v>0</v>
      </c>
      <c r="J34" s="129"/>
      <c r="K34" s="129"/>
      <c r="L34" s="129"/>
      <c r="M34" s="129"/>
      <c r="N34" s="129"/>
      <c r="O34" s="129"/>
      <c r="P34" s="102">
        <f t="shared" si="0"/>
        <v>0</v>
      </c>
    </row>
    <row r="35" spans="6:16" x14ac:dyDescent="0.25">
      <c r="F35" s="101" t="s">
        <v>295</v>
      </c>
      <c r="G35" s="101">
        <v>4</v>
      </c>
      <c r="H35" s="101" t="s">
        <v>98</v>
      </c>
      <c r="I35" s="101">
        <f>VLOOKUP(Table1[[#This Row],[Designation]],Pricetable,HLOOKUP(Amountfrom,Pricetable,2,FALSE),FALSE)*(1+Margin+Uncertainty_factor)</f>
        <v>0</v>
      </c>
      <c r="J35" s="129"/>
      <c r="K35" s="129"/>
      <c r="L35" s="129"/>
      <c r="M35" s="129"/>
      <c r="N35" s="129"/>
      <c r="O35" s="129"/>
      <c r="P35" s="102">
        <f t="shared" si="0"/>
        <v>0</v>
      </c>
    </row>
    <row r="36" spans="6:16" x14ac:dyDescent="0.25">
      <c r="F36" s="101" t="s">
        <v>296</v>
      </c>
      <c r="G36" s="101">
        <v>5</v>
      </c>
      <c r="H36" s="101" t="s">
        <v>17</v>
      </c>
      <c r="I36" s="101">
        <f>VLOOKUP(Table1[[#This Row],[Designation]],Pricetable,HLOOKUP(Amountfrom,Pricetable,2,FALSE),FALSE)*(1+Margin+Uncertainty_factor)</f>
        <v>0</v>
      </c>
      <c r="J36" s="129"/>
      <c r="K36" s="129"/>
      <c r="L36" s="129"/>
      <c r="M36" s="129"/>
      <c r="N36" s="129"/>
      <c r="O36" s="129"/>
      <c r="P36" s="102">
        <f t="shared" si="0"/>
        <v>0</v>
      </c>
    </row>
    <row r="37" spans="6:16" x14ac:dyDescent="0.25">
      <c r="F37" s="101" t="s">
        <v>106</v>
      </c>
      <c r="G37" s="101">
        <v>6</v>
      </c>
      <c r="H37" s="101" t="s">
        <v>97</v>
      </c>
      <c r="I37" s="101">
        <f>VLOOKUP(Table1[[#This Row],[Designation]],Pricetable,HLOOKUP(Amountfrom,Pricetable,2,FALSE),FALSE)*(1+Margin+Uncertainty_factor)</f>
        <v>0</v>
      </c>
      <c r="J37" s="129"/>
      <c r="K37" s="129"/>
      <c r="L37" s="129"/>
      <c r="M37" s="129"/>
      <c r="N37" s="129"/>
      <c r="O37" s="129"/>
      <c r="P37" s="102">
        <f t="shared" si="0"/>
        <v>0</v>
      </c>
    </row>
    <row r="38" spans="6:16" x14ac:dyDescent="0.25">
      <c r="F38" s="101" t="s">
        <v>136</v>
      </c>
      <c r="G38" s="101">
        <v>1</v>
      </c>
      <c r="H38" s="101" t="s">
        <v>18</v>
      </c>
      <c r="I38" s="101">
        <f>VLOOKUP(Table1[[#This Row],[Designation]],Pricetable,HLOOKUP(Amountfrom,Pricetable,2,FALSE),FALSE)*(1+Margin+Uncertainty_factor)</f>
        <v>0</v>
      </c>
      <c r="J38" s="101"/>
      <c r="K38" s="101"/>
      <c r="L38" s="101"/>
      <c r="M38" s="101"/>
      <c r="N38" s="101"/>
      <c r="O38" s="101"/>
      <c r="P38" s="102">
        <f t="shared" si="0"/>
        <v>0</v>
      </c>
    </row>
    <row r="39" spans="6:16" x14ac:dyDescent="0.25">
      <c r="F39" s="101" t="s">
        <v>137</v>
      </c>
      <c r="G39" s="101">
        <v>2</v>
      </c>
      <c r="H39" s="101" t="s">
        <v>18</v>
      </c>
      <c r="I39" s="101">
        <f>VLOOKUP(Table1[[#This Row],[Designation]],Pricetable,HLOOKUP(Amountfrom,Pricetable,2,FALSE),FALSE)*(1+Margin+Uncertainty_factor)</f>
        <v>0</v>
      </c>
      <c r="J39" s="101"/>
      <c r="K39" s="101"/>
      <c r="L39" s="101"/>
      <c r="M39" s="101"/>
      <c r="N39" s="101"/>
      <c r="O39" s="101"/>
      <c r="P39" s="102">
        <f t="shared" si="0"/>
        <v>0</v>
      </c>
    </row>
    <row r="40" spans="6:16" x14ac:dyDescent="0.25">
      <c r="F40" s="101" t="s">
        <v>138</v>
      </c>
      <c r="G40" s="101">
        <v>3</v>
      </c>
      <c r="H40" s="101" t="s">
        <v>18</v>
      </c>
      <c r="I40" s="101">
        <f>VLOOKUP(Table1[[#This Row],[Designation]],Pricetable,HLOOKUP(Amountfrom,Pricetable,2,FALSE),FALSE)*(1+Margin+Uncertainty_factor)</f>
        <v>0</v>
      </c>
      <c r="J40" s="101"/>
      <c r="K40" s="101"/>
      <c r="L40" s="101"/>
      <c r="M40" s="101"/>
      <c r="N40" s="101"/>
      <c r="O40" s="101"/>
      <c r="P40" s="102">
        <f t="shared" si="0"/>
        <v>0</v>
      </c>
    </row>
    <row r="41" spans="6:16" x14ac:dyDescent="0.25">
      <c r="F41" s="101" t="s">
        <v>139</v>
      </c>
      <c r="G41" s="101">
        <v>1</v>
      </c>
      <c r="H41" s="101" t="s">
        <v>18</v>
      </c>
      <c r="I41" s="101">
        <f>VLOOKUP(Table1[[#This Row],[Designation]],Pricetable,HLOOKUP(Amountfrom,Pricetable,2,FALSE),FALSE)*(1+Margin+Uncertainty_factor)</f>
        <v>0</v>
      </c>
      <c r="J41" s="101"/>
      <c r="K41" s="101"/>
      <c r="L41" s="101"/>
      <c r="M41" s="101"/>
      <c r="N41" s="101"/>
      <c r="O41" s="101"/>
      <c r="P41" s="102">
        <f t="shared" si="0"/>
        <v>0</v>
      </c>
    </row>
    <row r="42" spans="6:16" x14ac:dyDescent="0.25">
      <c r="F42" s="101" t="s">
        <v>140</v>
      </c>
      <c r="G42" s="101">
        <v>2</v>
      </c>
      <c r="H42" s="101" t="s">
        <v>18</v>
      </c>
      <c r="I42" s="101">
        <f>VLOOKUP(Table1[[#This Row],[Designation]],Pricetable,HLOOKUP(Amountfrom,Pricetable,2,FALSE),FALSE)*(1+Margin+Uncertainty_factor)</f>
        <v>0</v>
      </c>
      <c r="J42" s="101"/>
      <c r="K42" s="101"/>
      <c r="L42" s="101"/>
      <c r="M42" s="101"/>
      <c r="N42" s="101"/>
      <c r="O42" s="101"/>
      <c r="P42" s="102">
        <f t="shared" si="0"/>
        <v>0</v>
      </c>
    </row>
    <row r="43" spans="6:16" x14ac:dyDescent="0.25">
      <c r="F43" s="101" t="s">
        <v>141</v>
      </c>
      <c r="G43" s="101">
        <v>3</v>
      </c>
      <c r="H43" s="101" t="s">
        <v>18</v>
      </c>
      <c r="I43" s="101">
        <f>VLOOKUP(Table1[[#This Row],[Designation]],Pricetable,HLOOKUP(Amountfrom,Pricetable,2,FALSE),FALSE)*(1+Margin+Uncertainty_factor)</f>
        <v>0</v>
      </c>
      <c r="J43" s="101"/>
      <c r="K43" s="101"/>
      <c r="L43" s="101"/>
      <c r="M43" s="101"/>
      <c r="N43" s="101"/>
      <c r="O43" s="101"/>
      <c r="P43" s="102">
        <f t="shared" si="0"/>
        <v>0</v>
      </c>
    </row>
    <row r="44" spans="6:16" x14ac:dyDescent="0.25">
      <c r="F44" s="101" t="s">
        <v>142</v>
      </c>
      <c r="G44" s="101">
        <v>1</v>
      </c>
      <c r="H44" s="101" t="s">
        <v>97</v>
      </c>
      <c r="I44" s="101">
        <f>VLOOKUP(Table1[[#This Row],[Designation]],Pricetable,HLOOKUP(Amountfrom,Pricetable,2,FALSE),FALSE)*(1+Margin+Uncertainty_factor)</f>
        <v>0</v>
      </c>
      <c r="J44" s="101"/>
      <c r="K44" s="101"/>
      <c r="L44" s="101"/>
      <c r="M44" s="101"/>
      <c r="N44" s="101"/>
      <c r="O44" s="101"/>
      <c r="P44" s="102">
        <f t="shared" si="0"/>
        <v>0</v>
      </c>
    </row>
    <row r="45" spans="6:16" x14ac:dyDescent="0.25">
      <c r="F45" s="101" t="s">
        <v>143</v>
      </c>
      <c r="G45" s="101">
        <v>2</v>
      </c>
      <c r="H45" s="101" t="s">
        <v>97</v>
      </c>
      <c r="I45" s="101">
        <f>VLOOKUP(Table1[[#This Row],[Designation]],Pricetable,HLOOKUP(Amountfrom,Pricetable,2,FALSE),FALSE)*(1+Margin+Uncertainty_factor)</f>
        <v>0</v>
      </c>
      <c r="J45" s="101"/>
      <c r="K45" s="101"/>
      <c r="L45" s="101"/>
      <c r="M45" s="101"/>
      <c r="N45" s="101"/>
      <c r="O45" s="101"/>
      <c r="P45" s="102">
        <f t="shared" si="0"/>
        <v>0</v>
      </c>
    </row>
    <row r="46" spans="6:16" x14ac:dyDescent="0.25">
      <c r="F46" s="103" t="s">
        <v>144</v>
      </c>
      <c r="G46" s="101">
        <v>3</v>
      </c>
      <c r="H46" s="103" t="s">
        <v>97</v>
      </c>
      <c r="I46" s="101">
        <f>VLOOKUP(Table1[[#This Row],[Designation]],Pricetable,HLOOKUP(Amountfrom,Pricetable,2,FALSE),FALSE)*(1+Margin+Uncertainty_factor)</f>
        <v>0</v>
      </c>
      <c r="J46" s="103"/>
      <c r="K46" s="103"/>
      <c r="L46" s="103"/>
      <c r="M46" s="103"/>
      <c r="N46" s="103"/>
      <c r="O46" s="103"/>
      <c r="P46" s="102">
        <f t="shared" si="0"/>
        <v>0</v>
      </c>
    </row>
    <row r="47" spans="6:16" x14ac:dyDescent="0.25">
      <c r="F47" s="103" t="s">
        <v>145</v>
      </c>
      <c r="G47" s="101">
        <v>4</v>
      </c>
      <c r="H47" s="103" t="s">
        <v>97</v>
      </c>
      <c r="I47" s="101">
        <f>VLOOKUP(Table1[[#This Row],[Designation]],Pricetable,HLOOKUP(Amountfrom,Pricetable,2,FALSE),FALSE)*(1+Margin+Uncertainty_factor)</f>
        <v>0</v>
      </c>
      <c r="J47" s="103"/>
      <c r="K47" s="103"/>
      <c r="L47" s="103"/>
      <c r="M47" s="103"/>
      <c r="N47" s="103"/>
      <c r="O47" s="103"/>
      <c r="P47" s="102">
        <f t="shared" si="0"/>
        <v>0</v>
      </c>
    </row>
    <row r="48" spans="6:16" x14ac:dyDescent="0.25">
      <c r="F48" s="127" t="s">
        <v>146</v>
      </c>
      <c r="G48" s="101">
        <v>5</v>
      </c>
      <c r="H48" s="127" t="s">
        <v>97</v>
      </c>
      <c r="I48" s="101">
        <f>VLOOKUP(Table1[[#This Row],[Designation]],Pricetable,HLOOKUP(Amountfrom,Pricetable,2,FALSE),FALSE)*(1+Margin+Uncertainty_factor)</f>
        <v>0</v>
      </c>
      <c r="J48" s="129"/>
      <c r="K48" s="129"/>
      <c r="L48" s="129"/>
      <c r="M48" s="129"/>
      <c r="N48" s="129"/>
      <c r="O48" s="129"/>
      <c r="P48" s="102">
        <f t="shared" si="0"/>
        <v>0</v>
      </c>
    </row>
    <row r="49" spans="6:16" x14ac:dyDescent="0.25">
      <c r="F49" s="128" t="s">
        <v>147</v>
      </c>
      <c r="G49" s="101">
        <v>6</v>
      </c>
      <c r="H49" s="128" t="s">
        <v>97</v>
      </c>
      <c r="I49" s="101">
        <f>VLOOKUP(Table1[[#This Row],[Designation]],Pricetable,HLOOKUP(Amountfrom,Pricetable,2,FALSE),FALSE)*(1+Margin+Uncertainty_factor)</f>
        <v>0</v>
      </c>
      <c r="J49" s="129"/>
      <c r="K49" s="129"/>
      <c r="L49" s="129"/>
      <c r="M49" s="129"/>
      <c r="N49" s="129"/>
      <c r="O49" s="129"/>
      <c r="P49" s="102">
        <f t="shared" si="0"/>
        <v>0</v>
      </c>
    </row>
    <row r="50" spans="6:16" x14ac:dyDescent="0.25">
      <c r="F50" s="128" t="s">
        <v>148</v>
      </c>
      <c r="G50" s="101">
        <v>7</v>
      </c>
      <c r="H50" s="128" t="s">
        <v>97</v>
      </c>
      <c r="I50" s="101">
        <f>VLOOKUP(Table1[[#This Row],[Designation]],Pricetable,HLOOKUP(Amountfrom,Pricetable,2,FALSE),FALSE)*(1+Margin+Uncertainty_factor)</f>
        <v>0</v>
      </c>
      <c r="J50" s="129"/>
      <c r="K50" s="129"/>
      <c r="L50" s="129"/>
      <c r="M50" s="129"/>
      <c r="N50" s="129"/>
      <c r="O50" s="129"/>
      <c r="P50" s="102">
        <f t="shared" si="0"/>
        <v>0</v>
      </c>
    </row>
    <row r="51" spans="6:16" x14ac:dyDescent="0.25">
      <c r="F51" s="128" t="s">
        <v>149</v>
      </c>
      <c r="G51" s="101">
        <v>8</v>
      </c>
      <c r="H51" s="128" t="s">
        <v>97</v>
      </c>
      <c r="I51" s="101">
        <f>VLOOKUP(Table1[[#This Row],[Designation]],Pricetable,HLOOKUP(Amountfrom,Pricetable,2,FALSE),FALSE)*(1+Margin+Uncertainty_factor)</f>
        <v>0</v>
      </c>
      <c r="J51" s="129"/>
      <c r="K51" s="129"/>
      <c r="L51" s="129"/>
      <c r="M51" s="129"/>
      <c r="N51" s="129"/>
      <c r="O51" s="129"/>
      <c r="P51" s="102">
        <f t="shared" si="0"/>
        <v>0</v>
      </c>
    </row>
    <row r="52" spans="6:16" x14ac:dyDescent="0.25">
      <c r="F52" s="127" t="s">
        <v>150</v>
      </c>
      <c r="G52" s="127">
        <v>1</v>
      </c>
      <c r="H52" s="127" t="s">
        <v>97</v>
      </c>
      <c r="I52" s="101">
        <f>VLOOKUP(Table1[[#This Row],[Designation]],Pricetable,HLOOKUP(Amountfrom,Pricetable,2,FALSE),FALSE)*(1+Margin+Uncertainty_factor)</f>
        <v>0</v>
      </c>
      <c r="J52" s="129"/>
      <c r="K52" s="129"/>
      <c r="L52" s="129"/>
      <c r="M52" s="129"/>
      <c r="N52" s="129"/>
      <c r="O52" s="129"/>
      <c r="P52" s="102">
        <f t="shared" si="0"/>
        <v>0</v>
      </c>
    </row>
    <row r="53" spans="6:16" x14ac:dyDescent="0.25">
      <c r="F53" s="128" t="s">
        <v>151</v>
      </c>
      <c r="G53" s="128">
        <v>2</v>
      </c>
      <c r="H53" s="128" t="s">
        <v>98</v>
      </c>
      <c r="I53" s="101">
        <f>VLOOKUP(Table1[[#This Row],[Designation]],Pricetable,HLOOKUP(Amountfrom,Pricetable,2,FALSE),FALSE)*(1+Margin+Uncertainty_factor)</f>
        <v>0</v>
      </c>
      <c r="J53" s="129"/>
      <c r="K53" s="129"/>
      <c r="L53" s="129"/>
      <c r="M53" s="129"/>
      <c r="N53" s="129"/>
      <c r="O53" s="129"/>
      <c r="P53" s="102">
        <f t="shared" si="0"/>
        <v>0</v>
      </c>
    </row>
    <row r="54" spans="6:16" x14ac:dyDescent="0.25">
      <c r="F54" s="128" t="s">
        <v>152</v>
      </c>
      <c r="G54" s="127">
        <v>3</v>
      </c>
      <c r="H54" s="128" t="s">
        <v>10</v>
      </c>
      <c r="I54" s="101">
        <f>VLOOKUP(Table1[[#This Row],[Designation]],Pricetable,HLOOKUP(Amountfrom,Pricetable,2,FALSE),FALSE)*(1+Margin+Uncertainty_factor)</f>
        <v>0</v>
      </c>
      <c r="J54" s="129"/>
      <c r="K54" s="129"/>
      <c r="L54" s="129"/>
      <c r="M54" s="129"/>
      <c r="N54" s="129"/>
      <c r="O54" s="129"/>
      <c r="P54" s="102">
        <f t="shared" si="0"/>
        <v>0</v>
      </c>
    </row>
    <row r="55" spans="6:16" x14ac:dyDescent="0.25">
      <c r="F55" s="128" t="s">
        <v>153</v>
      </c>
      <c r="G55" s="128">
        <v>4</v>
      </c>
      <c r="H55" s="128" t="s">
        <v>17</v>
      </c>
      <c r="I55" s="101">
        <f>VLOOKUP(Table1[[#This Row],[Designation]],Pricetable,HLOOKUP(Amountfrom,Pricetable,2,FALSE),FALSE)*(1+Margin+Uncertainty_factor)</f>
        <v>0</v>
      </c>
      <c r="J55" s="129"/>
      <c r="K55" s="129"/>
      <c r="L55" s="129"/>
      <c r="M55" s="129"/>
      <c r="N55" s="129"/>
      <c r="O55" s="129"/>
      <c r="P55" s="102">
        <f t="shared" si="0"/>
        <v>0</v>
      </c>
    </row>
    <row r="56" spans="6:16" x14ac:dyDescent="0.25">
      <c r="F56" s="128" t="s">
        <v>154</v>
      </c>
      <c r="G56" s="127">
        <v>5</v>
      </c>
      <c r="H56" s="128" t="s">
        <v>17</v>
      </c>
      <c r="I56" s="101">
        <f>VLOOKUP(Table1[[#This Row],[Designation]],Pricetable,HLOOKUP(Amountfrom,Pricetable,2,FALSE),FALSE)*(1+Margin+Uncertainty_factor)</f>
        <v>0</v>
      </c>
      <c r="J56" s="129"/>
      <c r="K56" s="129"/>
      <c r="L56" s="129"/>
      <c r="M56" s="129"/>
      <c r="N56" s="129"/>
      <c r="O56" s="129"/>
      <c r="P56" s="102">
        <f t="shared" si="0"/>
        <v>0</v>
      </c>
    </row>
    <row r="57" spans="6:16" x14ac:dyDescent="0.25">
      <c r="F57" s="128" t="s">
        <v>155</v>
      </c>
      <c r="G57" s="128">
        <v>6</v>
      </c>
      <c r="H57" s="128" t="s">
        <v>17</v>
      </c>
      <c r="I57" s="101">
        <f>VLOOKUP(Table1[[#This Row],[Designation]],Pricetable,HLOOKUP(Amountfrom,Pricetable,2,FALSE),FALSE)*(1+Margin+Uncertainty_factor)</f>
        <v>0</v>
      </c>
      <c r="J57" s="129"/>
      <c r="K57" s="129"/>
      <c r="L57" s="129"/>
      <c r="M57" s="129"/>
      <c r="N57" s="129"/>
      <c r="O57" s="129"/>
      <c r="P57" s="102">
        <f t="shared" si="0"/>
        <v>0</v>
      </c>
    </row>
    <row r="58" spans="6:16" x14ac:dyDescent="0.25">
      <c r="F58" s="128" t="s">
        <v>156</v>
      </c>
      <c r="G58" s="127">
        <v>7</v>
      </c>
      <c r="H58" s="128" t="s">
        <v>17</v>
      </c>
      <c r="I58" s="101">
        <f>VLOOKUP(Table1[[#This Row],[Designation]],Pricetable,HLOOKUP(Amountfrom,Pricetable,2,FALSE),FALSE)*(1+Margin+Uncertainty_factor)</f>
        <v>0</v>
      </c>
      <c r="J58" s="129"/>
      <c r="K58" s="129"/>
      <c r="L58" s="129"/>
      <c r="M58" s="129"/>
      <c r="N58" s="129"/>
      <c r="O58" s="129"/>
      <c r="P58" s="102">
        <f t="shared" si="0"/>
        <v>0</v>
      </c>
    </row>
    <row r="59" spans="6:16" x14ac:dyDescent="0.25">
      <c r="F59" s="128" t="s">
        <v>157</v>
      </c>
      <c r="G59" s="128">
        <v>8</v>
      </c>
      <c r="H59" s="128" t="s">
        <v>17</v>
      </c>
      <c r="I59" s="101">
        <f>VLOOKUP(Table1[[#This Row],[Designation]],Pricetable,HLOOKUP(Amountfrom,Pricetable,2,FALSE),FALSE)*(1+Margin+Uncertainty_factor)</f>
        <v>0</v>
      </c>
      <c r="J59" s="129"/>
      <c r="K59" s="129"/>
      <c r="L59" s="129"/>
      <c r="M59" s="129"/>
      <c r="N59" s="129"/>
      <c r="O59" s="129"/>
      <c r="P59" s="102">
        <f t="shared" si="0"/>
        <v>0</v>
      </c>
    </row>
    <row r="60" spans="6:16" x14ac:dyDescent="0.25">
      <c r="F60" s="128" t="s">
        <v>158</v>
      </c>
      <c r="G60" s="127">
        <v>9</v>
      </c>
      <c r="H60" s="128" t="s">
        <v>17</v>
      </c>
      <c r="I60" s="101">
        <f>VLOOKUP(Table1[[#This Row],[Designation]],Pricetable,HLOOKUP(Amountfrom,Pricetable,2,FALSE),FALSE)*(1+Margin+Uncertainty_factor)</f>
        <v>0</v>
      </c>
      <c r="J60" s="129"/>
      <c r="K60" s="129"/>
      <c r="L60" s="129"/>
      <c r="M60" s="129"/>
      <c r="N60" s="129"/>
      <c r="O60" s="129"/>
      <c r="P60" s="102">
        <f t="shared" si="0"/>
        <v>0</v>
      </c>
    </row>
    <row r="61" spans="6:16" x14ac:dyDescent="0.25">
      <c r="F61" s="128" t="s">
        <v>159</v>
      </c>
      <c r="G61" s="128">
        <v>10</v>
      </c>
      <c r="H61" s="128" t="s">
        <v>17</v>
      </c>
      <c r="I61" s="101">
        <f>VLOOKUP(Table1[[#This Row],[Designation]],Pricetable,HLOOKUP(Amountfrom,Pricetable,2,FALSE),FALSE)*(1+Margin+Uncertainty_factor)</f>
        <v>0</v>
      </c>
      <c r="J61" s="129"/>
      <c r="K61" s="129"/>
      <c r="L61" s="129"/>
      <c r="M61" s="129"/>
      <c r="N61" s="129"/>
      <c r="O61" s="129"/>
      <c r="P61" s="102">
        <f t="shared" si="0"/>
        <v>0</v>
      </c>
    </row>
    <row r="62" spans="6:16" x14ac:dyDescent="0.25">
      <c r="F62" s="128" t="s">
        <v>160</v>
      </c>
      <c r="G62" s="127">
        <v>11</v>
      </c>
      <c r="H62" s="128" t="s">
        <v>17</v>
      </c>
      <c r="I62" s="101">
        <f>VLOOKUP(Table1[[#This Row],[Designation]],Pricetable,HLOOKUP(Amountfrom,Pricetable,2,FALSE),FALSE)*(1+Margin+Uncertainty_factor)</f>
        <v>0</v>
      </c>
      <c r="J62" s="129"/>
      <c r="K62" s="129"/>
      <c r="L62" s="129"/>
      <c r="M62" s="129"/>
      <c r="N62" s="129"/>
      <c r="O62" s="129"/>
      <c r="P62" s="102">
        <f t="shared" si="0"/>
        <v>0</v>
      </c>
    </row>
    <row r="63" spans="6:16" x14ac:dyDescent="0.25">
      <c r="F63" s="128" t="s">
        <v>161</v>
      </c>
      <c r="G63" s="128">
        <v>12</v>
      </c>
      <c r="H63" s="128" t="s">
        <v>17</v>
      </c>
      <c r="I63" s="101">
        <f>VLOOKUP(Table1[[#This Row],[Designation]],Pricetable,HLOOKUP(Amountfrom,Pricetable,2,FALSE),FALSE)*(1+Margin+Uncertainty_factor)</f>
        <v>0</v>
      </c>
      <c r="J63" s="129"/>
      <c r="K63" s="129"/>
      <c r="L63" s="129"/>
      <c r="M63" s="129"/>
      <c r="N63" s="129"/>
      <c r="O63" s="129"/>
      <c r="P63" s="102">
        <f t="shared" si="0"/>
        <v>0</v>
      </c>
    </row>
    <row r="64" spans="6:16" x14ac:dyDescent="0.25">
      <c r="F64" s="128" t="s">
        <v>162</v>
      </c>
      <c r="G64" s="127">
        <v>13</v>
      </c>
      <c r="H64" s="128" t="s">
        <v>17</v>
      </c>
      <c r="I64" s="101">
        <f>VLOOKUP(Table1[[#This Row],[Designation]],Pricetable,HLOOKUP(Amountfrom,Pricetable,2,FALSE),FALSE)*(1+Margin+Uncertainty_factor)</f>
        <v>0</v>
      </c>
      <c r="J64" s="129"/>
      <c r="K64" s="129"/>
      <c r="L64" s="129"/>
      <c r="M64" s="129"/>
      <c r="N64" s="129"/>
      <c r="O64" s="129"/>
      <c r="P64" s="102">
        <f t="shared" si="0"/>
        <v>0</v>
      </c>
    </row>
    <row r="65" spans="6:16" x14ac:dyDescent="0.25">
      <c r="F65" s="128" t="s">
        <v>163</v>
      </c>
      <c r="G65" s="128">
        <v>14</v>
      </c>
      <c r="H65" s="128" t="s">
        <v>17</v>
      </c>
      <c r="I65" s="101">
        <f>VLOOKUP(Table1[[#This Row],[Designation]],Pricetable,HLOOKUP(Amountfrom,Pricetable,2,FALSE),FALSE)*(1+Margin+Uncertainty_factor)</f>
        <v>0</v>
      </c>
      <c r="J65" s="129"/>
      <c r="K65" s="129"/>
      <c r="L65" s="129"/>
      <c r="M65" s="129"/>
      <c r="N65" s="129"/>
      <c r="O65" s="129"/>
      <c r="P65" s="102">
        <f t="shared" si="0"/>
        <v>0</v>
      </c>
    </row>
    <row r="66" spans="6:16" x14ac:dyDescent="0.25">
      <c r="F66" s="128" t="s">
        <v>164</v>
      </c>
      <c r="G66" s="127">
        <v>15</v>
      </c>
      <c r="H66" s="128" t="s">
        <v>17</v>
      </c>
      <c r="I66" s="101">
        <f>VLOOKUP(Table1[[#This Row],[Designation]],Pricetable,HLOOKUP(Amountfrom,Pricetable,2,FALSE),FALSE)*(1+Margin+Uncertainty_factor)</f>
        <v>0</v>
      </c>
      <c r="J66" s="129"/>
      <c r="K66" s="129"/>
      <c r="L66" s="129"/>
      <c r="M66" s="129"/>
      <c r="N66" s="129"/>
      <c r="O66" s="129"/>
      <c r="P66" s="102">
        <f t="shared" si="0"/>
        <v>0</v>
      </c>
    </row>
    <row r="67" spans="6:16" x14ac:dyDescent="0.25">
      <c r="F67" s="128" t="s">
        <v>165</v>
      </c>
      <c r="G67" s="128">
        <v>16</v>
      </c>
      <c r="H67" s="128" t="s">
        <v>17</v>
      </c>
      <c r="I67" s="101">
        <f>VLOOKUP(Table1[[#This Row],[Designation]],Pricetable,HLOOKUP(Amountfrom,Pricetable,2,FALSE),FALSE)*(1+Margin+Uncertainty_factor)</f>
        <v>0</v>
      </c>
      <c r="J67" s="129"/>
      <c r="K67" s="129"/>
      <c r="L67" s="129"/>
      <c r="M67" s="129"/>
      <c r="N67" s="129"/>
      <c r="O67" s="129"/>
      <c r="P67" s="102">
        <f t="shared" si="0"/>
        <v>0</v>
      </c>
    </row>
    <row r="68" spans="6:16" x14ac:dyDescent="0.25">
      <c r="F68" s="128" t="s">
        <v>166</v>
      </c>
      <c r="G68" s="127">
        <v>17</v>
      </c>
      <c r="H68" s="128" t="s">
        <v>17</v>
      </c>
      <c r="I68" s="101">
        <f>VLOOKUP(Table1[[#This Row],[Designation]],Pricetable,HLOOKUP(Amountfrom,Pricetable,2,FALSE),FALSE)*(1+Margin+Uncertainty_factor)</f>
        <v>0</v>
      </c>
      <c r="J68" s="129"/>
      <c r="K68" s="129"/>
      <c r="L68" s="129"/>
      <c r="M68" s="129"/>
      <c r="N68" s="129"/>
      <c r="O68" s="129"/>
      <c r="P68" s="102">
        <f t="shared" ref="P68:P131" si="1">J68*Changerate</f>
        <v>0</v>
      </c>
    </row>
    <row r="69" spans="6:16" x14ac:dyDescent="0.25">
      <c r="F69" s="128" t="s">
        <v>167</v>
      </c>
      <c r="G69" s="128">
        <v>18</v>
      </c>
      <c r="H69" s="128" t="s">
        <v>17</v>
      </c>
      <c r="I69" s="101">
        <f>VLOOKUP(Table1[[#This Row],[Designation]],Pricetable,HLOOKUP(Amountfrom,Pricetable,2,FALSE),FALSE)*(1+Margin+Uncertainty_factor)</f>
        <v>0</v>
      </c>
      <c r="J69" s="129"/>
      <c r="K69" s="129"/>
      <c r="L69" s="129"/>
      <c r="M69" s="129"/>
      <c r="N69" s="129"/>
      <c r="O69" s="129"/>
      <c r="P69" s="102">
        <f t="shared" si="1"/>
        <v>0</v>
      </c>
    </row>
    <row r="70" spans="6:16" x14ac:dyDescent="0.25">
      <c r="F70" s="128" t="s">
        <v>168</v>
      </c>
      <c r="G70" s="127">
        <v>19</v>
      </c>
      <c r="H70" s="128" t="s">
        <v>97</v>
      </c>
      <c r="I70" s="101">
        <f>VLOOKUP(Table1[[#This Row],[Designation]],Pricetable,HLOOKUP(Amountfrom,Pricetable,2,FALSE),FALSE)*(1+Margin+Uncertainty_factor)</f>
        <v>0</v>
      </c>
      <c r="J70" s="129"/>
      <c r="K70" s="129"/>
      <c r="L70" s="129"/>
      <c r="M70" s="129"/>
      <c r="N70" s="129"/>
      <c r="O70" s="129"/>
      <c r="P70" s="102">
        <f t="shared" si="1"/>
        <v>0</v>
      </c>
    </row>
    <row r="71" spans="6:16" x14ac:dyDescent="0.25">
      <c r="F71" s="128" t="s">
        <v>169</v>
      </c>
      <c r="G71" s="128">
        <v>20</v>
      </c>
      <c r="H71" s="128" t="s">
        <v>97</v>
      </c>
      <c r="I71" s="101">
        <f>VLOOKUP(Table1[[#This Row],[Designation]],Pricetable,HLOOKUP(Amountfrom,Pricetable,2,FALSE),FALSE)*(1+Margin+Uncertainty_factor)</f>
        <v>0</v>
      </c>
      <c r="J71" s="129"/>
      <c r="K71" s="129"/>
      <c r="L71" s="129"/>
      <c r="M71" s="129"/>
      <c r="N71" s="129"/>
      <c r="O71" s="129"/>
      <c r="P71" s="102">
        <f t="shared" si="1"/>
        <v>0</v>
      </c>
    </row>
    <row r="72" spans="6:16" x14ac:dyDescent="0.25">
      <c r="F72" s="128" t="s">
        <v>170</v>
      </c>
      <c r="G72" s="127">
        <v>21</v>
      </c>
      <c r="H72" s="128" t="s">
        <v>97</v>
      </c>
      <c r="I72" s="101">
        <f>VLOOKUP(Table1[[#This Row],[Designation]],Pricetable,HLOOKUP(Amountfrom,Pricetable,2,FALSE),FALSE)*(1+Margin+Uncertainty_factor)</f>
        <v>0</v>
      </c>
      <c r="J72" s="129"/>
      <c r="K72" s="129"/>
      <c r="L72" s="129"/>
      <c r="M72" s="129"/>
      <c r="N72" s="129"/>
      <c r="O72" s="129"/>
      <c r="P72" s="102">
        <f t="shared" si="1"/>
        <v>0</v>
      </c>
    </row>
    <row r="73" spans="6:16" x14ac:dyDescent="0.25">
      <c r="F73" s="128" t="s">
        <v>171</v>
      </c>
      <c r="G73" s="128">
        <v>22</v>
      </c>
      <c r="H73" s="128" t="s">
        <v>254</v>
      </c>
      <c r="I73" s="101">
        <f>VLOOKUP(Table1[[#This Row],[Designation]],Pricetable,HLOOKUP(Amountfrom,Pricetable,2,FALSE),FALSE)*(1+Margin+Uncertainty_factor)</f>
        <v>0</v>
      </c>
      <c r="J73" s="130"/>
      <c r="K73" s="130"/>
      <c r="L73" s="130"/>
      <c r="M73" s="130"/>
      <c r="N73" s="130"/>
      <c r="O73" s="130"/>
      <c r="P73" s="102">
        <f t="shared" si="1"/>
        <v>0</v>
      </c>
    </row>
    <row r="74" spans="6:16" x14ac:dyDescent="0.25">
      <c r="F74" s="127" t="s">
        <v>172</v>
      </c>
      <c r="G74" s="127">
        <v>1</v>
      </c>
      <c r="H74" s="127" t="s">
        <v>98</v>
      </c>
      <c r="I74" s="101">
        <f>VLOOKUP(Table1[[#This Row],[Designation]],Pricetable,HLOOKUP(Amountfrom,Pricetable,2,FALSE),FALSE)*(1+Margin+Uncertainty_factor)</f>
        <v>0</v>
      </c>
      <c r="J74" s="129"/>
      <c r="K74" s="129"/>
      <c r="L74" s="129"/>
      <c r="M74" s="129"/>
      <c r="N74" s="129"/>
      <c r="O74" s="129"/>
      <c r="P74" s="102">
        <f t="shared" si="1"/>
        <v>0</v>
      </c>
    </row>
    <row r="75" spans="6:16" x14ac:dyDescent="0.25">
      <c r="F75" s="128" t="s">
        <v>173</v>
      </c>
      <c r="G75" s="128">
        <v>2</v>
      </c>
      <c r="H75" s="128" t="s">
        <v>98</v>
      </c>
      <c r="I75" s="101">
        <f>VLOOKUP(Table1[[#This Row],[Designation]],Pricetable,HLOOKUP(Amountfrom,Pricetable,2,FALSE),FALSE)*(1+Margin+Uncertainty_factor)</f>
        <v>0</v>
      </c>
      <c r="J75" s="129"/>
      <c r="K75" s="129"/>
      <c r="L75" s="129"/>
      <c r="M75" s="129"/>
      <c r="N75" s="129"/>
      <c r="O75" s="129"/>
      <c r="P75" s="102">
        <f t="shared" si="1"/>
        <v>0</v>
      </c>
    </row>
    <row r="76" spans="6:16" x14ac:dyDescent="0.25">
      <c r="F76" s="128" t="s">
        <v>174</v>
      </c>
      <c r="G76" s="128">
        <v>3</v>
      </c>
      <c r="H76" s="128" t="s">
        <v>98</v>
      </c>
      <c r="I76" s="101">
        <f>VLOOKUP(Table1[[#This Row],[Designation]],Pricetable,HLOOKUP(Amountfrom,Pricetable,2,FALSE),FALSE)*(1+Margin+Uncertainty_factor)</f>
        <v>0</v>
      </c>
      <c r="J76" s="129"/>
      <c r="K76" s="129"/>
      <c r="L76" s="129"/>
      <c r="M76" s="129"/>
      <c r="N76" s="129"/>
      <c r="O76" s="129"/>
      <c r="P76" s="102">
        <f t="shared" si="1"/>
        <v>0</v>
      </c>
    </row>
    <row r="77" spans="6:16" x14ac:dyDescent="0.25">
      <c r="F77" s="128" t="s">
        <v>175</v>
      </c>
      <c r="G77" s="128">
        <v>4</v>
      </c>
      <c r="H77" s="128" t="s">
        <v>98</v>
      </c>
      <c r="I77" s="101">
        <f>VLOOKUP(Table1[[#This Row],[Designation]],Pricetable,HLOOKUP(Amountfrom,Pricetable,2,FALSE),FALSE)*(1+Margin+Uncertainty_factor)</f>
        <v>0</v>
      </c>
      <c r="J77" s="130"/>
      <c r="K77" s="130"/>
      <c r="L77" s="130"/>
      <c r="M77" s="130"/>
      <c r="N77" s="130"/>
      <c r="O77" s="130"/>
      <c r="P77" s="102">
        <f t="shared" si="1"/>
        <v>0</v>
      </c>
    </row>
    <row r="78" spans="6:16" x14ac:dyDescent="0.25">
      <c r="F78" s="127" t="s">
        <v>176</v>
      </c>
      <c r="G78" s="127">
        <v>1</v>
      </c>
      <c r="H78" s="127" t="s">
        <v>97</v>
      </c>
      <c r="I78" s="101">
        <f>VLOOKUP(Table1[[#This Row],[Designation]],Pricetable,HLOOKUP(Amountfrom,Pricetable,2,FALSE),FALSE)*(1+Margin+Uncertainty_factor)</f>
        <v>0</v>
      </c>
      <c r="J78" s="129"/>
      <c r="K78" s="129"/>
      <c r="L78" s="129"/>
      <c r="M78" s="129"/>
      <c r="N78" s="129"/>
      <c r="O78" s="129"/>
      <c r="P78" s="102">
        <f t="shared" si="1"/>
        <v>0</v>
      </c>
    </row>
    <row r="79" spans="6:16" x14ac:dyDescent="0.25">
      <c r="F79" s="128" t="s">
        <v>177</v>
      </c>
      <c r="G79" s="128">
        <v>2</v>
      </c>
      <c r="H79" s="128" t="s">
        <v>97</v>
      </c>
      <c r="I79" s="101">
        <f>VLOOKUP(Table1[[#This Row],[Designation]],Pricetable,HLOOKUP(Amountfrom,Pricetable,2,FALSE),FALSE)*(1+Margin+Uncertainty_factor)</f>
        <v>0</v>
      </c>
      <c r="J79" s="129"/>
      <c r="K79" s="129"/>
      <c r="L79" s="129"/>
      <c r="M79" s="129"/>
      <c r="N79" s="129"/>
      <c r="O79" s="129"/>
      <c r="P79" s="102">
        <f t="shared" si="1"/>
        <v>0</v>
      </c>
    </row>
    <row r="80" spans="6:16" x14ac:dyDescent="0.25">
      <c r="F80" s="128" t="s">
        <v>178</v>
      </c>
      <c r="G80" s="128">
        <v>3</v>
      </c>
      <c r="H80" s="128" t="s">
        <v>97</v>
      </c>
      <c r="I80" s="101">
        <f>VLOOKUP(Table1[[#This Row],[Designation]],Pricetable,HLOOKUP(Amountfrom,Pricetable,2,FALSE),FALSE)*(1+Margin+Uncertainty_factor)</f>
        <v>0</v>
      </c>
      <c r="J80" s="129"/>
      <c r="K80" s="129"/>
      <c r="L80" s="129"/>
      <c r="M80" s="129"/>
      <c r="N80" s="129"/>
      <c r="O80" s="129"/>
      <c r="P80" s="102">
        <f t="shared" si="1"/>
        <v>0</v>
      </c>
    </row>
    <row r="81" spans="6:16" x14ac:dyDescent="0.25">
      <c r="F81" s="128" t="s">
        <v>179</v>
      </c>
      <c r="G81" s="128">
        <v>4</v>
      </c>
      <c r="H81" s="128" t="s">
        <v>97</v>
      </c>
      <c r="I81" s="101">
        <f>VLOOKUP(Table1[[#This Row],[Designation]],Pricetable,HLOOKUP(Amountfrom,Pricetable,2,FALSE),FALSE)*(1+Margin+Uncertainty_factor)</f>
        <v>0</v>
      </c>
      <c r="J81" s="129"/>
      <c r="K81" s="129"/>
      <c r="L81" s="129"/>
      <c r="M81" s="129"/>
      <c r="N81" s="129"/>
      <c r="O81" s="129"/>
      <c r="P81" s="102">
        <f t="shared" si="1"/>
        <v>0</v>
      </c>
    </row>
    <row r="82" spans="6:16" x14ac:dyDescent="0.25">
      <c r="F82" s="128" t="s">
        <v>180</v>
      </c>
      <c r="G82" s="128">
        <v>5</v>
      </c>
      <c r="H82" s="128" t="s">
        <v>98</v>
      </c>
      <c r="I82" s="101">
        <f>VLOOKUP(Table1[[#This Row],[Designation]],Pricetable,HLOOKUP(Amountfrom,Pricetable,2,FALSE),FALSE)*(1+Margin+Uncertainty_factor)</f>
        <v>0</v>
      </c>
      <c r="J82" s="130"/>
      <c r="K82" s="130"/>
      <c r="L82" s="130"/>
      <c r="M82" s="130"/>
      <c r="N82" s="130"/>
      <c r="O82" s="130"/>
      <c r="P82" s="102">
        <f t="shared" si="1"/>
        <v>0</v>
      </c>
    </row>
    <row r="83" spans="6:16" x14ac:dyDescent="0.25">
      <c r="F83" s="127" t="s">
        <v>181</v>
      </c>
      <c r="G83" s="127">
        <v>1</v>
      </c>
      <c r="H83" s="127" t="s">
        <v>98</v>
      </c>
      <c r="I83" s="101">
        <f>VLOOKUP(Table1[[#This Row],[Designation]],Pricetable,HLOOKUP(Amountfrom,Pricetable,2,FALSE),FALSE)*(1+Margin+Uncertainty_factor)</f>
        <v>0</v>
      </c>
      <c r="J83" s="129"/>
      <c r="K83" s="129"/>
      <c r="L83" s="129"/>
      <c r="M83" s="129"/>
      <c r="N83" s="129"/>
      <c r="O83" s="129"/>
      <c r="P83" s="102">
        <f t="shared" si="1"/>
        <v>0</v>
      </c>
    </row>
    <row r="84" spans="6:16" x14ac:dyDescent="0.25">
      <c r="F84" s="128" t="s">
        <v>182</v>
      </c>
      <c r="G84" s="128">
        <v>2</v>
      </c>
      <c r="H84" s="128" t="s">
        <v>98</v>
      </c>
      <c r="I84" s="101">
        <f>VLOOKUP(Table1[[#This Row],[Designation]],Pricetable,HLOOKUP(Amountfrom,Pricetable,2,FALSE),FALSE)*(1+Margin+Uncertainty_factor)</f>
        <v>0</v>
      </c>
      <c r="J84" s="129"/>
      <c r="K84" s="129"/>
      <c r="L84" s="129"/>
      <c r="M84" s="129"/>
      <c r="N84" s="129"/>
      <c r="O84" s="129"/>
      <c r="P84" s="102">
        <f t="shared" si="1"/>
        <v>0</v>
      </c>
    </row>
    <row r="85" spans="6:16" x14ac:dyDescent="0.25">
      <c r="F85" s="128" t="s">
        <v>183</v>
      </c>
      <c r="G85" s="128">
        <v>3</v>
      </c>
      <c r="H85" s="128" t="s">
        <v>98</v>
      </c>
      <c r="I85" s="101">
        <f>VLOOKUP(Table1[[#This Row],[Designation]],Pricetable,HLOOKUP(Amountfrom,Pricetable,2,FALSE),FALSE)*(1+Margin+Uncertainty_factor)</f>
        <v>0</v>
      </c>
      <c r="J85" s="130"/>
      <c r="K85" s="130"/>
      <c r="L85" s="130"/>
      <c r="M85" s="130"/>
      <c r="N85" s="130"/>
      <c r="O85" s="130"/>
      <c r="P85" s="102">
        <f t="shared" si="1"/>
        <v>0</v>
      </c>
    </row>
    <row r="86" spans="6:16" x14ac:dyDescent="0.25">
      <c r="F86" s="127" t="s">
        <v>184</v>
      </c>
      <c r="G86" s="127">
        <v>1</v>
      </c>
      <c r="H86" s="127" t="s">
        <v>98</v>
      </c>
      <c r="I86" s="101">
        <f>VLOOKUP(Table1[[#This Row],[Designation]],Pricetable,HLOOKUP(Amountfrom,Pricetable,2,FALSE),FALSE)*(1+Margin+Uncertainty_factor)</f>
        <v>0</v>
      </c>
      <c r="J86" s="129"/>
      <c r="K86" s="129"/>
      <c r="L86" s="129"/>
      <c r="M86" s="129"/>
      <c r="N86" s="129"/>
      <c r="O86" s="129"/>
      <c r="P86" s="102">
        <f t="shared" si="1"/>
        <v>0</v>
      </c>
    </row>
    <row r="87" spans="6:16" x14ac:dyDescent="0.25">
      <c r="F87" s="128" t="s">
        <v>185</v>
      </c>
      <c r="G87" s="128">
        <v>2</v>
      </c>
      <c r="H87" s="128" t="s">
        <v>98</v>
      </c>
      <c r="I87" s="101">
        <f>VLOOKUP(Table1[[#This Row],[Designation]],Pricetable,HLOOKUP(Amountfrom,Pricetable,2,FALSE),FALSE)*(1+Margin+Uncertainty_factor)</f>
        <v>0</v>
      </c>
      <c r="J87" s="129"/>
      <c r="K87" s="129"/>
      <c r="L87" s="129"/>
      <c r="M87" s="129"/>
      <c r="N87" s="129"/>
      <c r="O87" s="129"/>
      <c r="P87" s="102">
        <f t="shared" si="1"/>
        <v>0</v>
      </c>
    </row>
    <row r="88" spans="6:16" x14ac:dyDescent="0.25">
      <c r="F88" s="128" t="s">
        <v>186</v>
      </c>
      <c r="G88" s="127">
        <v>3</v>
      </c>
      <c r="H88" s="128" t="s">
        <v>98</v>
      </c>
      <c r="I88" s="101">
        <f>VLOOKUP(Table1[[#This Row],[Designation]],Pricetable,HLOOKUP(Amountfrom,Pricetable,2,FALSE),FALSE)*(1+Margin+Uncertainty_factor)</f>
        <v>0</v>
      </c>
      <c r="J88" s="129"/>
      <c r="K88" s="129"/>
      <c r="L88" s="129"/>
      <c r="M88" s="129"/>
      <c r="N88" s="129"/>
      <c r="O88" s="129"/>
      <c r="P88" s="102">
        <f t="shared" si="1"/>
        <v>0</v>
      </c>
    </row>
    <row r="89" spans="6:16" x14ac:dyDescent="0.25">
      <c r="F89" s="128" t="s">
        <v>187</v>
      </c>
      <c r="G89" s="128">
        <v>4</v>
      </c>
      <c r="H89" s="128" t="s">
        <v>98</v>
      </c>
      <c r="I89" s="101">
        <f>VLOOKUP(Table1[[#This Row],[Designation]],Pricetable,HLOOKUP(Amountfrom,Pricetable,2,FALSE),FALSE)*(1+Margin+Uncertainty_factor)</f>
        <v>0</v>
      </c>
      <c r="J89" s="129"/>
      <c r="K89" s="129"/>
      <c r="L89" s="129"/>
      <c r="M89" s="129"/>
      <c r="N89" s="129"/>
      <c r="O89" s="129"/>
      <c r="P89" s="102">
        <f t="shared" si="1"/>
        <v>0</v>
      </c>
    </row>
    <row r="90" spans="6:16" x14ac:dyDescent="0.25">
      <c r="F90" s="128" t="s">
        <v>188</v>
      </c>
      <c r="G90" s="127">
        <v>5</v>
      </c>
      <c r="H90" s="128" t="s">
        <v>98</v>
      </c>
      <c r="I90" s="101">
        <f>VLOOKUP(Table1[[#This Row],[Designation]],Pricetable,HLOOKUP(Amountfrom,Pricetable,2,FALSE),FALSE)*(1+Margin+Uncertainty_factor)</f>
        <v>0</v>
      </c>
      <c r="J90" s="129"/>
      <c r="K90" s="129"/>
      <c r="L90" s="129"/>
      <c r="M90" s="129"/>
      <c r="N90" s="129"/>
      <c r="O90" s="129"/>
      <c r="P90" s="102">
        <f t="shared" si="1"/>
        <v>0</v>
      </c>
    </row>
    <row r="91" spans="6:16" x14ac:dyDescent="0.25">
      <c r="F91" s="128" t="s">
        <v>189</v>
      </c>
      <c r="G91" s="128">
        <v>6</v>
      </c>
      <c r="H91" s="128" t="s">
        <v>98</v>
      </c>
      <c r="I91" s="101">
        <f>VLOOKUP(Table1[[#This Row],[Designation]],Pricetable,HLOOKUP(Amountfrom,Pricetable,2,FALSE),FALSE)*(1+Margin+Uncertainty_factor)</f>
        <v>0</v>
      </c>
      <c r="J91" s="129"/>
      <c r="K91" s="129"/>
      <c r="L91" s="129"/>
      <c r="M91" s="129"/>
      <c r="N91" s="129"/>
      <c r="O91" s="129"/>
      <c r="P91" s="102">
        <f t="shared" si="1"/>
        <v>0</v>
      </c>
    </row>
    <row r="92" spans="6:16" x14ac:dyDescent="0.25">
      <c r="F92" s="128" t="s">
        <v>190</v>
      </c>
      <c r="G92" s="127">
        <v>7</v>
      </c>
      <c r="H92" s="128" t="s">
        <v>98</v>
      </c>
      <c r="I92" s="101">
        <f>VLOOKUP(Table1[[#This Row],[Designation]],Pricetable,HLOOKUP(Amountfrom,Pricetable,2,FALSE),FALSE)*(1+Margin+Uncertainty_factor)</f>
        <v>0</v>
      </c>
      <c r="J92" s="129"/>
      <c r="K92" s="129"/>
      <c r="L92" s="129"/>
      <c r="M92" s="129"/>
      <c r="N92" s="129"/>
      <c r="O92" s="129"/>
      <c r="P92" s="102">
        <f t="shared" si="1"/>
        <v>0</v>
      </c>
    </row>
    <row r="93" spans="6:16" x14ac:dyDescent="0.25">
      <c r="F93" s="128" t="s">
        <v>191</v>
      </c>
      <c r="G93" s="128">
        <v>8</v>
      </c>
      <c r="H93" s="128" t="s">
        <v>98</v>
      </c>
      <c r="I93" s="101">
        <f>VLOOKUP(Table1[[#This Row],[Designation]],Pricetable,HLOOKUP(Amountfrom,Pricetable,2,FALSE),FALSE)*(1+Margin+Uncertainty_factor)</f>
        <v>0</v>
      </c>
      <c r="J93" s="129"/>
      <c r="K93" s="129"/>
      <c r="L93" s="129"/>
      <c r="M93" s="129"/>
      <c r="N93" s="129"/>
      <c r="O93" s="129"/>
      <c r="P93" s="102">
        <f t="shared" si="1"/>
        <v>0</v>
      </c>
    </row>
    <row r="94" spans="6:16" x14ac:dyDescent="0.25">
      <c r="F94" s="128" t="s">
        <v>192</v>
      </c>
      <c r="G94" s="127">
        <v>9</v>
      </c>
      <c r="H94" s="128" t="s">
        <v>98</v>
      </c>
      <c r="I94" s="101">
        <f>VLOOKUP(Table1[[#This Row],[Designation]],Pricetable,HLOOKUP(Amountfrom,Pricetable,2,FALSE),FALSE)*(1+Margin+Uncertainty_factor)</f>
        <v>0</v>
      </c>
      <c r="J94" s="129"/>
      <c r="K94" s="129"/>
      <c r="L94" s="129"/>
      <c r="M94" s="129"/>
      <c r="N94" s="129"/>
      <c r="O94" s="129"/>
      <c r="P94" s="102">
        <f t="shared" si="1"/>
        <v>0</v>
      </c>
    </row>
    <row r="95" spans="6:16" x14ac:dyDescent="0.25">
      <c r="F95" s="128" t="s">
        <v>193</v>
      </c>
      <c r="G95" s="128">
        <v>10</v>
      </c>
      <c r="H95" s="128" t="s">
        <v>98</v>
      </c>
      <c r="I95" s="101">
        <f>VLOOKUP(Table1[[#This Row],[Designation]],Pricetable,HLOOKUP(Amountfrom,Pricetable,2,FALSE),FALSE)*(1+Margin+Uncertainty_factor)</f>
        <v>0</v>
      </c>
      <c r="J95" s="129"/>
      <c r="K95" s="129"/>
      <c r="L95" s="129"/>
      <c r="M95" s="129"/>
      <c r="N95" s="129"/>
      <c r="O95" s="129"/>
      <c r="P95" s="102">
        <f t="shared" si="1"/>
        <v>0</v>
      </c>
    </row>
    <row r="96" spans="6:16" x14ac:dyDescent="0.25">
      <c r="F96" s="128" t="s">
        <v>194</v>
      </c>
      <c r="G96" s="127">
        <v>11</v>
      </c>
      <c r="H96" s="128" t="s">
        <v>98</v>
      </c>
      <c r="I96" s="101">
        <f>VLOOKUP(Table1[[#This Row],[Designation]],Pricetable,HLOOKUP(Amountfrom,Pricetable,2,FALSE),FALSE)*(1+Margin+Uncertainty_factor)</f>
        <v>0</v>
      </c>
      <c r="J96" s="129"/>
      <c r="K96" s="129"/>
      <c r="L96" s="129"/>
      <c r="M96" s="129"/>
      <c r="N96" s="129"/>
      <c r="O96" s="129"/>
      <c r="P96" s="102">
        <f t="shared" si="1"/>
        <v>0</v>
      </c>
    </row>
    <row r="97" spans="6:16" x14ac:dyDescent="0.25">
      <c r="F97" s="128" t="s">
        <v>195</v>
      </c>
      <c r="G97" s="128">
        <v>12</v>
      </c>
      <c r="H97" s="128" t="s">
        <v>10</v>
      </c>
      <c r="I97" s="101">
        <f>VLOOKUP(Table1[[#This Row],[Designation]],Pricetable,HLOOKUP(Amountfrom,Pricetable,2,FALSE),FALSE)*(1+Margin+Uncertainty_factor)</f>
        <v>0</v>
      </c>
      <c r="J97" s="130"/>
      <c r="K97" s="130"/>
      <c r="L97" s="130"/>
      <c r="M97" s="130"/>
      <c r="N97" s="130"/>
      <c r="O97" s="130"/>
      <c r="P97" s="102">
        <f t="shared" si="1"/>
        <v>0</v>
      </c>
    </row>
    <row r="98" spans="6:16" x14ac:dyDescent="0.25">
      <c r="F98" s="127" t="s">
        <v>196</v>
      </c>
      <c r="G98" s="127">
        <v>1</v>
      </c>
      <c r="H98" s="127" t="s">
        <v>98</v>
      </c>
      <c r="I98" s="101">
        <f>VLOOKUP(Table1[[#This Row],[Designation]],Pricetable,HLOOKUP(Amountfrom,Pricetable,2,FALSE),FALSE)*(1+Margin+Uncertainty_factor)</f>
        <v>0</v>
      </c>
      <c r="J98" s="129"/>
      <c r="K98" s="129"/>
      <c r="L98" s="129"/>
      <c r="M98" s="129"/>
      <c r="N98" s="129"/>
      <c r="O98" s="129"/>
      <c r="P98" s="102">
        <f t="shared" si="1"/>
        <v>0</v>
      </c>
    </row>
    <row r="99" spans="6:16" x14ac:dyDescent="0.25">
      <c r="F99" s="128" t="s">
        <v>197</v>
      </c>
      <c r="G99" s="128">
        <v>2</v>
      </c>
      <c r="H99" s="128" t="s">
        <v>98</v>
      </c>
      <c r="I99" s="101">
        <f>VLOOKUP(Table1[[#This Row],[Designation]],Pricetable,HLOOKUP(Amountfrom,Pricetable,2,FALSE),FALSE)*(1+Margin+Uncertainty_factor)</f>
        <v>0</v>
      </c>
      <c r="J99" s="129"/>
      <c r="K99" s="129"/>
      <c r="L99" s="129"/>
      <c r="M99" s="129"/>
      <c r="N99" s="129"/>
      <c r="O99" s="129"/>
      <c r="P99" s="102">
        <f t="shared" si="1"/>
        <v>0</v>
      </c>
    </row>
    <row r="100" spans="6:16" x14ac:dyDescent="0.25">
      <c r="F100" s="128" t="s">
        <v>198</v>
      </c>
      <c r="G100" s="127">
        <v>3</v>
      </c>
      <c r="H100" s="128" t="s">
        <v>98</v>
      </c>
      <c r="I100" s="101">
        <f>VLOOKUP(Table1[[#This Row],[Designation]],Pricetable,HLOOKUP(Amountfrom,Pricetable,2,FALSE),FALSE)*(1+Margin+Uncertainty_factor)</f>
        <v>0</v>
      </c>
      <c r="J100" s="129"/>
      <c r="K100" s="129"/>
      <c r="L100" s="129"/>
      <c r="M100" s="129"/>
      <c r="N100" s="129"/>
      <c r="O100" s="129"/>
      <c r="P100" s="102">
        <f t="shared" si="1"/>
        <v>0</v>
      </c>
    </row>
    <row r="101" spans="6:16" x14ac:dyDescent="0.25">
      <c r="F101" s="128" t="s">
        <v>199</v>
      </c>
      <c r="G101" s="128">
        <v>4</v>
      </c>
      <c r="H101" s="128" t="s">
        <v>98</v>
      </c>
      <c r="I101" s="101">
        <f>VLOOKUP(Table1[[#This Row],[Designation]],Pricetable,HLOOKUP(Amountfrom,Pricetable,2,FALSE),FALSE)*(1+Margin+Uncertainty_factor)</f>
        <v>0</v>
      </c>
      <c r="J101" s="129"/>
      <c r="K101" s="129"/>
      <c r="L101" s="129"/>
      <c r="M101" s="129"/>
      <c r="N101" s="129"/>
      <c r="O101" s="129"/>
      <c r="P101" s="102">
        <f t="shared" si="1"/>
        <v>0</v>
      </c>
    </row>
    <row r="102" spans="6:16" x14ac:dyDescent="0.25">
      <c r="F102" s="128" t="s">
        <v>200</v>
      </c>
      <c r="G102" s="127">
        <v>5</v>
      </c>
      <c r="H102" s="128" t="s">
        <v>98</v>
      </c>
      <c r="I102" s="101">
        <f>VLOOKUP(Table1[[#This Row],[Designation]],Pricetable,HLOOKUP(Amountfrom,Pricetable,2,FALSE),FALSE)*(1+Margin+Uncertainty_factor)</f>
        <v>0</v>
      </c>
      <c r="J102" s="129"/>
      <c r="K102" s="129"/>
      <c r="L102" s="129"/>
      <c r="M102" s="129"/>
      <c r="N102" s="129"/>
      <c r="O102" s="129"/>
      <c r="P102" s="102">
        <f t="shared" si="1"/>
        <v>0</v>
      </c>
    </row>
    <row r="103" spans="6:16" x14ac:dyDescent="0.25">
      <c r="F103" s="128" t="s">
        <v>201</v>
      </c>
      <c r="G103" s="128">
        <v>6</v>
      </c>
      <c r="H103" s="128" t="s">
        <v>98</v>
      </c>
      <c r="I103" s="101">
        <f>VLOOKUP(Table1[[#This Row],[Designation]],Pricetable,HLOOKUP(Amountfrom,Pricetable,2,FALSE),FALSE)*(1+Margin+Uncertainty_factor)</f>
        <v>0</v>
      </c>
      <c r="J103" s="129"/>
      <c r="K103" s="129"/>
      <c r="L103" s="129"/>
      <c r="M103" s="129"/>
      <c r="N103" s="129"/>
      <c r="O103" s="129"/>
      <c r="P103" s="102">
        <f t="shared" si="1"/>
        <v>0</v>
      </c>
    </row>
    <row r="104" spans="6:16" x14ac:dyDescent="0.25">
      <c r="F104" s="128" t="s">
        <v>202</v>
      </c>
      <c r="G104" s="127">
        <v>7</v>
      </c>
      <c r="H104" s="128" t="s">
        <v>98</v>
      </c>
      <c r="I104" s="101">
        <f>VLOOKUP(Table1[[#This Row],[Designation]],Pricetable,HLOOKUP(Amountfrom,Pricetable,2,FALSE),FALSE)*(1+Margin+Uncertainty_factor)</f>
        <v>0</v>
      </c>
      <c r="J104" s="129"/>
      <c r="K104" s="129"/>
      <c r="L104" s="129"/>
      <c r="M104" s="129"/>
      <c r="N104" s="129"/>
      <c r="O104" s="129"/>
      <c r="P104" s="102">
        <f t="shared" si="1"/>
        <v>0</v>
      </c>
    </row>
    <row r="105" spans="6:16" x14ac:dyDescent="0.25">
      <c r="F105" s="128" t="s">
        <v>203</v>
      </c>
      <c r="G105" s="128">
        <v>8</v>
      </c>
      <c r="H105" s="128" t="s">
        <v>98</v>
      </c>
      <c r="I105" s="101">
        <f>VLOOKUP(Table1[[#This Row],[Designation]],Pricetable,HLOOKUP(Amountfrom,Pricetable,2,FALSE),FALSE)*(1+Margin+Uncertainty_factor)</f>
        <v>0</v>
      </c>
      <c r="J105" s="129"/>
      <c r="K105" s="129"/>
      <c r="L105" s="129"/>
      <c r="M105" s="129"/>
      <c r="N105" s="129"/>
      <c r="O105" s="129"/>
      <c r="P105" s="102">
        <f t="shared" si="1"/>
        <v>0</v>
      </c>
    </row>
    <row r="106" spans="6:16" x14ac:dyDescent="0.25">
      <c r="F106" s="128" t="s">
        <v>204</v>
      </c>
      <c r="G106" s="127">
        <v>9</v>
      </c>
      <c r="H106" s="128" t="s">
        <v>98</v>
      </c>
      <c r="I106" s="101">
        <f>VLOOKUP(Table1[[#This Row],[Designation]],Pricetable,HLOOKUP(Amountfrom,Pricetable,2,FALSE),FALSE)*(1+Margin+Uncertainty_factor)</f>
        <v>0</v>
      </c>
      <c r="J106" s="129"/>
      <c r="K106" s="129"/>
      <c r="L106" s="129"/>
      <c r="M106" s="129"/>
      <c r="N106" s="129"/>
      <c r="O106" s="129"/>
      <c r="P106" s="102">
        <f t="shared" si="1"/>
        <v>0</v>
      </c>
    </row>
    <row r="107" spans="6:16" x14ac:dyDescent="0.25">
      <c r="F107" s="128" t="s">
        <v>205</v>
      </c>
      <c r="G107" s="128">
        <v>10</v>
      </c>
      <c r="H107" s="128" t="s">
        <v>98</v>
      </c>
      <c r="I107" s="101">
        <f>VLOOKUP(Table1[[#This Row],[Designation]],Pricetable,HLOOKUP(Amountfrom,Pricetable,2,FALSE),FALSE)*(1+Margin+Uncertainty_factor)</f>
        <v>0</v>
      </c>
      <c r="J107" s="129"/>
      <c r="K107" s="129"/>
      <c r="L107" s="129"/>
      <c r="M107" s="129"/>
      <c r="N107" s="129"/>
      <c r="O107" s="129"/>
      <c r="P107" s="102">
        <f t="shared" si="1"/>
        <v>0</v>
      </c>
    </row>
    <row r="108" spans="6:16" x14ac:dyDescent="0.25">
      <c r="F108" s="128" t="s">
        <v>206</v>
      </c>
      <c r="G108" s="127">
        <v>11</v>
      </c>
      <c r="H108" s="128" t="s">
        <v>98</v>
      </c>
      <c r="I108" s="101">
        <f>VLOOKUP(Table1[[#This Row],[Designation]],Pricetable,HLOOKUP(Amountfrom,Pricetable,2,FALSE),FALSE)*(1+Margin+Uncertainty_factor)</f>
        <v>0</v>
      </c>
      <c r="J108" s="129"/>
      <c r="K108" s="129"/>
      <c r="L108" s="129"/>
      <c r="M108" s="129"/>
      <c r="N108" s="129"/>
      <c r="O108" s="129"/>
      <c r="P108" s="102">
        <f t="shared" si="1"/>
        <v>0</v>
      </c>
    </row>
    <row r="109" spans="6:16" x14ac:dyDescent="0.25">
      <c r="F109" s="128" t="s">
        <v>207</v>
      </c>
      <c r="G109" s="128">
        <v>12</v>
      </c>
      <c r="H109" s="128" t="s">
        <v>98</v>
      </c>
      <c r="I109" s="101">
        <f>VLOOKUP(Table1[[#This Row],[Designation]],Pricetable,HLOOKUP(Amountfrom,Pricetable,2,FALSE),FALSE)*(1+Margin+Uncertainty_factor)</f>
        <v>0</v>
      </c>
      <c r="J109" s="129"/>
      <c r="K109" s="129"/>
      <c r="L109" s="129"/>
      <c r="M109" s="129"/>
      <c r="N109" s="129"/>
      <c r="O109" s="129"/>
      <c r="P109" s="102">
        <f t="shared" si="1"/>
        <v>0</v>
      </c>
    </row>
    <row r="110" spans="6:16" x14ac:dyDescent="0.25">
      <c r="F110" s="128" t="s">
        <v>208</v>
      </c>
      <c r="G110" s="127">
        <v>13</v>
      </c>
      <c r="H110" s="128" t="s">
        <v>98</v>
      </c>
      <c r="I110" s="101">
        <f>VLOOKUP(Table1[[#This Row],[Designation]],Pricetable,HLOOKUP(Amountfrom,Pricetable,2,FALSE),FALSE)*(1+Margin+Uncertainty_factor)</f>
        <v>0</v>
      </c>
      <c r="J110" s="129"/>
      <c r="K110" s="129"/>
      <c r="L110" s="129"/>
      <c r="M110" s="129"/>
      <c r="N110" s="129"/>
      <c r="O110" s="129"/>
      <c r="P110" s="102">
        <f t="shared" si="1"/>
        <v>0</v>
      </c>
    </row>
    <row r="111" spans="6:16" x14ac:dyDescent="0.25">
      <c r="F111" s="128" t="s">
        <v>209</v>
      </c>
      <c r="G111" s="128">
        <v>14</v>
      </c>
      <c r="H111" s="128" t="s">
        <v>98</v>
      </c>
      <c r="I111" s="101">
        <f>VLOOKUP(Table1[[#This Row],[Designation]],Pricetable,HLOOKUP(Amountfrom,Pricetable,2,FALSE),FALSE)*(1+Margin+Uncertainty_factor)</f>
        <v>0</v>
      </c>
      <c r="J111" s="129"/>
      <c r="K111" s="129"/>
      <c r="L111" s="129"/>
      <c r="M111" s="129"/>
      <c r="N111" s="129"/>
      <c r="O111" s="129"/>
      <c r="P111" s="102">
        <f t="shared" si="1"/>
        <v>0</v>
      </c>
    </row>
    <row r="112" spans="6:16" x14ac:dyDescent="0.25">
      <c r="F112" s="128" t="s">
        <v>210</v>
      </c>
      <c r="G112" s="127">
        <v>15</v>
      </c>
      <c r="H112" s="128" t="s">
        <v>98</v>
      </c>
      <c r="I112" s="101">
        <f>VLOOKUP(Table1[[#This Row],[Designation]],Pricetable,HLOOKUP(Amountfrom,Pricetable,2,FALSE),FALSE)*(1+Margin+Uncertainty_factor)</f>
        <v>0</v>
      </c>
      <c r="J112" s="130"/>
      <c r="K112" s="130"/>
      <c r="L112" s="130"/>
      <c r="M112" s="130"/>
      <c r="N112" s="130"/>
      <c r="O112" s="130"/>
      <c r="P112" s="102">
        <f t="shared" si="1"/>
        <v>0</v>
      </c>
    </row>
    <row r="113" spans="6:16" x14ac:dyDescent="0.25">
      <c r="F113" s="127" t="s">
        <v>211</v>
      </c>
      <c r="G113" s="127">
        <v>1</v>
      </c>
      <c r="H113" s="127" t="s">
        <v>98</v>
      </c>
      <c r="I113" s="101">
        <f>VLOOKUP(Table1[[#This Row],[Designation]],Pricetable,HLOOKUP(Amountfrom,Pricetable,2,FALSE),FALSE)*(1+Margin+Uncertainty_factor)</f>
        <v>0</v>
      </c>
      <c r="J113" s="129"/>
      <c r="K113" s="129"/>
      <c r="L113" s="129"/>
      <c r="M113" s="129"/>
      <c r="N113" s="129"/>
      <c r="O113" s="129"/>
      <c r="P113" s="102">
        <f t="shared" si="1"/>
        <v>0</v>
      </c>
    </row>
    <row r="114" spans="6:16" x14ac:dyDescent="0.25">
      <c r="F114" s="128" t="s">
        <v>212</v>
      </c>
      <c r="G114" s="128">
        <v>2</v>
      </c>
      <c r="H114" s="128" t="s">
        <v>98</v>
      </c>
      <c r="I114" s="101">
        <f>VLOOKUP(Table1[[#This Row],[Designation]],Pricetable,HLOOKUP(Amountfrom,Pricetable,2,FALSE),FALSE)*(1+Margin+Uncertainty_factor)</f>
        <v>0</v>
      </c>
      <c r="J114" s="129"/>
      <c r="K114" s="129"/>
      <c r="L114" s="129"/>
      <c r="M114" s="129"/>
      <c r="N114" s="129"/>
      <c r="O114" s="129"/>
      <c r="P114" s="102">
        <f t="shared" si="1"/>
        <v>0</v>
      </c>
    </row>
    <row r="115" spans="6:16" x14ac:dyDescent="0.25">
      <c r="F115" s="128" t="s">
        <v>213</v>
      </c>
      <c r="G115" s="127">
        <v>3</v>
      </c>
      <c r="H115" s="128" t="s">
        <v>98</v>
      </c>
      <c r="I115" s="101">
        <f>VLOOKUP(Table1[[#This Row],[Designation]],Pricetable,HLOOKUP(Amountfrom,Pricetable,2,FALSE),FALSE)*(1+Margin+Uncertainty_factor)</f>
        <v>0</v>
      </c>
      <c r="J115" s="129"/>
      <c r="K115" s="129"/>
      <c r="L115" s="129"/>
      <c r="M115" s="129"/>
      <c r="N115" s="129"/>
      <c r="O115" s="129"/>
      <c r="P115" s="102">
        <f t="shared" si="1"/>
        <v>0</v>
      </c>
    </row>
    <row r="116" spans="6:16" x14ac:dyDescent="0.25">
      <c r="F116" s="128" t="s">
        <v>214</v>
      </c>
      <c r="G116" s="128">
        <v>4</v>
      </c>
      <c r="H116" s="128" t="s">
        <v>98</v>
      </c>
      <c r="I116" s="101">
        <f>VLOOKUP(Table1[[#This Row],[Designation]],Pricetable,HLOOKUP(Amountfrom,Pricetable,2,FALSE),FALSE)*(1+Margin+Uncertainty_factor)</f>
        <v>0</v>
      </c>
      <c r="J116" s="129"/>
      <c r="K116" s="129"/>
      <c r="L116" s="129"/>
      <c r="M116" s="129"/>
      <c r="N116" s="129"/>
      <c r="O116" s="129"/>
      <c r="P116" s="102">
        <f t="shared" si="1"/>
        <v>0</v>
      </c>
    </row>
    <row r="117" spans="6:16" x14ac:dyDescent="0.25">
      <c r="F117" s="128" t="s">
        <v>215</v>
      </c>
      <c r="G117" s="127">
        <v>5</v>
      </c>
      <c r="H117" s="128" t="s">
        <v>98</v>
      </c>
      <c r="I117" s="101">
        <f>VLOOKUP(Table1[[#This Row],[Designation]],Pricetable,HLOOKUP(Amountfrom,Pricetable,2,FALSE),FALSE)*(1+Margin+Uncertainty_factor)</f>
        <v>0</v>
      </c>
      <c r="J117" s="129"/>
      <c r="K117" s="129"/>
      <c r="L117" s="129"/>
      <c r="M117" s="129"/>
      <c r="N117" s="129"/>
      <c r="O117" s="129"/>
      <c r="P117" s="102">
        <f t="shared" si="1"/>
        <v>0</v>
      </c>
    </row>
    <row r="118" spans="6:16" x14ac:dyDescent="0.25">
      <c r="F118" s="128" t="s">
        <v>216</v>
      </c>
      <c r="G118" s="128">
        <v>6</v>
      </c>
      <c r="H118" s="128" t="s">
        <v>98</v>
      </c>
      <c r="I118" s="101">
        <f>VLOOKUP(Table1[[#This Row],[Designation]],Pricetable,HLOOKUP(Amountfrom,Pricetable,2,FALSE),FALSE)*(1+Margin+Uncertainty_factor)</f>
        <v>0</v>
      </c>
      <c r="J118" s="129"/>
      <c r="K118" s="129"/>
      <c r="L118" s="129"/>
      <c r="M118" s="129"/>
      <c r="N118" s="129"/>
      <c r="O118" s="129"/>
      <c r="P118" s="102">
        <f t="shared" si="1"/>
        <v>0</v>
      </c>
    </row>
    <row r="119" spans="6:16" x14ac:dyDescent="0.25">
      <c r="F119" s="128" t="s">
        <v>217</v>
      </c>
      <c r="G119" s="127">
        <v>7</v>
      </c>
      <c r="H119" s="128" t="s">
        <v>98</v>
      </c>
      <c r="I119" s="101">
        <f>VLOOKUP(Table1[[#This Row],[Designation]],Pricetable,HLOOKUP(Amountfrom,Pricetable,2,FALSE),FALSE)*(1+Margin+Uncertainty_factor)</f>
        <v>0</v>
      </c>
      <c r="J119" s="129"/>
      <c r="K119" s="129"/>
      <c r="L119" s="129"/>
      <c r="M119" s="129"/>
      <c r="N119" s="129"/>
      <c r="O119" s="129"/>
      <c r="P119" s="102">
        <f t="shared" si="1"/>
        <v>0</v>
      </c>
    </row>
    <row r="120" spans="6:16" x14ac:dyDescent="0.25">
      <c r="F120" s="128" t="s">
        <v>218</v>
      </c>
      <c r="G120" s="128">
        <v>8</v>
      </c>
      <c r="H120" s="128" t="s">
        <v>98</v>
      </c>
      <c r="I120" s="101">
        <f>VLOOKUP(Table1[[#This Row],[Designation]],Pricetable,HLOOKUP(Amountfrom,Pricetable,2,FALSE),FALSE)*(1+Margin+Uncertainty_factor)</f>
        <v>0</v>
      </c>
      <c r="J120" s="129"/>
      <c r="K120" s="129"/>
      <c r="L120" s="129"/>
      <c r="M120" s="129"/>
      <c r="N120" s="129"/>
      <c r="O120" s="129"/>
      <c r="P120" s="102">
        <f t="shared" si="1"/>
        <v>0</v>
      </c>
    </row>
    <row r="121" spans="6:16" x14ac:dyDescent="0.25">
      <c r="F121" s="128" t="s">
        <v>219</v>
      </c>
      <c r="G121" s="127">
        <v>9</v>
      </c>
      <c r="H121" s="128" t="s">
        <v>98</v>
      </c>
      <c r="I121" s="101">
        <f>VLOOKUP(Table1[[#This Row],[Designation]],Pricetable,HLOOKUP(Amountfrom,Pricetable,2,FALSE),FALSE)*(1+Margin+Uncertainty_factor)</f>
        <v>0</v>
      </c>
      <c r="J121" s="130"/>
      <c r="K121" s="130"/>
      <c r="L121" s="130"/>
      <c r="M121" s="130"/>
      <c r="N121" s="130"/>
      <c r="O121" s="130"/>
      <c r="P121" s="102">
        <f t="shared" si="1"/>
        <v>0</v>
      </c>
    </row>
    <row r="122" spans="6:16" x14ac:dyDescent="0.25">
      <c r="F122" s="127" t="s">
        <v>220</v>
      </c>
      <c r="G122" s="127">
        <v>1</v>
      </c>
      <c r="H122" s="127" t="s">
        <v>98</v>
      </c>
      <c r="I122" s="101">
        <f>VLOOKUP(Table1[[#This Row],[Designation]],Pricetable,HLOOKUP(Amountfrom,Pricetable,2,FALSE),FALSE)*(1+Margin+Uncertainty_factor)</f>
        <v>0</v>
      </c>
      <c r="J122" s="129"/>
      <c r="K122" s="129"/>
      <c r="L122" s="129"/>
      <c r="M122" s="129"/>
      <c r="N122" s="129"/>
      <c r="O122" s="129"/>
      <c r="P122" s="102">
        <f t="shared" si="1"/>
        <v>0</v>
      </c>
    </row>
    <row r="123" spans="6:16" x14ac:dyDescent="0.25">
      <c r="F123" s="128" t="s">
        <v>221</v>
      </c>
      <c r="G123" s="128">
        <v>2</v>
      </c>
      <c r="H123" s="128" t="s">
        <v>98</v>
      </c>
      <c r="I123" s="101">
        <f>VLOOKUP(Table1[[#This Row],[Designation]],Pricetable,HLOOKUP(Amountfrom,Pricetable,2,FALSE),FALSE)*(1+Margin+Uncertainty_factor)</f>
        <v>0</v>
      </c>
      <c r="J123" s="129"/>
      <c r="K123" s="129"/>
      <c r="L123" s="129"/>
      <c r="M123" s="129"/>
      <c r="N123" s="129"/>
      <c r="O123" s="129"/>
      <c r="P123" s="102">
        <f t="shared" si="1"/>
        <v>0</v>
      </c>
    </row>
    <row r="124" spans="6:16" x14ac:dyDescent="0.25">
      <c r="F124" s="128" t="s">
        <v>222</v>
      </c>
      <c r="G124" s="128">
        <v>3</v>
      </c>
      <c r="H124" s="128" t="s">
        <v>98</v>
      </c>
      <c r="I124" s="101">
        <f>VLOOKUP(Table1[[#This Row],[Designation]],Pricetable,HLOOKUP(Amountfrom,Pricetable,2,FALSE),FALSE)*(1+Margin+Uncertainty_factor)</f>
        <v>0</v>
      </c>
      <c r="J124" s="129"/>
      <c r="K124" s="129"/>
      <c r="L124" s="129"/>
      <c r="M124" s="129"/>
      <c r="N124" s="129"/>
      <c r="O124" s="129"/>
      <c r="P124" s="102">
        <f t="shared" si="1"/>
        <v>0</v>
      </c>
    </row>
    <row r="125" spans="6:16" x14ac:dyDescent="0.25">
      <c r="F125" s="128" t="s">
        <v>223</v>
      </c>
      <c r="G125" s="128">
        <v>4</v>
      </c>
      <c r="H125" s="128" t="s">
        <v>98</v>
      </c>
      <c r="I125" s="101">
        <f>VLOOKUP(Table1[[#This Row],[Designation]],Pricetable,HLOOKUP(Amountfrom,Pricetable,2,FALSE),FALSE)*(1+Margin+Uncertainty_factor)</f>
        <v>0</v>
      </c>
      <c r="J125" s="129"/>
      <c r="K125" s="129"/>
      <c r="L125" s="129"/>
      <c r="M125" s="129"/>
      <c r="N125" s="129"/>
      <c r="O125" s="129"/>
      <c r="P125" s="102">
        <f t="shared" si="1"/>
        <v>0</v>
      </c>
    </row>
    <row r="126" spans="6:16" x14ac:dyDescent="0.25">
      <c r="F126" s="128" t="s">
        <v>224</v>
      </c>
      <c r="G126" s="128">
        <v>5</v>
      </c>
      <c r="H126" s="128" t="s">
        <v>98</v>
      </c>
      <c r="I126" s="101">
        <f>VLOOKUP(Table1[[#This Row],[Designation]],Pricetable,HLOOKUP(Amountfrom,Pricetable,2,FALSE),FALSE)*(1+Margin+Uncertainty_factor)</f>
        <v>0</v>
      </c>
      <c r="J126" s="130"/>
      <c r="K126" s="130"/>
      <c r="L126" s="130"/>
      <c r="M126" s="130"/>
      <c r="N126" s="130"/>
      <c r="O126" s="130"/>
      <c r="P126" s="102">
        <f t="shared" si="1"/>
        <v>0</v>
      </c>
    </row>
    <row r="127" spans="6:16" x14ac:dyDescent="0.25">
      <c r="F127" s="127" t="s">
        <v>118</v>
      </c>
      <c r="G127" s="127">
        <v>1</v>
      </c>
      <c r="H127" s="127" t="s">
        <v>98</v>
      </c>
      <c r="I127" s="101">
        <f>VLOOKUP(Table1[[#This Row],[Designation]],Pricetable,HLOOKUP(Amountfrom,Pricetable,2,FALSE),FALSE)*(1+Margin+Uncertainty_factor)</f>
        <v>0</v>
      </c>
      <c r="J127" s="130"/>
      <c r="K127" s="130"/>
      <c r="L127" s="130"/>
      <c r="M127" s="130"/>
      <c r="N127" s="130"/>
      <c r="O127" s="130"/>
      <c r="P127" s="102">
        <f t="shared" si="1"/>
        <v>0</v>
      </c>
    </row>
    <row r="128" spans="6:16" x14ac:dyDescent="0.25">
      <c r="F128" s="127" t="s">
        <v>225</v>
      </c>
      <c r="G128" s="127">
        <v>1</v>
      </c>
      <c r="H128" s="127" t="s">
        <v>98</v>
      </c>
      <c r="I128" s="101">
        <f>VLOOKUP(Table1[[#This Row],[Designation]],Pricetable,HLOOKUP(Amountfrom,Pricetable,2,FALSE),FALSE)*(1+Margin+Uncertainty_factor)</f>
        <v>0</v>
      </c>
      <c r="J128" s="129"/>
      <c r="K128" s="129"/>
      <c r="L128" s="129"/>
      <c r="M128" s="129"/>
      <c r="N128" s="129"/>
      <c r="O128" s="129"/>
      <c r="P128" s="102">
        <f t="shared" si="1"/>
        <v>0</v>
      </c>
    </row>
    <row r="129" spans="6:16" x14ac:dyDescent="0.25">
      <c r="F129" s="128" t="s">
        <v>226</v>
      </c>
      <c r="G129" s="128">
        <v>2</v>
      </c>
      <c r="H129" s="128" t="s">
        <v>98</v>
      </c>
      <c r="I129" s="101">
        <f>VLOOKUP(Table1[[#This Row],[Designation]],Pricetable,HLOOKUP(Amountfrom,Pricetable,2,FALSE),FALSE)*(1+Margin+Uncertainty_factor)</f>
        <v>0</v>
      </c>
      <c r="J129" s="130"/>
      <c r="K129" s="130"/>
      <c r="L129" s="130"/>
      <c r="M129" s="130"/>
      <c r="N129" s="130"/>
      <c r="O129" s="130"/>
      <c r="P129" s="102">
        <f t="shared" si="1"/>
        <v>0</v>
      </c>
    </row>
    <row r="130" spans="6:16" x14ac:dyDescent="0.25">
      <c r="F130" s="127" t="s">
        <v>120</v>
      </c>
      <c r="G130" s="127">
        <v>1</v>
      </c>
      <c r="H130" s="127" t="s">
        <v>98</v>
      </c>
      <c r="I130" s="101">
        <f>VLOOKUP(Table1[[#This Row],[Designation]],Pricetable,HLOOKUP(Amountfrom,Pricetable,2,FALSE),FALSE)*(1+Margin+Uncertainty_factor)</f>
        <v>0</v>
      </c>
      <c r="J130" s="130"/>
      <c r="K130" s="130"/>
      <c r="L130" s="130"/>
      <c r="M130" s="130"/>
      <c r="N130" s="130"/>
      <c r="O130" s="130"/>
      <c r="P130" s="102">
        <f t="shared" si="1"/>
        <v>0</v>
      </c>
    </row>
    <row r="131" spans="6:16" x14ac:dyDescent="0.25">
      <c r="F131" s="127" t="s">
        <v>227</v>
      </c>
      <c r="G131" s="127">
        <v>1</v>
      </c>
      <c r="H131" s="127" t="s">
        <v>10</v>
      </c>
      <c r="I131" s="101">
        <f>VLOOKUP(Table1[[#This Row],[Designation]],Pricetable,HLOOKUP(Amountfrom,Pricetable,2,FALSE),FALSE)*(1+Margin+Uncertainty_factor)</f>
        <v>0</v>
      </c>
      <c r="J131" s="129"/>
      <c r="K131" s="129"/>
      <c r="L131" s="129"/>
      <c r="M131" s="129"/>
      <c r="N131" s="129"/>
      <c r="O131" s="129"/>
      <c r="P131" s="102">
        <f t="shared" si="1"/>
        <v>0</v>
      </c>
    </row>
    <row r="132" spans="6:16" x14ac:dyDescent="0.25">
      <c r="F132" s="128" t="s">
        <v>228</v>
      </c>
      <c r="G132" s="128">
        <v>2</v>
      </c>
      <c r="H132" s="128" t="s">
        <v>10</v>
      </c>
      <c r="I132" s="101">
        <f>VLOOKUP(Table1[[#This Row],[Designation]],Pricetable,HLOOKUP(Amountfrom,Pricetable,2,FALSE),FALSE)*(1+Margin+Uncertainty_factor)</f>
        <v>0</v>
      </c>
      <c r="J132" s="129"/>
      <c r="K132" s="129"/>
      <c r="L132" s="129"/>
      <c r="M132" s="129"/>
      <c r="N132" s="129"/>
      <c r="O132" s="129"/>
      <c r="P132" s="102">
        <f t="shared" ref="P132:P158" si="2">J132*Changerate</f>
        <v>0</v>
      </c>
    </row>
    <row r="133" spans="6:16" x14ac:dyDescent="0.25">
      <c r="F133" s="128" t="s">
        <v>229</v>
      </c>
      <c r="G133" s="128">
        <v>3</v>
      </c>
      <c r="H133" s="128" t="s">
        <v>10</v>
      </c>
      <c r="I133" s="101">
        <f>VLOOKUP(Table1[[#This Row],[Designation]],Pricetable,HLOOKUP(Amountfrom,Pricetable,2,FALSE),FALSE)*(1+Margin+Uncertainty_factor)</f>
        <v>0</v>
      </c>
      <c r="J133" s="129"/>
      <c r="K133" s="129"/>
      <c r="L133" s="129"/>
      <c r="M133" s="129"/>
      <c r="N133" s="129"/>
      <c r="O133" s="129"/>
      <c r="P133" s="102">
        <f t="shared" si="2"/>
        <v>0</v>
      </c>
    </row>
    <row r="134" spans="6:16" x14ac:dyDescent="0.25">
      <c r="F134" s="128" t="s">
        <v>230</v>
      </c>
      <c r="G134" s="128">
        <v>4</v>
      </c>
      <c r="H134" s="128" t="s">
        <v>10</v>
      </c>
      <c r="I134" s="101">
        <f>VLOOKUP(Table1[[#This Row],[Designation]],Pricetable,HLOOKUP(Amountfrom,Pricetable,2,FALSE),FALSE)*(1+Margin+Uncertainty_factor)</f>
        <v>0</v>
      </c>
      <c r="J134" s="129"/>
      <c r="K134" s="129"/>
      <c r="L134" s="129"/>
      <c r="M134" s="129"/>
      <c r="N134" s="129"/>
      <c r="O134" s="129"/>
      <c r="P134" s="102">
        <f t="shared" si="2"/>
        <v>0</v>
      </c>
    </row>
    <row r="135" spans="6:16" x14ac:dyDescent="0.25">
      <c r="F135" s="128" t="s">
        <v>231</v>
      </c>
      <c r="G135" s="128">
        <v>5</v>
      </c>
      <c r="H135" s="128" t="s">
        <v>17</v>
      </c>
      <c r="I135" s="101">
        <f>VLOOKUP(Table1[[#This Row],[Designation]],Pricetable,HLOOKUP(Amountfrom,Pricetable,2,FALSE),FALSE)*(1+Margin+Uncertainty_factor)</f>
        <v>0</v>
      </c>
      <c r="J135" s="129"/>
      <c r="K135" s="129"/>
      <c r="L135" s="129"/>
      <c r="M135" s="129"/>
      <c r="N135" s="129"/>
      <c r="O135" s="129"/>
      <c r="P135" s="102">
        <f t="shared" si="2"/>
        <v>0</v>
      </c>
    </row>
    <row r="136" spans="6:16" x14ac:dyDescent="0.25">
      <c r="F136" s="128" t="s">
        <v>232</v>
      </c>
      <c r="G136" s="128">
        <v>6</v>
      </c>
      <c r="H136" s="128" t="s">
        <v>17</v>
      </c>
      <c r="I136" s="101">
        <f>VLOOKUP(Table1[[#This Row],[Designation]],Pricetable,HLOOKUP(Amountfrom,Pricetable,2,FALSE),FALSE)*(1+Margin+Uncertainty_factor)</f>
        <v>0</v>
      </c>
      <c r="J136" s="129"/>
      <c r="K136" s="129"/>
      <c r="L136" s="129"/>
      <c r="M136" s="129"/>
      <c r="N136" s="129"/>
      <c r="O136" s="129"/>
      <c r="P136" s="102">
        <f t="shared" si="2"/>
        <v>0</v>
      </c>
    </row>
    <row r="137" spans="6:16" x14ac:dyDescent="0.25">
      <c r="F137" s="128" t="s">
        <v>233</v>
      </c>
      <c r="G137" s="128">
        <v>7</v>
      </c>
      <c r="H137" s="128" t="s">
        <v>17</v>
      </c>
      <c r="I137" s="101">
        <f>VLOOKUP(Table1[[#This Row],[Designation]],Pricetable,HLOOKUP(Amountfrom,Pricetable,2,FALSE),FALSE)*(1+Margin+Uncertainty_factor)</f>
        <v>0</v>
      </c>
      <c r="J137" s="129"/>
      <c r="K137" s="129"/>
      <c r="L137" s="129"/>
      <c r="M137" s="129"/>
      <c r="N137" s="129"/>
      <c r="O137" s="129"/>
      <c r="P137" s="102">
        <f t="shared" si="2"/>
        <v>0</v>
      </c>
    </row>
    <row r="138" spans="6:16" x14ac:dyDescent="0.25">
      <c r="F138" s="128" t="s">
        <v>234</v>
      </c>
      <c r="G138" s="128">
        <v>8</v>
      </c>
      <c r="H138" s="128" t="s">
        <v>10</v>
      </c>
      <c r="I138" s="101">
        <f>VLOOKUP(Table1[[#This Row],[Designation]],Pricetable,HLOOKUP(Amountfrom,Pricetable,2,FALSE),FALSE)*(1+Margin+Uncertainty_factor)</f>
        <v>0</v>
      </c>
      <c r="J138" s="129"/>
      <c r="K138" s="129"/>
      <c r="L138" s="129"/>
      <c r="M138" s="129"/>
      <c r="N138" s="129"/>
      <c r="O138" s="129"/>
      <c r="P138" s="102">
        <f t="shared" si="2"/>
        <v>0</v>
      </c>
    </row>
    <row r="139" spans="6:16" x14ac:dyDescent="0.25">
      <c r="F139" s="128" t="s">
        <v>235</v>
      </c>
      <c r="G139" s="128">
        <v>9</v>
      </c>
      <c r="H139" s="128" t="s">
        <v>10</v>
      </c>
      <c r="I139" s="101">
        <f>VLOOKUP(Table1[[#This Row],[Designation]],Pricetable,HLOOKUP(Amountfrom,Pricetable,2,FALSE),FALSE)*(1+Margin+Uncertainty_factor)</f>
        <v>0</v>
      </c>
      <c r="J139" s="129"/>
      <c r="K139" s="129"/>
      <c r="L139" s="129"/>
      <c r="M139" s="129"/>
      <c r="N139" s="129"/>
      <c r="O139" s="129"/>
      <c r="P139" s="102">
        <f t="shared" si="2"/>
        <v>0</v>
      </c>
    </row>
    <row r="140" spans="6:16" x14ac:dyDescent="0.25">
      <c r="F140" s="128" t="s">
        <v>236</v>
      </c>
      <c r="G140" s="128">
        <v>10</v>
      </c>
      <c r="H140" s="128" t="s">
        <v>10</v>
      </c>
      <c r="I140" s="101">
        <f>VLOOKUP(Table1[[#This Row],[Designation]],Pricetable,HLOOKUP(Amountfrom,Pricetable,2,FALSE),FALSE)*(1+Margin+Uncertainty_factor)</f>
        <v>0</v>
      </c>
      <c r="J140" s="129"/>
      <c r="K140" s="129"/>
      <c r="L140" s="129"/>
      <c r="M140" s="129"/>
      <c r="N140" s="129"/>
      <c r="O140" s="129"/>
      <c r="P140" s="102">
        <f t="shared" si="2"/>
        <v>0</v>
      </c>
    </row>
    <row r="141" spans="6:16" x14ac:dyDescent="0.25">
      <c r="F141" s="128" t="s">
        <v>237</v>
      </c>
      <c r="G141" s="128">
        <v>11</v>
      </c>
      <c r="H141" s="128" t="s">
        <v>10</v>
      </c>
      <c r="I141" s="101">
        <f>VLOOKUP(Table1[[#This Row],[Designation]],Pricetable,HLOOKUP(Amountfrom,Pricetable,2,FALSE),FALSE)*(1+Margin+Uncertainty_factor)</f>
        <v>0</v>
      </c>
      <c r="J141" s="129"/>
      <c r="K141" s="129"/>
      <c r="L141" s="129"/>
      <c r="M141" s="129"/>
      <c r="N141" s="129"/>
      <c r="O141" s="129"/>
      <c r="P141" s="102">
        <f t="shared" si="2"/>
        <v>0</v>
      </c>
    </row>
    <row r="142" spans="6:16" x14ac:dyDescent="0.25">
      <c r="F142" s="128" t="s">
        <v>238</v>
      </c>
      <c r="G142" s="128">
        <v>12</v>
      </c>
      <c r="H142" s="128" t="s">
        <v>10</v>
      </c>
      <c r="I142" s="101">
        <f>VLOOKUP(Table1[[#This Row],[Designation]],Pricetable,HLOOKUP(Amountfrom,Pricetable,2,FALSE),FALSE)*(1+Margin+Uncertainty_factor)</f>
        <v>0</v>
      </c>
      <c r="J142" s="129"/>
      <c r="K142" s="129"/>
      <c r="L142" s="129"/>
      <c r="M142" s="129"/>
      <c r="N142" s="129"/>
      <c r="O142" s="129"/>
      <c r="P142" s="102">
        <f t="shared" si="2"/>
        <v>0</v>
      </c>
    </row>
    <row r="143" spans="6:16" x14ac:dyDescent="0.25">
      <c r="F143" s="128" t="s">
        <v>239</v>
      </c>
      <c r="G143" s="128">
        <v>13</v>
      </c>
      <c r="H143" s="128" t="s">
        <v>10</v>
      </c>
      <c r="I143" s="101">
        <f>VLOOKUP(Table1[[#This Row],[Designation]],Pricetable,HLOOKUP(Amountfrom,Pricetable,2,FALSE),FALSE)*(1+Margin+Uncertainty_factor)</f>
        <v>0</v>
      </c>
      <c r="J143" s="129"/>
      <c r="K143" s="129"/>
      <c r="L143" s="129"/>
      <c r="M143" s="129"/>
      <c r="N143" s="129"/>
      <c r="O143" s="129"/>
      <c r="P143" s="102">
        <f t="shared" si="2"/>
        <v>0</v>
      </c>
    </row>
    <row r="144" spans="6:16" x14ac:dyDescent="0.25">
      <c r="F144" s="128" t="s">
        <v>240</v>
      </c>
      <c r="G144" s="128">
        <v>14</v>
      </c>
      <c r="H144" s="128" t="s">
        <v>10</v>
      </c>
      <c r="I144" s="101">
        <f>VLOOKUP(Table1[[#This Row],[Designation]],Pricetable,HLOOKUP(Amountfrom,Pricetable,2,FALSE),FALSE)*(1+Margin+Uncertainty_factor)</f>
        <v>0</v>
      </c>
      <c r="J144" s="130"/>
      <c r="K144" s="130"/>
      <c r="L144" s="130"/>
      <c r="M144" s="130"/>
      <c r="N144" s="130"/>
      <c r="O144" s="130"/>
      <c r="P144" s="102">
        <f t="shared" si="2"/>
        <v>0</v>
      </c>
    </row>
    <row r="145" spans="6:16" x14ac:dyDescent="0.25">
      <c r="F145" s="127" t="s">
        <v>241</v>
      </c>
      <c r="G145" s="127">
        <v>1</v>
      </c>
      <c r="H145" s="127" t="s">
        <v>10</v>
      </c>
      <c r="I145" s="101">
        <f>VLOOKUP(Table1[[#This Row],[Designation]],Pricetable,HLOOKUP(Amountfrom,Pricetable,2,FALSE),FALSE)*(1+Margin+Uncertainty_factor)</f>
        <v>0</v>
      </c>
      <c r="J145" s="129"/>
      <c r="K145" s="129"/>
      <c r="L145" s="129"/>
      <c r="M145" s="129"/>
      <c r="N145" s="129"/>
      <c r="O145" s="129"/>
      <c r="P145" s="102">
        <f t="shared" si="2"/>
        <v>0</v>
      </c>
    </row>
    <row r="146" spans="6:16" x14ac:dyDescent="0.25">
      <c r="F146" s="128" t="s">
        <v>242</v>
      </c>
      <c r="G146" s="128">
        <v>2</v>
      </c>
      <c r="H146" s="128" t="s">
        <v>10</v>
      </c>
      <c r="I146" s="101">
        <f>VLOOKUP(Table1[[#This Row],[Designation]],Pricetable,HLOOKUP(Amountfrom,Pricetable,2,FALSE),FALSE)*(1+Margin+Uncertainty_factor)</f>
        <v>0</v>
      </c>
      <c r="J146" s="129"/>
      <c r="K146" s="129"/>
      <c r="L146" s="129"/>
      <c r="M146" s="129"/>
      <c r="N146" s="129"/>
      <c r="O146" s="129"/>
      <c r="P146" s="102">
        <f t="shared" si="2"/>
        <v>0</v>
      </c>
    </row>
    <row r="147" spans="6:16" x14ac:dyDescent="0.25">
      <c r="F147" s="128" t="s">
        <v>243</v>
      </c>
      <c r="G147" s="128">
        <v>3</v>
      </c>
      <c r="H147" s="128" t="s">
        <v>10</v>
      </c>
      <c r="I147" s="101">
        <f>VLOOKUP(Table1[[#This Row],[Designation]],Pricetable,HLOOKUP(Amountfrom,Pricetable,2,FALSE),FALSE)*(1+Margin+Uncertainty_factor)</f>
        <v>0</v>
      </c>
      <c r="J147" s="129"/>
      <c r="K147" s="129"/>
      <c r="L147" s="129"/>
      <c r="M147" s="129"/>
      <c r="N147" s="129"/>
      <c r="O147" s="129"/>
      <c r="P147" s="102">
        <f t="shared" si="2"/>
        <v>0</v>
      </c>
    </row>
    <row r="148" spans="6:16" x14ac:dyDescent="0.25">
      <c r="F148" s="128" t="s">
        <v>244</v>
      </c>
      <c r="G148" s="128">
        <v>4</v>
      </c>
      <c r="H148" s="128" t="s">
        <v>10</v>
      </c>
      <c r="I148" s="101">
        <f>VLOOKUP(Table1[[#This Row],[Designation]],Pricetable,HLOOKUP(Amountfrom,Pricetable,2,FALSE),FALSE)*(1+Margin+Uncertainty_factor)</f>
        <v>0</v>
      </c>
      <c r="J148" s="129"/>
      <c r="K148" s="129"/>
      <c r="L148" s="129"/>
      <c r="M148" s="129"/>
      <c r="N148" s="129"/>
      <c r="O148" s="129"/>
      <c r="P148" s="102">
        <f t="shared" si="2"/>
        <v>0</v>
      </c>
    </row>
    <row r="149" spans="6:16" x14ac:dyDescent="0.25">
      <c r="F149" s="128" t="s">
        <v>245</v>
      </c>
      <c r="G149" s="128">
        <v>5</v>
      </c>
      <c r="H149" s="128" t="s">
        <v>10</v>
      </c>
      <c r="I149" s="101">
        <f>VLOOKUP(Table1[[#This Row],[Designation]],Pricetable,HLOOKUP(Amountfrom,Pricetable,2,FALSE),FALSE)*(1+Margin+Uncertainty_factor)</f>
        <v>0</v>
      </c>
      <c r="J149" s="129"/>
      <c r="K149" s="129"/>
      <c r="L149" s="129"/>
      <c r="M149" s="129"/>
      <c r="N149" s="129"/>
      <c r="O149" s="129"/>
      <c r="P149" s="102">
        <f t="shared" si="2"/>
        <v>0</v>
      </c>
    </row>
    <row r="150" spans="6:16" x14ac:dyDescent="0.25">
      <c r="F150" s="128" t="s">
        <v>246</v>
      </c>
      <c r="G150" s="128">
        <v>6</v>
      </c>
      <c r="H150" s="128" t="s">
        <v>10</v>
      </c>
      <c r="I150" s="101">
        <f>VLOOKUP(Table1[[#This Row],[Designation]],Pricetable,HLOOKUP(Amountfrom,Pricetable,2,FALSE),FALSE)*(1+Margin+Uncertainty_factor)</f>
        <v>0</v>
      </c>
      <c r="J150" s="129"/>
      <c r="K150" s="129"/>
      <c r="L150" s="129"/>
      <c r="M150" s="129"/>
      <c r="N150" s="129"/>
      <c r="O150" s="129"/>
      <c r="P150" s="102">
        <f t="shared" si="2"/>
        <v>0</v>
      </c>
    </row>
    <row r="151" spans="6:16" x14ac:dyDescent="0.25">
      <c r="F151" s="128" t="s">
        <v>247</v>
      </c>
      <c r="G151" s="128">
        <v>7</v>
      </c>
      <c r="H151" s="128" t="s">
        <v>10</v>
      </c>
      <c r="I151" s="101">
        <f>VLOOKUP(Table1[[#This Row],[Designation]],Pricetable,HLOOKUP(Amountfrom,Pricetable,2,FALSE),FALSE)*(1+Margin+Uncertainty_factor)</f>
        <v>0</v>
      </c>
      <c r="J151" s="129"/>
      <c r="K151" s="129"/>
      <c r="L151" s="129"/>
      <c r="M151" s="129"/>
      <c r="N151" s="129"/>
      <c r="O151" s="129"/>
      <c r="P151" s="102">
        <f t="shared" si="2"/>
        <v>0</v>
      </c>
    </row>
    <row r="152" spans="6:16" x14ac:dyDescent="0.25">
      <c r="F152" s="128" t="s">
        <v>248</v>
      </c>
      <c r="G152" s="128">
        <v>8</v>
      </c>
      <c r="H152" s="128" t="s">
        <v>10</v>
      </c>
      <c r="I152" s="101">
        <f>VLOOKUP(Table1[[#This Row],[Designation]],Pricetable,HLOOKUP(Amountfrom,Pricetable,2,FALSE),FALSE)*(1+Margin+Uncertainty_factor)</f>
        <v>0</v>
      </c>
      <c r="J152" s="129"/>
      <c r="K152" s="129"/>
      <c r="L152" s="129"/>
      <c r="M152" s="129"/>
      <c r="N152" s="129"/>
      <c r="O152" s="129"/>
      <c r="P152" s="102">
        <f t="shared" si="2"/>
        <v>0</v>
      </c>
    </row>
    <row r="153" spans="6:16" x14ac:dyDescent="0.25">
      <c r="F153" s="128" t="s">
        <v>249</v>
      </c>
      <c r="G153" s="128">
        <v>9</v>
      </c>
      <c r="H153" s="128" t="s">
        <v>10</v>
      </c>
      <c r="I153" s="101">
        <f>VLOOKUP(Table1[[#This Row],[Designation]],Pricetable,HLOOKUP(Amountfrom,Pricetable,2,FALSE),FALSE)*(1+Margin+Uncertainty_factor)</f>
        <v>0</v>
      </c>
      <c r="J153" s="129"/>
      <c r="K153" s="129"/>
      <c r="L153" s="129"/>
      <c r="M153" s="129"/>
      <c r="N153" s="129"/>
      <c r="O153" s="129"/>
      <c r="P153" s="102">
        <f t="shared" si="2"/>
        <v>0</v>
      </c>
    </row>
    <row r="154" spans="6:16" x14ac:dyDescent="0.25">
      <c r="F154" s="128" t="s">
        <v>250</v>
      </c>
      <c r="G154" s="128">
        <v>10</v>
      </c>
      <c r="H154" s="128" t="s">
        <v>10</v>
      </c>
      <c r="I154" s="101">
        <f>VLOOKUP(Table1[[#This Row],[Designation]],Pricetable,HLOOKUP(Amountfrom,Pricetable,2,FALSE),FALSE)*(1+Margin+Uncertainty_factor)</f>
        <v>0</v>
      </c>
      <c r="J154" s="129"/>
      <c r="K154" s="129"/>
      <c r="L154" s="129"/>
      <c r="M154" s="129"/>
      <c r="N154" s="129"/>
      <c r="O154" s="129"/>
      <c r="P154" s="102">
        <f t="shared" si="2"/>
        <v>0</v>
      </c>
    </row>
    <row r="155" spans="6:16" x14ac:dyDescent="0.25">
      <c r="F155" s="128" t="s">
        <v>251</v>
      </c>
      <c r="G155" s="128">
        <v>11</v>
      </c>
      <c r="H155" s="128" t="s">
        <v>10</v>
      </c>
      <c r="I155" s="101">
        <f>VLOOKUP(Table1[[#This Row],[Designation]],Pricetable,HLOOKUP(Amountfrom,Pricetable,2,FALSE),FALSE)*(1+Margin+Uncertainty_factor)</f>
        <v>0</v>
      </c>
      <c r="J155" s="130"/>
      <c r="K155" s="130"/>
      <c r="L155" s="130"/>
      <c r="M155" s="130"/>
      <c r="N155" s="130"/>
      <c r="O155" s="130"/>
      <c r="P155" s="102">
        <f t="shared" si="2"/>
        <v>0</v>
      </c>
    </row>
    <row r="156" spans="6:16" x14ac:dyDescent="0.25">
      <c r="F156" s="127" t="s">
        <v>252</v>
      </c>
      <c r="G156" s="127">
        <v>1</v>
      </c>
      <c r="H156" s="127" t="s">
        <v>97</v>
      </c>
      <c r="I156" s="101">
        <f>VLOOKUP(Table1[[#This Row],[Designation]],Pricetable,HLOOKUP(Amountfrom,Pricetable,2,FALSE),FALSE)*(1+Margin+Uncertainty_factor)</f>
        <v>0</v>
      </c>
      <c r="J156" s="129"/>
      <c r="K156" s="129"/>
      <c r="L156" s="129"/>
      <c r="M156" s="129"/>
      <c r="N156" s="129"/>
      <c r="O156" s="129"/>
      <c r="P156" s="102">
        <f t="shared" si="2"/>
        <v>0</v>
      </c>
    </row>
    <row r="157" spans="6:16" x14ac:dyDescent="0.25">
      <c r="F157" s="128" t="s">
        <v>253</v>
      </c>
      <c r="G157" s="128">
        <v>2</v>
      </c>
      <c r="H157" s="128" t="s">
        <v>254</v>
      </c>
      <c r="I157" s="101">
        <f>VLOOKUP(Table1[[#This Row],[Designation]],Pricetable,HLOOKUP(Amountfrom,Pricetable,2,FALSE),FALSE)*(1+Margin+Uncertainty_factor)</f>
        <v>0</v>
      </c>
      <c r="J157" s="130"/>
      <c r="K157" s="130"/>
      <c r="L157" s="130"/>
      <c r="M157" s="130"/>
      <c r="N157" s="130"/>
      <c r="O157" s="130"/>
      <c r="P157" s="102">
        <f t="shared" si="2"/>
        <v>0</v>
      </c>
    </row>
    <row r="158" spans="6:16" x14ac:dyDescent="0.25">
      <c r="F158" s="127" t="s">
        <v>123</v>
      </c>
      <c r="G158" s="127">
        <v>1</v>
      </c>
      <c r="H158" s="127" t="s">
        <v>10</v>
      </c>
      <c r="I158" s="101">
        <f>VLOOKUP(Table1[[#This Row],[Designation]],Pricetable,HLOOKUP(Amountfrom,Pricetable,2,FALSE),FALSE)*(1+Margin+Uncertainty_factor)</f>
        <v>0</v>
      </c>
      <c r="J158" s="130"/>
      <c r="K158" s="130"/>
      <c r="L158" s="130"/>
      <c r="M158" s="130"/>
      <c r="N158" s="130"/>
      <c r="O158" s="130"/>
      <c r="P158" s="102">
        <f t="shared" si="2"/>
        <v>0</v>
      </c>
    </row>
  </sheetData>
  <mergeCells count="5">
    <mergeCell ref="B3:C3"/>
    <mergeCell ref="B2:C2"/>
    <mergeCell ref="B6:C6"/>
    <mergeCell ref="B5:C5"/>
    <mergeCell ref="B4:C4"/>
  </mergeCells>
  <dataValidations count="3">
    <dataValidation type="list" allowBlank="1" showInputMessage="1" showErrorMessage="1" sqref="D3" xr:uid="{FECE5A2C-BB81-432D-B801-C83617334D95}">
      <formula1>Currency</formula1>
    </dataValidation>
    <dataValidation type="list" allowBlank="1" showInputMessage="1" showErrorMessage="1" sqref="D2" xr:uid="{D67E7EAC-E27E-46A2-91CF-2CC1BC328D84}">
      <formula1>Amount</formula1>
    </dataValidation>
    <dataValidation type="list" allowBlank="1" showInputMessage="1" showErrorMessage="1" sqref="H3:H158" xr:uid="{09C592A5-52F5-45E3-B36F-C82D9AB0AA85}">
      <formula1>Unit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859E5-3B6A-4C47-9F0B-B0ADD8E4F1DE}">
  <sheetPr codeName="Sheet1">
    <tabColor rgb="FF002060"/>
  </sheetPr>
  <dimension ref="A1:V179"/>
  <sheetViews>
    <sheetView tabSelected="1" zoomScaleNormal="100" zoomScaleSheetLayoutView="115" workbookViewId="0">
      <pane ySplit="5" topLeftCell="A6" activePane="bottomLeft" state="frozen"/>
      <selection pane="bottomLeft" activeCell="G7" sqref="G7:Q7"/>
    </sheetView>
  </sheetViews>
  <sheetFormatPr defaultRowHeight="15" x14ac:dyDescent="0.25"/>
  <cols>
    <col min="1" max="2" width="2.7109375" style="2" customWidth="1"/>
    <col min="3" max="6" width="4.7109375" style="2" customWidth="1"/>
    <col min="7" max="7" width="50.7109375" style="2" customWidth="1"/>
    <col min="8" max="9" width="15.7109375" style="2" customWidth="1"/>
    <col min="10" max="12" width="11.140625" style="2" customWidth="1"/>
    <col min="13" max="17" width="12.140625" style="2" customWidth="1"/>
    <col min="18" max="19" width="2.7109375" style="2" customWidth="1"/>
    <col min="20" max="16384" width="9.140625" style="2"/>
  </cols>
  <sheetData>
    <row r="1" spans="1:22" ht="15" customHeight="1" thickBot="1" x14ac:dyDescent="0.3">
      <c r="A1" s="191" t="s">
        <v>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U1" s="2" t="s">
        <v>255</v>
      </c>
      <c r="V1" s="2" t="s">
        <v>255</v>
      </c>
    </row>
    <row r="2" spans="1:22" ht="60" customHeight="1" x14ac:dyDescent="0.25">
      <c r="A2" s="191"/>
      <c r="B2" s="3"/>
      <c r="C2" s="203"/>
      <c r="D2" s="204"/>
      <c r="E2" s="204"/>
      <c r="F2" s="204"/>
      <c r="G2" s="204"/>
      <c r="H2" s="204"/>
      <c r="I2" s="204"/>
      <c r="J2" s="198"/>
      <c r="K2" s="199"/>
      <c r="L2" s="199"/>
      <c r="M2" s="199"/>
      <c r="N2" s="199"/>
      <c r="O2" s="199"/>
      <c r="P2" s="199"/>
      <c r="Q2" s="200"/>
      <c r="R2" s="3"/>
    </row>
    <row r="3" spans="1:22" ht="20.100000000000001" customHeight="1" x14ac:dyDescent="0.25">
      <c r="A3" s="191"/>
      <c r="B3" s="3"/>
      <c r="C3" s="194" t="s">
        <v>0</v>
      </c>
      <c r="D3" s="195"/>
      <c r="E3" s="195"/>
      <c r="F3" s="195"/>
      <c r="G3" s="192" t="s">
        <v>1</v>
      </c>
      <c r="H3" s="52" t="s">
        <v>2</v>
      </c>
      <c r="I3" s="201" t="s">
        <v>28</v>
      </c>
      <c r="J3" s="201"/>
      <c r="K3" s="52" t="s">
        <v>3</v>
      </c>
      <c r="L3" s="52" t="s">
        <v>4</v>
      </c>
      <c r="M3" s="52" t="s">
        <v>5</v>
      </c>
      <c r="N3" s="52" t="s">
        <v>6</v>
      </c>
      <c r="O3" s="52" t="s">
        <v>7</v>
      </c>
      <c r="P3" s="52" t="s">
        <v>5</v>
      </c>
      <c r="Q3" s="55" t="s">
        <v>6</v>
      </c>
      <c r="R3" s="3"/>
    </row>
    <row r="4" spans="1:22" ht="20.100000000000001" customHeight="1" thickBot="1" x14ac:dyDescent="0.3">
      <c r="A4" s="191"/>
      <c r="B4" s="3"/>
      <c r="C4" s="196"/>
      <c r="D4" s="197"/>
      <c r="E4" s="197"/>
      <c r="F4" s="197"/>
      <c r="G4" s="193"/>
      <c r="H4" s="141">
        <v>0</v>
      </c>
      <c r="I4" s="202" t="s">
        <v>29</v>
      </c>
      <c r="J4" s="202"/>
      <c r="K4" s="141" t="s">
        <v>8</v>
      </c>
      <c r="L4" s="141" t="s">
        <v>8</v>
      </c>
      <c r="M4" s="141">
        <v>1</v>
      </c>
      <c r="N4" s="141">
        <v>2</v>
      </c>
      <c r="O4" s="142">
        <v>45408</v>
      </c>
      <c r="P4" s="143">
        <v>1</v>
      </c>
      <c r="Q4" s="144">
        <v>2</v>
      </c>
      <c r="R4" s="3"/>
    </row>
    <row r="5" spans="1:22" ht="80.099999999999994" customHeight="1" thickBot="1" x14ac:dyDescent="0.3">
      <c r="A5" s="191"/>
      <c r="B5" s="3"/>
      <c r="C5" s="145" t="s">
        <v>30</v>
      </c>
      <c r="D5" s="146" t="s">
        <v>24</v>
      </c>
      <c r="E5" s="147" t="s">
        <v>25</v>
      </c>
      <c r="F5" s="148" t="s">
        <v>26</v>
      </c>
      <c r="G5" s="149" t="s">
        <v>55</v>
      </c>
      <c r="H5" s="149" t="s">
        <v>20</v>
      </c>
      <c r="I5" s="149" t="s">
        <v>29</v>
      </c>
      <c r="J5" s="149" t="s">
        <v>9</v>
      </c>
      <c r="K5" s="149" t="s">
        <v>10</v>
      </c>
      <c r="L5" s="149" t="s">
        <v>11</v>
      </c>
      <c r="M5" s="150" t="s">
        <v>12</v>
      </c>
      <c r="N5" s="150" t="s">
        <v>13</v>
      </c>
      <c r="O5" s="151" t="s">
        <v>14</v>
      </c>
      <c r="P5" s="152" t="s">
        <v>74</v>
      </c>
      <c r="Q5" s="151" t="s">
        <v>73</v>
      </c>
      <c r="R5" s="3"/>
    </row>
    <row r="6" spans="1:22" ht="15" hidden="1" customHeight="1" x14ac:dyDescent="0.25">
      <c r="A6" s="7"/>
      <c r="B6" s="3"/>
      <c r="C6" s="57"/>
      <c r="D6" s="54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6"/>
      <c r="R6" s="3" t="s">
        <v>261</v>
      </c>
    </row>
    <row r="7" spans="1:22" ht="30" customHeight="1" x14ac:dyDescent="0.2">
      <c r="A7" s="166"/>
      <c r="B7" s="43" t="s">
        <v>101</v>
      </c>
      <c r="C7" s="27">
        <v>0</v>
      </c>
      <c r="D7" s="29">
        <v>1</v>
      </c>
      <c r="E7" s="24">
        <v>0</v>
      </c>
      <c r="F7" s="25">
        <v>0</v>
      </c>
      <c r="G7" s="189" t="str">
        <f>VLOOKUP(D7,Package_table,2,FALSE)</f>
        <v>Earthworks</v>
      </c>
      <c r="H7" s="189"/>
      <c r="I7" s="189"/>
      <c r="J7" s="189"/>
      <c r="K7" s="189"/>
      <c r="L7" s="189"/>
      <c r="M7" s="189"/>
      <c r="N7" s="189"/>
      <c r="O7" s="189"/>
      <c r="P7" s="189"/>
      <c r="Q7" s="190"/>
      <c r="R7" s="44" t="s">
        <v>32</v>
      </c>
    </row>
    <row r="8" spans="1:22" ht="15" customHeight="1" x14ac:dyDescent="0.25">
      <c r="A8" s="166"/>
      <c r="B8" s="42" t="s">
        <v>41</v>
      </c>
      <c r="C8" s="30" t="e">
        <f>VLOOKUP(H8,Location_table2,3,FALSE)</f>
        <v>#N/A</v>
      </c>
      <c r="D8" s="31">
        <f>VLOOKUP(I8,Package_table2,3,FALSE)</f>
        <v>1</v>
      </c>
      <c r="E8" s="31">
        <v>1</v>
      </c>
      <c r="F8" s="61">
        <v>0</v>
      </c>
      <c r="G8" s="32" t="s">
        <v>124</v>
      </c>
      <c r="H8" s="33" t="s">
        <v>70</v>
      </c>
      <c r="I8" s="33" t="s">
        <v>69</v>
      </c>
      <c r="J8" s="33" t="s">
        <v>97</v>
      </c>
      <c r="K8" s="33"/>
      <c r="L8" s="33"/>
      <c r="M8" s="33"/>
      <c r="N8" s="33"/>
      <c r="O8" s="58">
        <f>PRODUCT(K8:N8)</f>
        <v>0</v>
      </c>
      <c r="P8" s="62" t="e">
        <f>VLOOKUP(G8,Pricing,3,FALSE)</f>
        <v>#N/A</v>
      </c>
      <c r="Q8" s="34" t="e">
        <f>PRODUCT(O8:P8)</f>
        <v>#N/A</v>
      </c>
      <c r="R8" s="41" t="e">
        <f>IF(OR(VLOOKUP(H8,Location_table2,2,FALSE)="OFF",VLOOKUP(I8,Package_table2,2,FALSE)="OFF"),"H","")</f>
        <v>#N/A</v>
      </c>
    </row>
    <row r="9" spans="1:22" ht="15" customHeight="1" thickBot="1" x14ac:dyDescent="0.3">
      <c r="A9" s="166"/>
      <c r="B9" s="42" t="s">
        <v>41</v>
      </c>
      <c r="C9" s="30" t="e">
        <f>VLOOKUP(H9,Location_table2,3,FALSE)</f>
        <v>#N/A</v>
      </c>
      <c r="D9" s="31">
        <f>VLOOKUP(I9,Package_table2,3,FALSE)</f>
        <v>1</v>
      </c>
      <c r="E9" s="31">
        <v>2</v>
      </c>
      <c r="F9" s="61">
        <v>0</v>
      </c>
      <c r="G9" s="32" t="s">
        <v>125</v>
      </c>
      <c r="H9" s="33" t="s">
        <v>70</v>
      </c>
      <c r="I9" s="33" t="s">
        <v>69</v>
      </c>
      <c r="J9" s="33" t="s">
        <v>97</v>
      </c>
      <c r="K9" s="33"/>
      <c r="L9" s="33"/>
      <c r="M9" s="33"/>
      <c r="N9" s="33"/>
      <c r="O9" s="58">
        <f>PRODUCT(K9:N9)</f>
        <v>0</v>
      </c>
      <c r="P9" s="62" t="e">
        <f>VLOOKUP(G9,Pricing,3,FALSE)</f>
        <v>#N/A</v>
      </c>
      <c r="Q9" s="34" t="e">
        <f>PRODUCT(O9:P9)</f>
        <v>#N/A</v>
      </c>
      <c r="R9" s="41" t="e">
        <f>IF(OR(VLOOKUP(H9,Location_table2,2,FALSE)="OFF",VLOOKUP(I9,Package_table2,2,FALSE)="OFF"),"H","")</f>
        <v>#N/A</v>
      </c>
    </row>
    <row r="10" spans="1:22" ht="30" customHeight="1" x14ac:dyDescent="0.2">
      <c r="A10" s="166"/>
      <c r="B10" s="43" t="s">
        <v>101</v>
      </c>
      <c r="C10" s="27">
        <v>0</v>
      </c>
      <c r="D10" s="29">
        <v>2</v>
      </c>
      <c r="E10" s="24">
        <v>0</v>
      </c>
      <c r="F10" s="25">
        <v>0</v>
      </c>
      <c r="G10" s="189" t="str">
        <f>VLOOKUP(D10,Package_table,2,FALSE)</f>
        <v>Plain_cement_concrete</v>
      </c>
      <c r="H10" s="189"/>
      <c r="I10" s="189"/>
      <c r="J10" s="189"/>
      <c r="K10" s="189"/>
      <c r="L10" s="189"/>
      <c r="M10" s="189"/>
      <c r="N10" s="189"/>
      <c r="O10" s="189"/>
      <c r="P10" s="189"/>
      <c r="Q10" s="190"/>
      <c r="R10" s="44" t="s">
        <v>32</v>
      </c>
    </row>
    <row r="11" spans="1:22" ht="15" customHeight="1" thickBot="1" x14ac:dyDescent="0.3">
      <c r="A11" s="166"/>
      <c r="B11" s="42" t="s">
        <v>41</v>
      </c>
      <c r="C11" s="30" t="e">
        <f>VLOOKUP(H11,Location_table2,3,FALSE)</f>
        <v>#N/A</v>
      </c>
      <c r="D11" s="31" t="e">
        <f>VLOOKUP(I11,Package_table2,3,FALSE)</f>
        <v>#N/A</v>
      </c>
      <c r="E11" s="31">
        <v>1</v>
      </c>
      <c r="F11" s="61">
        <v>0</v>
      </c>
      <c r="G11" s="32" t="s">
        <v>126</v>
      </c>
      <c r="H11" s="33" t="s">
        <v>70</v>
      </c>
      <c r="I11" s="33" t="s">
        <v>102</v>
      </c>
      <c r="J11" s="33" t="s">
        <v>97</v>
      </c>
      <c r="K11" s="33"/>
      <c r="L11" s="33"/>
      <c r="M11" s="33"/>
      <c r="N11" s="33"/>
      <c r="O11" s="58">
        <f>PRODUCT(K11:N11)</f>
        <v>0</v>
      </c>
      <c r="P11" s="62" t="str">
        <f>VLOOKUP(G11,Pricing,3,FALSE)</f>
        <v>m3</v>
      </c>
      <c r="Q11" s="34">
        <f>PRODUCT(O11:P11)</f>
        <v>0</v>
      </c>
      <c r="R11" s="41" t="e">
        <f>IF(OR(VLOOKUP(H11,Location_table2,2,FALSE)="OFF",VLOOKUP(I11,Package_table2,2,FALSE)="OFF"),"H","")</f>
        <v>#N/A</v>
      </c>
    </row>
    <row r="12" spans="1:22" ht="30" customHeight="1" x14ac:dyDescent="0.2">
      <c r="A12" s="166"/>
      <c r="B12" s="43" t="s">
        <v>101</v>
      </c>
      <c r="C12" s="27">
        <v>0</v>
      </c>
      <c r="D12" s="29">
        <v>3</v>
      </c>
      <c r="E12" s="24">
        <v>0</v>
      </c>
      <c r="F12" s="25">
        <v>0</v>
      </c>
      <c r="G12" s="189" t="str">
        <f>VLOOKUP(D12,Package_table,2,FALSE)</f>
        <v>Reinforced_cement_concrete</v>
      </c>
      <c r="H12" s="189"/>
      <c r="I12" s="189"/>
      <c r="J12" s="189"/>
      <c r="K12" s="189"/>
      <c r="L12" s="189"/>
      <c r="M12" s="189"/>
      <c r="N12" s="189"/>
      <c r="O12" s="189"/>
      <c r="P12" s="189"/>
      <c r="Q12" s="190"/>
      <c r="R12" s="44" t="s">
        <v>32</v>
      </c>
    </row>
    <row r="13" spans="1:22" ht="15" customHeight="1" x14ac:dyDescent="0.25">
      <c r="A13" s="166"/>
      <c r="B13" s="42" t="s">
        <v>41</v>
      </c>
      <c r="C13" s="30" t="e">
        <f>VLOOKUP(H13,Location_table2,3,FALSE)</f>
        <v>#N/A</v>
      </c>
      <c r="D13" s="31" t="e">
        <f t="shared" ref="D13:D25" si="0">VLOOKUP(I13,Package_table2,3,FALSE)</f>
        <v>#N/A</v>
      </c>
      <c r="E13" s="31">
        <v>1</v>
      </c>
      <c r="F13" s="61">
        <v>0</v>
      </c>
      <c r="G13" s="32" t="s">
        <v>127</v>
      </c>
      <c r="H13" s="33" t="s">
        <v>70</v>
      </c>
      <c r="I13" s="33" t="s">
        <v>103</v>
      </c>
      <c r="J13" s="33" t="s">
        <v>97</v>
      </c>
      <c r="K13" s="33"/>
      <c r="L13" s="33"/>
      <c r="M13" s="33"/>
      <c r="N13" s="33"/>
      <c r="O13" s="58">
        <f t="shared" ref="O13:O25" si="1">PRODUCT(K13:N13)</f>
        <v>0</v>
      </c>
      <c r="P13" s="62" t="str">
        <f t="shared" ref="P13:P25" si="2">VLOOKUP(G13,Pricing,3,FALSE)</f>
        <v>m3</v>
      </c>
      <c r="Q13" s="34">
        <f t="shared" ref="Q13:Q25" si="3">PRODUCT(O13:P13)</f>
        <v>0</v>
      </c>
      <c r="R13" s="41" t="e">
        <f t="shared" ref="R13:R25" si="4">IF(OR(VLOOKUP(H13,Location_table2,2,FALSE)="OFF",VLOOKUP(I13,Package_table2,2,FALSE)="OFF"),"H","")</f>
        <v>#N/A</v>
      </c>
    </row>
    <row r="14" spans="1:22" ht="15" customHeight="1" x14ac:dyDescent="0.25">
      <c r="A14" s="166"/>
      <c r="B14" s="42" t="s">
        <v>41</v>
      </c>
      <c r="C14" s="30" t="e">
        <f t="shared" ref="C14:C25" si="5">VLOOKUP(H14,Location_table2,3,FALSE)</f>
        <v>#N/A</v>
      </c>
      <c r="D14" s="31" t="e">
        <f t="shared" si="0"/>
        <v>#N/A</v>
      </c>
      <c r="E14" s="31">
        <v>2</v>
      </c>
      <c r="F14" s="61">
        <v>0</v>
      </c>
      <c r="G14" s="32" t="s">
        <v>128</v>
      </c>
      <c r="H14" s="33" t="s">
        <v>70</v>
      </c>
      <c r="I14" s="33" t="s">
        <v>103</v>
      </c>
      <c r="J14" s="33" t="s">
        <v>97</v>
      </c>
      <c r="K14" s="33"/>
      <c r="L14" s="33"/>
      <c r="M14" s="33"/>
      <c r="N14" s="33"/>
      <c r="O14" s="58">
        <f t="shared" si="1"/>
        <v>0</v>
      </c>
      <c r="P14" s="62" t="str">
        <f t="shared" si="2"/>
        <v>m3</v>
      </c>
      <c r="Q14" s="34">
        <f t="shared" si="3"/>
        <v>0</v>
      </c>
      <c r="R14" s="41" t="e">
        <f t="shared" si="4"/>
        <v>#N/A</v>
      </c>
    </row>
    <row r="15" spans="1:22" ht="15" customHeight="1" x14ac:dyDescent="0.25">
      <c r="A15" s="166"/>
      <c r="B15" s="42" t="s">
        <v>41</v>
      </c>
      <c r="C15" s="30" t="e">
        <f t="shared" si="5"/>
        <v>#N/A</v>
      </c>
      <c r="D15" s="31" t="e">
        <f t="shared" si="0"/>
        <v>#N/A</v>
      </c>
      <c r="E15" s="31">
        <v>3</v>
      </c>
      <c r="F15" s="61">
        <v>0</v>
      </c>
      <c r="G15" s="32" t="s">
        <v>129</v>
      </c>
      <c r="H15" s="33" t="s">
        <v>70</v>
      </c>
      <c r="I15" s="33" t="s">
        <v>103</v>
      </c>
      <c r="J15" s="33" t="s">
        <v>97</v>
      </c>
      <c r="K15" s="33"/>
      <c r="L15" s="33"/>
      <c r="M15" s="33"/>
      <c r="N15" s="33"/>
      <c r="O15" s="58">
        <f t="shared" si="1"/>
        <v>0</v>
      </c>
      <c r="P15" s="62" t="str">
        <f>VLOOKUP(G15,Pricing,3,FALSE)</f>
        <v>m3</v>
      </c>
      <c r="Q15" s="34">
        <f t="shared" si="3"/>
        <v>0</v>
      </c>
      <c r="R15" s="41" t="e">
        <f t="shared" si="4"/>
        <v>#N/A</v>
      </c>
    </row>
    <row r="16" spans="1:22" ht="15" customHeight="1" x14ac:dyDescent="0.25">
      <c r="A16" s="166"/>
      <c r="B16" s="42" t="s">
        <v>41</v>
      </c>
      <c r="C16" s="30" t="e">
        <f t="shared" si="5"/>
        <v>#N/A</v>
      </c>
      <c r="D16" s="31" t="e">
        <f t="shared" si="0"/>
        <v>#N/A</v>
      </c>
      <c r="E16" s="31">
        <v>4</v>
      </c>
      <c r="F16" s="61">
        <v>0</v>
      </c>
      <c r="G16" s="32" t="s">
        <v>130</v>
      </c>
      <c r="H16" s="33" t="s">
        <v>70</v>
      </c>
      <c r="I16" s="33" t="s">
        <v>103</v>
      </c>
      <c r="J16" s="33" t="s">
        <v>97</v>
      </c>
      <c r="K16" s="33"/>
      <c r="L16" s="33"/>
      <c r="M16" s="33"/>
      <c r="N16" s="33"/>
      <c r="O16" s="58">
        <f t="shared" si="1"/>
        <v>0</v>
      </c>
      <c r="P16" s="62" t="str">
        <f>VLOOKUP(G16,Pricing,3,FALSE)</f>
        <v>m3</v>
      </c>
      <c r="Q16" s="34">
        <f t="shared" si="3"/>
        <v>0</v>
      </c>
      <c r="R16" s="41" t="e">
        <f t="shared" si="4"/>
        <v>#N/A</v>
      </c>
    </row>
    <row r="17" spans="1:18" ht="15" customHeight="1" x14ac:dyDescent="0.25">
      <c r="A17" s="168"/>
      <c r="B17" s="42" t="s">
        <v>41</v>
      </c>
      <c r="C17" s="30">
        <f>VLOOKUP(H17,Location_table2,3,FALSE)</f>
        <v>3</v>
      </c>
      <c r="D17" s="31">
        <f>VLOOKUP(I17,Package_table2,3,FALSE)</f>
        <v>3</v>
      </c>
      <c r="E17" s="31"/>
      <c r="F17" s="61">
        <v>0</v>
      </c>
      <c r="G17" s="32" t="s">
        <v>334</v>
      </c>
      <c r="H17" s="33" t="s">
        <v>71</v>
      </c>
      <c r="I17" s="33" t="s">
        <v>320</v>
      </c>
      <c r="J17" s="33"/>
      <c r="K17" s="33"/>
      <c r="L17" s="33"/>
      <c r="M17" s="33"/>
      <c r="N17" s="33"/>
      <c r="O17" s="58"/>
      <c r="P17" s="62" t="e">
        <f>VLOOKUP(R17,pricereference_data,2,FALSE)</f>
        <v>#N/A</v>
      </c>
      <c r="Q17" s="34"/>
      <c r="R17" s="41"/>
    </row>
    <row r="18" spans="1:18" ht="15" customHeight="1" x14ac:dyDescent="0.25">
      <c r="A18" s="174"/>
      <c r="B18" s="42" t="s">
        <v>41</v>
      </c>
      <c r="C18" s="30" t="e">
        <f>VLOOKUP(H18,Location_table2,3,FALSE)</f>
        <v>#N/A</v>
      </c>
      <c r="D18" s="31" t="e">
        <f>VLOOKUP(I18,Package_table2,3,FALSE)</f>
        <v>#N/A</v>
      </c>
      <c r="E18" s="31" t="e">
        <f>VLOOKUP(G18,pricereference_data,2,FALSE)</f>
        <v>#N/A</v>
      </c>
      <c r="F18" s="61">
        <v>0</v>
      </c>
      <c r="G18" s="32"/>
      <c r="H18" s="33"/>
      <c r="I18" s="33"/>
      <c r="J18" s="33"/>
      <c r="K18" s="33"/>
      <c r="L18" s="33"/>
      <c r="M18" s="33"/>
      <c r="N18" s="33"/>
      <c r="O18" s="58"/>
      <c r="P18" s="62"/>
      <c r="Q18" s="34"/>
      <c r="R18" s="41"/>
    </row>
    <row r="19" spans="1:18" ht="15" customHeight="1" x14ac:dyDescent="0.25">
      <c r="A19" s="166"/>
      <c r="B19" s="42" t="s">
        <v>41</v>
      </c>
      <c r="C19" s="30" t="e">
        <f t="shared" si="5"/>
        <v>#N/A</v>
      </c>
      <c r="D19" s="31" t="e">
        <f t="shared" si="0"/>
        <v>#N/A</v>
      </c>
      <c r="E19" s="31">
        <v>5</v>
      </c>
      <c r="F19" s="61">
        <v>0</v>
      </c>
      <c r="G19" s="32" t="s">
        <v>131</v>
      </c>
      <c r="H19" s="33" t="s">
        <v>70</v>
      </c>
      <c r="I19" s="33" t="s">
        <v>103</v>
      </c>
      <c r="J19" s="33" t="s">
        <v>97</v>
      </c>
      <c r="K19" s="33"/>
      <c r="L19" s="33"/>
      <c r="M19" s="33"/>
      <c r="N19" s="33"/>
      <c r="O19" s="58">
        <f t="shared" si="1"/>
        <v>0</v>
      </c>
      <c r="P19" s="62" t="str">
        <f t="shared" si="2"/>
        <v>m3</v>
      </c>
      <c r="Q19" s="34">
        <f t="shared" si="3"/>
        <v>0</v>
      </c>
      <c r="R19" s="41" t="e">
        <f t="shared" si="4"/>
        <v>#N/A</v>
      </c>
    </row>
    <row r="20" spans="1:18" ht="15" customHeight="1" x14ac:dyDescent="0.25">
      <c r="A20" s="168"/>
      <c r="B20" s="42" t="s">
        <v>41</v>
      </c>
      <c r="C20" s="30" t="e">
        <f>VLOOKUP(H20,Location_table2,3,FALSE)</f>
        <v>#N/A</v>
      </c>
      <c r="D20" s="31" t="e">
        <f>VLOOKUP(I20,Package_table2,3,FALSE)</f>
        <v>#N/A</v>
      </c>
      <c r="E20" s="31"/>
      <c r="F20" s="61">
        <v>0</v>
      </c>
      <c r="G20" s="32"/>
      <c r="H20" s="33"/>
      <c r="I20" s="33"/>
      <c r="J20" s="33"/>
      <c r="K20" s="33"/>
      <c r="L20" s="33"/>
      <c r="M20" s="33"/>
      <c r="N20" s="33"/>
      <c r="O20" s="58"/>
      <c r="P20" s="62" t="e">
        <f>VLOOKUP(R20,pricereference_data,2,FALSE)</f>
        <v>#N/A</v>
      </c>
      <c r="Q20" s="34"/>
      <c r="R20" s="41"/>
    </row>
    <row r="21" spans="1:18" ht="15" customHeight="1" x14ac:dyDescent="0.25">
      <c r="A21" s="168"/>
      <c r="B21" s="42" t="s">
        <v>41</v>
      </c>
      <c r="C21" s="30">
        <f>VLOOKUP(H21,Location_table2,3,FALSE)</f>
        <v>1</v>
      </c>
      <c r="D21" s="31">
        <f>VLOOKUP(I21,Package_table2,3,FALSE)</f>
        <v>12</v>
      </c>
      <c r="E21" s="31" t="e">
        <f>VLOOKUP(G21,pricereference_data,2,FALSE)</f>
        <v>#N/A</v>
      </c>
      <c r="F21" s="61">
        <v>0</v>
      </c>
      <c r="G21" s="32"/>
      <c r="H21" s="33" t="s">
        <v>264</v>
      </c>
      <c r="I21" s="33" t="s">
        <v>324</v>
      </c>
      <c r="J21" s="33"/>
      <c r="K21" s="33"/>
      <c r="L21" s="33"/>
      <c r="M21" s="33"/>
      <c r="N21" s="33"/>
      <c r="O21" s="58"/>
      <c r="P21" s="62"/>
      <c r="Q21" s="34"/>
      <c r="R21" s="41"/>
    </row>
    <row r="22" spans="1:18" ht="15" customHeight="1" x14ac:dyDescent="0.25">
      <c r="A22" s="174"/>
      <c r="B22" s="42" t="s">
        <v>41</v>
      </c>
      <c r="C22" s="30" t="e">
        <f>VLOOKUP(H22,Location_table2,3,FALSE)</f>
        <v>#N/A</v>
      </c>
      <c r="D22" s="31" t="e">
        <f>VLOOKUP(I22,Package_table2,3,FALSE)</f>
        <v>#N/A</v>
      </c>
      <c r="E22" s="31" t="e">
        <f>VLOOKUP(G22,pricereference_data,2,FALSE)</f>
        <v>#N/A</v>
      </c>
      <c r="F22" s="61">
        <v>0</v>
      </c>
      <c r="G22" s="32"/>
      <c r="H22" s="33"/>
      <c r="I22" s="33"/>
      <c r="J22" s="33"/>
      <c r="K22" s="33"/>
      <c r="L22" s="33"/>
      <c r="M22" s="33"/>
      <c r="N22" s="33"/>
      <c r="O22" s="58"/>
      <c r="P22" s="62"/>
      <c r="Q22" s="34"/>
      <c r="R22" s="41"/>
    </row>
    <row r="23" spans="1:18" ht="15" customHeight="1" x14ac:dyDescent="0.25">
      <c r="A23" s="166"/>
      <c r="B23" s="42" t="s">
        <v>41</v>
      </c>
      <c r="C23" s="30" t="e">
        <f t="shared" si="5"/>
        <v>#N/A</v>
      </c>
      <c r="D23" s="31" t="e">
        <f t="shared" si="0"/>
        <v>#N/A</v>
      </c>
      <c r="E23" s="31">
        <v>6</v>
      </c>
      <c r="F23" s="61">
        <v>0</v>
      </c>
      <c r="G23" s="32" t="s">
        <v>132</v>
      </c>
      <c r="H23" s="33" t="s">
        <v>70</v>
      </c>
      <c r="I23" s="33" t="s">
        <v>103</v>
      </c>
      <c r="J23" s="33" t="s">
        <v>97</v>
      </c>
      <c r="K23" s="33"/>
      <c r="L23" s="33"/>
      <c r="M23" s="33"/>
      <c r="N23" s="33"/>
      <c r="O23" s="58">
        <f t="shared" si="1"/>
        <v>0</v>
      </c>
      <c r="P23" s="62" t="str">
        <f t="shared" si="2"/>
        <v>m3</v>
      </c>
      <c r="Q23" s="34">
        <f t="shared" si="3"/>
        <v>0</v>
      </c>
      <c r="R23" s="41" t="e">
        <f t="shared" si="4"/>
        <v>#N/A</v>
      </c>
    </row>
    <row r="24" spans="1:18" ht="15" customHeight="1" x14ac:dyDescent="0.25">
      <c r="A24" s="174"/>
      <c r="B24" s="42" t="s">
        <v>41</v>
      </c>
      <c r="C24" s="30" t="e">
        <f>VLOOKUP(H24,Location_table2,3,FALSE)</f>
        <v>#N/A</v>
      </c>
      <c r="D24" s="31" t="e">
        <f>VLOOKUP(I24,Package_table2,3,FALSE)</f>
        <v>#N/A</v>
      </c>
      <c r="E24" s="31" t="e">
        <f>VLOOKUP(G24,pricereference_data,2,FALSE)</f>
        <v>#N/A</v>
      </c>
      <c r="F24" s="61">
        <v>0</v>
      </c>
      <c r="G24" s="32"/>
      <c r="H24" s="33"/>
      <c r="I24" s="33"/>
      <c r="J24" s="33"/>
      <c r="K24" s="33"/>
      <c r="L24" s="33"/>
      <c r="M24" s="33"/>
      <c r="N24" s="33"/>
      <c r="O24" s="58"/>
      <c r="P24" s="62"/>
      <c r="Q24" s="34"/>
      <c r="R24" s="41"/>
    </row>
    <row r="25" spans="1:18" ht="15" customHeight="1" thickBot="1" x14ac:dyDescent="0.3">
      <c r="A25" s="166"/>
      <c r="B25" s="42" t="s">
        <v>41</v>
      </c>
      <c r="C25" s="30" t="e">
        <f t="shared" si="5"/>
        <v>#N/A</v>
      </c>
      <c r="D25" s="31" t="e">
        <f t="shared" si="0"/>
        <v>#N/A</v>
      </c>
      <c r="E25" s="31">
        <v>7</v>
      </c>
      <c r="F25" s="61">
        <v>0</v>
      </c>
      <c r="G25" s="32" t="s">
        <v>133</v>
      </c>
      <c r="H25" s="33" t="s">
        <v>70</v>
      </c>
      <c r="I25" s="33" t="s">
        <v>103</v>
      </c>
      <c r="J25" s="33" t="s">
        <v>97</v>
      </c>
      <c r="K25" s="33"/>
      <c r="L25" s="33"/>
      <c r="M25" s="33"/>
      <c r="N25" s="33"/>
      <c r="O25" s="58">
        <f t="shared" si="1"/>
        <v>0</v>
      </c>
      <c r="P25" s="62" t="str">
        <f t="shared" si="2"/>
        <v>m3</v>
      </c>
      <c r="Q25" s="34">
        <f t="shared" si="3"/>
        <v>0</v>
      </c>
      <c r="R25" s="41" t="e">
        <f t="shared" si="4"/>
        <v>#N/A</v>
      </c>
    </row>
    <row r="26" spans="1:18" ht="30" customHeight="1" x14ac:dyDescent="0.2">
      <c r="A26" s="166"/>
      <c r="B26" s="43" t="s">
        <v>101</v>
      </c>
      <c r="C26" s="27">
        <v>0</v>
      </c>
      <c r="D26" s="29">
        <v>4</v>
      </c>
      <c r="E26" s="24">
        <v>0</v>
      </c>
      <c r="F26" s="25">
        <v>0</v>
      </c>
      <c r="G26" s="189" t="str">
        <f>VLOOKUP(D26,Package_table,2,FALSE)</f>
        <v>Reinforcement</v>
      </c>
      <c r="H26" s="189"/>
      <c r="I26" s="189"/>
      <c r="J26" s="189"/>
      <c r="K26" s="189"/>
      <c r="L26" s="189"/>
      <c r="M26" s="189"/>
      <c r="N26" s="189"/>
      <c r="O26" s="189"/>
      <c r="P26" s="189"/>
      <c r="Q26" s="190"/>
      <c r="R26" s="44" t="s">
        <v>32</v>
      </c>
    </row>
    <row r="27" spans="1:18" ht="15" customHeight="1" thickBot="1" x14ac:dyDescent="0.3">
      <c r="A27" s="166"/>
      <c r="B27" s="42" t="s">
        <v>41</v>
      </c>
      <c r="C27" s="30" t="e">
        <f>VLOOKUP(H27,Location_table2,3,FALSE)</f>
        <v>#N/A</v>
      </c>
      <c r="D27" s="31">
        <f>VLOOKUP(I27,Package_table2,3,FALSE)</f>
        <v>4</v>
      </c>
      <c r="E27" s="31">
        <v>1</v>
      </c>
      <c r="F27" s="61">
        <v>0</v>
      </c>
      <c r="G27" s="32" t="s">
        <v>134</v>
      </c>
      <c r="H27" s="33" t="s">
        <v>70</v>
      </c>
      <c r="I27" s="33" t="s">
        <v>104</v>
      </c>
      <c r="J27" s="33" t="s">
        <v>18</v>
      </c>
      <c r="K27" s="33"/>
      <c r="L27" s="33"/>
      <c r="M27" s="33"/>
      <c r="N27" s="33"/>
      <c r="O27" s="58">
        <f>PRODUCT(K27:N27)</f>
        <v>0</v>
      </c>
      <c r="P27" s="62" t="str">
        <f>VLOOKUP(G27,Pricing,3,FALSE)</f>
        <v>MT</v>
      </c>
      <c r="Q27" s="34">
        <f>PRODUCT(O27:P27)</f>
        <v>0</v>
      </c>
      <c r="R27" s="41" t="e">
        <f>IF(OR(VLOOKUP(H27,Location_table2,2,FALSE)="OFF",VLOOKUP(I27,Package_table2,2,FALSE)="OFF"),"H","")</f>
        <v>#N/A</v>
      </c>
    </row>
    <row r="28" spans="1:18" ht="30" customHeight="1" x14ac:dyDescent="0.2">
      <c r="A28" s="166"/>
      <c r="B28" s="43" t="s">
        <v>101</v>
      </c>
      <c r="C28" s="27">
        <v>0</v>
      </c>
      <c r="D28" s="29">
        <v>5</v>
      </c>
      <c r="E28" s="24">
        <v>0</v>
      </c>
      <c r="F28" s="25">
        <v>0</v>
      </c>
      <c r="G28" s="189" t="str">
        <f>VLOOKUP(D28,Package_table,2,FALSE)</f>
        <v>Form_work</v>
      </c>
      <c r="H28" s="189"/>
      <c r="I28" s="189"/>
      <c r="J28" s="189"/>
      <c r="K28" s="189"/>
      <c r="L28" s="189"/>
      <c r="M28" s="189"/>
      <c r="N28" s="189"/>
      <c r="O28" s="189"/>
      <c r="P28" s="189"/>
      <c r="Q28" s="190"/>
      <c r="R28" s="44" t="s">
        <v>32</v>
      </c>
    </row>
    <row r="29" spans="1:18" ht="15" customHeight="1" thickBot="1" x14ac:dyDescent="0.3">
      <c r="A29" s="166"/>
      <c r="B29" s="42" t="s">
        <v>41</v>
      </c>
      <c r="C29" s="30" t="e">
        <f>VLOOKUP(H29,Location_table2,3,FALSE)</f>
        <v>#N/A</v>
      </c>
      <c r="D29" s="31" t="e">
        <f>VLOOKUP(I29,Package_table2,3,FALSE)</f>
        <v>#N/A</v>
      </c>
      <c r="E29" s="31">
        <v>1</v>
      </c>
      <c r="F29" s="61">
        <v>0</v>
      </c>
      <c r="G29" s="32" t="s">
        <v>135</v>
      </c>
      <c r="H29" s="33" t="s">
        <v>70</v>
      </c>
      <c r="I29" s="33" t="s">
        <v>105</v>
      </c>
      <c r="J29" s="33"/>
      <c r="K29" s="33"/>
      <c r="L29" s="33"/>
      <c r="M29" s="33"/>
      <c r="N29" s="33"/>
      <c r="O29" s="58">
        <f>PRODUCT(K29:N29)</f>
        <v>0</v>
      </c>
      <c r="P29" s="62" t="e">
        <f>VLOOKUP(G29,Pricing,3,FALSE)</f>
        <v>#N/A</v>
      </c>
      <c r="Q29" s="34" t="e">
        <f>PRODUCT(O29:P29)</f>
        <v>#N/A</v>
      </c>
      <c r="R29" s="41" t="e">
        <f>IF(OR(VLOOKUP(H29,Location_table2,2,FALSE)="OFF",VLOOKUP(I29,Package_table2,2,FALSE)="OFF"),"H","")</f>
        <v>#N/A</v>
      </c>
    </row>
    <row r="30" spans="1:18" ht="30" customHeight="1" x14ac:dyDescent="0.2">
      <c r="A30" s="166"/>
      <c r="B30" s="43" t="s">
        <v>101</v>
      </c>
      <c r="C30" s="27">
        <v>0</v>
      </c>
      <c r="D30" s="29">
        <v>6</v>
      </c>
      <c r="E30" s="24">
        <v>0</v>
      </c>
      <c r="F30" s="25">
        <v>0</v>
      </c>
      <c r="G30" s="189" t="str">
        <f>VLOOKUP(D30,Package_table,2,FALSE)</f>
        <v>Water_proofing</v>
      </c>
      <c r="H30" s="189"/>
      <c r="I30" s="189"/>
      <c r="J30" s="189"/>
      <c r="K30" s="189"/>
      <c r="L30" s="189"/>
      <c r="M30" s="189"/>
      <c r="N30" s="189"/>
      <c r="O30" s="189"/>
      <c r="P30" s="189"/>
      <c r="Q30" s="190"/>
      <c r="R30" s="44" t="s">
        <v>32</v>
      </c>
    </row>
    <row r="31" spans="1:18" ht="15" customHeight="1" thickBot="1" x14ac:dyDescent="0.3">
      <c r="A31" s="166"/>
      <c r="B31" s="42" t="s">
        <v>41</v>
      </c>
      <c r="C31" s="30">
        <f>VLOOKUP(H31,Location_table2,3,FALSE)</f>
        <v>6</v>
      </c>
      <c r="D31" s="31" t="e">
        <f>VLOOKUP(I31,Package_table2,3,FALSE)</f>
        <v>#N/A</v>
      </c>
      <c r="E31" s="31">
        <v>1</v>
      </c>
      <c r="F31" s="61">
        <v>0</v>
      </c>
      <c r="G31" s="32" t="s">
        <v>106</v>
      </c>
      <c r="H31" s="33" t="s">
        <v>267</v>
      </c>
      <c r="I31" s="33" t="s">
        <v>292</v>
      </c>
      <c r="J31" s="33" t="s">
        <v>97</v>
      </c>
      <c r="K31" s="33"/>
      <c r="L31" s="33"/>
      <c r="M31" s="33"/>
      <c r="N31" s="33"/>
      <c r="O31" s="58">
        <f>PRODUCT(K31:N31)</f>
        <v>0</v>
      </c>
      <c r="P31" s="62" t="str">
        <f>VLOOKUP(G31,Pricing,3,FALSE)</f>
        <v>m3</v>
      </c>
      <c r="Q31" s="34">
        <f>PRODUCT(O31:P31)</f>
        <v>0</v>
      </c>
      <c r="R31" s="41" t="e">
        <f>IF(OR(VLOOKUP(H31,Location_table2,2,FALSE)="OFF",VLOOKUP(I31,Package_table2,2,FALSE)="OFF"),"H","")</f>
        <v>#N/A</v>
      </c>
    </row>
    <row r="32" spans="1:18" ht="30" customHeight="1" x14ac:dyDescent="0.2">
      <c r="A32" s="166"/>
      <c r="B32" s="43" t="s">
        <v>101</v>
      </c>
      <c r="C32" s="27">
        <v>0</v>
      </c>
      <c r="D32" s="29">
        <v>7</v>
      </c>
      <c r="E32" s="24">
        <v>0</v>
      </c>
      <c r="F32" s="25">
        <v>0</v>
      </c>
      <c r="G32" s="189" t="str">
        <f>VLOOKUP(D32,Package_table,2,FALSE)</f>
        <v>Embedded_items</v>
      </c>
      <c r="H32" s="189"/>
      <c r="I32" s="189"/>
      <c r="J32" s="189"/>
      <c r="K32" s="189"/>
      <c r="L32" s="189"/>
      <c r="M32" s="189"/>
      <c r="N32" s="189"/>
      <c r="O32" s="189"/>
      <c r="P32" s="189"/>
      <c r="Q32" s="190"/>
      <c r="R32" s="44" t="s">
        <v>32</v>
      </c>
    </row>
    <row r="33" spans="1:18" ht="15" customHeight="1" x14ac:dyDescent="0.25">
      <c r="A33" s="166"/>
      <c r="B33" s="42" t="s">
        <v>41</v>
      </c>
      <c r="C33" s="30" t="e">
        <f>VLOOKUP(H33,Location_table2,3,FALSE)</f>
        <v>#N/A</v>
      </c>
      <c r="D33" s="31" t="e">
        <f>VLOOKUP(I33,Package_table2,3,FALSE)</f>
        <v>#N/A</v>
      </c>
      <c r="E33" s="31">
        <v>1</v>
      </c>
      <c r="F33" s="61">
        <v>0</v>
      </c>
      <c r="G33" s="32" t="s">
        <v>136</v>
      </c>
      <c r="H33" s="33" t="s">
        <v>70</v>
      </c>
      <c r="I33" s="33" t="s">
        <v>107</v>
      </c>
      <c r="J33" s="33" t="s">
        <v>18</v>
      </c>
      <c r="K33" s="33"/>
      <c r="L33" s="33"/>
      <c r="M33" s="33"/>
      <c r="N33" s="33"/>
      <c r="O33" s="58">
        <f>PRODUCT(K33:N33)</f>
        <v>0</v>
      </c>
      <c r="P33" s="62" t="str">
        <f>VLOOKUP(G33,Pricing,3,FALSE)</f>
        <v>MT</v>
      </c>
      <c r="Q33" s="34">
        <f>PRODUCT(O33:P33)</f>
        <v>0</v>
      </c>
      <c r="R33" s="41" t="e">
        <f>IF(OR(VLOOKUP(H33,Location_table2,2,FALSE)="OFF",VLOOKUP(I33,Package_table2,2,FALSE)="OFF"),"H","")</f>
        <v>#N/A</v>
      </c>
    </row>
    <row r="34" spans="1:18" ht="15" customHeight="1" x14ac:dyDescent="0.25">
      <c r="A34" s="166"/>
      <c r="B34" s="42" t="s">
        <v>41</v>
      </c>
      <c r="C34" s="30" t="e">
        <f>VLOOKUP(H34,Location_table2,3,FALSE)</f>
        <v>#N/A</v>
      </c>
      <c r="D34" s="31" t="e">
        <f>VLOOKUP(I34,Package_table2,3,FALSE)</f>
        <v>#N/A</v>
      </c>
      <c r="E34" s="31">
        <v>2</v>
      </c>
      <c r="F34" s="61">
        <v>0</v>
      </c>
      <c r="G34" s="32" t="s">
        <v>137</v>
      </c>
      <c r="H34" s="33" t="s">
        <v>70</v>
      </c>
      <c r="I34" s="33" t="s">
        <v>107</v>
      </c>
      <c r="J34" s="33" t="s">
        <v>18</v>
      </c>
      <c r="K34" s="33"/>
      <c r="L34" s="33"/>
      <c r="M34" s="33"/>
      <c r="N34" s="33"/>
      <c r="O34" s="58">
        <f>PRODUCT(K34:N34)</f>
        <v>0</v>
      </c>
      <c r="P34" s="62" t="str">
        <f>VLOOKUP(G34,Pricing,3,FALSE)</f>
        <v>MT</v>
      </c>
      <c r="Q34" s="34">
        <f>PRODUCT(O34:P34)</f>
        <v>0</v>
      </c>
      <c r="R34" s="41" t="e">
        <f>IF(OR(VLOOKUP(H34,Location_table2,2,FALSE)="OFF",VLOOKUP(I34,Package_table2,2,FALSE)="OFF"),"H","")</f>
        <v>#N/A</v>
      </c>
    </row>
    <row r="35" spans="1:18" ht="15" customHeight="1" thickBot="1" x14ac:dyDescent="0.3">
      <c r="A35" s="166"/>
      <c r="B35" s="42" t="s">
        <v>41</v>
      </c>
      <c r="C35" s="30" t="e">
        <f>VLOOKUP(H35,Location_table2,3,FALSE)</f>
        <v>#N/A</v>
      </c>
      <c r="D35" s="31" t="e">
        <f>VLOOKUP(I35,Package_table2,3,FALSE)</f>
        <v>#N/A</v>
      </c>
      <c r="E35" s="31">
        <v>3</v>
      </c>
      <c r="F35" s="61">
        <v>0</v>
      </c>
      <c r="G35" s="32" t="s">
        <v>138</v>
      </c>
      <c r="H35" s="33" t="s">
        <v>70</v>
      </c>
      <c r="I35" s="33" t="s">
        <v>107</v>
      </c>
      <c r="J35" s="33" t="s">
        <v>18</v>
      </c>
      <c r="K35" s="33"/>
      <c r="L35" s="33"/>
      <c r="M35" s="33"/>
      <c r="N35" s="33"/>
      <c r="O35" s="58">
        <f>PRODUCT(K35:N35)</f>
        <v>0</v>
      </c>
      <c r="P35" s="62" t="str">
        <f>VLOOKUP(G35,Pricing,3,FALSE)</f>
        <v>MT</v>
      </c>
      <c r="Q35" s="34">
        <f>PRODUCT(O35:P35)</f>
        <v>0</v>
      </c>
      <c r="R35" s="41" t="e">
        <f>IF(OR(VLOOKUP(H35,Location_table2,2,FALSE)="OFF",VLOOKUP(I35,Package_table2,2,FALSE)="OFF"),"H","")</f>
        <v>#N/A</v>
      </c>
    </row>
    <row r="36" spans="1:18" ht="30" customHeight="1" x14ac:dyDescent="0.2">
      <c r="A36" s="166"/>
      <c r="B36" s="43" t="s">
        <v>101</v>
      </c>
      <c r="C36" s="27">
        <v>0</v>
      </c>
      <c r="D36" s="29">
        <v>8</v>
      </c>
      <c r="E36" s="24">
        <v>0</v>
      </c>
      <c r="F36" s="25">
        <v>0</v>
      </c>
      <c r="G36" s="189" t="str">
        <f>VLOOKUP(D36,Package_table,2,FALSE)</f>
        <v>Structural_steel_works</v>
      </c>
      <c r="H36" s="189"/>
      <c r="I36" s="189"/>
      <c r="J36" s="189"/>
      <c r="K36" s="189"/>
      <c r="L36" s="189"/>
      <c r="M36" s="189"/>
      <c r="N36" s="189"/>
      <c r="O36" s="189"/>
      <c r="P36" s="189"/>
      <c r="Q36" s="190"/>
      <c r="R36" s="44" t="s">
        <v>32</v>
      </c>
    </row>
    <row r="37" spans="1:18" ht="15" customHeight="1" x14ac:dyDescent="0.25">
      <c r="A37" s="166"/>
      <c r="B37" s="42" t="s">
        <v>41</v>
      </c>
      <c r="C37" s="30" t="e">
        <f>VLOOKUP(H37,Location_table2,3,FALSE)</f>
        <v>#N/A</v>
      </c>
      <c r="D37" s="31" t="e">
        <f>VLOOKUP(I37,Package_table2,3,FALSE)</f>
        <v>#N/A</v>
      </c>
      <c r="E37" s="31">
        <v>1</v>
      </c>
      <c r="F37" s="61">
        <v>0</v>
      </c>
      <c r="G37" s="32" t="s">
        <v>139</v>
      </c>
      <c r="H37" s="33" t="s">
        <v>70</v>
      </c>
      <c r="I37" s="33" t="s">
        <v>108</v>
      </c>
      <c r="J37" s="33" t="s">
        <v>18</v>
      </c>
      <c r="K37" s="33"/>
      <c r="L37" s="33"/>
      <c r="M37" s="33"/>
      <c r="N37" s="33"/>
      <c r="O37" s="58">
        <f>PRODUCT(K37:N37)</f>
        <v>0</v>
      </c>
      <c r="P37" s="62" t="str">
        <f>VLOOKUP(G37,Pricing,3,FALSE)</f>
        <v>MT</v>
      </c>
      <c r="Q37" s="34">
        <f>PRODUCT(O37:P37)</f>
        <v>0</v>
      </c>
      <c r="R37" s="41" t="e">
        <f>IF(OR(VLOOKUP(H37,Location_table2,2,FALSE)="OFF",VLOOKUP(I37,Package_table2,2,FALSE)="OFF"),"H","")</f>
        <v>#N/A</v>
      </c>
    </row>
    <row r="38" spans="1:18" ht="15" customHeight="1" x14ac:dyDescent="0.25">
      <c r="A38" s="166"/>
      <c r="B38" s="42" t="s">
        <v>41</v>
      </c>
      <c r="C38" s="30" t="e">
        <f>VLOOKUP(H38,Location_table2,3,FALSE)</f>
        <v>#N/A</v>
      </c>
      <c r="D38" s="31" t="e">
        <f>VLOOKUP(I38,Package_table2,3,FALSE)</f>
        <v>#N/A</v>
      </c>
      <c r="E38" s="31">
        <v>2</v>
      </c>
      <c r="F38" s="61">
        <v>0</v>
      </c>
      <c r="G38" s="32" t="s">
        <v>140</v>
      </c>
      <c r="H38" s="33" t="s">
        <v>70</v>
      </c>
      <c r="I38" s="33" t="s">
        <v>108</v>
      </c>
      <c r="J38" s="33" t="s">
        <v>18</v>
      </c>
      <c r="K38" s="33"/>
      <c r="L38" s="33"/>
      <c r="M38" s="33"/>
      <c r="N38" s="33"/>
      <c r="O38" s="58">
        <f>PRODUCT(K38:N38)</f>
        <v>0</v>
      </c>
      <c r="P38" s="62" t="str">
        <f>VLOOKUP(G38,Pricing,3,FALSE)</f>
        <v>MT</v>
      </c>
      <c r="Q38" s="34">
        <f>PRODUCT(O38:P38)</f>
        <v>0</v>
      </c>
      <c r="R38" s="41" t="e">
        <f>IF(OR(VLOOKUP(H38,Location_table2,2,FALSE)="OFF",VLOOKUP(I38,Package_table2,2,FALSE)="OFF"),"H","")</f>
        <v>#N/A</v>
      </c>
    </row>
    <row r="39" spans="1:18" ht="15" customHeight="1" thickBot="1" x14ac:dyDescent="0.3">
      <c r="A39" s="166"/>
      <c r="B39" s="42" t="s">
        <v>41</v>
      </c>
      <c r="C39" s="30" t="e">
        <f>VLOOKUP(H39,Location_table2,3,FALSE)</f>
        <v>#N/A</v>
      </c>
      <c r="D39" s="31" t="e">
        <f>VLOOKUP(I39,Package_table2,3,FALSE)</f>
        <v>#N/A</v>
      </c>
      <c r="E39" s="31">
        <v>3</v>
      </c>
      <c r="F39" s="61">
        <v>0</v>
      </c>
      <c r="G39" s="32" t="s">
        <v>141</v>
      </c>
      <c r="H39" s="33" t="s">
        <v>70</v>
      </c>
      <c r="I39" s="33" t="s">
        <v>108</v>
      </c>
      <c r="J39" s="33" t="s">
        <v>18</v>
      </c>
      <c r="K39" s="33"/>
      <c r="L39" s="33"/>
      <c r="M39" s="33"/>
      <c r="N39" s="33"/>
      <c r="O39" s="58">
        <f>PRODUCT(K39:N39)</f>
        <v>0</v>
      </c>
      <c r="P39" s="62" t="str">
        <f>VLOOKUP(G39,Pricing,3,FALSE)</f>
        <v>MT</v>
      </c>
      <c r="Q39" s="34">
        <f>PRODUCT(O39:P39)</f>
        <v>0</v>
      </c>
      <c r="R39" s="41" t="e">
        <f>IF(OR(VLOOKUP(H39,Location_table2,2,FALSE)="OFF",VLOOKUP(I39,Package_table2,2,FALSE)="OFF"),"H","")</f>
        <v>#N/A</v>
      </c>
    </row>
    <row r="40" spans="1:18" ht="30" customHeight="1" x14ac:dyDescent="0.2">
      <c r="A40" s="166"/>
      <c r="B40" s="43" t="s">
        <v>101</v>
      </c>
      <c r="C40" s="27">
        <v>0</v>
      </c>
      <c r="D40" s="29">
        <v>9</v>
      </c>
      <c r="E40" s="24">
        <v>0</v>
      </c>
      <c r="F40" s="25">
        <v>0</v>
      </c>
      <c r="G40" s="189" t="str">
        <f>VLOOKUP(D40,Package_table,2,FALSE)</f>
        <v>Road_works</v>
      </c>
      <c r="H40" s="189"/>
      <c r="I40" s="189"/>
      <c r="J40" s="189"/>
      <c r="K40" s="189"/>
      <c r="L40" s="189"/>
      <c r="M40" s="189"/>
      <c r="N40" s="189"/>
      <c r="O40" s="189"/>
      <c r="P40" s="189"/>
      <c r="Q40" s="190"/>
      <c r="R40" s="44" t="s">
        <v>32</v>
      </c>
    </row>
    <row r="41" spans="1:18" ht="15" customHeight="1" x14ac:dyDescent="0.25">
      <c r="A41" s="166"/>
      <c r="B41" s="42" t="s">
        <v>41</v>
      </c>
      <c r="C41" s="30" t="e">
        <f t="shared" ref="C41:C48" si="6">VLOOKUP(H41,Location_table2,3,FALSE)</f>
        <v>#N/A</v>
      </c>
      <c r="D41" s="31" t="e">
        <f t="shared" ref="D41:D48" si="7">VLOOKUP(I41,Package_table2,3,FALSE)</f>
        <v>#N/A</v>
      </c>
      <c r="E41" s="31">
        <v>1</v>
      </c>
      <c r="F41" s="61">
        <v>0</v>
      </c>
      <c r="G41" s="32" t="s">
        <v>142</v>
      </c>
      <c r="H41" s="33" t="s">
        <v>70</v>
      </c>
      <c r="I41" s="33" t="s">
        <v>109</v>
      </c>
      <c r="J41" s="33" t="s">
        <v>97</v>
      </c>
      <c r="K41" s="33"/>
      <c r="L41" s="33"/>
      <c r="M41" s="33"/>
      <c r="N41" s="33"/>
      <c r="O41" s="58">
        <f t="shared" ref="O41:O48" si="8">PRODUCT(K41:N41)</f>
        <v>0</v>
      </c>
      <c r="P41" s="62" t="str">
        <f t="shared" ref="P41:P48" si="9">VLOOKUP(G41,Pricing,3,FALSE)</f>
        <v>m3</v>
      </c>
      <c r="Q41" s="34">
        <f t="shared" ref="Q41:Q48" si="10">PRODUCT(O41:P41)</f>
        <v>0</v>
      </c>
      <c r="R41" s="41" t="e">
        <f t="shared" ref="R41:R48" si="11">IF(OR(VLOOKUP(H41,Location_table2,2,FALSE)="OFF",VLOOKUP(I41,Package_table2,2,FALSE)="OFF"),"H","")</f>
        <v>#N/A</v>
      </c>
    </row>
    <row r="42" spans="1:18" ht="15" customHeight="1" x14ac:dyDescent="0.25">
      <c r="A42" s="166"/>
      <c r="B42" s="42" t="s">
        <v>41</v>
      </c>
      <c r="C42" s="30" t="e">
        <f t="shared" si="6"/>
        <v>#N/A</v>
      </c>
      <c r="D42" s="31" t="e">
        <f t="shared" si="7"/>
        <v>#N/A</v>
      </c>
      <c r="E42" s="31">
        <v>2</v>
      </c>
      <c r="F42" s="61">
        <v>0</v>
      </c>
      <c r="G42" s="32" t="s">
        <v>143</v>
      </c>
      <c r="H42" s="33" t="s">
        <v>70</v>
      </c>
      <c r="I42" s="33" t="s">
        <v>109</v>
      </c>
      <c r="J42" s="33" t="s">
        <v>97</v>
      </c>
      <c r="K42" s="33"/>
      <c r="L42" s="33"/>
      <c r="M42" s="33"/>
      <c r="N42" s="33"/>
      <c r="O42" s="58">
        <f t="shared" si="8"/>
        <v>0</v>
      </c>
      <c r="P42" s="62" t="str">
        <f t="shared" si="9"/>
        <v>m3</v>
      </c>
      <c r="Q42" s="34">
        <f t="shared" si="10"/>
        <v>0</v>
      </c>
      <c r="R42" s="41" t="e">
        <f t="shared" si="11"/>
        <v>#N/A</v>
      </c>
    </row>
    <row r="43" spans="1:18" ht="15" customHeight="1" x14ac:dyDescent="0.25">
      <c r="A43" s="166"/>
      <c r="B43" s="42" t="s">
        <v>41</v>
      </c>
      <c r="C43" s="30" t="e">
        <f t="shared" si="6"/>
        <v>#N/A</v>
      </c>
      <c r="D43" s="31" t="e">
        <f t="shared" si="7"/>
        <v>#N/A</v>
      </c>
      <c r="E43" s="31">
        <v>3</v>
      </c>
      <c r="F43" s="61">
        <v>0</v>
      </c>
      <c r="G43" s="32" t="s">
        <v>144</v>
      </c>
      <c r="H43" s="33" t="s">
        <v>70</v>
      </c>
      <c r="I43" s="33" t="s">
        <v>109</v>
      </c>
      <c r="J43" s="33" t="s">
        <v>97</v>
      </c>
      <c r="K43" s="33"/>
      <c r="L43" s="33"/>
      <c r="M43" s="33"/>
      <c r="N43" s="33"/>
      <c r="O43" s="58">
        <f t="shared" si="8"/>
        <v>0</v>
      </c>
      <c r="P43" s="62" t="str">
        <f t="shared" si="9"/>
        <v>m3</v>
      </c>
      <c r="Q43" s="34">
        <f t="shared" si="10"/>
        <v>0</v>
      </c>
      <c r="R43" s="41" t="e">
        <f t="shared" si="11"/>
        <v>#N/A</v>
      </c>
    </row>
    <row r="44" spans="1:18" ht="15" customHeight="1" x14ac:dyDescent="0.25">
      <c r="A44" s="166"/>
      <c r="B44" s="42" t="s">
        <v>41</v>
      </c>
      <c r="C44" s="30" t="e">
        <f t="shared" si="6"/>
        <v>#N/A</v>
      </c>
      <c r="D44" s="31" t="e">
        <f t="shared" si="7"/>
        <v>#N/A</v>
      </c>
      <c r="E44" s="31">
        <v>4</v>
      </c>
      <c r="F44" s="61">
        <v>0</v>
      </c>
      <c r="G44" s="32" t="s">
        <v>145</v>
      </c>
      <c r="H44" s="33" t="s">
        <v>70</v>
      </c>
      <c r="I44" s="33" t="s">
        <v>109</v>
      </c>
      <c r="J44" s="33" t="s">
        <v>97</v>
      </c>
      <c r="K44" s="33"/>
      <c r="L44" s="33"/>
      <c r="M44" s="33"/>
      <c r="N44" s="33"/>
      <c r="O44" s="58">
        <f t="shared" si="8"/>
        <v>0</v>
      </c>
      <c r="P44" s="62" t="str">
        <f t="shared" si="9"/>
        <v>m3</v>
      </c>
      <c r="Q44" s="34">
        <f t="shared" si="10"/>
        <v>0</v>
      </c>
      <c r="R44" s="41" t="e">
        <f t="shared" si="11"/>
        <v>#N/A</v>
      </c>
    </row>
    <row r="45" spans="1:18" ht="15" customHeight="1" x14ac:dyDescent="0.25">
      <c r="A45" s="166"/>
      <c r="B45" s="42" t="s">
        <v>41</v>
      </c>
      <c r="C45" s="30" t="e">
        <f t="shared" si="6"/>
        <v>#N/A</v>
      </c>
      <c r="D45" s="31" t="e">
        <f t="shared" si="7"/>
        <v>#N/A</v>
      </c>
      <c r="E45" s="31">
        <v>5</v>
      </c>
      <c r="F45" s="61">
        <v>0</v>
      </c>
      <c r="G45" s="32" t="s">
        <v>146</v>
      </c>
      <c r="H45" s="33" t="s">
        <v>70</v>
      </c>
      <c r="I45" s="33" t="s">
        <v>109</v>
      </c>
      <c r="J45" s="33" t="s">
        <v>97</v>
      </c>
      <c r="K45" s="33"/>
      <c r="L45" s="33"/>
      <c r="M45" s="33"/>
      <c r="N45" s="33"/>
      <c r="O45" s="58">
        <f t="shared" si="8"/>
        <v>0</v>
      </c>
      <c r="P45" s="62" t="str">
        <f t="shared" si="9"/>
        <v>m3</v>
      </c>
      <c r="Q45" s="34">
        <f t="shared" si="10"/>
        <v>0</v>
      </c>
      <c r="R45" s="41" t="e">
        <f t="shared" si="11"/>
        <v>#N/A</v>
      </c>
    </row>
    <row r="46" spans="1:18" ht="15" customHeight="1" x14ac:dyDescent="0.25">
      <c r="A46" s="166"/>
      <c r="B46" s="42" t="s">
        <v>41</v>
      </c>
      <c r="C46" s="30" t="e">
        <f t="shared" si="6"/>
        <v>#N/A</v>
      </c>
      <c r="D46" s="31" t="e">
        <f t="shared" si="7"/>
        <v>#N/A</v>
      </c>
      <c r="E46" s="31">
        <v>6</v>
      </c>
      <c r="F46" s="61">
        <v>0</v>
      </c>
      <c r="G46" s="32" t="s">
        <v>147</v>
      </c>
      <c r="H46" s="33" t="s">
        <v>70</v>
      </c>
      <c r="I46" s="33" t="s">
        <v>109</v>
      </c>
      <c r="J46" s="33" t="s">
        <v>97</v>
      </c>
      <c r="K46" s="33"/>
      <c r="L46" s="33"/>
      <c r="M46" s="33"/>
      <c r="N46" s="33"/>
      <c r="O46" s="58">
        <f t="shared" si="8"/>
        <v>0</v>
      </c>
      <c r="P46" s="62" t="str">
        <f t="shared" si="9"/>
        <v>m3</v>
      </c>
      <c r="Q46" s="34">
        <f t="shared" si="10"/>
        <v>0</v>
      </c>
      <c r="R46" s="41" t="e">
        <f t="shared" si="11"/>
        <v>#N/A</v>
      </c>
    </row>
    <row r="47" spans="1:18" ht="15" customHeight="1" x14ac:dyDescent="0.25">
      <c r="A47" s="166"/>
      <c r="B47" s="42" t="s">
        <v>41</v>
      </c>
      <c r="C47" s="30" t="e">
        <f t="shared" si="6"/>
        <v>#N/A</v>
      </c>
      <c r="D47" s="31" t="e">
        <f t="shared" si="7"/>
        <v>#N/A</v>
      </c>
      <c r="E47" s="31">
        <v>7</v>
      </c>
      <c r="F47" s="61">
        <v>0</v>
      </c>
      <c r="G47" s="32" t="s">
        <v>148</v>
      </c>
      <c r="H47" s="33" t="s">
        <v>70</v>
      </c>
      <c r="I47" s="33" t="s">
        <v>109</v>
      </c>
      <c r="J47" s="33" t="s">
        <v>97</v>
      </c>
      <c r="K47" s="33"/>
      <c r="L47" s="33"/>
      <c r="M47" s="33"/>
      <c r="N47" s="33"/>
      <c r="O47" s="58">
        <f t="shared" si="8"/>
        <v>0</v>
      </c>
      <c r="P47" s="62" t="str">
        <f t="shared" si="9"/>
        <v>m3</v>
      </c>
      <c r="Q47" s="34">
        <f t="shared" si="10"/>
        <v>0</v>
      </c>
      <c r="R47" s="41" t="e">
        <f t="shared" si="11"/>
        <v>#N/A</v>
      </c>
    </row>
    <row r="48" spans="1:18" ht="15" customHeight="1" thickBot="1" x14ac:dyDescent="0.3">
      <c r="A48" s="166"/>
      <c r="B48" s="42" t="s">
        <v>41</v>
      </c>
      <c r="C48" s="30" t="e">
        <f t="shared" si="6"/>
        <v>#N/A</v>
      </c>
      <c r="D48" s="31" t="e">
        <f t="shared" si="7"/>
        <v>#N/A</v>
      </c>
      <c r="E48" s="31">
        <v>8</v>
      </c>
      <c r="F48" s="61">
        <v>0</v>
      </c>
      <c r="G48" s="32" t="s">
        <v>149</v>
      </c>
      <c r="H48" s="33" t="s">
        <v>70</v>
      </c>
      <c r="I48" s="33" t="s">
        <v>109</v>
      </c>
      <c r="J48" s="33" t="s">
        <v>97</v>
      </c>
      <c r="K48" s="33"/>
      <c r="L48" s="33"/>
      <c r="M48" s="33"/>
      <c r="N48" s="33"/>
      <c r="O48" s="58">
        <f t="shared" si="8"/>
        <v>0</v>
      </c>
      <c r="P48" s="62" t="str">
        <f t="shared" si="9"/>
        <v>m3</v>
      </c>
      <c r="Q48" s="34">
        <f t="shared" si="10"/>
        <v>0</v>
      </c>
      <c r="R48" s="41" t="e">
        <f t="shared" si="11"/>
        <v>#N/A</v>
      </c>
    </row>
    <row r="49" spans="1:18" ht="30" customHeight="1" x14ac:dyDescent="0.2">
      <c r="A49" s="166"/>
      <c r="B49" s="43" t="s">
        <v>101</v>
      </c>
      <c r="C49" s="27">
        <v>0</v>
      </c>
      <c r="D49" s="29">
        <v>10</v>
      </c>
      <c r="E49" s="24">
        <v>0</v>
      </c>
      <c r="F49" s="25">
        <v>0</v>
      </c>
      <c r="G49" s="189" t="str">
        <f>VLOOKUP(D49,Package_table,2,FALSE)</f>
        <v>Miscellaneous</v>
      </c>
      <c r="H49" s="189"/>
      <c r="I49" s="189"/>
      <c r="J49" s="189"/>
      <c r="K49" s="189"/>
      <c r="L49" s="189"/>
      <c r="M49" s="189"/>
      <c r="N49" s="189"/>
      <c r="O49" s="189"/>
      <c r="P49" s="189"/>
      <c r="Q49" s="190"/>
      <c r="R49" s="44" t="s">
        <v>32</v>
      </c>
    </row>
    <row r="50" spans="1:18" ht="15" customHeight="1" x14ac:dyDescent="0.25">
      <c r="A50" s="166"/>
      <c r="B50" s="42" t="s">
        <v>41</v>
      </c>
      <c r="C50" s="30" t="e">
        <f t="shared" ref="C50:C71" si="12">VLOOKUP(H50,Location_table2,3,FALSE)</f>
        <v>#N/A</v>
      </c>
      <c r="D50" s="31">
        <f t="shared" ref="D50:D71" si="13">VLOOKUP(I50,Package_table2,3,FALSE)</f>
        <v>10</v>
      </c>
      <c r="E50" s="31">
        <v>1</v>
      </c>
      <c r="F50" s="61">
        <v>0</v>
      </c>
      <c r="G50" s="32" t="s">
        <v>150</v>
      </c>
      <c r="H50" s="33" t="s">
        <v>70</v>
      </c>
      <c r="I50" s="33" t="s">
        <v>110</v>
      </c>
      <c r="J50" s="33" t="s">
        <v>97</v>
      </c>
      <c r="K50" s="33"/>
      <c r="L50" s="33"/>
      <c r="M50" s="33"/>
      <c r="N50" s="33"/>
      <c r="O50" s="58">
        <f t="shared" ref="O50:O71" si="14">PRODUCT(K50:N50)</f>
        <v>0</v>
      </c>
      <c r="P50" s="62" t="str">
        <f t="shared" ref="P50:P71" si="15">VLOOKUP(G50,Pricing,3,FALSE)</f>
        <v>m3</v>
      </c>
      <c r="Q50" s="34">
        <f t="shared" ref="Q50:Q71" si="16">PRODUCT(O50:P50)</f>
        <v>0</v>
      </c>
      <c r="R50" s="41" t="e">
        <f t="shared" ref="R50:R71" si="17">IF(OR(VLOOKUP(H50,Location_table2,2,FALSE)="OFF",VLOOKUP(I50,Package_table2,2,FALSE)="OFF"),"H","")</f>
        <v>#N/A</v>
      </c>
    </row>
    <row r="51" spans="1:18" ht="15" customHeight="1" x14ac:dyDescent="0.25">
      <c r="A51" s="166"/>
      <c r="B51" s="42" t="s">
        <v>41</v>
      </c>
      <c r="C51" s="30" t="e">
        <f t="shared" si="12"/>
        <v>#N/A</v>
      </c>
      <c r="D51" s="31">
        <f t="shared" si="13"/>
        <v>10</v>
      </c>
      <c r="E51" s="31">
        <v>2</v>
      </c>
      <c r="F51" s="61">
        <v>0</v>
      </c>
      <c r="G51" s="32" t="s">
        <v>151</v>
      </c>
      <c r="H51" s="33" t="s">
        <v>70</v>
      </c>
      <c r="I51" s="33" t="s">
        <v>110</v>
      </c>
      <c r="J51" s="33" t="s">
        <v>98</v>
      </c>
      <c r="K51" s="33"/>
      <c r="L51" s="33"/>
      <c r="M51" s="33"/>
      <c r="N51" s="33"/>
      <c r="O51" s="58">
        <f t="shared" si="14"/>
        <v>0</v>
      </c>
      <c r="P51" s="62" t="str">
        <f t="shared" si="15"/>
        <v>m2</v>
      </c>
      <c r="Q51" s="34">
        <f t="shared" si="16"/>
        <v>0</v>
      </c>
      <c r="R51" s="41" t="e">
        <f t="shared" si="17"/>
        <v>#N/A</v>
      </c>
    </row>
    <row r="52" spans="1:18" ht="15" customHeight="1" x14ac:dyDescent="0.25">
      <c r="A52" s="166"/>
      <c r="B52" s="42" t="s">
        <v>41</v>
      </c>
      <c r="C52" s="30" t="e">
        <f t="shared" si="12"/>
        <v>#N/A</v>
      </c>
      <c r="D52" s="31">
        <f t="shared" si="13"/>
        <v>10</v>
      </c>
      <c r="E52" s="31">
        <v>3</v>
      </c>
      <c r="F52" s="61">
        <v>0</v>
      </c>
      <c r="G52" s="32" t="s">
        <v>152</v>
      </c>
      <c r="H52" s="33" t="s">
        <v>70</v>
      </c>
      <c r="I52" s="33" t="s">
        <v>110</v>
      </c>
      <c r="J52" s="33" t="s">
        <v>10</v>
      </c>
      <c r="K52" s="33"/>
      <c r="L52" s="33"/>
      <c r="M52" s="33"/>
      <c r="N52" s="33"/>
      <c r="O52" s="58">
        <f t="shared" si="14"/>
        <v>0</v>
      </c>
      <c r="P52" s="62" t="str">
        <f t="shared" si="15"/>
        <v>Nos.</v>
      </c>
      <c r="Q52" s="34">
        <f t="shared" si="16"/>
        <v>0</v>
      </c>
      <c r="R52" s="41" t="e">
        <f t="shared" si="17"/>
        <v>#N/A</v>
      </c>
    </row>
    <row r="53" spans="1:18" ht="15" customHeight="1" x14ac:dyDescent="0.25">
      <c r="A53" s="166"/>
      <c r="B53" s="42" t="s">
        <v>41</v>
      </c>
      <c r="C53" s="30" t="e">
        <f t="shared" si="12"/>
        <v>#N/A</v>
      </c>
      <c r="D53" s="31">
        <f t="shared" si="13"/>
        <v>10</v>
      </c>
      <c r="E53" s="31">
        <v>4</v>
      </c>
      <c r="F53" s="61">
        <v>0</v>
      </c>
      <c r="G53" s="32" t="s">
        <v>153</v>
      </c>
      <c r="H53" s="33" t="s">
        <v>70</v>
      </c>
      <c r="I53" s="33" t="s">
        <v>110</v>
      </c>
      <c r="J53" s="33" t="s">
        <v>17</v>
      </c>
      <c r="K53" s="33"/>
      <c r="L53" s="33"/>
      <c r="M53" s="33"/>
      <c r="N53" s="33"/>
      <c r="O53" s="58">
        <f t="shared" si="14"/>
        <v>0</v>
      </c>
      <c r="P53" s="62" t="str">
        <f t="shared" si="15"/>
        <v>Rm</v>
      </c>
      <c r="Q53" s="34">
        <f t="shared" si="16"/>
        <v>0</v>
      </c>
      <c r="R53" s="41" t="e">
        <f t="shared" si="17"/>
        <v>#N/A</v>
      </c>
    </row>
    <row r="54" spans="1:18" ht="15" customHeight="1" x14ac:dyDescent="0.25">
      <c r="A54" s="166"/>
      <c r="B54" s="42" t="s">
        <v>41</v>
      </c>
      <c r="C54" s="30" t="e">
        <f t="shared" si="12"/>
        <v>#N/A</v>
      </c>
      <c r="D54" s="31">
        <f t="shared" si="13"/>
        <v>10</v>
      </c>
      <c r="E54" s="31">
        <v>5</v>
      </c>
      <c r="F54" s="61">
        <v>0</v>
      </c>
      <c r="G54" s="32" t="s">
        <v>154</v>
      </c>
      <c r="H54" s="33" t="s">
        <v>70</v>
      </c>
      <c r="I54" s="33" t="s">
        <v>110</v>
      </c>
      <c r="J54" s="33" t="s">
        <v>17</v>
      </c>
      <c r="K54" s="33"/>
      <c r="L54" s="33"/>
      <c r="M54" s="33"/>
      <c r="N54" s="33"/>
      <c r="O54" s="58">
        <f t="shared" si="14"/>
        <v>0</v>
      </c>
      <c r="P54" s="62" t="str">
        <f t="shared" si="15"/>
        <v>Rm</v>
      </c>
      <c r="Q54" s="34">
        <f t="shared" si="16"/>
        <v>0</v>
      </c>
      <c r="R54" s="41" t="e">
        <f t="shared" si="17"/>
        <v>#N/A</v>
      </c>
    </row>
    <row r="55" spans="1:18" ht="15" customHeight="1" x14ac:dyDescent="0.25">
      <c r="A55" s="166"/>
      <c r="B55" s="42" t="s">
        <v>41</v>
      </c>
      <c r="C55" s="30" t="e">
        <f t="shared" si="12"/>
        <v>#N/A</v>
      </c>
      <c r="D55" s="31">
        <f t="shared" si="13"/>
        <v>10</v>
      </c>
      <c r="E55" s="31">
        <v>6</v>
      </c>
      <c r="F55" s="61">
        <v>0</v>
      </c>
      <c r="G55" s="32" t="s">
        <v>155</v>
      </c>
      <c r="H55" s="33" t="s">
        <v>70</v>
      </c>
      <c r="I55" s="33" t="s">
        <v>110</v>
      </c>
      <c r="J55" s="33" t="s">
        <v>17</v>
      </c>
      <c r="K55" s="33"/>
      <c r="L55" s="33"/>
      <c r="M55" s="33"/>
      <c r="N55" s="33"/>
      <c r="O55" s="58">
        <f t="shared" si="14"/>
        <v>0</v>
      </c>
      <c r="P55" s="62" t="str">
        <f t="shared" si="15"/>
        <v>Rm</v>
      </c>
      <c r="Q55" s="34">
        <f t="shared" si="16"/>
        <v>0</v>
      </c>
      <c r="R55" s="41" t="e">
        <f t="shared" si="17"/>
        <v>#N/A</v>
      </c>
    </row>
    <row r="56" spans="1:18" ht="15" customHeight="1" x14ac:dyDescent="0.25">
      <c r="A56" s="166"/>
      <c r="B56" s="42" t="s">
        <v>41</v>
      </c>
      <c r="C56" s="30" t="e">
        <f t="shared" si="12"/>
        <v>#N/A</v>
      </c>
      <c r="D56" s="31">
        <f t="shared" si="13"/>
        <v>10</v>
      </c>
      <c r="E56" s="31">
        <v>7</v>
      </c>
      <c r="F56" s="61">
        <v>0</v>
      </c>
      <c r="G56" s="32" t="s">
        <v>156</v>
      </c>
      <c r="H56" s="33" t="s">
        <v>70</v>
      </c>
      <c r="I56" s="33" t="s">
        <v>110</v>
      </c>
      <c r="J56" s="33" t="s">
        <v>17</v>
      </c>
      <c r="K56" s="33"/>
      <c r="L56" s="33"/>
      <c r="M56" s="33"/>
      <c r="N56" s="33"/>
      <c r="O56" s="58">
        <f t="shared" si="14"/>
        <v>0</v>
      </c>
      <c r="P56" s="62" t="str">
        <f t="shared" si="15"/>
        <v>Rm</v>
      </c>
      <c r="Q56" s="34">
        <f t="shared" si="16"/>
        <v>0</v>
      </c>
      <c r="R56" s="41" t="e">
        <f t="shared" si="17"/>
        <v>#N/A</v>
      </c>
    </row>
    <row r="57" spans="1:18" ht="15" customHeight="1" x14ac:dyDescent="0.25">
      <c r="A57" s="166"/>
      <c r="B57" s="42" t="s">
        <v>41</v>
      </c>
      <c r="C57" s="30" t="e">
        <f t="shared" si="12"/>
        <v>#N/A</v>
      </c>
      <c r="D57" s="31">
        <f t="shared" si="13"/>
        <v>10</v>
      </c>
      <c r="E57" s="31">
        <v>8</v>
      </c>
      <c r="F57" s="61">
        <v>0</v>
      </c>
      <c r="G57" s="32" t="s">
        <v>157</v>
      </c>
      <c r="H57" s="33" t="s">
        <v>70</v>
      </c>
      <c r="I57" s="33" t="s">
        <v>110</v>
      </c>
      <c r="J57" s="33" t="s">
        <v>17</v>
      </c>
      <c r="K57" s="33"/>
      <c r="L57" s="33"/>
      <c r="M57" s="33"/>
      <c r="N57" s="33"/>
      <c r="O57" s="58">
        <f t="shared" si="14"/>
        <v>0</v>
      </c>
      <c r="P57" s="62" t="str">
        <f t="shared" si="15"/>
        <v>Rm</v>
      </c>
      <c r="Q57" s="34">
        <f t="shared" si="16"/>
        <v>0</v>
      </c>
      <c r="R57" s="41" t="e">
        <f t="shared" si="17"/>
        <v>#N/A</v>
      </c>
    </row>
    <row r="58" spans="1:18" ht="15" customHeight="1" x14ac:dyDescent="0.25">
      <c r="A58" s="166"/>
      <c r="B58" s="42" t="s">
        <v>41</v>
      </c>
      <c r="C58" s="30" t="e">
        <f t="shared" si="12"/>
        <v>#N/A</v>
      </c>
      <c r="D58" s="31">
        <f t="shared" si="13"/>
        <v>10</v>
      </c>
      <c r="E58" s="31">
        <v>9</v>
      </c>
      <c r="F58" s="61">
        <v>0</v>
      </c>
      <c r="G58" s="32" t="s">
        <v>158</v>
      </c>
      <c r="H58" s="33" t="s">
        <v>70</v>
      </c>
      <c r="I58" s="33" t="s">
        <v>110</v>
      </c>
      <c r="J58" s="33" t="s">
        <v>17</v>
      </c>
      <c r="K58" s="33"/>
      <c r="L58" s="33"/>
      <c r="M58" s="33"/>
      <c r="N58" s="33"/>
      <c r="O58" s="58">
        <f t="shared" si="14"/>
        <v>0</v>
      </c>
      <c r="P58" s="62" t="str">
        <f t="shared" si="15"/>
        <v>Rm</v>
      </c>
      <c r="Q58" s="34">
        <f t="shared" si="16"/>
        <v>0</v>
      </c>
      <c r="R58" s="41" t="e">
        <f t="shared" si="17"/>
        <v>#N/A</v>
      </c>
    </row>
    <row r="59" spans="1:18" ht="15" customHeight="1" x14ac:dyDescent="0.25">
      <c r="A59" s="166"/>
      <c r="B59" s="42" t="s">
        <v>41</v>
      </c>
      <c r="C59" s="30" t="e">
        <f t="shared" si="12"/>
        <v>#N/A</v>
      </c>
      <c r="D59" s="31">
        <f t="shared" si="13"/>
        <v>10</v>
      </c>
      <c r="E59" s="31">
        <v>10</v>
      </c>
      <c r="F59" s="61">
        <v>0</v>
      </c>
      <c r="G59" s="32" t="s">
        <v>159</v>
      </c>
      <c r="H59" s="33" t="s">
        <v>70</v>
      </c>
      <c r="I59" s="33" t="s">
        <v>110</v>
      </c>
      <c r="J59" s="33" t="s">
        <v>17</v>
      </c>
      <c r="K59" s="33"/>
      <c r="L59" s="33"/>
      <c r="M59" s="33"/>
      <c r="N59" s="33"/>
      <c r="O59" s="58">
        <f t="shared" si="14"/>
        <v>0</v>
      </c>
      <c r="P59" s="62" t="str">
        <f t="shared" si="15"/>
        <v>Rm</v>
      </c>
      <c r="Q59" s="34">
        <f t="shared" si="16"/>
        <v>0</v>
      </c>
      <c r="R59" s="41" t="e">
        <f t="shared" si="17"/>
        <v>#N/A</v>
      </c>
    </row>
    <row r="60" spans="1:18" ht="15" customHeight="1" x14ac:dyDescent="0.25">
      <c r="A60" s="166"/>
      <c r="B60" s="42" t="s">
        <v>41</v>
      </c>
      <c r="C60" s="30" t="e">
        <f t="shared" si="12"/>
        <v>#N/A</v>
      </c>
      <c r="D60" s="31">
        <f t="shared" si="13"/>
        <v>10</v>
      </c>
      <c r="E60" s="31">
        <v>11</v>
      </c>
      <c r="F60" s="61">
        <v>0</v>
      </c>
      <c r="G60" s="32" t="s">
        <v>160</v>
      </c>
      <c r="H60" s="33" t="s">
        <v>70</v>
      </c>
      <c r="I60" s="33" t="s">
        <v>110</v>
      </c>
      <c r="J60" s="33" t="s">
        <v>17</v>
      </c>
      <c r="K60" s="33"/>
      <c r="L60" s="33"/>
      <c r="M60" s="33"/>
      <c r="N60" s="33"/>
      <c r="O60" s="58">
        <f t="shared" si="14"/>
        <v>0</v>
      </c>
      <c r="P60" s="62" t="str">
        <f t="shared" si="15"/>
        <v>Rm</v>
      </c>
      <c r="Q60" s="34">
        <f t="shared" si="16"/>
        <v>0</v>
      </c>
      <c r="R60" s="41" t="e">
        <f t="shared" si="17"/>
        <v>#N/A</v>
      </c>
    </row>
    <row r="61" spans="1:18" ht="15" customHeight="1" x14ac:dyDescent="0.25">
      <c r="A61" s="166"/>
      <c r="B61" s="42" t="s">
        <v>41</v>
      </c>
      <c r="C61" s="30" t="e">
        <f t="shared" si="12"/>
        <v>#N/A</v>
      </c>
      <c r="D61" s="31">
        <f t="shared" si="13"/>
        <v>10</v>
      </c>
      <c r="E61" s="31">
        <v>12</v>
      </c>
      <c r="F61" s="61">
        <v>0</v>
      </c>
      <c r="G61" s="32" t="s">
        <v>161</v>
      </c>
      <c r="H61" s="33" t="s">
        <v>70</v>
      </c>
      <c r="I61" s="33" t="s">
        <v>110</v>
      </c>
      <c r="J61" s="33" t="s">
        <v>17</v>
      </c>
      <c r="K61" s="33"/>
      <c r="L61" s="33"/>
      <c r="M61" s="33"/>
      <c r="N61" s="33"/>
      <c r="O61" s="58">
        <f t="shared" si="14"/>
        <v>0</v>
      </c>
      <c r="P61" s="62" t="str">
        <f t="shared" si="15"/>
        <v>Rm</v>
      </c>
      <c r="Q61" s="34">
        <f t="shared" si="16"/>
        <v>0</v>
      </c>
      <c r="R61" s="41" t="e">
        <f t="shared" si="17"/>
        <v>#N/A</v>
      </c>
    </row>
    <row r="62" spans="1:18" ht="15" customHeight="1" x14ac:dyDescent="0.25">
      <c r="A62" s="166"/>
      <c r="B62" s="42" t="s">
        <v>41</v>
      </c>
      <c r="C62" s="30" t="e">
        <f t="shared" si="12"/>
        <v>#N/A</v>
      </c>
      <c r="D62" s="31">
        <f t="shared" si="13"/>
        <v>10</v>
      </c>
      <c r="E62" s="31">
        <v>13</v>
      </c>
      <c r="F62" s="61">
        <v>0</v>
      </c>
      <c r="G62" s="32" t="s">
        <v>162</v>
      </c>
      <c r="H62" s="33" t="s">
        <v>70</v>
      </c>
      <c r="I62" s="33" t="s">
        <v>110</v>
      </c>
      <c r="J62" s="33" t="s">
        <v>17</v>
      </c>
      <c r="K62" s="33"/>
      <c r="L62" s="33"/>
      <c r="M62" s="33"/>
      <c r="N62" s="33"/>
      <c r="O62" s="58">
        <f t="shared" si="14"/>
        <v>0</v>
      </c>
      <c r="P62" s="62" t="str">
        <f t="shared" si="15"/>
        <v>Rm</v>
      </c>
      <c r="Q62" s="34">
        <f t="shared" si="16"/>
        <v>0</v>
      </c>
      <c r="R62" s="41" t="e">
        <f t="shared" si="17"/>
        <v>#N/A</v>
      </c>
    </row>
    <row r="63" spans="1:18" ht="15" customHeight="1" x14ac:dyDescent="0.25">
      <c r="A63" s="166"/>
      <c r="B63" s="42" t="s">
        <v>41</v>
      </c>
      <c r="C63" s="30" t="e">
        <f t="shared" si="12"/>
        <v>#N/A</v>
      </c>
      <c r="D63" s="31">
        <f t="shared" si="13"/>
        <v>10</v>
      </c>
      <c r="E63" s="31">
        <v>14</v>
      </c>
      <c r="F63" s="61">
        <v>0</v>
      </c>
      <c r="G63" s="32" t="s">
        <v>163</v>
      </c>
      <c r="H63" s="33" t="s">
        <v>70</v>
      </c>
      <c r="I63" s="33" t="s">
        <v>110</v>
      </c>
      <c r="J63" s="33" t="s">
        <v>17</v>
      </c>
      <c r="K63" s="33"/>
      <c r="L63" s="33"/>
      <c r="M63" s="33"/>
      <c r="N63" s="33"/>
      <c r="O63" s="58">
        <f t="shared" si="14"/>
        <v>0</v>
      </c>
      <c r="P63" s="62" t="str">
        <f t="shared" si="15"/>
        <v>Rm</v>
      </c>
      <c r="Q63" s="34">
        <f t="shared" si="16"/>
        <v>0</v>
      </c>
      <c r="R63" s="41" t="e">
        <f t="shared" si="17"/>
        <v>#N/A</v>
      </c>
    </row>
    <row r="64" spans="1:18" ht="15" customHeight="1" x14ac:dyDescent="0.25">
      <c r="A64" s="166"/>
      <c r="B64" s="42" t="s">
        <v>41</v>
      </c>
      <c r="C64" s="30" t="e">
        <f t="shared" si="12"/>
        <v>#N/A</v>
      </c>
      <c r="D64" s="31">
        <f t="shared" si="13"/>
        <v>10</v>
      </c>
      <c r="E64" s="31">
        <v>15</v>
      </c>
      <c r="F64" s="61">
        <v>0</v>
      </c>
      <c r="G64" s="32" t="s">
        <v>164</v>
      </c>
      <c r="H64" s="33" t="s">
        <v>70</v>
      </c>
      <c r="I64" s="33" t="s">
        <v>110</v>
      </c>
      <c r="J64" s="33" t="s">
        <v>17</v>
      </c>
      <c r="K64" s="33"/>
      <c r="L64" s="33"/>
      <c r="M64" s="33"/>
      <c r="N64" s="33"/>
      <c r="O64" s="58">
        <f t="shared" si="14"/>
        <v>0</v>
      </c>
      <c r="P64" s="62" t="str">
        <f t="shared" si="15"/>
        <v>Rm</v>
      </c>
      <c r="Q64" s="34">
        <f t="shared" si="16"/>
        <v>0</v>
      </c>
      <c r="R64" s="41" t="e">
        <f t="shared" si="17"/>
        <v>#N/A</v>
      </c>
    </row>
    <row r="65" spans="1:18" ht="15" customHeight="1" x14ac:dyDescent="0.25">
      <c r="A65" s="166"/>
      <c r="B65" s="42" t="s">
        <v>41</v>
      </c>
      <c r="C65" s="30" t="e">
        <f t="shared" si="12"/>
        <v>#N/A</v>
      </c>
      <c r="D65" s="31">
        <f t="shared" si="13"/>
        <v>10</v>
      </c>
      <c r="E65" s="31">
        <v>16</v>
      </c>
      <c r="F65" s="61">
        <v>0</v>
      </c>
      <c r="G65" s="32" t="s">
        <v>165</v>
      </c>
      <c r="H65" s="33" t="s">
        <v>70</v>
      </c>
      <c r="I65" s="33" t="s">
        <v>110</v>
      </c>
      <c r="J65" s="33" t="s">
        <v>17</v>
      </c>
      <c r="K65" s="33"/>
      <c r="L65" s="33"/>
      <c r="M65" s="33"/>
      <c r="N65" s="33"/>
      <c r="O65" s="58">
        <f t="shared" si="14"/>
        <v>0</v>
      </c>
      <c r="P65" s="62" t="str">
        <f t="shared" si="15"/>
        <v>Rm</v>
      </c>
      <c r="Q65" s="34">
        <f t="shared" si="16"/>
        <v>0</v>
      </c>
      <c r="R65" s="41" t="e">
        <f t="shared" si="17"/>
        <v>#N/A</v>
      </c>
    </row>
    <row r="66" spans="1:18" ht="15" customHeight="1" x14ac:dyDescent="0.25">
      <c r="A66" s="166"/>
      <c r="B66" s="42" t="s">
        <v>41</v>
      </c>
      <c r="C66" s="30" t="e">
        <f t="shared" si="12"/>
        <v>#N/A</v>
      </c>
      <c r="D66" s="31">
        <f t="shared" si="13"/>
        <v>10</v>
      </c>
      <c r="E66" s="31">
        <v>17</v>
      </c>
      <c r="F66" s="61">
        <v>0</v>
      </c>
      <c r="G66" s="32" t="s">
        <v>166</v>
      </c>
      <c r="H66" s="33" t="s">
        <v>70</v>
      </c>
      <c r="I66" s="33" t="s">
        <v>110</v>
      </c>
      <c r="J66" s="33" t="s">
        <v>17</v>
      </c>
      <c r="K66" s="33"/>
      <c r="L66" s="33"/>
      <c r="M66" s="33"/>
      <c r="N66" s="33"/>
      <c r="O66" s="58">
        <f t="shared" si="14"/>
        <v>0</v>
      </c>
      <c r="P66" s="62" t="str">
        <f t="shared" si="15"/>
        <v>Rm</v>
      </c>
      <c r="Q66" s="34">
        <f t="shared" si="16"/>
        <v>0</v>
      </c>
      <c r="R66" s="41" t="e">
        <f t="shared" si="17"/>
        <v>#N/A</v>
      </c>
    </row>
    <row r="67" spans="1:18" ht="15" customHeight="1" x14ac:dyDescent="0.25">
      <c r="A67" s="166"/>
      <c r="B67" s="42" t="s">
        <v>41</v>
      </c>
      <c r="C67" s="30" t="e">
        <f t="shared" si="12"/>
        <v>#N/A</v>
      </c>
      <c r="D67" s="31">
        <f t="shared" si="13"/>
        <v>10</v>
      </c>
      <c r="E67" s="31">
        <v>18</v>
      </c>
      <c r="F67" s="61">
        <v>0</v>
      </c>
      <c r="G67" s="32" t="s">
        <v>167</v>
      </c>
      <c r="H67" s="33" t="s">
        <v>70</v>
      </c>
      <c r="I67" s="33" t="s">
        <v>110</v>
      </c>
      <c r="J67" s="33" t="s">
        <v>17</v>
      </c>
      <c r="K67" s="33"/>
      <c r="L67" s="33"/>
      <c r="M67" s="33"/>
      <c r="N67" s="33"/>
      <c r="O67" s="58">
        <f t="shared" si="14"/>
        <v>0</v>
      </c>
      <c r="P67" s="62" t="str">
        <f t="shared" si="15"/>
        <v>Rm</v>
      </c>
      <c r="Q67" s="34">
        <f t="shared" si="16"/>
        <v>0</v>
      </c>
      <c r="R67" s="41" t="e">
        <f t="shared" si="17"/>
        <v>#N/A</v>
      </c>
    </row>
    <row r="68" spans="1:18" ht="15" customHeight="1" x14ac:dyDescent="0.25">
      <c r="A68" s="166"/>
      <c r="B68" s="42" t="s">
        <v>41</v>
      </c>
      <c r="C68" s="30" t="e">
        <f t="shared" si="12"/>
        <v>#N/A</v>
      </c>
      <c r="D68" s="31">
        <f t="shared" si="13"/>
        <v>10</v>
      </c>
      <c r="E68" s="31">
        <v>19</v>
      </c>
      <c r="F68" s="61">
        <v>0</v>
      </c>
      <c r="G68" s="32" t="s">
        <v>168</v>
      </c>
      <c r="H68" s="33" t="s">
        <v>70</v>
      </c>
      <c r="I68" s="33" t="s">
        <v>110</v>
      </c>
      <c r="J68" s="33" t="s">
        <v>97</v>
      </c>
      <c r="K68" s="33"/>
      <c r="L68" s="33"/>
      <c r="M68" s="33"/>
      <c r="N68" s="33"/>
      <c r="O68" s="58">
        <f t="shared" si="14"/>
        <v>0</v>
      </c>
      <c r="P68" s="62" t="str">
        <f t="shared" si="15"/>
        <v>m3</v>
      </c>
      <c r="Q68" s="34">
        <f t="shared" si="16"/>
        <v>0</v>
      </c>
      <c r="R68" s="41" t="e">
        <f t="shared" si="17"/>
        <v>#N/A</v>
      </c>
    </row>
    <row r="69" spans="1:18" ht="15" customHeight="1" x14ac:dyDescent="0.25">
      <c r="A69" s="166"/>
      <c r="B69" s="42" t="s">
        <v>41</v>
      </c>
      <c r="C69" s="30" t="e">
        <f t="shared" si="12"/>
        <v>#N/A</v>
      </c>
      <c r="D69" s="31">
        <f t="shared" si="13"/>
        <v>10</v>
      </c>
      <c r="E69" s="31">
        <v>20</v>
      </c>
      <c r="F69" s="61">
        <v>0</v>
      </c>
      <c r="G69" s="32" t="s">
        <v>169</v>
      </c>
      <c r="H69" s="33" t="s">
        <v>70</v>
      </c>
      <c r="I69" s="33" t="s">
        <v>110</v>
      </c>
      <c r="J69" s="33" t="s">
        <v>97</v>
      </c>
      <c r="K69" s="33"/>
      <c r="L69" s="33"/>
      <c r="M69" s="33"/>
      <c r="N69" s="33"/>
      <c r="O69" s="58">
        <f t="shared" si="14"/>
        <v>0</v>
      </c>
      <c r="P69" s="62" t="str">
        <f t="shared" si="15"/>
        <v>m3</v>
      </c>
      <c r="Q69" s="34">
        <f t="shared" si="16"/>
        <v>0</v>
      </c>
      <c r="R69" s="41" t="e">
        <f t="shared" si="17"/>
        <v>#N/A</v>
      </c>
    </row>
    <row r="70" spans="1:18" ht="15" customHeight="1" x14ac:dyDescent="0.25">
      <c r="A70" s="166"/>
      <c r="B70" s="42" t="s">
        <v>41</v>
      </c>
      <c r="C70" s="30" t="e">
        <f t="shared" si="12"/>
        <v>#N/A</v>
      </c>
      <c r="D70" s="31">
        <f t="shared" si="13"/>
        <v>10</v>
      </c>
      <c r="E70" s="31">
        <v>21</v>
      </c>
      <c r="F70" s="61">
        <v>0</v>
      </c>
      <c r="G70" s="32" t="s">
        <v>170</v>
      </c>
      <c r="H70" s="33" t="s">
        <v>70</v>
      </c>
      <c r="I70" s="33" t="s">
        <v>110</v>
      </c>
      <c r="J70" s="33" t="s">
        <v>97</v>
      </c>
      <c r="K70" s="33"/>
      <c r="L70" s="33"/>
      <c r="M70" s="33"/>
      <c r="N70" s="33"/>
      <c r="O70" s="58">
        <f t="shared" si="14"/>
        <v>0</v>
      </c>
      <c r="P70" s="62" t="str">
        <f t="shared" si="15"/>
        <v>m3</v>
      </c>
      <c r="Q70" s="34">
        <f t="shared" si="16"/>
        <v>0</v>
      </c>
      <c r="R70" s="41" t="e">
        <f t="shared" si="17"/>
        <v>#N/A</v>
      </c>
    </row>
    <row r="71" spans="1:18" ht="15" customHeight="1" thickBot="1" x14ac:dyDescent="0.3">
      <c r="A71" s="166"/>
      <c r="B71" s="42" t="s">
        <v>41</v>
      </c>
      <c r="C71" s="30" t="e">
        <f t="shared" si="12"/>
        <v>#N/A</v>
      </c>
      <c r="D71" s="31">
        <f t="shared" si="13"/>
        <v>10</v>
      </c>
      <c r="E71" s="31">
        <v>22</v>
      </c>
      <c r="F71" s="61">
        <v>0</v>
      </c>
      <c r="G71" s="32" t="s">
        <v>171</v>
      </c>
      <c r="H71" s="33" t="s">
        <v>70</v>
      </c>
      <c r="I71" s="33" t="s">
        <v>110</v>
      </c>
      <c r="J71" s="33" t="s">
        <v>254</v>
      </c>
      <c r="K71" s="33"/>
      <c r="L71" s="33"/>
      <c r="M71" s="33"/>
      <c r="N71" s="33"/>
      <c r="O71" s="58">
        <f t="shared" si="14"/>
        <v>0</v>
      </c>
      <c r="P71" s="62" t="str">
        <f t="shared" si="15"/>
        <v>LS</v>
      </c>
      <c r="Q71" s="34">
        <f t="shared" si="16"/>
        <v>0</v>
      </c>
      <c r="R71" s="41" t="e">
        <f t="shared" si="17"/>
        <v>#N/A</v>
      </c>
    </row>
    <row r="72" spans="1:18" ht="30" customHeight="1" x14ac:dyDescent="0.2">
      <c r="A72" s="166"/>
      <c r="B72" s="43" t="s">
        <v>101</v>
      </c>
      <c r="C72" s="27">
        <v>0</v>
      </c>
      <c r="D72" s="29">
        <v>11</v>
      </c>
      <c r="E72" s="24">
        <v>0</v>
      </c>
      <c r="F72" s="25">
        <v>0</v>
      </c>
      <c r="G72" s="189" t="str">
        <f>VLOOKUP(D72,Package_table,2,FALSE)</f>
        <v>Sheeting</v>
      </c>
      <c r="H72" s="189"/>
      <c r="I72" s="189"/>
      <c r="J72" s="189"/>
      <c r="K72" s="189"/>
      <c r="L72" s="189"/>
      <c r="M72" s="189"/>
      <c r="N72" s="189"/>
      <c r="O72" s="189"/>
      <c r="P72" s="189"/>
      <c r="Q72" s="190"/>
      <c r="R72" s="44" t="s">
        <v>32</v>
      </c>
    </row>
    <row r="73" spans="1:18" ht="15" customHeight="1" x14ac:dyDescent="0.25">
      <c r="A73" s="166"/>
      <c r="B73" s="42" t="s">
        <v>41</v>
      </c>
      <c r="C73" s="30" t="e">
        <f>VLOOKUP(H73,Location_table2,3,FALSE)</f>
        <v>#N/A</v>
      </c>
      <c r="D73" s="31">
        <f>VLOOKUP(I73,Package_table2,3,FALSE)</f>
        <v>11</v>
      </c>
      <c r="E73" s="31">
        <v>1</v>
      </c>
      <c r="F73" s="61">
        <v>0</v>
      </c>
      <c r="G73" s="32" t="s">
        <v>172</v>
      </c>
      <c r="H73" s="33" t="s">
        <v>70</v>
      </c>
      <c r="I73" s="33" t="s">
        <v>111</v>
      </c>
      <c r="J73" s="33" t="s">
        <v>98</v>
      </c>
      <c r="K73" s="33"/>
      <c r="L73" s="33"/>
      <c r="M73" s="33"/>
      <c r="N73" s="33"/>
      <c r="O73" s="58">
        <f>PRODUCT(K73:N73)</f>
        <v>0</v>
      </c>
      <c r="P73" s="62" t="str">
        <f>VLOOKUP(G73,Pricing,3,FALSE)</f>
        <v>m2</v>
      </c>
      <c r="Q73" s="34">
        <f>PRODUCT(O73:P73)</f>
        <v>0</v>
      </c>
      <c r="R73" s="41" t="e">
        <f>IF(OR(VLOOKUP(H73,Location_table2,2,FALSE)="OFF",VLOOKUP(I73,Package_table2,2,FALSE)="OFF"),"H","")</f>
        <v>#N/A</v>
      </c>
    </row>
    <row r="74" spans="1:18" ht="15" customHeight="1" x14ac:dyDescent="0.25">
      <c r="A74" s="166"/>
      <c r="B74" s="42" t="s">
        <v>41</v>
      </c>
      <c r="C74" s="30" t="e">
        <f>VLOOKUP(H74,Location_table2,3,FALSE)</f>
        <v>#N/A</v>
      </c>
      <c r="D74" s="31">
        <f>VLOOKUP(I74,Package_table2,3,FALSE)</f>
        <v>11</v>
      </c>
      <c r="E74" s="31">
        <v>2</v>
      </c>
      <c r="F74" s="61">
        <v>0</v>
      </c>
      <c r="G74" s="32" t="s">
        <v>173</v>
      </c>
      <c r="H74" s="33" t="s">
        <v>70</v>
      </c>
      <c r="I74" s="33" t="s">
        <v>111</v>
      </c>
      <c r="J74" s="33" t="s">
        <v>98</v>
      </c>
      <c r="K74" s="33"/>
      <c r="L74" s="33"/>
      <c r="M74" s="33"/>
      <c r="N74" s="33"/>
      <c r="O74" s="58">
        <f>PRODUCT(K74:N74)</f>
        <v>0</v>
      </c>
      <c r="P74" s="62" t="str">
        <f>VLOOKUP(G74,Pricing,3,FALSE)</f>
        <v>m2</v>
      </c>
      <c r="Q74" s="34">
        <f>PRODUCT(O74:P74)</f>
        <v>0</v>
      </c>
      <c r="R74" s="41" t="e">
        <f>IF(OR(VLOOKUP(H74,Location_table2,2,FALSE)="OFF",VLOOKUP(I74,Package_table2,2,FALSE)="OFF"),"H","")</f>
        <v>#N/A</v>
      </c>
    </row>
    <row r="75" spans="1:18" ht="15" customHeight="1" x14ac:dyDescent="0.25">
      <c r="A75" s="166"/>
      <c r="B75" s="42" t="s">
        <v>41</v>
      </c>
      <c r="C75" s="30" t="e">
        <f>VLOOKUP(H75,Location_table2,3,FALSE)</f>
        <v>#N/A</v>
      </c>
      <c r="D75" s="31">
        <f>VLOOKUP(I75,Package_table2,3,FALSE)</f>
        <v>11</v>
      </c>
      <c r="E75" s="31">
        <v>3</v>
      </c>
      <c r="F75" s="61">
        <v>0</v>
      </c>
      <c r="G75" s="32" t="s">
        <v>174</v>
      </c>
      <c r="H75" s="33" t="s">
        <v>70</v>
      </c>
      <c r="I75" s="33" t="s">
        <v>111</v>
      </c>
      <c r="J75" s="33" t="s">
        <v>98</v>
      </c>
      <c r="K75" s="33"/>
      <c r="L75" s="33"/>
      <c r="M75" s="33"/>
      <c r="N75" s="33"/>
      <c r="O75" s="58">
        <f>PRODUCT(K75:N75)</f>
        <v>0</v>
      </c>
      <c r="P75" s="62" t="str">
        <f>VLOOKUP(G75,Pricing,3,FALSE)</f>
        <v>m2</v>
      </c>
      <c r="Q75" s="34">
        <f>PRODUCT(O75:P75)</f>
        <v>0</v>
      </c>
      <c r="R75" s="41" t="e">
        <f>IF(OR(VLOOKUP(H75,Location_table2,2,FALSE)="OFF",VLOOKUP(I75,Package_table2,2,FALSE)="OFF"),"H","")</f>
        <v>#N/A</v>
      </c>
    </row>
    <row r="76" spans="1:18" ht="15" customHeight="1" thickBot="1" x14ac:dyDescent="0.3">
      <c r="A76" s="166"/>
      <c r="B76" s="42" t="s">
        <v>41</v>
      </c>
      <c r="C76" s="30" t="e">
        <f>VLOOKUP(H76,Location_table2,3,FALSE)</f>
        <v>#N/A</v>
      </c>
      <c r="D76" s="31">
        <f>VLOOKUP(I76,Package_table2,3,FALSE)</f>
        <v>11</v>
      </c>
      <c r="E76" s="31">
        <v>4</v>
      </c>
      <c r="F76" s="61">
        <v>0</v>
      </c>
      <c r="G76" s="32" t="s">
        <v>175</v>
      </c>
      <c r="H76" s="33" t="s">
        <v>70</v>
      </c>
      <c r="I76" s="33" t="s">
        <v>111</v>
      </c>
      <c r="J76" s="33" t="s">
        <v>98</v>
      </c>
      <c r="K76" s="33"/>
      <c r="L76" s="33"/>
      <c r="M76" s="33"/>
      <c r="N76" s="33"/>
      <c r="O76" s="58">
        <f>PRODUCT(K76:N76)</f>
        <v>0</v>
      </c>
      <c r="P76" s="62" t="str">
        <f>VLOOKUP(G76,Pricing,3,FALSE)</f>
        <v>m2</v>
      </c>
      <c r="Q76" s="34">
        <f>PRODUCT(O76:P76)</f>
        <v>0</v>
      </c>
      <c r="R76" s="41" t="e">
        <f>IF(OR(VLOOKUP(H76,Location_table2,2,FALSE)="OFF",VLOOKUP(I76,Package_table2,2,FALSE)="OFF"),"H","")</f>
        <v>#N/A</v>
      </c>
    </row>
    <row r="77" spans="1:18" ht="30" customHeight="1" x14ac:dyDescent="0.2">
      <c r="A77" s="166"/>
      <c r="B77" s="43" t="s">
        <v>101</v>
      </c>
      <c r="C77" s="27">
        <v>0</v>
      </c>
      <c r="D77" s="29">
        <v>12</v>
      </c>
      <c r="E77" s="24">
        <v>0</v>
      </c>
      <c r="F77" s="25">
        <v>0</v>
      </c>
      <c r="G77" s="189" t="str">
        <f>VLOOKUP(D77,Package_table,2,FALSE)</f>
        <v>Masonry_works</v>
      </c>
      <c r="H77" s="189"/>
      <c r="I77" s="189"/>
      <c r="J77" s="189"/>
      <c r="K77" s="189"/>
      <c r="L77" s="189"/>
      <c r="M77" s="189"/>
      <c r="N77" s="189"/>
      <c r="O77" s="189"/>
      <c r="P77" s="189"/>
      <c r="Q77" s="190"/>
      <c r="R77" s="44" t="s">
        <v>32</v>
      </c>
    </row>
    <row r="78" spans="1:18" ht="15" customHeight="1" x14ac:dyDescent="0.25">
      <c r="A78" s="166"/>
      <c r="B78" s="42" t="s">
        <v>41</v>
      </c>
      <c r="C78" s="30" t="e">
        <f>VLOOKUP(H78,Location_table2,3,FALSE)</f>
        <v>#N/A</v>
      </c>
      <c r="D78" s="31" t="e">
        <f>VLOOKUP(I78,Package_table2,3,FALSE)</f>
        <v>#N/A</v>
      </c>
      <c r="E78" s="31">
        <v>1</v>
      </c>
      <c r="F78" s="61">
        <v>0</v>
      </c>
      <c r="G78" s="32" t="s">
        <v>176</v>
      </c>
      <c r="H78" s="33" t="s">
        <v>70</v>
      </c>
      <c r="I78" s="33" t="s">
        <v>112</v>
      </c>
      <c r="J78" s="33" t="s">
        <v>97</v>
      </c>
      <c r="K78" s="33"/>
      <c r="L78" s="33"/>
      <c r="M78" s="33"/>
      <c r="N78" s="33"/>
      <c r="O78" s="58">
        <f>PRODUCT(K78:N78)</f>
        <v>0</v>
      </c>
      <c r="P78" s="62" t="str">
        <f>VLOOKUP(G78,Pricing,3,FALSE)</f>
        <v>m3</v>
      </c>
      <c r="Q78" s="34">
        <f>PRODUCT(O78:P78)</f>
        <v>0</v>
      </c>
      <c r="R78" s="41" t="e">
        <f>IF(OR(VLOOKUP(H78,Location_table2,2,FALSE)="OFF",VLOOKUP(I78,Package_table2,2,FALSE)="OFF"),"H","")</f>
        <v>#N/A</v>
      </c>
    </row>
    <row r="79" spans="1:18" ht="15" customHeight="1" x14ac:dyDescent="0.25">
      <c r="A79" s="166"/>
      <c r="B79" s="42" t="s">
        <v>41</v>
      </c>
      <c r="C79" s="30" t="e">
        <f>VLOOKUP(H79,Location_table2,3,FALSE)</f>
        <v>#N/A</v>
      </c>
      <c r="D79" s="31" t="e">
        <f>VLOOKUP(I79,Package_table2,3,FALSE)</f>
        <v>#N/A</v>
      </c>
      <c r="E79" s="31">
        <v>2</v>
      </c>
      <c r="F79" s="61">
        <v>0</v>
      </c>
      <c r="G79" s="32" t="s">
        <v>177</v>
      </c>
      <c r="H79" s="33" t="s">
        <v>70</v>
      </c>
      <c r="I79" s="33" t="s">
        <v>112</v>
      </c>
      <c r="J79" s="33" t="s">
        <v>97</v>
      </c>
      <c r="K79" s="33"/>
      <c r="L79" s="33"/>
      <c r="M79" s="33"/>
      <c r="N79" s="33"/>
      <c r="O79" s="58">
        <f>PRODUCT(K79:N79)</f>
        <v>0</v>
      </c>
      <c r="P79" s="62" t="str">
        <f>VLOOKUP(G79,Pricing,3,FALSE)</f>
        <v>m3</v>
      </c>
      <c r="Q79" s="34">
        <f>PRODUCT(O79:P79)</f>
        <v>0</v>
      </c>
      <c r="R79" s="41" t="e">
        <f>IF(OR(VLOOKUP(H79,Location_table2,2,FALSE)="OFF",VLOOKUP(I79,Package_table2,2,FALSE)="OFF"),"H","")</f>
        <v>#N/A</v>
      </c>
    </row>
    <row r="80" spans="1:18" ht="15" customHeight="1" x14ac:dyDescent="0.25">
      <c r="A80" s="166"/>
      <c r="B80" s="42" t="s">
        <v>41</v>
      </c>
      <c r="C80" s="30" t="e">
        <f>VLOOKUP(H80,Location_table2,3,FALSE)</f>
        <v>#N/A</v>
      </c>
      <c r="D80" s="31" t="e">
        <f>VLOOKUP(I80,Package_table2,3,FALSE)</f>
        <v>#N/A</v>
      </c>
      <c r="E80" s="31">
        <v>3</v>
      </c>
      <c r="F80" s="61">
        <v>0</v>
      </c>
      <c r="G80" s="32" t="s">
        <v>178</v>
      </c>
      <c r="H80" s="33" t="s">
        <v>70</v>
      </c>
      <c r="I80" s="33" t="s">
        <v>112</v>
      </c>
      <c r="J80" s="33" t="s">
        <v>97</v>
      </c>
      <c r="K80" s="33"/>
      <c r="L80" s="33"/>
      <c r="M80" s="33"/>
      <c r="N80" s="33"/>
      <c r="O80" s="58">
        <f>PRODUCT(K80:N80)</f>
        <v>0</v>
      </c>
      <c r="P80" s="62" t="str">
        <f>VLOOKUP(G80,Pricing,3,FALSE)</f>
        <v>m3</v>
      </c>
      <c r="Q80" s="34">
        <f>PRODUCT(O80:P80)</f>
        <v>0</v>
      </c>
      <c r="R80" s="41" t="e">
        <f>IF(OR(VLOOKUP(H80,Location_table2,2,FALSE)="OFF",VLOOKUP(I80,Package_table2,2,FALSE)="OFF"),"H","")</f>
        <v>#N/A</v>
      </c>
    </row>
    <row r="81" spans="1:18" ht="15" customHeight="1" x14ac:dyDescent="0.25">
      <c r="A81" s="166"/>
      <c r="B81" s="42" t="s">
        <v>41</v>
      </c>
      <c r="C81" s="30" t="e">
        <f>VLOOKUP(H81,Location_table2,3,FALSE)</f>
        <v>#N/A</v>
      </c>
      <c r="D81" s="31" t="e">
        <f>VLOOKUP(I81,Package_table2,3,FALSE)</f>
        <v>#N/A</v>
      </c>
      <c r="E81" s="31">
        <v>4</v>
      </c>
      <c r="F81" s="61">
        <v>0</v>
      </c>
      <c r="G81" s="32" t="s">
        <v>179</v>
      </c>
      <c r="H81" s="33" t="s">
        <v>70</v>
      </c>
      <c r="I81" s="33" t="s">
        <v>112</v>
      </c>
      <c r="J81" s="33" t="s">
        <v>97</v>
      </c>
      <c r="K81" s="33"/>
      <c r="L81" s="33"/>
      <c r="M81" s="33"/>
      <c r="N81" s="33"/>
      <c r="O81" s="58">
        <f>PRODUCT(K81:N81)</f>
        <v>0</v>
      </c>
      <c r="P81" s="62" t="str">
        <f>VLOOKUP(G81,Pricing,3,FALSE)</f>
        <v>m3</v>
      </c>
      <c r="Q81" s="34">
        <f>PRODUCT(O81:P81)</f>
        <v>0</v>
      </c>
      <c r="R81" s="41" t="e">
        <f>IF(OR(VLOOKUP(H81,Location_table2,2,FALSE)="OFF",VLOOKUP(I81,Package_table2,2,FALSE)="OFF"),"H","")</f>
        <v>#N/A</v>
      </c>
    </row>
    <row r="82" spans="1:18" ht="15" customHeight="1" thickBot="1" x14ac:dyDescent="0.3">
      <c r="A82" s="166"/>
      <c r="B82" s="42" t="s">
        <v>41</v>
      </c>
      <c r="C82" s="30" t="e">
        <f>VLOOKUP(H82,Location_table2,3,FALSE)</f>
        <v>#N/A</v>
      </c>
      <c r="D82" s="31" t="e">
        <f>VLOOKUP(I82,Package_table2,3,FALSE)</f>
        <v>#N/A</v>
      </c>
      <c r="E82" s="31">
        <v>5</v>
      </c>
      <c r="F82" s="61">
        <v>0</v>
      </c>
      <c r="G82" s="32" t="s">
        <v>180</v>
      </c>
      <c r="H82" s="33" t="s">
        <v>70</v>
      </c>
      <c r="I82" s="33" t="s">
        <v>112</v>
      </c>
      <c r="J82" s="33" t="s">
        <v>98</v>
      </c>
      <c r="K82" s="33"/>
      <c r="L82" s="33"/>
      <c r="M82" s="33"/>
      <c r="N82" s="33"/>
      <c r="O82" s="58">
        <f>PRODUCT(K82:N82)</f>
        <v>0</v>
      </c>
      <c r="P82" s="62" t="str">
        <f>VLOOKUP(G82,Pricing,3,FALSE)</f>
        <v>m2</v>
      </c>
      <c r="Q82" s="34">
        <f>PRODUCT(O82:P82)</f>
        <v>0</v>
      </c>
      <c r="R82" s="41" t="e">
        <f>IF(OR(VLOOKUP(H82,Location_table2,2,FALSE)="OFF",VLOOKUP(I82,Package_table2,2,FALSE)="OFF"),"H","")</f>
        <v>#N/A</v>
      </c>
    </row>
    <row r="83" spans="1:18" ht="30" customHeight="1" x14ac:dyDescent="0.2">
      <c r="A83" s="166"/>
      <c r="B83" s="43" t="s">
        <v>101</v>
      </c>
      <c r="C83" s="27">
        <v>0</v>
      </c>
      <c r="D83" s="29">
        <v>13</v>
      </c>
      <c r="E83" s="24">
        <v>0</v>
      </c>
      <c r="F83" s="25">
        <v>0</v>
      </c>
      <c r="G83" s="189" t="str">
        <f>VLOOKUP(D83,Package_table,2,FALSE)</f>
        <v>Plastering_works</v>
      </c>
      <c r="H83" s="189"/>
      <c r="I83" s="189"/>
      <c r="J83" s="189"/>
      <c r="K83" s="189"/>
      <c r="L83" s="189"/>
      <c r="M83" s="189"/>
      <c r="N83" s="189"/>
      <c r="O83" s="189"/>
      <c r="P83" s="189"/>
      <c r="Q83" s="190"/>
      <c r="R83" s="44" t="s">
        <v>32</v>
      </c>
    </row>
    <row r="84" spans="1:18" ht="15" customHeight="1" x14ac:dyDescent="0.25">
      <c r="A84" s="166"/>
      <c r="B84" s="42" t="s">
        <v>41</v>
      </c>
      <c r="C84" s="30" t="e">
        <f>VLOOKUP(H84,Location_table2,3,FALSE)</f>
        <v>#N/A</v>
      </c>
      <c r="D84" s="31" t="e">
        <f>VLOOKUP(I84,Package_table2,3,FALSE)</f>
        <v>#N/A</v>
      </c>
      <c r="E84" s="31">
        <v>1</v>
      </c>
      <c r="F84" s="61">
        <v>0</v>
      </c>
      <c r="G84" s="32" t="s">
        <v>181</v>
      </c>
      <c r="H84" s="33" t="s">
        <v>70</v>
      </c>
      <c r="I84" s="33" t="s">
        <v>113</v>
      </c>
      <c r="J84" s="33" t="s">
        <v>98</v>
      </c>
      <c r="K84" s="33"/>
      <c r="L84" s="33"/>
      <c r="M84" s="33"/>
      <c r="N84" s="33"/>
      <c r="O84" s="58">
        <f>PRODUCT(K84:N84)</f>
        <v>0</v>
      </c>
      <c r="P84" s="62" t="str">
        <f>VLOOKUP(G84,Pricing,3,FALSE)</f>
        <v>m2</v>
      </c>
      <c r="Q84" s="34">
        <f>PRODUCT(O84:P84)</f>
        <v>0</v>
      </c>
      <c r="R84" s="41" t="e">
        <f>IF(OR(VLOOKUP(H84,Location_table2,2,FALSE)="OFF",VLOOKUP(I84,Package_table2,2,FALSE)="OFF"),"H","")</f>
        <v>#N/A</v>
      </c>
    </row>
    <row r="85" spans="1:18" ht="15" customHeight="1" x14ac:dyDescent="0.25">
      <c r="A85" s="166"/>
      <c r="B85" s="42" t="s">
        <v>41</v>
      </c>
      <c r="C85" s="30" t="e">
        <f>VLOOKUP(H85,Location_table2,3,FALSE)</f>
        <v>#N/A</v>
      </c>
      <c r="D85" s="31" t="e">
        <f>VLOOKUP(I85,Package_table2,3,FALSE)</f>
        <v>#N/A</v>
      </c>
      <c r="E85" s="31">
        <v>2</v>
      </c>
      <c r="F85" s="61">
        <v>0</v>
      </c>
      <c r="G85" s="32" t="s">
        <v>182</v>
      </c>
      <c r="H85" s="33" t="s">
        <v>70</v>
      </c>
      <c r="I85" s="33" t="s">
        <v>113</v>
      </c>
      <c r="J85" s="33" t="s">
        <v>98</v>
      </c>
      <c r="K85" s="33"/>
      <c r="L85" s="33"/>
      <c r="M85" s="33"/>
      <c r="N85" s="33"/>
      <c r="O85" s="58">
        <f>PRODUCT(K85:N85)</f>
        <v>0</v>
      </c>
      <c r="P85" s="62" t="str">
        <f>VLOOKUP(G85,Pricing,3,FALSE)</f>
        <v>m2</v>
      </c>
      <c r="Q85" s="34">
        <f>PRODUCT(O85:P85)</f>
        <v>0</v>
      </c>
      <c r="R85" s="41" t="e">
        <f>IF(OR(VLOOKUP(H85,Location_table2,2,FALSE)="OFF",VLOOKUP(I85,Package_table2,2,FALSE)="OFF"),"H","")</f>
        <v>#N/A</v>
      </c>
    </row>
    <row r="86" spans="1:18" ht="15" customHeight="1" thickBot="1" x14ac:dyDescent="0.3">
      <c r="A86" s="166"/>
      <c r="B86" s="42" t="s">
        <v>41</v>
      </c>
      <c r="C86" s="30" t="e">
        <f>VLOOKUP(H86,Location_table2,3,FALSE)</f>
        <v>#N/A</v>
      </c>
      <c r="D86" s="31" t="e">
        <f>VLOOKUP(I86,Package_table2,3,FALSE)</f>
        <v>#N/A</v>
      </c>
      <c r="E86" s="31">
        <v>3</v>
      </c>
      <c r="F86" s="61">
        <v>0</v>
      </c>
      <c r="G86" s="32" t="s">
        <v>183</v>
      </c>
      <c r="H86" s="33" t="s">
        <v>70</v>
      </c>
      <c r="I86" s="33" t="s">
        <v>113</v>
      </c>
      <c r="J86" s="33" t="s">
        <v>98</v>
      </c>
      <c r="K86" s="33"/>
      <c r="L86" s="33"/>
      <c r="M86" s="33"/>
      <c r="N86" s="33"/>
      <c r="O86" s="58">
        <f>PRODUCT(K86:N86)</f>
        <v>0</v>
      </c>
      <c r="P86" s="62" t="str">
        <f>VLOOKUP(G86,Pricing,3,FALSE)</f>
        <v>m2</v>
      </c>
      <c r="Q86" s="34">
        <f>PRODUCT(O86:P86)</f>
        <v>0</v>
      </c>
      <c r="R86" s="41" t="e">
        <f>IF(OR(VLOOKUP(H86,Location_table2,2,FALSE)="OFF",VLOOKUP(I86,Package_table2,2,FALSE)="OFF"),"H","")</f>
        <v>#N/A</v>
      </c>
    </row>
    <row r="87" spans="1:18" ht="30" customHeight="1" x14ac:dyDescent="0.2">
      <c r="A87" s="166"/>
      <c r="B87" s="43" t="s">
        <v>101</v>
      </c>
      <c r="C87" s="27">
        <v>0</v>
      </c>
      <c r="D87" s="29">
        <v>14</v>
      </c>
      <c r="E87" s="24">
        <v>0</v>
      </c>
      <c r="F87" s="25">
        <v>0</v>
      </c>
      <c r="G87" s="189" t="str">
        <f>VLOOKUP(D87,Package_table,2,FALSE)</f>
        <v>Doors_and_windows</v>
      </c>
      <c r="H87" s="189"/>
      <c r="I87" s="189"/>
      <c r="J87" s="189"/>
      <c r="K87" s="189"/>
      <c r="L87" s="189"/>
      <c r="M87" s="189"/>
      <c r="N87" s="189"/>
      <c r="O87" s="189"/>
      <c r="P87" s="189"/>
      <c r="Q87" s="190"/>
      <c r="R87" s="44" t="s">
        <v>32</v>
      </c>
    </row>
    <row r="88" spans="1:18" ht="15" customHeight="1" x14ac:dyDescent="0.25">
      <c r="A88" s="166"/>
      <c r="B88" s="42" t="s">
        <v>41</v>
      </c>
      <c r="C88" s="30" t="e">
        <f t="shared" ref="C88:C99" si="18">VLOOKUP(H88,Location_table2,3,FALSE)</f>
        <v>#N/A</v>
      </c>
      <c r="D88" s="31" t="e">
        <f t="shared" ref="D88:D99" si="19">VLOOKUP(I88,Package_table2,3,FALSE)</f>
        <v>#N/A</v>
      </c>
      <c r="E88" s="31">
        <v>1</v>
      </c>
      <c r="F88" s="61">
        <v>0</v>
      </c>
      <c r="G88" s="32" t="s">
        <v>184</v>
      </c>
      <c r="H88" s="33" t="s">
        <v>70</v>
      </c>
      <c r="I88" s="33" t="s">
        <v>114</v>
      </c>
      <c r="J88" s="33" t="s">
        <v>98</v>
      </c>
      <c r="K88" s="33"/>
      <c r="L88" s="33"/>
      <c r="M88" s="33"/>
      <c r="N88" s="33"/>
      <c r="O88" s="58">
        <f t="shared" ref="O88:O99" si="20">PRODUCT(K88:N88)</f>
        <v>0</v>
      </c>
      <c r="P88" s="62" t="str">
        <f t="shared" ref="P88:P99" si="21">VLOOKUP(G88,Pricing,3,FALSE)</f>
        <v>m2</v>
      </c>
      <c r="Q88" s="34">
        <f t="shared" ref="Q88:Q99" si="22">PRODUCT(O88:P88)</f>
        <v>0</v>
      </c>
      <c r="R88" s="41" t="e">
        <f t="shared" ref="R88:R99" si="23">IF(OR(VLOOKUP(H88,Location_table2,2,FALSE)="OFF",VLOOKUP(I88,Package_table2,2,FALSE)="OFF"),"H","")</f>
        <v>#N/A</v>
      </c>
    </row>
    <row r="89" spans="1:18" ht="15" customHeight="1" x14ac:dyDescent="0.25">
      <c r="A89" s="166"/>
      <c r="B89" s="42" t="s">
        <v>41</v>
      </c>
      <c r="C89" s="30" t="e">
        <f t="shared" si="18"/>
        <v>#N/A</v>
      </c>
      <c r="D89" s="31" t="e">
        <f t="shared" si="19"/>
        <v>#N/A</v>
      </c>
      <c r="E89" s="31">
        <v>2</v>
      </c>
      <c r="F89" s="61">
        <v>0</v>
      </c>
      <c r="G89" s="32" t="s">
        <v>185</v>
      </c>
      <c r="H89" s="33" t="s">
        <v>70</v>
      </c>
      <c r="I89" s="33" t="s">
        <v>114</v>
      </c>
      <c r="J89" s="33" t="s">
        <v>98</v>
      </c>
      <c r="K89" s="33"/>
      <c r="L89" s="33"/>
      <c r="M89" s="33"/>
      <c r="N89" s="33"/>
      <c r="O89" s="58">
        <f t="shared" si="20"/>
        <v>0</v>
      </c>
      <c r="P89" s="62" t="str">
        <f t="shared" si="21"/>
        <v>m2</v>
      </c>
      <c r="Q89" s="34">
        <f t="shared" si="22"/>
        <v>0</v>
      </c>
      <c r="R89" s="41" t="e">
        <f t="shared" si="23"/>
        <v>#N/A</v>
      </c>
    </row>
    <row r="90" spans="1:18" ht="15" customHeight="1" x14ac:dyDescent="0.25">
      <c r="A90" s="166"/>
      <c r="B90" s="42" t="s">
        <v>41</v>
      </c>
      <c r="C90" s="30" t="e">
        <f t="shared" si="18"/>
        <v>#N/A</v>
      </c>
      <c r="D90" s="31" t="e">
        <f t="shared" si="19"/>
        <v>#N/A</v>
      </c>
      <c r="E90" s="31">
        <v>3</v>
      </c>
      <c r="F90" s="61">
        <v>0</v>
      </c>
      <c r="G90" s="32" t="s">
        <v>186</v>
      </c>
      <c r="H90" s="33" t="s">
        <v>70</v>
      </c>
      <c r="I90" s="33" t="s">
        <v>114</v>
      </c>
      <c r="J90" s="33" t="s">
        <v>98</v>
      </c>
      <c r="K90" s="33"/>
      <c r="L90" s="33"/>
      <c r="M90" s="33"/>
      <c r="N90" s="33"/>
      <c r="O90" s="58">
        <f t="shared" si="20"/>
        <v>0</v>
      </c>
      <c r="P90" s="62" t="str">
        <f t="shared" si="21"/>
        <v>m2</v>
      </c>
      <c r="Q90" s="34">
        <f t="shared" si="22"/>
        <v>0</v>
      </c>
      <c r="R90" s="41" t="e">
        <f t="shared" si="23"/>
        <v>#N/A</v>
      </c>
    </row>
    <row r="91" spans="1:18" ht="15" customHeight="1" x14ac:dyDescent="0.25">
      <c r="A91" s="166"/>
      <c r="B91" s="42" t="s">
        <v>41</v>
      </c>
      <c r="C91" s="30" t="e">
        <f t="shared" si="18"/>
        <v>#N/A</v>
      </c>
      <c r="D91" s="31" t="e">
        <f t="shared" si="19"/>
        <v>#N/A</v>
      </c>
      <c r="E91" s="31">
        <v>4</v>
      </c>
      <c r="F91" s="61">
        <v>0</v>
      </c>
      <c r="G91" s="32" t="s">
        <v>187</v>
      </c>
      <c r="H91" s="33" t="s">
        <v>70</v>
      </c>
      <c r="I91" s="33" t="s">
        <v>114</v>
      </c>
      <c r="J91" s="33" t="s">
        <v>98</v>
      </c>
      <c r="K91" s="33"/>
      <c r="L91" s="33"/>
      <c r="M91" s="33"/>
      <c r="N91" s="33"/>
      <c r="O91" s="58">
        <f t="shared" si="20"/>
        <v>0</v>
      </c>
      <c r="P91" s="62" t="str">
        <f t="shared" si="21"/>
        <v>m2</v>
      </c>
      <c r="Q91" s="34">
        <f t="shared" si="22"/>
        <v>0</v>
      </c>
      <c r="R91" s="41" t="e">
        <f t="shared" si="23"/>
        <v>#N/A</v>
      </c>
    </row>
    <row r="92" spans="1:18" ht="15" customHeight="1" x14ac:dyDescent="0.25">
      <c r="A92" s="166"/>
      <c r="B92" s="42" t="s">
        <v>41</v>
      </c>
      <c r="C92" s="30" t="e">
        <f t="shared" si="18"/>
        <v>#N/A</v>
      </c>
      <c r="D92" s="31" t="e">
        <f t="shared" si="19"/>
        <v>#N/A</v>
      </c>
      <c r="E92" s="31">
        <v>5</v>
      </c>
      <c r="F92" s="61">
        <v>0</v>
      </c>
      <c r="G92" s="32" t="s">
        <v>188</v>
      </c>
      <c r="H92" s="33" t="s">
        <v>70</v>
      </c>
      <c r="I92" s="33" t="s">
        <v>114</v>
      </c>
      <c r="J92" s="33" t="s">
        <v>98</v>
      </c>
      <c r="K92" s="33"/>
      <c r="L92" s="33"/>
      <c r="M92" s="33"/>
      <c r="N92" s="33"/>
      <c r="O92" s="58">
        <f t="shared" si="20"/>
        <v>0</v>
      </c>
      <c r="P92" s="62" t="str">
        <f t="shared" si="21"/>
        <v>m2</v>
      </c>
      <c r="Q92" s="34">
        <f t="shared" si="22"/>
        <v>0</v>
      </c>
      <c r="R92" s="41" t="e">
        <f t="shared" si="23"/>
        <v>#N/A</v>
      </c>
    </row>
    <row r="93" spans="1:18" ht="15" customHeight="1" x14ac:dyDescent="0.25">
      <c r="A93" s="166"/>
      <c r="B93" s="42" t="s">
        <v>41</v>
      </c>
      <c r="C93" s="30" t="e">
        <f t="shared" si="18"/>
        <v>#N/A</v>
      </c>
      <c r="D93" s="31" t="e">
        <f t="shared" si="19"/>
        <v>#N/A</v>
      </c>
      <c r="E93" s="31">
        <v>6</v>
      </c>
      <c r="F93" s="61">
        <v>0</v>
      </c>
      <c r="G93" s="32" t="s">
        <v>189</v>
      </c>
      <c r="H93" s="33" t="s">
        <v>70</v>
      </c>
      <c r="I93" s="33" t="s">
        <v>114</v>
      </c>
      <c r="J93" s="33" t="s">
        <v>98</v>
      </c>
      <c r="K93" s="33"/>
      <c r="L93" s="33"/>
      <c r="M93" s="33"/>
      <c r="N93" s="33"/>
      <c r="O93" s="58">
        <f t="shared" si="20"/>
        <v>0</v>
      </c>
      <c r="P93" s="62" t="str">
        <f t="shared" si="21"/>
        <v>m2</v>
      </c>
      <c r="Q93" s="34">
        <f t="shared" si="22"/>
        <v>0</v>
      </c>
      <c r="R93" s="41" t="e">
        <f t="shared" si="23"/>
        <v>#N/A</v>
      </c>
    </row>
    <row r="94" spans="1:18" ht="15" customHeight="1" x14ac:dyDescent="0.25">
      <c r="A94" s="166"/>
      <c r="B94" s="42" t="s">
        <v>41</v>
      </c>
      <c r="C94" s="30" t="e">
        <f t="shared" si="18"/>
        <v>#N/A</v>
      </c>
      <c r="D94" s="31" t="e">
        <f t="shared" si="19"/>
        <v>#N/A</v>
      </c>
      <c r="E94" s="31">
        <v>7</v>
      </c>
      <c r="F94" s="61">
        <v>0</v>
      </c>
      <c r="G94" s="32" t="s">
        <v>190</v>
      </c>
      <c r="H94" s="33" t="s">
        <v>70</v>
      </c>
      <c r="I94" s="33" t="s">
        <v>114</v>
      </c>
      <c r="J94" s="33" t="s">
        <v>98</v>
      </c>
      <c r="K94" s="33"/>
      <c r="L94" s="33"/>
      <c r="M94" s="33"/>
      <c r="N94" s="33"/>
      <c r="O94" s="58">
        <f t="shared" si="20"/>
        <v>0</v>
      </c>
      <c r="P94" s="62" t="str">
        <f t="shared" si="21"/>
        <v>m2</v>
      </c>
      <c r="Q94" s="34">
        <f t="shared" si="22"/>
        <v>0</v>
      </c>
      <c r="R94" s="41" t="e">
        <f t="shared" si="23"/>
        <v>#N/A</v>
      </c>
    </row>
    <row r="95" spans="1:18" ht="15" customHeight="1" x14ac:dyDescent="0.25">
      <c r="A95" s="166"/>
      <c r="B95" s="42" t="s">
        <v>41</v>
      </c>
      <c r="C95" s="30" t="e">
        <f t="shared" si="18"/>
        <v>#N/A</v>
      </c>
      <c r="D95" s="31" t="e">
        <f t="shared" si="19"/>
        <v>#N/A</v>
      </c>
      <c r="E95" s="31">
        <v>8</v>
      </c>
      <c r="F95" s="61">
        <v>0</v>
      </c>
      <c r="G95" s="32" t="s">
        <v>191</v>
      </c>
      <c r="H95" s="33" t="s">
        <v>70</v>
      </c>
      <c r="I95" s="33" t="s">
        <v>114</v>
      </c>
      <c r="J95" s="33" t="s">
        <v>98</v>
      </c>
      <c r="K95" s="33"/>
      <c r="L95" s="33"/>
      <c r="M95" s="33"/>
      <c r="N95" s="33"/>
      <c r="O95" s="58">
        <f t="shared" si="20"/>
        <v>0</v>
      </c>
      <c r="P95" s="62" t="str">
        <f t="shared" si="21"/>
        <v>m2</v>
      </c>
      <c r="Q95" s="34">
        <f t="shared" si="22"/>
        <v>0</v>
      </c>
      <c r="R95" s="41" t="e">
        <f t="shared" si="23"/>
        <v>#N/A</v>
      </c>
    </row>
    <row r="96" spans="1:18" ht="15" customHeight="1" x14ac:dyDescent="0.25">
      <c r="A96" s="166"/>
      <c r="B96" s="42" t="s">
        <v>41</v>
      </c>
      <c r="C96" s="30" t="e">
        <f t="shared" si="18"/>
        <v>#N/A</v>
      </c>
      <c r="D96" s="31" t="e">
        <f t="shared" si="19"/>
        <v>#N/A</v>
      </c>
      <c r="E96" s="31">
        <v>9</v>
      </c>
      <c r="F96" s="61">
        <v>0</v>
      </c>
      <c r="G96" s="32" t="s">
        <v>192</v>
      </c>
      <c r="H96" s="33" t="s">
        <v>70</v>
      </c>
      <c r="I96" s="33" t="s">
        <v>114</v>
      </c>
      <c r="J96" s="33" t="s">
        <v>98</v>
      </c>
      <c r="K96" s="33"/>
      <c r="L96" s="33"/>
      <c r="M96" s="33"/>
      <c r="N96" s="33"/>
      <c r="O96" s="58">
        <f t="shared" si="20"/>
        <v>0</v>
      </c>
      <c r="P96" s="62" t="str">
        <f t="shared" si="21"/>
        <v>m2</v>
      </c>
      <c r="Q96" s="34">
        <f t="shared" si="22"/>
        <v>0</v>
      </c>
      <c r="R96" s="41" t="e">
        <f t="shared" si="23"/>
        <v>#N/A</v>
      </c>
    </row>
    <row r="97" spans="1:18" ht="15" customHeight="1" x14ac:dyDescent="0.25">
      <c r="A97" s="166"/>
      <c r="B97" s="42" t="s">
        <v>41</v>
      </c>
      <c r="C97" s="30" t="e">
        <f t="shared" si="18"/>
        <v>#N/A</v>
      </c>
      <c r="D97" s="31" t="e">
        <f t="shared" si="19"/>
        <v>#N/A</v>
      </c>
      <c r="E97" s="31">
        <v>10</v>
      </c>
      <c r="F97" s="61">
        <v>0</v>
      </c>
      <c r="G97" s="32" t="s">
        <v>193</v>
      </c>
      <c r="H97" s="33" t="s">
        <v>70</v>
      </c>
      <c r="I97" s="33" t="s">
        <v>114</v>
      </c>
      <c r="J97" s="33" t="s">
        <v>98</v>
      </c>
      <c r="K97" s="33"/>
      <c r="L97" s="33"/>
      <c r="M97" s="33"/>
      <c r="N97" s="33"/>
      <c r="O97" s="58">
        <f t="shared" si="20"/>
        <v>0</v>
      </c>
      <c r="P97" s="62" t="str">
        <f t="shared" si="21"/>
        <v>m2</v>
      </c>
      <c r="Q97" s="34">
        <f t="shared" si="22"/>
        <v>0</v>
      </c>
      <c r="R97" s="41" t="e">
        <f t="shared" si="23"/>
        <v>#N/A</v>
      </c>
    </row>
    <row r="98" spans="1:18" ht="15" customHeight="1" x14ac:dyDescent="0.25">
      <c r="A98" s="166"/>
      <c r="B98" s="42" t="s">
        <v>41</v>
      </c>
      <c r="C98" s="30" t="e">
        <f t="shared" si="18"/>
        <v>#N/A</v>
      </c>
      <c r="D98" s="31" t="e">
        <f t="shared" si="19"/>
        <v>#N/A</v>
      </c>
      <c r="E98" s="31">
        <v>11</v>
      </c>
      <c r="F98" s="61">
        <v>0</v>
      </c>
      <c r="G98" s="32" t="s">
        <v>194</v>
      </c>
      <c r="H98" s="33" t="s">
        <v>70</v>
      </c>
      <c r="I98" s="33" t="s">
        <v>114</v>
      </c>
      <c r="J98" s="33" t="s">
        <v>98</v>
      </c>
      <c r="K98" s="33"/>
      <c r="L98" s="33"/>
      <c r="M98" s="33"/>
      <c r="N98" s="33"/>
      <c r="O98" s="58">
        <f t="shared" si="20"/>
        <v>0</v>
      </c>
      <c r="P98" s="62" t="str">
        <f t="shared" si="21"/>
        <v>m2</v>
      </c>
      <c r="Q98" s="34">
        <f t="shared" si="22"/>
        <v>0</v>
      </c>
      <c r="R98" s="41" t="e">
        <f t="shared" si="23"/>
        <v>#N/A</v>
      </c>
    </row>
    <row r="99" spans="1:18" ht="15" customHeight="1" thickBot="1" x14ac:dyDescent="0.3">
      <c r="A99" s="166"/>
      <c r="B99" s="42" t="s">
        <v>41</v>
      </c>
      <c r="C99" s="30" t="e">
        <f t="shared" si="18"/>
        <v>#N/A</v>
      </c>
      <c r="D99" s="31" t="e">
        <f t="shared" si="19"/>
        <v>#N/A</v>
      </c>
      <c r="E99" s="31">
        <v>12</v>
      </c>
      <c r="F99" s="61">
        <v>0</v>
      </c>
      <c r="G99" s="32" t="s">
        <v>195</v>
      </c>
      <c r="H99" s="33" t="s">
        <v>70</v>
      </c>
      <c r="I99" s="33" t="s">
        <v>114</v>
      </c>
      <c r="J99" s="33" t="s">
        <v>10</v>
      </c>
      <c r="K99" s="33"/>
      <c r="L99" s="33"/>
      <c r="M99" s="33"/>
      <c r="N99" s="33"/>
      <c r="O99" s="58">
        <f t="shared" si="20"/>
        <v>0</v>
      </c>
      <c r="P99" s="62" t="str">
        <f t="shared" si="21"/>
        <v>Nos.</v>
      </c>
      <c r="Q99" s="34">
        <f t="shared" si="22"/>
        <v>0</v>
      </c>
      <c r="R99" s="41" t="e">
        <f t="shared" si="23"/>
        <v>#N/A</v>
      </c>
    </row>
    <row r="100" spans="1:18" ht="30" customHeight="1" x14ac:dyDescent="0.2">
      <c r="A100" s="166"/>
      <c r="B100" s="43" t="s">
        <v>101</v>
      </c>
      <c r="C100" s="27">
        <v>0</v>
      </c>
      <c r="D100" s="29">
        <v>15</v>
      </c>
      <c r="E100" s="24">
        <v>0</v>
      </c>
      <c r="F100" s="25">
        <v>0</v>
      </c>
      <c r="G100" s="189" t="str">
        <f>VLOOKUP(D100,Package_table,2,FALSE)</f>
        <v>Flooring</v>
      </c>
      <c r="H100" s="189"/>
      <c r="I100" s="189"/>
      <c r="J100" s="189"/>
      <c r="K100" s="189"/>
      <c r="L100" s="189"/>
      <c r="M100" s="189"/>
      <c r="N100" s="189"/>
      <c r="O100" s="189"/>
      <c r="P100" s="189"/>
      <c r="Q100" s="190"/>
      <c r="R100" s="44" t="s">
        <v>32</v>
      </c>
    </row>
    <row r="101" spans="1:18" ht="15" customHeight="1" x14ac:dyDescent="0.25">
      <c r="A101" s="166"/>
      <c r="B101" s="42" t="s">
        <v>41</v>
      </c>
      <c r="C101" s="30" t="e">
        <f t="shared" ref="C101:C115" si="24">VLOOKUP(H101,Location_table2,3,FALSE)</f>
        <v>#N/A</v>
      </c>
      <c r="D101" s="31">
        <f t="shared" ref="D101:D115" si="25">VLOOKUP(I101,Package_table2,3,FALSE)</f>
        <v>15</v>
      </c>
      <c r="E101" s="31">
        <v>1</v>
      </c>
      <c r="F101" s="61">
        <v>0</v>
      </c>
      <c r="G101" s="32" t="s">
        <v>196</v>
      </c>
      <c r="H101" s="33" t="s">
        <v>70</v>
      </c>
      <c r="I101" s="33" t="s">
        <v>115</v>
      </c>
      <c r="J101" s="33" t="s">
        <v>98</v>
      </c>
      <c r="K101" s="33"/>
      <c r="L101" s="33"/>
      <c r="M101" s="33"/>
      <c r="N101" s="33"/>
      <c r="O101" s="58">
        <f t="shared" ref="O101:O115" si="26">PRODUCT(K101:N101)</f>
        <v>0</v>
      </c>
      <c r="P101" s="62" t="str">
        <f t="shared" ref="P101:P115" si="27">VLOOKUP(G101,Pricing,3,FALSE)</f>
        <v>m2</v>
      </c>
      <c r="Q101" s="34">
        <f t="shared" ref="Q101:Q115" si="28">PRODUCT(O101:P101)</f>
        <v>0</v>
      </c>
      <c r="R101" s="41" t="e">
        <f t="shared" ref="R101:R115" si="29">IF(OR(VLOOKUP(H101,Location_table2,2,FALSE)="OFF",VLOOKUP(I101,Package_table2,2,FALSE)="OFF"),"H","")</f>
        <v>#N/A</v>
      </c>
    </row>
    <row r="102" spans="1:18" ht="15" customHeight="1" x14ac:dyDescent="0.25">
      <c r="A102" s="166"/>
      <c r="B102" s="42" t="s">
        <v>41</v>
      </c>
      <c r="C102" s="30" t="e">
        <f t="shared" si="24"/>
        <v>#N/A</v>
      </c>
      <c r="D102" s="31">
        <f t="shared" si="25"/>
        <v>15</v>
      </c>
      <c r="E102" s="31">
        <v>2</v>
      </c>
      <c r="F102" s="61">
        <v>0</v>
      </c>
      <c r="G102" s="32" t="s">
        <v>197</v>
      </c>
      <c r="H102" s="33" t="s">
        <v>70</v>
      </c>
      <c r="I102" s="33" t="s">
        <v>115</v>
      </c>
      <c r="J102" s="33" t="s">
        <v>98</v>
      </c>
      <c r="K102" s="33"/>
      <c r="L102" s="33"/>
      <c r="M102" s="33"/>
      <c r="N102" s="33"/>
      <c r="O102" s="58">
        <f t="shared" si="26"/>
        <v>0</v>
      </c>
      <c r="P102" s="62" t="str">
        <f t="shared" si="27"/>
        <v>m2</v>
      </c>
      <c r="Q102" s="34">
        <f t="shared" si="28"/>
        <v>0</v>
      </c>
      <c r="R102" s="41" t="e">
        <f t="shared" si="29"/>
        <v>#N/A</v>
      </c>
    </row>
    <row r="103" spans="1:18" ht="15" customHeight="1" x14ac:dyDescent="0.25">
      <c r="A103" s="166"/>
      <c r="B103" s="42" t="s">
        <v>41</v>
      </c>
      <c r="C103" s="30" t="e">
        <f t="shared" si="24"/>
        <v>#N/A</v>
      </c>
      <c r="D103" s="31">
        <f t="shared" si="25"/>
        <v>15</v>
      </c>
      <c r="E103" s="31">
        <v>3</v>
      </c>
      <c r="F103" s="61">
        <v>0</v>
      </c>
      <c r="G103" s="32" t="s">
        <v>198</v>
      </c>
      <c r="H103" s="33" t="s">
        <v>70</v>
      </c>
      <c r="I103" s="33" t="s">
        <v>115</v>
      </c>
      <c r="J103" s="33" t="s">
        <v>98</v>
      </c>
      <c r="K103" s="33"/>
      <c r="L103" s="33"/>
      <c r="M103" s="33"/>
      <c r="N103" s="33"/>
      <c r="O103" s="58">
        <f t="shared" si="26"/>
        <v>0</v>
      </c>
      <c r="P103" s="62" t="str">
        <f t="shared" si="27"/>
        <v>m2</v>
      </c>
      <c r="Q103" s="34">
        <f t="shared" si="28"/>
        <v>0</v>
      </c>
      <c r="R103" s="41" t="e">
        <f t="shared" si="29"/>
        <v>#N/A</v>
      </c>
    </row>
    <row r="104" spans="1:18" ht="15" customHeight="1" x14ac:dyDescent="0.25">
      <c r="A104" s="166"/>
      <c r="B104" s="42" t="s">
        <v>41</v>
      </c>
      <c r="C104" s="30" t="e">
        <f t="shared" si="24"/>
        <v>#N/A</v>
      </c>
      <c r="D104" s="31">
        <f t="shared" si="25"/>
        <v>15</v>
      </c>
      <c r="E104" s="31">
        <v>4</v>
      </c>
      <c r="F104" s="61">
        <v>0</v>
      </c>
      <c r="G104" s="32" t="s">
        <v>199</v>
      </c>
      <c r="H104" s="33" t="s">
        <v>70</v>
      </c>
      <c r="I104" s="33" t="s">
        <v>115</v>
      </c>
      <c r="J104" s="33" t="s">
        <v>98</v>
      </c>
      <c r="K104" s="33"/>
      <c r="L104" s="33"/>
      <c r="M104" s="33"/>
      <c r="N104" s="33"/>
      <c r="O104" s="58">
        <f t="shared" si="26"/>
        <v>0</v>
      </c>
      <c r="P104" s="62" t="str">
        <f t="shared" si="27"/>
        <v>m2</v>
      </c>
      <c r="Q104" s="34">
        <f t="shared" si="28"/>
        <v>0</v>
      </c>
      <c r="R104" s="41" t="e">
        <f t="shared" si="29"/>
        <v>#N/A</v>
      </c>
    </row>
    <row r="105" spans="1:18" ht="15" customHeight="1" x14ac:dyDescent="0.25">
      <c r="A105" s="166"/>
      <c r="B105" s="42" t="s">
        <v>41</v>
      </c>
      <c r="C105" s="30" t="e">
        <f t="shared" si="24"/>
        <v>#N/A</v>
      </c>
      <c r="D105" s="31">
        <f t="shared" si="25"/>
        <v>15</v>
      </c>
      <c r="E105" s="31">
        <v>5</v>
      </c>
      <c r="F105" s="61">
        <v>0</v>
      </c>
      <c r="G105" s="32" t="s">
        <v>200</v>
      </c>
      <c r="H105" s="33" t="s">
        <v>70</v>
      </c>
      <c r="I105" s="33" t="s">
        <v>115</v>
      </c>
      <c r="J105" s="33" t="s">
        <v>98</v>
      </c>
      <c r="K105" s="33"/>
      <c r="L105" s="33"/>
      <c r="M105" s="33"/>
      <c r="N105" s="33"/>
      <c r="O105" s="58">
        <f t="shared" si="26"/>
        <v>0</v>
      </c>
      <c r="P105" s="62" t="str">
        <f t="shared" si="27"/>
        <v>m2</v>
      </c>
      <c r="Q105" s="34">
        <f t="shared" si="28"/>
        <v>0</v>
      </c>
      <c r="R105" s="41" t="e">
        <f t="shared" si="29"/>
        <v>#N/A</v>
      </c>
    </row>
    <row r="106" spans="1:18" ht="15" customHeight="1" x14ac:dyDescent="0.25">
      <c r="A106" s="166"/>
      <c r="B106" s="42" t="s">
        <v>41</v>
      </c>
      <c r="C106" s="30" t="e">
        <f t="shared" si="24"/>
        <v>#N/A</v>
      </c>
      <c r="D106" s="31">
        <f t="shared" si="25"/>
        <v>15</v>
      </c>
      <c r="E106" s="31">
        <v>6</v>
      </c>
      <c r="F106" s="61">
        <v>0</v>
      </c>
      <c r="G106" s="32" t="s">
        <v>201</v>
      </c>
      <c r="H106" s="33" t="s">
        <v>70</v>
      </c>
      <c r="I106" s="33" t="s">
        <v>115</v>
      </c>
      <c r="J106" s="33" t="s">
        <v>98</v>
      </c>
      <c r="K106" s="33"/>
      <c r="L106" s="33"/>
      <c r="M106" s="33"/>
      <c r="N106" s="33"/>
      <c r="O106" s="58">
        <f t="shared" si="26"/>
        <v>0</v>
      </c>
      <c r="P106" s="62" t="str">
        <f t="shared" si="27"/>
        <v>m2</v>
      </c>
      <c r="Q106" s="34">
        <f t="shared" si="28"/>
        <v>0</v>
      </c>
      <c r="R106" s="41" t="e">
        <f t="shared" si="29"/>
        <v>#N/A</v>
      </c>
    </row>
    <row r="107" spans="1:18" ht="15" customHeight="1" x14ac:dyDescent="0.25">
      <c r="A107" s="166"/>
      <c r="B107" s="42" t="s">
        <v>41</v>
      </c>
      <c r="C107" s="30" t="e">
        <f t="shared" si="24"/>
        <v>#N/A</v>
      </c>
      <c r="D107" s="31">
        <f t="shared" si="25"/>
        <v>15</v>
      </c>
      <c r="E107" s="31">
        <v>7</v>
      </c>
      <c r="F107" s="61">
        <v>0</v>
      </c>
      <c r="G107" s="32" t="s">
        <v>202</v>
      </c>
      <c r="H107" s="33" t="s">
        <v>70</v>
      </c>
      <c r="I107" s="33" t="s">
        <v>115</v>
      </c>
      <c r="J107" s="33" t="s">
        <v>98</v>
      </c>
      <c r="K107" s="33"/>
      <c r="L107" s="33"/>
      <c r="M107" s="33"/>
      <c r="N107" s="33"/>
      <c r="O107" s="58">
        <f t="shared" si="26"/>
        <v>0</v>
      </c>
      <c r="P107" s="62" t="str">
        <f t="shared" si="27"/>
        <v>m2</v>
      </c>
      <c r="Q107" s="34">
        <f t="shared" si="28"/>
        <v>0</v>
      </c>
      <c r="R107" s="41" t="e">
        <f t="shared" si="29"/>
        <v>#N/A</v>
      </c>
    </row>
    <row r="108" spans="1:18" ht="15" customHeight="1" x14ac:dyDescent="0.25">
      <c r="A108" s="166"/>
      <c r="B108" s="42" t="s">
        <v>41</v>
      </c>
      <c r="C108" s="30" t="e">
        <f t="shared" si="24"/>
        <v>#N/A</v>
      </c>
      <c r="D108" s="31">
        <f t="shared" si="25"/>
        <v>15</v>
      </c>
      <c r="E108" s="31">
        <v>8</v>
      </c>
      <c r="F108" s="61">
        <v>0</v>
      </c>
      <c r="G108" s="32" t="s">
        <v>203</v>
      </c>
      <c r="H108" s="33" t="s">
        <v>70</v>
      </c>
      <c r="I108" s="33" t="s">
        <v>115</v>
      </c>
      <c r="J108" s="33" t="s">
        <v>98</v>
      </c>
      <c r="K108" s="33"/>
      <c r="L108" s="33"/>
      <c r="M108" s="33"/>
      <c r="N108" s="33"/>
      <c r="O108" s="58">
        <f t="shared" si="26"/>
        <v>0</v>
      </c>
      <c r="P108" s="62" t="str">
        <f t="shared" si="27"/>
        <v>m2</v>
      </c>
      <c r="Q108" s="34">
        <f t="shared" si="28"/>
        <v>0</v>
      </c>
      <c r="R108" s="41" t="e">
        <f t="shared" si="29"/>
        <v>#N/A</v>
      </c>
    </row>
    <row r="109" spans="1:18" ht="15" customHeight="1" x14ac:dyDescent="0.25">
      <c r="A109" s="166"/>
      <c r="B109" s="42" t="s">
        <v>41</v>
      </c>
      <c r="C109" s="30" t="e">
        <f t="shared" si="24"/>
        <v>#N/A</v>
      </c>
      <c r="D109" s="31">
        <f t="shared" si="25"/>
        <v>15</v>
      </c>
      <c r="E109" s="31">
        <v>9</v>
      </c>
      <c r="F109" s="61">
        <v>0</v>
      </c>
      <c r="G109" s="32" t="s">
        <v>204</v>
      </c>
      <c r="H109" s="33" t="s">
        <v>70</v>
      </c>
      <c r="I109" s="33" t="s">
        <v>115</v>
      </c>
      <c r="J109" s="33" t="s">
        <v>98</v>
      </c>
      <c r="K109" s="33"/>
      <c r="L109" s="33"/>
      <c r="M109" s="33"/>
      <c r="N109" s="33"/>
      <c r="O109" s="58">
        <f t="shared" si="26"/>
        <v>0</v>
      </c>
      <c r="P109" s="62" t="str">
        <f t="shared" si="27"/>
        <v>m2</v>
      </c>
      <c r="Q109" s="34">
        <f t="shared" si="28"/>
        <v>0</v>
      </c>
      <c r="R109" s="41" t="e">
        <f t="shared" si="29"/>
        <v>#N/A</v>
      </c>
    </row>
    <row r="110" spans="1:18" ht="15" customHeight="1" x14ac:dyDescent="0.25">
      <c r="A110" s="166"/>
      <c r="B110" s="42" t="s">
        <v>41</v>
      </c>
      <c r="C110" s="30" t="e">
        <f t="shared" si="24"/>
        <v>#N/A</v>
      </c>
      <c r="D110" s="31">
        <f t="shared" si="25"/>
        <v>15</v>
      </c>
      <c r="E110" s="31">
        <v>10</v>
      </c>
      <c r="F110" s="61">
        <v>0</v>
      </c>
      <c r="G110" s="32" t="s">
        <v>205</v>
      </c>
      <c r="H110" s="33" t="s">
        <v>70</v>
      </c>
      <c r="I110" s="33" t="s">
        <v>115</v>
      </c>
      <c r="J110" s="33" t="s">
        <v>98</v>
      </c>
      <c r="K110" s="33"/>
      <c r="L110" s="33"/>
      <c r="M110" s="33"/>
      <c r="N110" s="33"/>
      <c r="O110" s="58">
        <f t="shared" si="26"/>
        <v>0</v>
      </c>
      <c r="P110" s="62" t="str">
        <f t="shared" si="27"/>
        <v>m2</v>
      </c>
      <c r="Q110" s="34">
        <f t="shared" si="28"/>
        <v>0</v>
      </c>
      <c r="R110" s="41" t="e">
        <f t="shared" si="29"/>
        <v>#N/A</v>
      </c>
    </row>
    <row r="111" spans="1:18" ht="15" customHeight="1" x14ac:dyDescent="0.25">
      <c r="A111" s="166"/>
      <c r="B111" s="42" t="s">
        <v>41</v>
      </c>
      <c r="C111" s="30" t="e">
        <f t="shared" si="24"/>
        <v>#N/A</v>
      </c>
      <c r="D111" s="31">
        <f t="shared" si="25"/>
        <v>15</v>
      </c>
      <c r="E111" s="31">
        <v>11</v>
      </c>
      <c r="F111" s="61">
        <v>0</v>
      </c>
      <c r="G111" s="32" t="s">
        <v>206</v>
      </c>
      <c r="H111" s="33" t="s">
        <v>70</v>
      </c>
      <c r="I111" s="33" t="s">
        <v>115</v>
      </c>
      <c r="J111" s="33" t="s">
        <v>98</v>
      </c>
      <c r="K111" s="33"/>
      <c r="L111" s="33"/>
      <c r="M111" s="33"/>
      <c r="N111" s="33"/>
      <c r="O111" s="58">
        <f t="shared" si="26"/>
        <v>0</v>
      </c>
      <c r="P111" s="62" t="str">
        <f t="shared" si="27"/>
        <v>m2</v>
      </c>
      <c r="Q111" s="34">
        <f t="shared" si="28"/>
        <v>0</v>
      </c>
      <c r="R111" s="41" t="e">
        <f t="shared" si="29"/>
        <v>#N/A</v>
      </c>
    </row>
    <row r="112" spans="1:18" ht="15" customHeight="1" x14ac:dyDescent="0.25">
      <c r="A112" s="166"/>
      <c r="B112" s="42" t="s">
        <v>41</v>
      </c>
      <c r="C112" s="30" t="e">
        <f t="shared" si="24"/>
        <v>#N/A</v>
      </c>
      <c r="D112" s="31">
        <f t="shared" si="25"/>
        <v>15</v>
      </c>
      <c r="E112" s="31">
        <v>12</v>
      </c>
      <c r="F112" s="61">
        <v>0</v>
      </c>
      <c r="G112" s="32" t="s">
        <v>207</v>
      </c>
      <c r="H112" s="33" t="s">
        <v>70</v>
      </c>
      <c r="I112" s="33" t="s">
        <v>115</v>
      </c>
      <c r="J112" s="33" t="s">
        <v>98</v>
      </c>
      <c r="K112" s="33"/>
      <c r="L112" s="33"/>
      <c r="M112" s="33"/>
      <c r="N112" s="33"/>
      <c r="O112" s="58">
        <f t="shared" si="26"/>
        <v>0</v>
      </c>
      <c r="P112" s="62" t="str">
        <f t="shared" si="27"/>
        <v>m2</v>
      </c>
      <c r="Q112" s="34">
        <f t="shared" si="28"/>
        <v>0</v>
      </c>
      <c r="R112" s="41" t="e">
        <f t="shared" si="29"/>
        <v>#N/A</v>
      </c>
    </row>
    <row r="113" spans="1:18" ht="15" customHeight="1" x14ac:dyDescent="0.25">
      <c r="A113" s="166"/>
      <c r="B113" s="42" t="s">
        <v>41</v>
      </c>
      <c r="C113" s="30" t="e">
        <f t="shared" si="24"/>
        <v>#N/A</v>
      </c>
      <c r="D113" s="31">
        <f t="shared" si="25"/>
        <v>15</v>
      </c>
      <c r="E113" s="31">
        <v>13</v>
      </c>
      <c r="F113" s="61">
        <v>0</v>
      </c>
      <c r="G113" s="32" t="s">
        <v>208</v>
      </c>
      <c r="H113" s="33" t="s">
        <v>70</v>
      </c>
      <c r="I113" s="33" t="s">
        <v>115</v>
      </c>
      <c r="J113" s="33" t="s">
        <v>98</v>
      </c>
      <c r="K113" s="33"/>
      <c r="L113" s="33"/>
      <c r="M113" s="33"/>
      <c r="N113" s="33"/>
      <c r="O113" s="58">
        <f t="shared" si="26"/>
        <v>0</v>
      </c>
      <c r="P113" s="62" t="str">
        <f t="shared" si="27"/>
        <v>m2</v>
      </c>
      <c r="Q113" s="34">
        <f t="shared" si="28"/>
        <v>0</v>
      </c>
      <c r="R113" s="41" t="e">
        <f t="shared" si="29"/>
        <v>#N/A</v>
      </c>
    </row>
    <row r="114" spans="1:18" ht="15" customHeight="1" x14ac:dyDescent="0.25">
      <c r="A114" s="166"/>
      <c r="B114" s="42" t="s">
        <v>41</v>
      </c>
      <c r="C114" s="30" t="e">
        <f t="shared" si="24"/>
        <v>#N/A</v>
      </c>
      <c r="D114" s="31">
        <f t="shared" si="25"/>
        <v>15</v>
      </c>
      <c r="E114" s="31">
        <v>14</v>
      </c>
      <c r="F114" s="61">
        <v>0</v>
      </c>
      <c r="G114" s="32" t="s">
        <v>209</v>
      </c>
      <c r="H114" s="33" t="s">
        <v>70</v>
      </c>
      <c r="I114" s="33" t="s">
        <v>115</v>
      </c>
      <c r="J114" s="33" t="s">
        <v>98</v>
      </c>
      <c r="K114" s="33"/>
      <c r="L114" s="33"/>
      <c r="M114" s="33"/>
      <c r="N114" s="33"/>
      <c r="O114" s="58">
        <f t="shared" si="26"/>
        <v>0</v>
      </c>
      <c r="P114" s="62" t="str">
        <f t="shared" si="27"/>
        <v>m2</v>
      </c>
      <c r="Q114" s="34">
        <f t="shared" si="28"/>
        <v>0</v>
      </c>
      <c r="R114" s="41" t="e">
        <f t="shared" si="29"/>
        <v>#N/A</v>
      </c>
    </row>
    <row r="115" spans="1:18" ht="15" customHeight="1" thickBot="1" x14ac:dyDescent="0.3">
      <c r="A115" s="166"/>
      <c r="B115" s="42" t="s">
        <v>41</v>
      </c>
      <c r="C115" s="30" t="e">
        <f t="shared" si="24"/>
        <v>#N/A</v>
      </c>
      <c r="D115" s="31">
        <f t="shared" si="25"/>
        <v>15</v>
      </c>
      <c r="E115" s="31">
        <v>15</v>
      </c>
      <c r="F115" s="61">
        <v>0</v>
      </c>
      <c r="G115" s="32" t="s">
        <v>210</v>
      </c>
      <c r="H115" s="33" t="s">
        <v>70</v>
      </c>
      <c r="I115" s="33" t="s">
        <v>115</v>
      </c>
      <c r="J115" s="33" t="s">
        <v>98</v>
      </c>
      <c r="K115" s="33"/>
      <c r="L115" s="33"/>
      <c r="M115" s="33"/>
      <c r="N115" s="33"/>
      <c r="O115" s="58">
        <f t="shared" si="26"/>
        <v>0</v>
      </c>
      <c r="P115" s="62" t="str">
        <f t="shared" si="27"/>
        <v>m2</v>
      </c>
      <c r="Q115" s="34">
        <f t="shared" si="28"/>
        <v>0</v>
      </c>
      <c r="R115" s="41" t="e">
        <f t="shared" si="29"/>
        <v>#N/A</v>
      </c>
    </row>
    <row r="116" spans="1:18" ht="30" customHeight="1" x14ac:dyDescent="0.2">
      <c r="A116" s="166"/>
      <c r="B116" s="43" t="s">
        <v>101</v>
      </c>
      <c r="C116" s="27">
        <v>0</v>
      </c>
      <c r="D116" s="29">
        <v>16</v>
      </c>
      <c r="E116" s="24">
        <v>0</v>
      </c>
      <c r="F116" s="25">
        <v>0</v>
      </c>
      <c r="G116" s="189" t="str">
        <f>VLOOKUP(D116,Package_table,2,FALSE)</f>
        <v>Painting</v>
      </c>
      <c r="H116" s="189"/>
      <c r="I116" s="189"/>
      <c r="J116" s="189"/>
      <c r="K116" s="189"/>
      <c r="L116" s="189"/>
      <c r="M116" s="189"/>
      <c r="N116" s="189"/>
      <c r="O116" s="189"/>
      <c r="P116" s="189"/>
      <c r="Q116" s="190"/>
      <c r="R116" s="44" t="s">
        <v>32</v>
      </c>
    </row>
    <row r="117" spans="1:18" ht="15" customHeight="1" x14ac:dyDescent="0.25">
      <c r="A117" s="166"/>
      <c r="B117" s="42" t="s">
        <v>41</v>
      </c>
      <c r="C117" s="30" t="e">
        <f t="shared" ref="C117:C125" si="30">VLOOKUP(H117,Location_table2,3,FALSE)</f>
        <v>#N/A</v>
      </c>
      <c r="D117" s="31">
        <f t="shared" ref="D117:D125" si="31">VLOOKUP(I117,Package_table2,3,FALSE)</f>
        <v>16</v>
      </c>
      <c r="E117" s="31">
        <v>1</v>
      </c>
      <c r="F117" s="61">
        <v>0</v>
      </c>
      <c r="G117" s="32" t="s">
        <v>211</v>
      </c>
      <c r="H117" s="33" t="s">
        <v>70</v>
      </c>
      <c r="I117" s="33" t="s">
        <v>116</v>
      </c>
      <c r="J117" s="33" t="s">
        <v>98</v>
      </c>
      <c r="K117" s="33"/>
      <c r="L117" s="33"/>
      <c r="M117" s="33"/>
      <c r="N117" s="33"/>
      <c r="O117" s="58">
        <f t="shared" ref="O117:O125" si="32">PRODUCT(K117:N117)</f>
        <v>0</v>
      </c>
      <c r="P117" s="62" t="str">
        <f t="shared" ref="P117:P125" si="33">VLOOKUP(G117,Pricing,3,FALSE)</f>
        <v>m2</v>
      </c>
      <c r="Q117" s="34">
        <f t="shared" ref="Q117:Q125" si="34">PRODUCT(O117:P117)</f>
        <v>0</v>
      </c>
      <c r="R117" s="41" t="e">
        <f t="shared" ref="R117:R125" si="35">IF(OR(VLOOKUP(H117,Location_table2,2,FALSE)="OFF",VLOOKUP(I117,Package_table2,2,FALSE)="OFF"),"H","")</f>
        <v>#N/A</v>
      </c>
    </row>
    <row r="118" spans="1:18" ht="15" customHeight="1" x14ac:dyDescent="0.25">
      <c r="A118" s="166"/>
      <c r="B118" s="42" t="s">
        <v>41</v>
      </c>
      <c r="C118" s="30" t="e">
        <f t="shared" si="30"/>
        <v>#N/A</v>
      </c>
      <c r="D118" s="31">
        <f t="shared" si="31"/>
        <v>16</v>
      </c>
      <c r="E118" s="31">
        <v>2</v>
      </c>
      <c r="F118" s="61">
        <v>0</v>
      </c>
      <c r="G118" s="32" t="s">
        <v>212</v>
      </c>
      <c r="H118" s="33" t="s">
        <v>70</v>
      </c>
      <c r="I118" s="33" t="s">
        <v>116</v>
      </c>
      <c r="J118" s="33" t="s">
        <v>98</v>
      </c>
      <c r="K118" s="33"/>
      <c r="L118" s="33"/>
      <c r="M118" s="33"/>
      <c r="N118" s="33"/>
      <c r="O118" s="58">
        <f t="shared" si="32"/>
        <v>0</v>
      </c>
      <c r="P118" s="62" t="str">
        <f t="shared" si="33"/>
        <v>m2</v>
      </c>
      <c r="Q118" s="34">
        <f t="shared" si="34"/>
        <v>0</v>
      </c>
      <c r="R118" s="41" t="e">
        <f t="shared" si="35"/>
        <v>#N/A</v>
      </c>
    </row>
    <row r="119" spans="1:18" ht="15" customHeight="1" x14ac:dyDescent="0.25">
      <c r="A119" s="166"/>
      <c r="B119" s="42" t="s">
        <v>41</v>
      </c>
      <c r="C119" s="30" t="e">
        <f t="shared" si="30"/>
        <v>#N/A</v>
      </c>
      <c r="D119" s="31">
        <f t="shared" si="31"/>
        <v>16</v>
      </c>
      <c r="E119" s="31">
        <v>3</v>
      </c>
      <c r="F119" s="61">
        <v>0</v>
      </c>
      <c r="G119" s="32" t="s">
        <v>213</v>
      </c>
      <c r="H119" s="33" t="s">
        <v>70</v>
      </c>
      <c r="I119" s="33" t="s">
        <v>116</v>
      </c>
      <c r="J119" s="33" t="s">
        <v>98</v>
      </c>
      <c r="K119" s="33"/>
      <c r="L119" s="33"/>
      <c r="M119" s="33"/>
      <c r="N119" s="33"/>
      <c r="O119" s="58">
        <f t="shared" si="32"/>
        <v>0</v>
      </c>
      <c r="P119" s="62" t="str">
        <f t="shared" si="33"/>
        <v>m2</v>
      </c>
      <c r="Q119" s="34">
        <f t="shared" si="34"/>
        <v>0</v>
      </c>
      <c r="R119" s="41" t="e">
        <f t="shared" si="35"/>
        <v>#N/A</v>
      </c>
    </row>
    <row r="120" spans="1:18" ht="15" customHeight="1" x14ac:dyDescent="0.25">
      <c r="A120" s="166"/>
      <c r="B120" s="42" t="s">
        <v>41</v>
      </c>
      <c r="C120" s="30" t="e">
        <f t="shared" si="30"/>
        <v>#N/A</v>
      </c>
      <c r="D120" s="31">
        <f t="shared" si="31"/>
        <v>16</v>
      </c>
      <c r="E120" s="31">
        <v>4</v>
      </c>
      <c r="F120" s="61">
        <v>0</v>
      </c>
      <c r="G120" s="32" t="s">
        <v>214</v>
      </c>
      <c r="H120" s="33" t="s">
        <v>70</v>
      </c>
      <c r="I120" s="33" t="s">
        <v>116</v>
      </c>
      <c r="J120" s="33" t="s">
        <v>98</v>
      </c>
      <c r="K120" s="33"/>
      <c r="L120" s="33"/>
      <c r="M120" s="33"/>
      <c r="N120" s="33"/>
      <c r="O120" s="58">
        <f t="shared" si="32"/>
        <v>0</v>
      </c>
      <c r="P120" s="62" t="str">
        <f t="shared" si="33"/>
        <v>m2</v>
      </c>
      <c r="Q120" s="34">
        <f t="shared" si="34"/>
        <v>0</v>
      </c>
      <c r="R120" s="41" t="e">
        <f t="shared" si="35"/>
        <v>#N/A</v>
      </c>
    </row>
    <row r="121" spans="1:18" ht="15" customHeight="1" x14ac:dyDescent="0.25">
      <c r="A121" s="166"/>
      <c r="B121" s="42" t="s">
        <v>41</v>
      </c>
      <c r="C121" s="30" t="e">
        <f t="shared" si="30"/>
        <v>#N/A</v>
      </c>
      <c r="D121" s="31">
        <f t="shared" si="31"/>
        <v>16</v>
      </c>
      <c r="E121" s="31">
        <v>5</v>
      </c>
      <c r="F121" s="61">
        <v>0</v>
      </c>
      <c r="G121" s="32" t="s">
        <v>215</v>
      </c>
      <c r="H121" s="33" t="s">
        <v>70</v>
      </c>
      <c r="I121" s="33" t="s">
        <v>116</v>
      </c>
      <c r="J121" s="33" t="s">
        <v>98</v>
      </c>
      <c r="K121" s="33"/>
      <c r="L121" s="33"/>
      <c r="M121" s="33"/>
      <c r="N121" s="33"/>
      <c r="O121" s="58">
        <f t="shared" si="32"/>
        <v>0</v>
      </c>
      <c r="P121" s="62" t="str">
        <f t="shared" si="33"/>
        <v>m2</v>
      </c>
      <c r="Q121" s="34">
        <f t="shared" si="34"/>
        <v>0</v>
      </c>
      <c r="R121" s="41" t="e">
        <f t="shared" si="35"/>
        <v>#N/A</v>
      </c>
    </row>
    <row r="122" spans="1:18" ht="15" customHeight="1" x14ac:dyDescent="0.25">
      <c r="A122" s="166"/>
      <c r="B122" s="42" t="s">
        <v>41</v>
      </c>
      <c r="C122" s="30" t="e">
        <f t="shared" si="30"/>
        <v>#N/A</v>
      </c>
      <c r="D122" s="31">
        <f t="shared" si="31"/>
        <v>16</v>
      </c>
      <c r="E122" s="31">
        <v>6</v>
      </c>
      <c r="F122" s="61">
        <v>0</v>
      </c>
      <c r="G122" s="32" t="s">
        <v>216</v>
      </c>
      <c r="H122" s="33" t="s">
        <v>70</v>
      </c>
      <c r="I122" s="33" t="s">
        <v>116</v>
      </c>
      <c r="J122" s="33" t="s">
        <v>98</v>
      </c>
      <c r="K122" s="33"/>
      <c r="L122" s="33"/>
      <c r="M122" s="33"/>
      <c r="N122" s="33"/>
      <c r="O122" s="58">
        <f t="shared" si="32"/>
        <v>0</v>
      </c>
      <c r="P122" s="62" t="str">
        <f t="shared" si="33"/>
        <v>m2</v>
      </c>
      <c r="Q122" s="34">
        <f t="shared" si="34"/>
        <v>0</v>
      </c>
      <c r="R122" s="41" t="e">
        <f t="shared" si="35"/>
        <v>#N/A</v>
      </c>
    </row>
    <row r="123" spans="1:18" ht="15" customHeight="1" x14ac:dyDescent="0.25">
      <c r="A123" s="166"/>
      <c r="B123" s="42" t="s">
        <v>41</v>
      </c>
      <c r="C123" s="30" t="e">
        <f t="shared" si="30"/>
        <v>#N/A</v>
      </c>
      <c r="D123" s="31">
        <f t="shared" si="31"/>
        <v>16</v>
      </c>
      <c r="E123" s="31">
        <v>7</v>
      </c>
      <c r="F123" s="61">
        <v>0</v>
      </c>
      <c r="G123" s="32" t="s">
        <v>217</v>
      </c>
      <c r="H123" s="33" t="s">
        <v>70</v>
      </c>
      <c r="I123" s="33" t="s">
        <v>116</v>
      </c>
      <c r="J123" s="33" t="s">
        <v>98</v>
      </c>
      <c r="K123" s="33"/>
      <c r="L123" s="33"/>
      <c r="M123" s="33"/>
      <c r="N123" s="33"/>
      <c r="O123" s="58">
        <f t="shared" si="32"/>
        <v>0</v>
      </c>
      <c r="P123" s="62" t="str">
        <f t="shared" si="33"/>
        <v>m2</v>
      </c>
      <c r="Q123" s="34">
        <f t="shared" si="34"/>
        <v>0</v>
      </c>
      <c r="R123" s="41" t="e">
        <f t="shared" si="35"/>
        <v>#N/A</v>
      </c>
    </row>
    <row r="124" spans="1:18" ht="15" customHeight="1" x14ac:dyDescent="0.25">
      <c r="A124" s="166"/>
      <c r="B124" s="42" t="s">
        <v>41</v>
      </c>
      <c r="C124" s="30" t="e">
        <f t="shared" si="30"/>
        <v>#N/A</v>
      </c>
      <c r="D124" s="31">
        <f t="shared" si="31"/>
        <v>16</v>
      </c>
      <c r="E124" s="31">
        <v>8</v>
      </c>
      <c r="F124" s="61">
        <v>0</v>
      </c>
      <c r="G124" s="32" t="s">
        <v>218</v>
      </c>
      <c r="H124" s="33" t="s">
        <v>70</v>
      </c>
      <c r="I124" s="33" t="s">
        <v>116</v>
      </c>
      <c r="J124" s="33" t="s">
        <v>98</v>
      </c>
      <c r="K124" s="33"/>
      <c r="L124" s="33"/>
      <c r="M124" s="33"/>
      <c r="N124" s="33"/>
      <c r="O124" s="58">
        <f t="shared" si="32"/>
        <v>0</v>
      </c>
      <c r="P124" s="62" t="str">
        <f t="shared" si="33"/>
        <v>m2</v>
      </c>
      <c r="Q124" s="34">
        <f t="shared" si="34"/>
        <v>0</v>
      </c>
      <c r="R124" s="41" t="e">
        <f t="shared" si="35"/>
        <v>#N/A</v>
      </c>
    </row>
    <row r="125" spans="1:18" ht="15" customHeight="1" thickBot="1" x14ac:dyDescent="0.3">
      <c r="A125" s="166"/>
      <c r="B125" s="42" t="s">
        <v>41</v>
      </c>
      <c r="C125" s="30" t="e">
        <f t="shared" si="30"/>
        <v>#N/A</v>
      </c>
      <c r="D125" s="31">
        <f t="shared" si="31"/>
        <v>16</v>
      </c>
      <c r="E125" s="31">
        <v>9</v>
      </c>
      <c r="F125" s="61">
        <v>0</v>
      </c>
      <c r="G125" s="32" t="s">
        <v>219</v>
      </c>
      <c r="H125" s="33" t="s">
        <v>70</v>
      </c>
      <c r="I125" s="33" t="s">
        <v>116</v>
      </c>
      <c r="J125" s="33" t="s">
        <v>98</v>
      </c>
      <c r="K125" s="33"/>
      <c r="L125" s="33"/>
      <c r="M125" s="33"/>
      <c r="N125" s="33"/>
      <c r="O125" s="58">
        <f t="shared" si="32"/>
        <v>0</v>
      </c>
      <c r="P125" s="62" t="str">
        <f t="shared" si="33"/>
        <v>m2</v>
      </c>
      <c r="Q125" s="34">
        <f t="shared" si="34"/>
        <v>0</v>
      </c>
      <c r="R125" s="41" t="e">
        <f t="shared" si="35"/>
        <v>#N/A</v>
      </c>
    </row>
    <row r="126" spans="1:18" ht="30" customHeight="1" x14ac:dyDescent="0.2">
      <c r="A126" s="166"/>
      <c r="B126" s="43" t="s">
        <v>101</v>
      </c>
      <c r="C126" s="27">
        <v>0</v>
      </c>
      <c r="D126" s="29">
        <v>17</v>
      </c>
      <c r="E126" s="24">
        <v>0</v>
      </c>
      <c r="F126" s="25">
        <v>0</v>
      </c>
      <c r="G126" s="189" t="str">
        <f>VLOOKUP(D126,Package_table,2,FALSE)</f>
        <v>False_ceiling</v>
      </c>
      <c r="H126" s="189"/>
      <c r="I126" s="189"/>
      <c r="J126" s="189"/>
      <c r="K126" s="189"/>
      <c r="L126" s="189"/>
      <c r="M126" s="189"/>
      <c r="N126" s="189"/>
      <c r="O126" s="189"/>
      <c r="P126" s="189"/>
      <c r="Q126" s="190"/>
      <c r="R126" s="44" t="s">
        <v>32</v>
      </c>
    </row>
    <row r="127" spans="1:18" ht="15" customHeight="1" x14ac:dyDescent="0.25">
      <c r="A127" s="166"/>
      <c r="B127" s="42" t="s">
        <v>41</v>
      </c>
      <c r="C127" s="30" t="e">
        <f>VLOOKUP(H127,Location_table2,3,FALSE)</f>
        <v>#N/A</v>
      </c>
      <c r="D127" s="31" t="e">
        <f>VLOOKUP(I127,Package_table2,3,FALSE)</f>
        <v>#N/A</v>
      </c>
      <c r="E127" s="31">
        <v>1</v>
      </c>
      <c r="F127" s="61">
        <v>0</v>
      </c>
      <c r="G127" s="32" t="s">
        <v>220</v>
      </c>
      <c r="H127" s="33" t="s">
        <v>70</v>
      </c>
      <c r="I127" s="33" t="s">
        <v>117</v>
      </c>
      <c r="J127" s="33" t="s">
        <v>98</v>
      </c>
      <c r="K127" s="33"/>
      <c r="L127" s="33"/>
      <c r="M127" s="33"/>
      <c r="N127" s="33"/>
      <c r="O127" s="58">
        <f>PRODUCT(K127:N127)</f>
        <v>0</v>
      </c>
      <c r="P127" s="62" t="str">
        <f>VLOOKUP(G127,Pricing,3,FALSE)</f>
        <v>m2</v>
      </c>
      <c r="Q127" s="34">
        <f>PRODUCT(O127:P127)</f>
        <v>0</v>
      </c>
      <c r="R127" s="41" t="e">
        <f>IF(OR(VLOOKUP(H127,Location_table2,2,FALSE)="OFF",VLOOKUP(I127,Package_table2,2,FALSE)="OFF"),"H","")</f>
        <v>#N/A</v>
      </c>
    </row>
    <row r="128" spans="1:18" ht="15" customHeight="1" x14ac:dyDescent="0.25">
      <c r="A128" s="166"/>
      <c r="B128" s="42" t="s">
        <v>41</v>
      </c>
      <c r="C128" s="30" t="e">
        <f>VLOOKUP(H128,Location_table2,3,FALSE)</f>
        <v>#N/A</v>
      </c>
      <c r="D128" s="31" t="e">
        <f>VLOOKUP(I128,Package_table2,3,FALSE)</f>
        <v>#N/A</v>
      </c>
      <c r="E128" s="31">
        <v>2</v>
      </c>
      <c r="F128" s="61">
        <v>0</v>
      </c>
      <c r="G128" s="32" t="s">
        <v>221</v>
      </c>
      <c r="H128" s="33" t="s">
        <v>70</v>
      </c>
      <c r="I128" s="33" t="s">
        <v>117</v>
      </c>
      <c r="J128" s="33" t="s">
        <v>98</v>
      </c>
      <c r="K128" s="33"/>
      <c r="L128" s="33"/>
      <c r="M128" s="33"/>
      <c r="N128" s="33"/>
      <c r="O128" s="58">
        <f>PRODUCT(K128:N128)</f>
        <v>0</v>
      </c>
      <c r="P128" s="62" t="str">
        <f>VLOOKUP(G128,Pricing,3,FALSE)</f>
        <v>m2</v>
      </c>
      <c r="Q128" s="34">
        <f>PRODUCT(O128:P128)</f>
        <v>0</v>
      </c>
      <c r="R128" s="41" t="e">
        <f>IF(OR(VLOOKUP(H128,Location_table2,2,FALSE)="OFF",VLOOKUP(I128,Package_table2,2,FALSE)="OFF"),"H","")</f>
        <v>#N/A</v>
      </c>
    </row>
    <row r="129" spans="1:18" ht="15" customHeight="1" x14ac:dyDescent="0.25">
      <c r="A129" s="166"/>
      <c r="B129" s="42" t="s">
        <v>41</v>
      </c>
      <c r="C129" s="30" t="e">
        <f>VLOOKUP(H129,Location_table2,3,FALSE)</f>
        <v>#N/A</v>
      </c>
      <c r="D129" s="31" t="e">
        <f>VLOOKUP(I129,Package_table2,3,FALSE)</f>
        <v>#N/A</v>
      </c>
      <c r="E129" s="31">
        <v>3</v>
      </c>
      <c r="F129" s="61">
        <v>0</v>
      </c>
      <c r="G129" s="32" t="s">
        <v>222</v>
      </c>
      <c r="H129" s="33" t="s">
        <v>70</v>
      </c>
      <c r="I129" s="33" t="s">
        <v>117</v>
      </c>
      <c r="J129" s="33" t="s">
        <v>98</v>
      </c>
      <c r="K129" s="33"/>
      <c r="L129" s="33"/>
      <c r="M129" s="33"/>
      <c r="N129" s="33"/>
      <c r="O129" s="58">
        <f>PRODUCT(K129:N129)</f>
        <v>0</v>
      </c>
      <c r="P129" s="62" t="str">
        <f>VLOOKUP(G129,Pricing,3,FALSE)</f>
        <v>m2</v>
      </c>
      <c r="Q129" s="34">
        <f>PRODUCT(O129:P129)</f>
        <v>0</v>
      </c>
      <c r="R129" s="41" t="e">
        <f>IF(OR(VLOOKUP(H129,Location_table2,2,FALSE)="OFF",VLOOKUP(I129,Package_table2,2,FALSE)="OFF"),"H","")</f>
        <v>#N/A</v>
      </c>
    </row>
    <row r="130" spans="1:18" ht="15" customHeight="1" x14ac:dyDescent="0.25">
      <c r="A130" s="166"/>
      <c r="B130" s="42" t="s">
        <v>41</v>
      </c>
      <c r="C130" s="30" t="e">
        <f>VLOOKUP(H130,Location_table2,3,FALSE)</f>
        <v>#N/A</v>
      </c>
      <c r="D130" s="31" t="e">
        <f>VLOOKUP(I130,Package_table2,3,FALSE)</f>
        <v>#N/A</v>
      </c>
      <c r="E130" s="31">
        <v>4</v>
      </c>
      <c r="F130" s="61">
        <v>0</v>
      </c>
      <c r="G130" s="32" t="s">
        <v>223</v>
      </c>
      <c r="H130" s="33" t="s">
        <v>70</v>
      </c>
      <c r="I130" s="33" t="s">
        <v>117</v>
      </c>
      <c r="J130" s="33" t="s">
        <v>98</v>
      </c>
      <c r="K130" s="33"/>
      <c r="L130" s="33"/>
      <c r="M130" s="33"/>
      <c r="N130" s="33"/>
      <c r="O130" s="58">
        <f>PRODUCT(K130:N130)</f>
        <v>0</v>
      </c>
      <c r="P130" s="62" t="str">
        <f>VLOOKUP(G130,Pricing,3,FALSE)</f>
        <v>m2</v>
      </c>
      <c r="Q130" s="34">
        <f>PRODUCT(O130:P130)</f>
        <v>0</v>
      </c>
      <c r="R130" s="41" t="e">
        <f>IF(OR(VLOOKUP(H130,Location_table2,2,FALSE)="OFF",VLOOKUP(I130,Package_table2,2,FALSE)="OFF"),"H","")</f>
        <v>#N/A</v>
      </c>
    </row>
    <row r="131" spans="1:18" ht="15" customHeight="1" thickBot="1" x14ac:dyDescent="0.3">
      <c r="A131" s="166"/>
      <c r="B131" s="42" t="s">
        <v>41</v>
      </c>
      <c r="C131" s="30" t="e">
        <f>VLOOKUP(H131,Location_table2,3,FALSE)</f>
        <v>#N/A</v>
      </c>
      <c r="D131" s="31" t="e">
        <f>VLOOKUP(I131,Package_table2,3,FALSE)</f>
        <v>#N/A</v>
      </c>
      <c r="E131" s="31">
        <v>5</v>
      </c>
      <c r="F131" s="61">
        <v>0</v>
      </c>
      <c r="G131" s="32" t="s">
        <v>224</v>
      </c>
      <c r="H131" s="33" t="s">
        <v>70</v>
      </c>
      <c r="I131" s="33" t="s">
        <v>117</v>
      </c>
      <c r="J131" s="33" t="s">
        <v>98</v>
      </c>
      <c r="K131" s="33"/>
      <c r="L131" s="33"/>
      <c r="M131" s="33"/>
      <c r="N131" s="33"/>
      <c r="O131" s="58">
        <f>PRODUCT(K131:N131)</f>
        <v>0</v>
      </c>
      <c r="P131" s="62" t="str">
        <f>VLOOKUP(G131,Pricing,3,FALSE)</f>
        <v>m2</v>
      </c>
      <c r="Q131" s="34">
        <f>PRODUCT(O131:P131)</f>
        <v>0</v>
      </c>
      <c r="R131" s="41" t="e">
        <f>IF(OR(VLOOKUP(H131,Location_table2,2,FALSE)="OFF",VLOOKUP(I131,Package_table2,2,FALSE)="OFF"),"H","")</f>
        <v>#N/A</v>
      </c>
    </row>
    <row r="132" spans="1:18" ht="30" customHeight="1" x14ac:dyDescent="0.2">
      <c r="A132" s="166"/>
      <c r="B132" s="43" t="s">
        <v>101</v>
      </c>
      <c r="C132" s="27">
        <v>0</v>
      </c>
      <c r="D132" s="29">
        <v>18</v>
      </c>
      <c r="E132" s="24">
        <v>0</v>
      </c>
      <c r="F132" s="25">
        <v>0</v>
      </c>
      <c r="G132" s="189" t="str">
        <f>VLOOKUP(D132,Package_table,2,FALSE)</f>
        <v>POP_punning</v>
      </c>
      <c r="H132" s="189"/>
      <c r="I132" s="189"/>
      <c r="J132" s="189"/>
      <c r="K132" s="189"/>
      <c r="L132" s="189"/>
      <c r="M132" s="189"/>
      <c r="N132" s="189"/>
      <c r="O132" s="189"/>
      <c r="P132" s="189"/>
      <c r="Q132" s="190"/>
      <c r="R132" s="44" t="s">
        <v>32</v>
      </c>
    </row>
    <row r="133" spans="1:18" ht="15" customHeight="1" thickBot="1" x14ac:dyDescent="0.3">
      <c r="A133" s="166"/>
      <c r="B133" s="42" t="s">
        <v>41</v>
      </c>
      <c r="C133" s="30" t="e">
        <f>VLOOKUP(H133,Location_table2,3,FALSE)</f>
        <v>#N/A</v>
      </c>
      <c r="D133" s="31" t="e">
        <f>VLOOKUP(I133,Package_table2,3,FALSE)</f>
        <v>#N/A</v>
      </c>
      <c r="E133" s="31">
        <v>1</v>
      </c>
      <c r="F133" s="61">
        <v>0</v>
      </c>
      <c r="G133" s="32" t="s">
        <v>118</v>
      </c>
      <c r="H133" s="33" t="s">
        <v>70</v>
      </c>
      <c r="I133" s="33" t="s">
        <v>118</v>
      </c>
      <c r="J133" s="33" t="s">
        <v>98</v>
      </c>
      <c r="K133" s="33"/>
      <c r="L133" s="33"/>
      <c r="M133" s="33"/>
      <c r="N133" s="33"/>
      <c r="O133" s="58">
        <f>PRODUCT(K133:N133)</f>
        <v>0</v>
      </c>
      <c r="P133" s="62" t="str">
        <f>VLOOKUP(G133,Pricing,3,FALSE)</f>
        <v>m2</v>
      </c>
      <c r="Q133" s="34">
        <f>PRODUCT(O133:P133)</f>
        <v>0</v>
      </c>
      <c r="R133" s="41" t="e">
        <f>IF(OR(VLOOKUP(H133,Location_table2,2,FALSE)="OFF",VLOOKUP(I133,Package_table2,2,FALSE)="OFF"),"H","")</f>
        <v>#N/A</v>
      </c>
    </row>
    <row r="134" spans="1:18" ht="30" customHeight="1" x14ac:dyDescent="0.2">
      <c r="A134" s="166"/>
      <c r="B134" s="43" t="s">
        <v>101</v>
      </c>
      <c r="C134" s="27">
        <v>0</v>
      </c>
      <c r="D134" s="29">
        <v>19</v>
      </c>
      <c r="E134" s="24">
        <v>0</v>
      </c>
      <c r="F134" s="25">
        <v>0</v>
      </c>
      <c r="G134" s="189" t="str">
        <f>VLOOKUP(D134,Package_table,2,FALSE)</f>
        <v>Acid_resistant_brick_lining</v>
      </c>
      <c r="H134" s="189"/>
      <c r="I134" s="189"/>
      <c r="J134" s="189"/>
      <c r="K134" s="189"/>
      <c r="L134" s="189"/>
      <c r="M134" s="189"/>
      <c r="N134" s="189"/>
      <c r="O134" s="189"/>
      <c r="P134" s="189"/>
      <c r="Q134" s="190"/>
      <c r="R134" s="44" t="s">
        <v>32</v>
      </c>
    </row>
    <row r="135" spans="1:18" ht="15" customHeight="1" x14ac:dyDescent="0.25">
      <c r="A135" s="166"/>
      <c r="B135" s="42" t="s">
        <v>41</v>
      </c>
      <c r="C135" s="30" t="e">
        <f>VLOOKUP(H135,Location_table2,3,FALSE)</f>
        <v>#N/A</v>
      </c>
      <c r="D135" s="31" t="e">
        <f>VLOOKUP(I135,Package_table2,3,FALSE)</f>
        <v>#N/A</v>
      </c>
      <c r="E135" s="31">
        <v>1</v>
      </c>
      <c r="F135" s="61">
        <v>0</v>
      </c>
      <c r="G135" s="32" t="s">
        <v>225</v>
      </c>
      <c r="H135" s="33" t="s">
        <v>70</v>
      </c>
      <c r="I135" s="33" t="s">
        <v>119</v>
      </c>
      <c r="J135" s="33" t="s">
        <v>98</v>
      </c>
      <c r="K135" s="33"/>
      <c r="L135" s="33"/>
      <c r="M135" s="33"/>
      <c r="N135" s="33"/>
      <c r="O135" s="58">
        <f>PRODUCT(K135:N135)</f>
        <v>0</v>
      </c>
      <c r="P135" s="62" t="str">
        <f>VLOOKUP(G135,Pricing,3,FALSE)</f>
        <v>m2</v>
      </c>
      <c r="Q135" s="34">
        <f>PRODUCT(O135:P135)</f>
        <v>0</v>
      </c>
      <c r="R135" s="41" t="e">
        <f>IF(OR(VLOOKUP(H135,Location_table2,2,FALSE)="OFF",VLOOKUP(I135,Package_table2,2,FALSE)="OFF"),"H","")</f>
        <v>#N/A</v>
      </c>
    </row>
    <row r="136" spans="1:18" ht="15" customHeight="1" thickBot="1" x14ac:dyDescent="0.3">
      <c r="A136" s="166"/>
      <c r="B136" s="42" t="s">
        <v>41</v>
      </c>
      <c r="C136" s="30" t="e">
        <f>VLOOKUP(H136,Location_table2,3,FALSE)</f>
        <v>#N/A</v>
      </c>
      <c r="D136" s="31" t="e">
        <f>VLOOKUP(I136,Package_table2,3,FALSE)</f>
        <v>#N/A</v>
      </c>
      <c r="E136" s="31">
        <v>2</v>
      </c>
      <c r="F136" s="61">
        <v>0</v>
      </c>
      <c r="G136" s="32" t="s">
        <v>226</v>
      </c>
      <c r="H136" s="33" t="s">
        <v>70</v>
      </c>
      <c r="I136" s="33" t="s">
        <v>119</v>
      </c>
      <c r="J136" s="33" t="s">
        <v>98</v>
      </c>
      <c r="K136" s="33"/>
      <c r="L136" s="33"/>
      <c r="M136" s="33"/>
      <c r="N136" s="33"/>
      <c r="O136" s="58">
        <f>PRODUCT(K136:N136)</f>
        <v>0</v>
      </c>
      <c r="P136" s="62" t="str">
        <f>VLOOKUP(G136,Pricing,3,FALSE)</f>
        <v>m2</v>
      </c>
      <c r="Q136" s="34">
        <f>PRODUCT(O136:P136)</f>
        <v>0</v>
      </c>
      <c r="R136" s="41" t="e">
        <f>IF(OR(VLOOKUP(H136,Location_table2,2,FALSE)="OFF",VLOOKUP(I136,Package_table2,2,FALSE)="OFF"),"H","")</f>
        <v>#N/A</v>
      </c>
    </row>
    <row r="137" spans="1:18" ht="30" customHeight="1" x14ac:dyDescent="0.2">
      <c r="A137" s="166"/>
      <c r="B137" s="43" t="s">
        <v>101</v>
      </c>
      <c r="C137" s="27">
        <v>0</v>
      </c>
      <c r="D137" s="29">
        <v>20</v>
      </c>
      <c r="E137" s="24">
        <v>0</v>
      </c>
      <c r="F137" s="25">
        <v>0</v>
      </c>
      <c r="G137" s="189" t="str">
        <f>VLOOKUP(D137,Package_table,2,FALSE)</f>
        <v>Insulation</v>
      </c>
      <c r="H137" s="189"/>
      <c r="I137" s="189"/>
      <c r="J137" s="189"/>
      <c r="K137" s="189"/>
      <c r="L137" s="189"/>
      <c r="M137" s="189"/>
      <c r="N137" s="189"/>
      <c r="O137" s="189"/>
      <c r="P137" s="189"/>
      <c r="Q137" s="190"/>
      <c r="R137" s="44" t="s">
        <v>32</v>
      </c>
    </row>
    <row r="138" spans="1:18" ht="15" customHeight="1" thickBot="1" x14ac:dyDescent="0.3">
      <c r="A138" s="166"/>
      <c r="B138" s="42" t="s">
        <v>41</v>
      </c>
      <c r="C138" s="30" t="e">
        <f>VLOOKUP(H138,Location_table2,3,FALSE)</f>
        <v>#N/A</v>
      </c>
      <c r="D138" s="31">
        <f>VLOOKUP(I138,Package_table2,3,FALSE)</f>
        <v>20</v>
      </c>
      <c r="E138" s="31">
        <v>1</v>
      </c>
      <c r="F138" s="61">
        <v>0</v>
      </c>
      <c r="G138" s="32" t="s">
        <v>120</v>
      </c>
      <c r="H138" s="33" t="s">
        <v>70</v>
      </c>
      <c r="I138" s="33" t="s">
        <v>120</v>
      </c>
      <c r="J138" s="33" t="s">
        <v>98</v>
      </c>
      <c r="K138" s="33"/>
      <c r="L138" s="33"/>
      <c r="M138" s="33"/>
      <c r="N138" s="33"/>
      <c r="O138" s="58">
        <f>PRODUCT(K138:N138)</f>
        <v>0</v>
      </c>
      <c r="P138" s="62" t="str">
        <f>VLOOKUP(G138,Pricing,3,FALSE)</f>
        <v>m2</v>
      </c>
      <c r="Q138" s="34">
        <f>PRODUCT(O138:P138)</f>
        <v>0</v>
      </c>
      <c r="R138" s="41" t="e">
        <f>IF(OR(VLOOKUP(H138,Location_table2,2,FALSE)="OFF",VLOOKUP(I138,Package_table2,2,FALSE)="OFF"),"H","")</f>
        <v>#N/A</v>
      </c>
    </row>
    <row r="139" spans="1:18" ht="30" customHeight="1" x14ac:dyDescent="0.2">
      <c r="A139" s="166"/>
      <c r="B139" s="43" t="s">
        <v>101</v>
      </c>
      <c r="C139" s="27">
        <v>0</v>
      </c>
      <c r="D139" s="29">
        <v>21</v>
      </c>
      <c r="E139" s="24">
        <v>0</v>
      </c>
      <c r="F139" s="25">
        <v>0</v>
      </c>
      <c r="G139" s="189" t="str">
        <f>VLOOKUP(D139,Package_table,2,FALSE)</f>
        <v>Water_supply</v>
      </c>
      <c r="H139" s="189"/>
      <c r="I139" s="189"/>
      <c r="J139" s="189"/>
      <c r="K139" s="189"/>
      <c r="L139" s="189"/>
      <c r="M139" s="189"/>
      <c r="N139" s="189"/>
      <c r="O139" s="189"/>
      <c r="P139" s="189"/>
      <c r="Q139" s="190"/>
      <c r="R139" s="44" t="s">
        <v>32</v>
      </c>
    </row>
    <row r="140" spans="1:18" ht="15" customHeight="1" x14ac:dyDescent="0.25">
      <c r="A140" s="166"/>
      <c r="B140" s="42" t="s">
        <v>41</v>
      </c>
      <c r="C140" s="30" t="e">
        <f t="shared" ref="C140:C153" si="36">VLOOKUP(H140,Location_table2,3,FALSE)</f>
        <v>#N/A</v>
      </c>
      <c r="D140" s="31" t="e">
        <f t="shared" ref="D140:D153" si="37">VLOOKUP(I140,Package_table2,3,FALSE)</f>
        <v>#N/A</v>
      </c>
      <c r="E140" s="31">
        <v>1</v>
      </c>
      <c r="F140" s="61">
        <v>0</v>
      </c>
      <c r="G140" s="32" t="s">
        <v>227</v>
      </c>
      <c r="H140" s="33" t="s">
        <v>70</v>
      </c>
      <c r="I140" s="33" t="s">
        <v>121</v>
      </c>
      <c r="J140" s="33" t="s">
        <v>10</v>
      </c>
      <c r="K140" s="33"/>
      <c r="L140" s="33"/>
      <c r="M140" s="33"/>
      <c r="N140" s="33"/>
      <c r="O140" s="58">
        <f t="shared" ref="O140:O153" si="38">PRODUCT(K140:N140)</f>
        <v>0</v>
      </c>
      <c r="P140" s="62" t="str">
        <f t="shared" ref="P140:P153" si="39">VLOOKUP(G140,Pricing,3,FALSE)</f>
        <v>Nos.</v>
      </c>
      <c r="Q140" s="34">
        <f t="shared" ref="Q140:Q153" si="40">PRODUCT(O140:P140)</f>
        <v>0</v>
      </c>
      <c r="R140" s="41" t="e">
        <f t="shared" ref="R140:R153" si="41">IF(OR(VLOOKUP(H140,Location_table2,2,FALSE)="OFF",VLOOKUP(I140,Package_table2,2,FALSE)="OFF"),"H","")</f>
        <v>#N/A</v>
      </c>
    </row>
    <row r="141" spans="1:18" ht="15" customHeight="1" x14ac:dyDescent="0.25">
      <c r="A141" s="166"/>
      <c r="B141" s="42" t="s">
        <v>41</v>
      </c>
      <c r="C141" s="30" t="e">
        <f t="shared" si="36"/>
        <v>#N/A</v>
      </c>
      <c r="D141" s="31" t="e">
        <f t="shared" si="37"/>
        <v>#N/A</v>
      </c>
      <c r="E141" s="31">
        <v>2</v>
      </c>
      <c r="F141" s="61">
        <v>0</v>
      </c>
      <c r="G141" s="32" t="s">
        <v>228</v>
      </c>
      <c r="H141" s="33" t="s">
        <v>70</v>
      </c>
      <c r="I141" s="33" t="s">
        <v>121</v>
      </c>
      <c r="J141" s="33" t="s">
        <v>10</v>
      </c>
      <c r="K141" s="33"/>
      <c r="L141" s="33"/>
      <c r="M141" s="33"/>
      <c r="N141" s="33"/>
      <c r="O141" s="58">
        <f t="shared" si="38"/>
        <v>0</v>
      </c>
      <c r="P141" s="62" t="str">
        <f t="shared" si="39"/>
        <v>Nos.</v>
      </c>
      <c r="Q141" s="34">
        <f t="shared" si="40"/>
        <v>0</v>
      </c>
      <c r="R141" s="41" t="e">
        <f t="shared" si="41"/>
        <v>#N/A</v>
      </c>
    </row>
    <row r="142" spans="1:18" ht="15" customHeight="1" x14ac:dyDescent="0.25">
      <c r="A142" s="166"/>
      <c r="B142" s="42" t="s">
        <v>41</v>
      </c>
      <c r="C142" s="30" t="e">
        <f t="shared" si="36"/>
        <v>#N/A</v>
      </c>
      <c r="D142" s="31" t="e">
        <f t="shared" si="37"/>
        <v>#N/A</v>
      </c>
      <c r="E142" s="31">
        <v>3</v>
      </c>
      <c r="F142" s="61">
        <v>0</v>
      </c>
      <c r="G142" s="32" t="s">
        <v>229</v>
      </c>
      <c r="H142" s="33" t="s">
        <v>70</v>
      </c>
      <c r="I142" s="33" t="s">
        <v>121</v>
      </c>
      <c r="J142" s="33" t="s">
        <v>10</v>
      </c>
      <c r="K142" s="33"/>
      <c r="L142" s="33"/>
      <c r="M142" s="33"/>
      <c r="N142" s="33"/>
      <c r="O142" s="58">
        <f t="shared" si="38"/>
        <v>0</v>
      </c>
      <c r="P142" s="62" t="str">
        <f t="shared" si="39"/>
        <v>Nos.</v>
      </c>
      <c r="Q142" s="34">
        <f t="shared" si="40"/>
        <v>0</v>
      </c>
      <c r="R142" s="41" t="e">
        <f t="shared" si="41"/>
        <v>#N/A</v>
      </c>
    </row>
    <row r="143" spans="1:18" ht="15" customHeight="1" x14ac:dyDescent="0.25">
      <c r="A143" s="166"/>
      <c r="B143" s="42" t="s">
        <v>41</v>
      </c>
      <c r="C143" s="30" t="e">
        <f t="shared" si="36"/>
        <v>#N/A</v>
      </c>
      <c r="D143" s="31" t="e">
        <f t="shared" si="37"/>
        <v>#N/A</v>
      </c>
      <c r="E143" s="31">
        <v>4</v>
      </c>
      <c r="F143" s="61">
        <v>0</v>
      </c>
      <c r="G143" s="32" t="s">
        <v>230</v>
      </c>
      <c r="H143" s="33" t="s">
        <v>70</v>
      </c>
      <c r="I143" s="33" t="s">
        <v>121</v>
      </c>
      <c r="J143" s="33" t="s">
        <v>10</v>
      </c>
      <c r="K143" s="33"/>
      <c r="L143" s="33"/>
      <c r="M143" s="33"/>
      <c r="N143" s="33"/>
      <c r="O143" s="58">
        <f t="shared" si="38"/>
        <v>0</v>
      </c>
      <c r="P143" s="62" t="str">
        <f t="shared" si="39"/>
        <v>Nos.</v>
      </c>
      <c r="Q143" s="34">
        <f t="shared" si="40"/>
        <v>0</v>
      </c>
      <c r="R143" s="41" t="e">
        <f t="shared" si="41"/>
        <v>#N/A</v>
      </c>
    </row>
    <row r="144" spans="1:18" ht="15" customHeight="1" x14ac:dyDescent="0.25">
      <c r="A144" s="166"/>
      <c r="B144" s="42" t="s">
        <v>41</v>
      </c>
      <c r="C144" s="30" t="e">
        <f t="shared" si="36"/>
        <v>#N/A</v>
      </c>
      <c r="D144" s="31" t="e">
        <f t="shared" si="37"/>
        <v>#N/A</v>
      </c>
      <c r="E144" s="31">
        <v>5</v>
      </c>
      <c r="F144" s="61">
        <v>0</v>
      </c>
      <c r="G144" s="32" t="s">
        <v>231</v>
      </c>
      <c r="H144" s="33" t="s">
        <v>70</v>
      </c>
      <c r="I144" s="33" t="s">
        <v>121</v>
      </c>
      <c r="J144" s="33" t="s">
        <v>17</v>
      </c>
      <c r="K144" s="33"/>
      <c r="L144" s="33"/>
      <c r="M144" s="33"/>
      <c r="N144" s="33"/>
      <c r="O144" s="58">
        <f t="shared" si="38"/>
        <v>0</v>
      </c>
      <c r="P144" s="62" t="str">
        <f t="shared" si="39"/>
        <v>Rm</v>
      </c>
      <c r="Q144" s="34">
        <f t="shared" si="40"/>
        <v>0</v>
      </c>
      <c r="R144" s="41" t="e">
        <f t="shared" si="41"/>
        <v>#N/A</v>
      </c>
    </row>
    <row r="145" spans="1:18" ht="15" customHeight="1" x14ac:dyDescent="0.25">
      <c r="A145" s="166"/>
      <c r="B145" s="42" t="s">
        <v>41</v>
      </c>
      <c r="C145" s="30" t="e">
        <f t="shared" si="36"/>
        <v>#N/A</v>
      </c>
      <c r="D145" s="31" t="e">
        <f t="shared" si="37"/>
        <v>#N/A</v>
      </c>
      <c r="E145" s="31">
        <v>6</v>
      </c>
      <c r="F145" s="61">
        <v>0</v>
      </c>
      <c r="G145" s="32" t="s">
        <v>232</v>
      </c>
      <c r="H145" s="33" t="s">
        <v>70</v>
      </c>
      <c r="I145" s="33" t="s">
        <v>121</v>
      </c>
      <c r="J145" s="33" t="s">
        <v>17</v>
      </c>
      <c r="K145" s="33"/>
      <c r="L145" s="33"/>
      <c r="M145" s="33"/>
      <c r="N145" s="33"/>
      <c r="O145" s="58">
        <f t="shared" si="38"/>
        <v>0</v>
      </c>
      <c r="P145" s="62" t="str">
        <f t="shared" si="39"/>
        <v>Rm</v>
      </c>
      <c r="Q145" s="34">
        <f t="shared" si="40"/>
        <v>0</v>
      </c>
      <c r="R145" s="41" t="e">
        <f t="shared" si="41"/>
        <v>#N/A</v>
      </c>
    </row>
    <row r="146" spans="1:18" ht="15" customHeight="1" x14ac:dyDescent="0.25">
      <c r="A146" s="166"/>
      <c r="B146" s="42" t="s">
        <v>41</v>
      </c>
      <c r="C146" s="30" t="e">
        <f t="shared" si="36"/>
        <v>#N/A</v>
      </c>
      <c r="D146" s="31" t="e">
        <f t="shared" si="37"/>
        <v>#N/A</v>
      </c>
      <c r="E146" s="31">
        <v>7</v>
      </c>
      <c r="F146" s="61">
        <v>0</v>
      </c>
      <c r="G146" s="32" t="s">
        <v>233</v>
      </c>
      <c r="H146" s="33" t="s">
        <v>70</v>
      </c>
      <c r="I146" s="33" t="s">
        <v>121</v>
      </c>
      <c r="J146" s="33" t="s">
        <v>17</v>
      </c>
      <c r="K146" s="33"/>
      <c r="L146" s="33"/>
      <c r="M146" s="33"/>
      <c r="N146" s="33"/>
      <c r="O146" s="58">
        <f t="shared" si="38"/>
        <v>0</v>
      </c>
      <c r="P146" s="62" t="str">
        <f t="shared" si="39"/>
        <v>Rm</v>
      </c>
      <c r="Q146" s="34">
        <f t="shared" si="40"/>
        <v>0</v>
      </c>
      <c r="R146" s="41" t="e">
        <f t="shared" si="41"/>
        <v>#N/A</v>
      </c>
    </row>
    <row r="147" spans="1:18" ht="15" customHeight="1" x14ac:dyDescent="0.25">
      <c r="A147" s="166"/>
      <c r="B147" s="42" t="s">
        <v>41</v>
      </c>
      <c r="C147" s="30" t="e">
        <f t="shared" si="36"/>
        <v>#N/A</v>
      </c>
      <c r="D147" s="31" t="e">
        <f t="shared" si="37"/>
        <v>#N/A</v>
      </c>
      <c r="E147" s="31">
        <v>8</v>
      </c>
      <c r="F147" s="61">
        <v>0</v>
      </c>
      <c r="G147" s="32" t="s">
        <v>234</v>
      </c>
      <c r="H147" s="33" t="s">
        <v>70</v>
      </c>
      <c r="I147" s="33" t="s">
        <v>121</v>
      </c>
      <c r="J147" s="33" t="s">
        <v>10</v>
      </c>
      <c r="K147" s="33"/>
      <c r="L147" s="33"/>
      <c r="M147" s="33"/>
      <c r="N147" s="33"/>
      <c r="O147" s="58">
        <f t="shared" si="38"/>
        <v>0</v>
      </c>
      <c r="P147" s="62" t="str">
        <f t="shared" si="39"/>
        <v>Nos.</v>
      </c>
      <c r="Q147" s="34">
        <f t="shared" si="40"/>
        <v>0</v>
      </c>
      <c r="R147" s="41" t="e">
        <f t="shared" si="41"/>
        <v>#N/A</v>
      </c>
    </row>
    <row r="148" spans="1:18" ht="15" customHeight="1" x14ac:dyDescent="0.25">
      <c r="A148" s="166"/>
      <c r="B148" s="42" t="s">
        <v>41</v>
      </c>
      <c r="C148" s="30" t="e">
        <f t="shared" si="36"/>
        <v>#N/A</v>
      </c>
      <c r="D148" s="31" t="e">
        <f t="shared" si="37"/>
        <v>#N/A</v>
      </c>
      <c r="E148" s="31">
        <v>9</v>
      </c>
      <c r="F148" s="61">
        <v>0</v>
      </c>
      <c r="G148" s="32" t="s">
        <v>235</v>
      </c>
      <c r="H148" s="33" t="s">
        <v>70</v>
      </c>
      <c r="I148" s="33" t="s">
        <v>121</v>
      </c>
      <c r="J148" s="33" t="s">
        <v>10</v>
      </c>
      <c r="K148" s="33"/>
      <c r="L148" s="33"/>
      <c r="M148" s="33"/>
      <c r="N148" s="33"/>
      <c r="O148" s="58">
        <f t="shared" si="38"/>
        <v>0</v>
      </c>
      <c r="P148" s="62" t="str">
        <f t="shared" si="39"/>
        <v>Nos.</v>
      </c>
      <c r="Q148" s="34">
        <f t="shared" si="40"/>
        <v>0</v>
      </c>
      <c r="R148" s="41" t="e">
        <f t="shared" si="41"/>
        <v>#N/A</v>
      </c>
    </row>
    <row r="149" spans="1:18" ht="15" customHeight="1" x14ac:dyDescent="0.25">
      <c r="A149" s="166"/>
      <c r="B149" s="42" t="s">
        <v>41</v>
      </c>
      <c r="C149" s="30" t="e">
        <f t="shared" si="36"/>
        <v>#N/A</v>
      </c>
      <c r="D149" s="31" t="e">
        <f t="shared" si="37"/>
        <v>#N/A</v>
      </c>
      <c r="E149" s="31">
        <v>10</v>
      </c>
      <c r="F149" s="61">
        <v>0</v>
      </c>
      <c r="G149" s="32" t="s">
        <v>236</v>
      </c>
      <c r="H149" s="33" t="s">
        <v>70</v>
      </c>
      <c r="I149" s="33" t="s">
        <v>121</v>
      </c>
      <c r="J149" s="33" t="s">
        <v>10</v>
      </c>
      <c r="K149" s="33"/>
      <c r="L149" s="33"/>
      <c r="M149" s="33"/>
      <c r="N149" s="33"/>
      <c r="O149" s="58">
        <f t="shared" si="38"/>
        <v>0</v>
      </c>
      <c r="P149" s="62" t="str">
        <f t="shared" si="39"/>
        <v>Nos.</v>
      </c>
      <c r="Q149" s="34">
        <f t="shared" si="40"/>
        <v>0</v>
      </c>
      <c r="R149" s="41" t="e">
        <f t="shared" si="41"/>
        <v>#N/A</v>
      </c>
    </row>
    <row r="150" spans="1:18" ht="15" customHeight="1" x14ac:dyDescent="0.25">
      <c r="A150" s="166"/>
      <c r="B150" s="42" t="s">
        <v>41</v>
      </c>
      <c r="C150" s="30" t="e">
        <f t="shared" si="36"/>
        <v>#N/A</v>
      </c>
      <c r="D150" s="31" t="e">
        <f t="shared" si="37"/>
        <v>#N/A</v>
      </c>
      <c r="E150" s="31">
        <v>11</v>
      </c>
      <c r="F150" s="61">
        <v>0</v>
      </c>
      <c r="G150" s="32" t="s">
        <v>237</v>
      </c>
      <c r="H150" s="33" t="s">
        <v>70</v>
      </c>
      <c r="I150" s="33" t="s">
        <v>121</v>
      </c>
      <c r="J150" s="33" t="s">
        <v>10</v>
      </c>
      <c r="K150" s="33"/>
      <c r="L150" s="33"/>
      <c r="M150" s="33"/>
      <c r="N150" s="33"/>
      <c r="O150" s="58">
        <f t="shared" si="38"/>
        <v>0</v>
      </c>
      <c r="P150" s="62" t="str">
        <f t="shared" si="39"/>
        <v>Nos.</v>
      </c>
      <c r="Q150" s="34">
        <f t="shared" si="40"/>
        <v>0</v>
      </c>
      <c r="R150" s="41" t="e">
        <f t="shared" si="41"/>
        <v>#N/A</v>
      </c>
    </row>
    <row r="151" spans="1:18" ht="15" customHeight="1" x14ac:dyDescent="0.25">
      <c r="A151" s="166"/>
      <c r="B151" s="42" t="s">
        <v>41</v>
      </c>
      <c r="C151" s="30" t="e">
        <f t="shared" si="36"/>
        <v>#N/A</v>
      </c>
      <c r="D151" s="31" t="e">
        <f t="shared" si="37"/>
        <v>#N/A</v>
      </c>
      <c r="E151" s="31">
        <v>12</v>
      </c>
      <c r="F151" s="61">
        <v>0</v>
      </c>
      <c r="G151" s="32" t="s">
        <v>238</v>
      </c>
      <c r="H151" s="33" t="s">
        <v>70</v>
      </c>
      <c r="I151" s="33" t="s">
        <v>121</v>
      </c>
      <c r="J151" s="33" t="s">
        <v>10</v>
      </c>
      <c r="K151" s="33"/>
      <c r="L151" s="33"/>
      <c r="M151" s="33"/>
      <c r="N151" s="33"/>
      <c r="O151" s="58">
        <f t="shared" si="38"/>
        <v>0</v>
      </c>
      <c r="P151" s="62" t="str">
        <f t="shared" si="39"/>
        <v>Nos.</v>
      </c>
      <c r="Q151" s="34">
        <f t="shared" si="40"/>
        <v>0</v>
      </c>
      <c r="R151" s="41" t="e">
        <f t="shared" si="41"/>
        <v>#N/A</v>
      </c>
    </row>
    <row r="152" spans="1:18" ht="15" customHeight="1" x14ac:dyDescent="0.25">
      <c r="A152" s="166"/>
      <c r="B152" s="42" t="s">
        <v>41</v>
      </c>
      <c r="C152" s="30" t="e">
        <f t="shared" si="36"/>
        <v>#N/A</v>
      </c>
      <c r="D152" s="31" t="e">
        <f t="shared" si="37"/>
        <v>#N/A</v>
      </c>
      <c r="E152" s="31">
        <v>13</v>
      </c>
      <c r="F152" s="61">
        <v>0</v>
      </c>
      <c r="G152" s="32" t="s">
        <v>239</v>
      </c>
      <c r="H152" s="33" t="s">
        <v>70</v>
      </c>
      <c r="I152" s="33" t="s">
        <v>121</v>
      </c>
      <c r="J152" s="33" t="s">
        <v>10</v>
      </c>
      <c r="K152" s="33"/>
      <c r="L152" s="33"/>
      <c r="M152" s="33"/>
      <c r="N152" s="33"/>
      <c r="O152" s="58">
        <f t="shared" si="38"/>
        <v>0</v>
      </c>
      <c r="P152" s="62" t="str">
        <f t="shared" si="39"/>
        <v>Nos.</v>
      </c>
      <c r="Q152" s="34">
        <f t="shared" si="40"/>
        <v>0</v>
      </c>
      <c r="R152" s="41" t="e">
        <f t="shared" si="41"/>
        <v>#N/A</v>
      </c>
    </row>
    <row r="153" spans="1:18" ht="15" customHeight="1" thickBot="1" x14ac:dyDescent="0.3">
      <c r="A153" s="166"/>
      <c r="B153" s="42" t="s">
        <v>41</v>
      </c>
      <c r="C153" s="30" t="e">
        <f t="shared" si="36"/>
        <v>#N/A</v>
      </c>
      <c r="D153" s="31" t="e">
        <f t="shared" si="37"/>
        <v>#N/A</v>
      </c>
      <c r="E153" s="31">
        <v>14</v>
      </c>
      <c r="F153" s="61">
        <v>0</v>
      </c>
      <c r="G153" s="32" t="s">
        <v>240</v>
      </c>
      <c r="H153" s="33" t="s">
        <v>70</v>
      </c>
      <c r="I153" s="33" t="s">
        <v>121</v>
      </c>
      <c r="J153" s="33" t="s">
        <v>10</v>
      </c>
      <c r="K153" s="33"/>
      <c r="L153" s="33"/>
      <c r="M153" s="33"/>
      <c r="N153" s="33"/>
      <c r="O153" s="58">
        <f t="shared" si="38"/>
        <v>0</v>
      </c>
      <c r="P153" s="62" t="str">
        <f t="shared" si="39"/>
        <v>Nos.</v>
      </c>
      <c r="Q153" s="34">
        <f t="shared" si="40"/>
        <v>0</v>
      </c>
      <c r="R153" s="41" t="e">
        <f t="shared" si="41"/>
        <v>#N/A</v>
      </c>
    </row>
    <row r="154" spans="1:18" ht="30" customHeight="1" x14ac:dyDescent="0.2">
      <c r="A154" s="166"/>
      <c r="B154" s="43" t="s">
        <v>101</v>
      </c>
      <c r="C154" s="27">
        <v>0</v>
      </c>
      <c r="D154" s="29">
        <v>22</v>
      </c>
      <c r="E154" s="24">
        <v>0</v>
      </c>
      <c r="F154" s="25">
        <v>0</v>
      </c>
      <c r="G154" s="189" t="str">
        <f>VLOOKUP(D154,Package_table,2,FALSE)</f>
        <v>Sanitary_works</v>
      </c>
      <c r="H154" s="189"/>
      <c r="I154" s="189"/>
      <c r="J154" s="189"/>
      <c r="K154" s="189"/>
      <c r="L154" s="189"/>
      <c r="M154" s="189"/>
      <c r="N154" s="189"/>
      <c r="O154" s="189"/>
      <c r="P154" s="189"/>
      <c r="Q154" s="190"/>
      <c r="R154" s="44" t="s">
        <v>32</v>
      </c>
    </row>
    <row r="155" spans="1:18" ht="15" customHeight="1" x14ac:dyDescent="0.25">
      <c r="A155" s="166"/>
      <c r="B155" s="42" t="s">
        <v>41</v>
      </c>
      <c r="C155" s="30" t="e">
        <f t="shared" ref="C155:C165" si="42">VLOOKUP(H155,Location_table2,3,FALSE)</f>
        <v>#N/A</v>
      </c>
      <c r="D155" s="31" t="e">
        <f t="shared" ref="D155:D165" si="43">VLOOKUP(I155,Package_table2,3,FALSE)</f>
        <v>#N/A</v>
      </c>
      <c r="E155" s="31">
        <v>1</v>
      </c>
      <c r="F155" s="61">
        <v>0</v>
      </c>
      <c r="G155" s="32" t="s">
        <v>241</v>
      </c>
      <c r="H155" s="33" t="s">
        <v>70</v>
      </c>
      <c r="I155" s="33" t="s">
        <v>122</v>
      </c>
      <c r="J155" s="33" t="s">
        <v>10</v>
      </c>
      <c r="K155" s="33"/>
      <c r="L155" s="33"/>
      <c r="M155" s="33"/>
      <c r="N155" s="33"/>
      <c r="O155" s="58">
        <f t="shared" ref="O155:O165" si="44">PRODUCT(K155:N155)</f>
        <v>0</v>
      </c>
      <c r="P155" s="62" t="str">
        <f t="shared" ref="P155:P165" si="45">VLOOKUP(G155,Pricing,3,FALSE)</f>
        <v>Nos.</v>
      </c>
      <c r="Q155" s="34">
        <f t="shared" ref="Q155:Q165" si="46">PRODUCT(O155:P155)</f>
        <v>0</v>
      </c>
      <c r="R155" s="41" t="e">
        <f t="shared" ref="R155:R165" si="47">IF(OR(VLOOKUP(H155,Location_table2,2,FALSE)="OFF",VLOOKUP(I155,Package_table2,2,FALSE)="OFF"),"H","")</f>
        <v>#N/A</v>
      </c>
    </row>
    <row r="156" spans="1:18" ht="15" customHeight="1" x14ac:dyDescent="0.25">
      <c r="A156" s="166"/>
      <c r="B156" s="42" t="s">
        <v>41</v>
      </c>
      <c r="C156" s="30" t="e">
        <f t="shared" si="42"/>
        <v>#N/A</v>
      </c>
      <c r="D156" s="31" t="e">
        <f t="shared" si="43"/>
        <v>#N/A</v>
      </c>
      <c r="E156" s="31">
        <v>2</v>
      </c>
      <c r="F156" s="61">
        <v>0</v>
      </c>
      <c r="G156" s="32" t="s">
        <v>242</v>
      </c>
      <c r="H156" s="33" t="s">
        <v>70</v>
      </c>
      <c r="I156" s="33" t="s">
        <v>122</v>
      </c>
      <c r="J156" s="33" t="s">
        <v>10</v>
      </c>
      <c r="K156" s="33"/>
      <c r="L156" s="33"/>
      <c r="M156" s="33"/>
      <c r="N156" s="33"/>
      <c r="O156" s="58">
        <f t="shared" si="44"/>
        <v>0</v>
      </c>
      <c r="P156" s="62" t="str">
        <f t="shared" si="45"/>
        <v>Nos.</v>
      </c>
      <c r="Q156" s="34">
        <f t="shared" si="46"/>
        <v>0</v>
      </c>
      <c r="R156" s="41" t="e">
        <f t="shared" si="47"/>
        <v>#N/A</v>
      </c>
    </row>
    <row r="157" spans="1:18" ht="15" customHeight="1" x14ac:dyDescent="0.25">
      <c r="A157" s="166"/>
      <c r="B157" s="42" t="s">
        <v>41</v>
      </c>
      <c r="C157" s="30" t="e">
        <f t="shared" si="42"/>
        <v>#N/A</v>
      </c>
      <c r="D157" s="31" t="e">
        <f t="shared" si="43"/>
        <v>#N/A</v>
      </c>
      <c r="E157" s="31">
        <v>3</v>
      </c>
      <c r="F157" s="61">
        <v>0</v>
      </c>
      <c r="G157" s="32" t="s">
        <v>243</v>
      </c>
      <c r="H157" s="33" t="s">
        <v>70</v>
      </c>
      <c r="I157" s="33" t="s">
        <v>122</v>
      </c>
      <c r="J157" s="33" t="s">
        <v>10</v>
      </c>
      <c r="K157" s="33"/>
      <c r="L157" s="33"/>
      <c r="M157" s="33"/>
      <c r="N157" s="33"/>
      <c r="O157" s="58">
        <f t="shared" si="44"/>
        <v>0</v>
      </c>
      <c r="P157" s="62" t="str">
        <f t="shared" si="45"/>
        <v>Nos.</v>
      </c>
      <c r="Q157" s="34">
        <f t="shared" si="46"/>
        <v>0</v>
      </c>
      <c r="R157" s="41" t="e">
        <f t="shared" si="47"/>
        <v>#N/A</v>
      </c>
    </row>
    <row r="158" spans="1:18" ht="15" customHeight="1" x14ac:dyDescent="0.25">
      <c r="A158" s="166"/>
      <c r="B158" s="42" t="s">
        <v>41</v>
      </c>
      <c r="C158" s="30" t="e">
        <f t="shared" si="42"/>
        <v>#N/A</v>
      </c>
      <c r="D158" s="31" t="e">
        <f t="shared" si="43"/>
        <v>#N/A</v>
      </c>
      <c r="E158" s="31">
        <v>4</v>
      </c>
      <c r="F158" s="61">
        <v>0</v>
      </c>
      <c r="G158" s="32" t="s">
        <v>244</v>
      </c>
      <c r="H158" s="33" t="s">
        <v>70</v>
      </c>
      <c r="I158" s="33" t="s">
        <v>122</v>
      </c>
      <c r="J158" s="33" t="s">
        <v>10</v>
      </c>
      <c r="K158" s="33"/>
      <c r="L158" s="33"/>
      <c r="M158" s="33"/>
      <c r="N158" s="33"/>
      <c r="O158" s="58">
        <f t="shared" si="44"/>
        <v>0</v>
      </c>
      <c r="P158" s="62" t="str">
        <f t="shared" si="45"/>
        <v>Nos.</v>
      </c>
      <c r="Q158" s="34">
        <f t="shared" si="46"/>
        <v>0</v>
      </c>
      <c r="R158" s="41" t="e">
        <f t="shared" si="47"/>
        <v>#N/A</v>
      </c>
    </row>
    <row r="159" spans="1:18" ht="15" customHeight="1" x14ac:dyDescent="0.25">
      <c r="A159" s="166"/>
      <c r="B159" s="42" t="s">
        <v>41</v>
      </c>
      <c r="C159" s="30" t="e">
        <f t="shared" si="42"/>
        <v>#N/A</v>
      </c>
      <c r="D159" s="31" t="e">
        <f t="shared" si="43"/>
        <v>#N/A</v>
      </c>
      <c r="E159" s="31">
        <v>5</v>
      </c>
      <c r="F159" s="61">
        <v>0</v>
      </c>
      <c r="G159" s="32" t="s">
        <v>245</v>
      </c>
      <c r="H159" s="33" t="s">
        <v>70</v>
      </c>
      <c r="I159" s="33" t="s">
        <v>122</v>
      </c>
      <c r="J159" s="33" t="s">
        <v>10</v>
      </c>
      <c r="K159" s="33"/>
      <c r="L159" s="33"/>
      <c r="M159" s="33"/>
      <c r="N159" s="33"/>
      <c r="O159" s="58">
        <f t="shared" si="44"/>
        <v>0</v>
      </c>
      <c r="P159" s="62" t="str">
        <f t="shared" si="45"/>
        <v>Nos.</v>
      </c>
      <c r="Q159" s="34">
        <f t="shared" si="46"/>
        <v>0</v>
      </c>
      <c r="R159" s="41" t="e">
        <f t="shared" si="47"/>
        <v>#N/A</v>
      </c>
    </row>
    <row r="160" spans="1:18" ht="15" customHeight="1" x14ac:dyDescent="0.25">
      <c r="A160" s="166"/>
      <c r="B160" s="42" t="s">
        <v>41</v>
      </c>
      <c r="C160" s="30" t="e">
        <f t="shared" si="42"/>
        <v>#N/A</v>
      </c>
      <c r="D160" s="31" t="e">
        <f t="shared" si="43"/>
        <v>#N/A</v>
      </c>
      <c r="E160" s="31">
        <v>6</v>
      </c>
      <c r="F160" s="61">
        <v>0</v>
      </c>
      <c r="G160" s="32" t="s">
        <v>246</v>
      </c>
      <c r="H160" s="33" t="s">
        <v>70</v>
      </c>
      <c r="I160" s="33" t="s">
        <v>122</v>
      </c>
      <c r="J160" s="33" t="s">
        <v>10</v>
      </c>
      <c r="K160" s="33"/>
      <c r="L160" s="33"/>
      <c r="M160" s="33"/>
      <c r="N160" s="33"/>
      <c r="O160" s="58">
        <f t="shared" si="44"/>
        <v>0</v>
      </c>
      <c r="P160" s="62" t="str">
        <f t="shared" si="45"/>
        <v>Nos.</v>
      </c>
      <c r="Q160" s="34">
        <f t="shared" si="46"/>
        <v>0</v>
      </c>
      <c r="R160" s="41" t="e">
        <f t="shared" si="47"/>
        <v>#N/A</v>
      </c>
    </row>
    <row r="161" spans="1:18" ht="15" customHeight="1" x14ac:dyDescent="0.25">
      <c r="A161" s="166"/>
      <c r="B161" s="42" t="s">
        <v>41</v>
      </c>
      <c r="C161" s="30" t="e">
        <f t="shared" si="42"/>
        <v>#N/A</v>
      </c>
      <c r="D161" s="31" t="e">
        <f t="shared" si="43"/>
        <v>#N/A</v>
      </c>
      <c r="E161" s="31">
        <v>7</v>
      </c>
      <c r="F161" s="61">
        <v>0</v>
      </c>
      <c r="G161" s="32" t="s">
        <v>247</v>
      </c>
      <c r="H161" s="33" t="s">
        <v>70</v>
      </c>
      <c r="I161" s="33" t="s">
        <v>122</v>
      </c>
      <c r="J161" s="33" t="s">
        <v>10</v>
      </c>
      <c r="K161" s="33"/>
      <c r="L161" s="33"/>
      <c r="M161" s="33"/>
      <c r="N161" s="33"/>
      <c r="O161" s="58">
        <f t="shared" si="44"/>
        <v>0</v>
      </c>
      <c r="P161" s="62" t="str">
        <f t="shared" si="45"/>
        <v>Nos.</v>
      </c>
      <c r="Q161" s="34">
        <f t="shared" si="46"/>
        <v>0</v>
      </c>
      <c r="R161" s="41" t="e">
        <f t="shared" si="47"/>
        <v>#N/A</v>
      </c>
    </row>
    <row r="162" spans="1:18" ht="15" customHeight="1" x14ac:dyDescent="0.25">
      <c r="A162" s="166"/>
      <c r="B162" s="42" t="s">
        <v>41</v>
      </c>
      <c r="C162" s="30" t="e">
        <f t="shared" si="42"/>
        <v>#N/A</v>
      </c>
      <c r="D162" s="31" t="e">
        <f t="shared" si="43"/>
        <v>#N/A</v>
      </c>
      <c r="E162" s="31">
        <v>8</v>
      </c>
      <c r="F162" s="61">
        <v>0</v>
      </c>
      <c r="G162" s="32" t="s">
        <v>248</v>
      </c>
      <c r="H162" s="33" t="s">
        <v>70</v>
      </c>
      <c r="I162" s="33" t="s">
        <v>122</v>
      </c>
      <c r="J162" s="33" t="s">
        <v>10</v>
      </c>
      <c r="K162" s="33"/>
      <c r="L162" s="33"/>
      <c r="M162" s="33"/>
      <c r="N162" s="33"/>
      <c r="O162" s="58">
        <f t="shared" si="44"/>
        <v>0</v>
      </c>
      <c r="P162" s="62" t="str">
        <f t="shared" si="45"/>
        <v>Nos.</v>
      </c>
      <c r="Q162" s="34">
        <f t="shared" si="46"/>
        <v>0</v>
      </c>
      <c r="R162" s="41" t="e">
        <f t="shared" si="47"/>
        <v>#N/A</v>
      </c>
    </row>
    <row r="163" spans="1:18" ht="15" customHeight="1" x14ac:dyDescent="0.25">
      <c r="A163" s="166"/>
      <c r="B163" s="42" t="s">
        <v>41</v>
      </c>
      <c r="C163" s="30" t="e">
        <f t="shared" si="42"/>
        <v>#N/A</v>
      </c>
      <c r="D163" s="31" t="e">
        <f t="shared" si="43"/>
        <v>#N/A</v>
      </c>
      <c r="E163" s="31">
        <v>9</v>
      </c>
      <c r="F163" s="61">
        <v>0</v>
      </c>
      <c r="G163" s="32" t="s">
        <v>249</v>
      </c>
      <c r="H163" s="33" t="s">
        <v>70</v>
      </c>
      <c r="I163" s="33" t="s">
        <v>122</v>
      </c>
      <c r="J163" s="33" t="s">
        <v>10</v>
      </c>
      <c r="K163" s="33"/>
      <c r="L163" s="33"/>
      <c r="M163" s="33"/>
      <c r="N163" s="33"/>
      <c r="O163" s="58">
        <f t="shared" si="44"/>
        <v>0</v>
      </c>
      <c r="P163" s="62" t="str">
        <f t="shared" si="45"/>
        <v>Nos.</v>
      </c>
      <c r="Q163" s="34">
        <f t="shared" si="46"/>
        <v>0</v>
      </c>
      <c r="R163" s="41" t="e">
        <f t="shared" si="47"/>
        <v>#N/A</v>
      </c>
    </row>
    <row r="164" spans="1:18" ht="15" customHeight="1" x14ac:dyDescent="0.25">
      <c r="A164" s="166"/>
      <c r="B164" s="42" t="s">
        <v>41</v>
      </c>
      <c r="C164" s="30" t="e">
        <f t="shared" si="42"/>
        <v>#N/A</v>
      </c>
      <c r="D164" s="31" t="e">
        <f t="shared" si="43"/>
        <v>#N/A</v>
      </c>
      <c r="E164" s="31">
        <v>10</v>
      </c>
      <c r="F164" s="61">
        <v>0</v>
      </c>
      <c r="G164" s="32" t="s">
        <v>250</v>
      </c>
      <c r="H164" s="33" t="s">
        <v>70</v>
      </c>
      <c r="I164" s="33" t="s">
        <v>122</v>
      </c>
      <c r="J164" s="33" t="s">
        <v>10</v>
      </c>
      <c r="K164" s="33"/>
      <c r="L164" s="33"/>
      <c r="M164" s="33"/>
      <c r="N164" s="33"/>
      <c r="O164" s="58">
        <f t="shared" si="44"/>
        <v>0</v>
      </c>
      <c r="P164" s="62" t="str">
        <f t="shared" si="45"/>
        <v>Nos.</v>
      </c>
      <c r="Q164" s="34">
        <f t="shared" si="46"/>
        <v>0</v>
      </c>
      <c r="R164" s="41" t="e">
        <f t="shared" si="47"/>
        <v>#N/A</v>
      </c>
    </row>
    <row r="165" spans="1:18" ht="15" customHeight="1" thickBot="1" x14ac:dyDescent="0.3">
      <c r="A165" s="166"/>
      <c r="B165" s="42" t="s">
        <v>41</v>
      </c>
      <c r="C165" s="30" t="e">
        <f t="shared" si="42"/>
        <v>#N/A</v>
      </c>
      <c r="D165" s="31" t="e">
        <f t="shared" si="43"/>
        <v>#N/A</v>
      </c>
      <c r="E165" s="31">
        <v>11</v>
      </c>
      <c r="F165" s="61">
        <v>0</v>
      </c>
      <c r="G165" s="32" t="s">
        <v>251</v>
      </c>
      <c r="H165" s="33" t="s">
        <v>70</v>
      </c>
      <c r="I165" s="33" t="s">
        <v>122</v>
      </c>
      <c r="J165" s="33" t="s">
        <v>10</v>
      </c>
      <c r="K165" s="33"/>
      <c r="L165" s="33"/>
      <c r="M165" s="33"/>
      <c r="N165" s="33"/>
      <c r="O165" s="58">
        <f t="shared" si="44"/>
        <v>0</v>
      </c>
      <c r="P165" s="62" t="str">
        <f t="shared" si="45"/>
        <v>Nos.</v>
      </c>
      <c r="Q165" s="34">
        <f t="shared" si="46"/>
        <v>0</v>
      </c>
      <c r="R165" s="41" t="e">
        <f t="shared" si="47"/>
        <v>#N/A</v>
      </c>
    </row>
    <row r="166" spans="1:18" ht="30" customHeight="1" x14ac:dyDescent="0.2">
      <c r="A166" s="166"/>
      <c r="B166" s="43" t="s">
        <v>101</v>
      </c>
      <c r="C166" s="27">
        <v>0</v>
      </c>
      <c r="D166" s="29">
        <v>23</v>
      </c>
      <c r="E166" s="24">
        <v>0</v>
      </c>
      <c r="F166" s="25">
        <v>0</v>
      </c>
      <c r="G166" s="189" t="str">
        <f>VLOOKUP(D166,Package_table,2,FALSE)</f>
        <v>Demolition</v>
      </c>
      <c r="H166" s="189"/>
      <c r="I166" s="189"/>
      <c r="J166" s="189"/>
      <c r="K166" s="189"/>
      <c r="L166" s="189"/>
      <c r="M166" s="189"/>
      <c r="N166" s="189"/>
      <c r="O166" s="189"/>
      <c r="P166" s="189"/>
      <c r="Q166" s="190"/>
      <c r="R166" s="44" t="s">
        <v>32</v>
      </c>
    </row>
    <row r="167" spans="1:18" ht="15" customHeight="1" x14ac:dyDescent="0.25">
      <c r="A167" s="166"/>
      <c r="B167" s="42" t="s">
        <v>41</v>
      </c>
      <c r="C167" s="30" t="e">
        <f>VLOOKUP(H167,Location_table2,3,FALSE)</f>
        <v>#N/A</v>
      </c>
      <c r="D167" s="31">
        <f>VLOOKUP(I167,Package_table2,3,FALSE)</f>
        <v>23</v>
      </c>
      <c r="E167" s="31">
        <v>1</v>
      </c>
      <c r="F167" s="61">
        <v>0</v>
      </c>
      <c r="G167" s="32" t="s">
        <v>252</v>
      </c>
      <c r="H167" s="33" t="s">
        <v>70</v>
      </c>
      <c r="I167" s="33" t="s">
        <v>68</v>
      </c>
      <c r="J167" s="33" t="s">
        <v>97</v>
      </c>
      <c r="K167" s="33"/>
      <c r="L167" s="33"/>
      <c r="M167" s="33"/>
      <c r="N167" s="33"/>
      <c r="O167" s="58">
        <f>PRODUCT(K167:N167)</f>
        <v>0</v>
      </c>
      <c r="P167" s="62" t="str">
        <f>VLOOKUP(G167,Pricing,3,FALSE)</f>
        <v>m3</v>
      </c>
      <c r="Q167" s="34">
        <f>PRODUCT(O167:P167)</f>
        <v>0</v>
      </c>
      <c r="R167" s="41" t="e">
        <f>IF(OR(VLOOKUP(H167,Location_table2,2,FALSE)="OFF",VLOOKUP(I167,Package_table2,2,FALSE)="OFF"),"H","")</f>
        <v>#N/A</v>
      </c>
    </row>
    <row r="168" spans="1:18" ht="15" customHeight="1" thickBot="1" x14ac:dyDescent="0.3">
      <c r="A168" s="166"/>
      <c r="B168" s="42" t="s">
        <v>41</v>
      </c>
      <c r="C168" s="30" t="e">
        <f>VLOOKUP(H168,Location_table2,3,FALSE)</f>
        <v>#N/A</v>
      </c>
      <c r="D168" s="31">
        <f>VLOOKUP(I168,Package_table2,3,FALSE)</f>
        <v>23</v>
      </c>
      <c r="E168" s="31">
        <v>2</v>
      </c>
      <c r="F168" s="61">
        <v>0</v>
      </c>
      <c r="G168" s="32" t="s">
        <v>253</v>
      </c>
      <c r="H168" s="33" t="s">
        <v>70</v>
      </c>
      <c r="I168" s="33" t="s">
        <v>68</v>
      </c>
      <c r="J168" s="33" t="s">
        <v>254</v>
      </c>
      <c r="K168" s="33"/>
      <c r="L168" s="33"/>
      <c r="M168" s="33"/>
      <c r="N168" s="33"/>
      <c r="O168" s="58">
        <f>PRODUCT(K168:N168)</f>
        <v>0</v>
      </c>
      <c r="P168" s="62" t="str">
        <f>VLOOKUP(G168,Pricing,3,FALSE)</f>
        <v>LS</v>
      </c>
      <c r="Q168" s="34">
        <f>PRODUCT(O168:P168)</f>
        <v>0</v>
      </c>
      <c r="R168" s="41" t="e">
        <f>IF(OR(VLOOKUP(H168,Location_table2,2,FALSE)="OFF",VLOOKUP(I168,Package_table2,2,FALSE)="OFF"),"H","")</f>
        <v>#N/A</v>
      </c>
    </row>
    <row r="169" spans="1:18" ht="30" customHeight="1" x14ac:dyDescent="0.2">
      <c r="A169" s="166"/>
      <c r="B169" s="43" t="s">
        <v>101</v>
      </c>
      <c r="C169" s="27">
        <v>0</v>
      </c>
      <c r="D169" s="29">
        <v>24</v>
      </c>
      <c r="E169" s="24">
        <v>0</v>
      </c>
      <c r="F169" s="25">
        <v>0</v>
      </c>
      <c r="G169" s="189" t="str">
        <f>VLOOKUP(D169,Package_table,2,FALSE)</f>
        <v>Piles</v>
      </c>
      <c r="H169" s="189"/>
      <c r="I169" s="189"/>
      <c r="J169" s="189"/>
      <c r="K169" s="189"/>
      <c r="L169" s="189"/>
      <c r="M169" s="189"/>
      <c r="N169" s="189"/>
      <c r="O169" s="189"/>
      <c r="P169" s="189"/>
      <c r="Q169" s="190"/>
      <c r="R169" s="44" t="s">
        <v>32</v>
      </c>
    </row>
    <row r="170" spans="1:18" ht="15" customHeight="1" x14ac:dyDescent="0.25">
      <c r="A170" s="166"/>
      <c r="B170" s="42" t="s">
        <v>41</v>
      </c>
      <c r="C170" s="30" t="e">
        <f>VLOOKUP(H170,Location_table2,3,FALSE)</f>
        <v>#N/A</v>
      </c>
      <c r="D170" s="31">
        <f>VLOOKUP(I170,Package_table2,3,FALSE)</f>
        <v>24</v>
      </c>
      <c r="E170" s="31">
        <v>1</v>
      </c>
      <c r="F170" s="61">
        <v>0</v>
      </c>
      <c r="G170" s="32" t="s">
        <v>123</v>
      </c>
      <c r="H170" s="33" t="s">
        <v>70</v>
      </c>
      <c r="I170" s="33" t="s">
        <v>123</v>
      </c>
      <c r="J170" s="33" t="s">
        <v>10</v>
      </c>
      <c r="K170" s="33"/>
      <c r="L170" s="33"/>
      <c r="M170" s="33"/>
      <c r="N170" s="33"/>
      <c r="O170" s="58">
        <f>PRODUCT(K170:N170)</f>
        <v>0</v>
      </c>
      <c r="P170" s="62" t="str">
        <f>VLOOKUP(G170,Pricing,3,FALSE)</f>
        <v>Nos.</v>
      </c>
      <c r="Q170" s="34">
        <f>PRODUCT(O170:P170)</f>
        <v>0</v>
      </c>
      <c r="R170" s="41" t="e">
        <f>IF(OR(VLOOKUP(H170,Location_table2,2,FALSE)="OFF",VLOOKUP(I170,Package_table2,2,FALSE)="OFF"),"H","")</f>
        <v>#N/A</v>
      </c>
    </row>
    <row r="171" spans="1:18" ht="15" customHeight="1" thickBot="1" x14ac:dyDescent="0.3">
      <c r="B171" s="3"/>
      <c r="C171" s="118"/>
      <c r="D171" s="119"/>
      <c r="E171" s="119"/>
      <c r="F171" s="120"/>
      <c r="G171" s="121"/>
      <c r="H171" s="122"/>
      <c r="I171" s="122"/>
      <c r="J171" s="122"/>
      <c r="K171" s="122"/>
      <c r="L171" s="122"/>
      <c r="M171" s="123"/>
      <c r="N171" s="123"/>
      <c r="O171" s="124"/>
      <c r="P171" s="125"/>
      <c r="Q171" s="126"/>
      <c r="R171" s="3"/>
    </row>
    <row r="172" spans="1:18" x14ac:dyDescent="0.25">
      <c r="B172" s="51" t="s">
        <v>42</v>
      </c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51"/>
    </row>
    <row r="179" spans="7:7" x14ac:dyDescent="0.25">
      <c r="G179" s="5"/>
    </row>
  </sheetData>
  <sortState ref="A7:R171">
    <sortCondition ref="D171"/>
    <sortCondition ref="C171"/>
    <sortCondition ref="E171"/>
    <sortCondition ref="F171"/>
  </sortState>
  <mergeCells count="31">
    <mergeCell ref="G12:Q12"/>
    <mergeCell ref="G10:Q10"/>
    <mergeCell ref="G7:Q7"/>
    <mergeCell ref="A1:A5"/>
    <mergeCell ref="G3:G4"/>
    <mergeCell ref="C3:F4"/>
    <mergeCell ref="J2:Q2"/>
    <mergeCell ref="I3:J3"/>
    <mergeCell ref="I4:J4"/>
    <mergeCell ref="C2:I2"/>
    <mergeCell ref="G132:Q132"/>
    <mergeCell ref="G154:Q154"/>
    <mergeCell ref="G139:Q139"/>
    <mergeCell ref="G134:Q134"/>
    <mergeCell ref="G137:Q137"/>
    <mergeCell ref="G169:Q169"/>
    <mergeCell ref="G26:Q26"/>
    <mergeCell ref="G28:Q28"/>
    <mergeCell ref="G30:Q30"/>
    <mergeCell ref="G32:Q32"/>
    <mergeCell ref="G36:Q36"/>
    <mergeCell ref="G40:Q40"/>
    <mergeCell ref="G49:Q49"/>
    <mergeCell ref="G72:Q72"/>
    <mergeCell ref="G77:Q77"/>
    <mergeCell ref="G83:Q83"/>
    <mergeCell ref="G87:Q87"/>
    <mergeCell ref="G100:Q100"/>
    <mergeCell ref="G116:Q116"/>
    <mergeCell ref="G126:Q126"/>
    <mergeCell ref="G166:Q166"/>
  </mergeCells>
  <conditionalFormatting sqref="A7">
    <cfRule type="iconSet" priority="630">
      <iconSet>
        <cfvo type="percent" val="0"/>
        <cfvo type="percent" val="33"/>
        <cfvo type="percent" val="67"/>
      </iconSet>
    </cfRule>
  </conditionalFormatting>
  <conditionalFormatting sqref="A7">
    <cfRule type="iconSet" priority="631">
      <iconSet>
        <cfvo type="percent" val="0"/>
        <cfvo type="percent" val="33"/>
        <cfvo type="percent" val="67"/>
      </iconSet>
    </cfRule>
  </conditionalFormatting>
  <conditionalFormatting sqref="A7">
    <cfRule type="iconSet" priority="632">
      <iconSet>
        <cfvo type="percent" val="0"/>
        <cfvo type="percent" val="33"/>
        <cfvo type="percent" val="67"/>
      </iconSet>
    </cfRule>
  </conditionalFormatting>
  <conditionalFormatting sqref="A8">
    <cfRule type="iconSet" priority="626">
      <iconSet>
        <cfvo type="percent" val="0"/>
        <cfvo type="percent" val="33"/>
        <cfvo type="percent" val="67"/>
      </iconSet>
    </cfRule>
  </conditionalFormatting>
  <conditionalFormatting sqref="A8">
    <cfRule type="iconSet" priority="627">
      <iconSet>
        <cfvo type="percent" val="0"/>
        <cfvo type="percent" val="33"/>
        <cfvo type="percent" val="67"/>
      </iconSet>
    </cfRule>
  </conditionalFormatting>
  <conditionalFormatting sqref="A8">
    <cfRule type="iconSet" priority="628">
      <iconSet>
        <cfvo type="percent" val="0"/>
        <cfvo type="percent" val="33"/>
        <cfvo type="percent" val="67"/>
      </iconSet>
    </cfRule>
  </conditionalFormatting>
  <conditionalFormatting sqref="A9">
    <cfRule type="iconSet" priority="622">
      <iconSet>
        <cfvo type="percent" val="0"/>
        <cfvo type="percent" val="33"/>
        <cfvo type="percent" val="67"/>
      </iconSet>
    </cfRule>
  </conditionalFormatting>
  <conditionalFormatting sqref="A9">
    <cfRule type="iconSet" priority="623">
      <iconSet>
        <cfvo type="percent" val="0"/>
        <cfvo type="percent" val="33"/>
        <cfvo type="percent" val="67"/>
      </iconSet>
    </cfRule>
  </conditionalFormatting>
  <conditionalFormatting sqref="A9">
    <cfRule type="iconSet" priority="624">
      <iconSet>
        <cfvo type="percent" val="0"/>
        <cfvo type="percent" val="33"/>
        <cfvo type="percent" val="67"/>
      </iconSet>
    </cfRule>
  </conditionalFormatting>
  <conditionalFormatting sqref="A10">
    <cfRule type="iconSet" priority="618">
      <iconSet>
        <cfvo type="percent" val="0"/>
        <cfvo type="percent" val="33"/>
        <cfvo type="percent" val="67"/>
      </iconSet>
    </cfRule>
  </conditionalFormatting>
  <conditionalFormatting sqref="A10">
    <cfRule type="iconSet" priority="619">
      <iconSet>
        <cfvo type="percent" val="0"/>
        <cfvo type="percent" val="33"/>
        <cfvo type="percent" val="67"/>
      </iconSet>
    </cfRule>
  </conditionalFormatting>
  <conditionalFormatting sqref="A10">
    <cfRule type="iconSet" priority="620">
      <iconSet>
        <cfvo type="percent" val="0"/>
        <cfvo type="percent" val="33"/>
        <cfvo type="percent" val="67"/>
      </iconSet>
    </cfRule>
  </conditionalFormatting>
  <conditionalFormatting sqref="A11">
    <cfRule type="iconSet" priority="614">
      <iconSet>
        <cfvo type="percent" val="0"/>
        <cfvo type="percent" val="33"/>
        <cfvo type="percent" val="67"/>
      </iconSet>
    </cfRule>
  </conditionalFormatting>
  <conditionalFormatting sqref="A11">
    <cfRule type="iconSet" priority="615">
      <iconSet>
        <cfvo type="percent" val="0"/>
        <cfvo type="percent" val="33"/>
        <cfvo type="percent" val="67"/>
      </iconSet>
    </cfRule>
  </conditionalFormatting>
  <conditionalFormatting sqref="A11">
    <cfRule type="iconSet" priority="616">
      <iconSet>
        <cfvo type="percent" val="0"/>
        <cfvo type="percent" val="33"/>
        <cfvo type="percent" val="67"/>
      </iconSet>
    </cfRule>
  </conditionalFormatting>
  <conditionalFormatting sqref="A12">
    <cfRule type="iconSet" priority="610">
      <iconSet>
        <cfvo type="percent" val="0"/>
        <cfvo type="percent" val="33"/>
        <cfvo type="percent" val="67"/>
      </iconSet>
    </cfRule>
  </conditionalFormatting>
  <conditionalFormatting sqref="A12">
    <cfRule type="iconSet" priority="611">
      <iconSet>
        <cfvo type="percent" val="0"/>
        <cfvo type="percent" val="33"/>
        <cfvo type="percent" val="67"/>
      </iconSet>
    </cfRule>
  </conditionalFormatting>
  <conditionalFormatting sqref="A12">
    <cfRule type="iconSet" priority="612">
      <iconSet>
        <cfvo type="percent" val="0"/>
        <cfvo type="percent" val="33"/>
        <cfvo type="percent" val="67"/>
      </iconSet>
    </cfRule>
  </conditionalFormatting>
  <conditionalFormatting sqref="A13">
    <cfRule type="iconSet" priority="606">
      <iconSet>
        <cfvo type="percent" val="0"/>
        <cfvo type="percent" val="33"/>
        <cfvo type="percent" val="67"/>
      </iconSet>
    </cfRule>
  </conditionalFormatting>
  <conditionalFormatting sqref="A13">
    <cfRule type="iconSet" priority="607">
      <iconSet>
        <cfvo type="percent" val="0"/>
        <cfvo type="percent" val="33"/>
        <cfvo type="percent" val="67"/>
      </iconSet>
    </cfRule>
  </conditionalFormatting>
  <conditionalFormatting sqref="A13">
    <cfRule type="iconSet" priority="608">
      <iconSet>
        <cfvo type="percent" val="0"/>
        <cfvo type="percent" val="33"/>
        <cfvo type="percent" val="67"/>
      </iconSet>
    </cfRule>
  </conditionalFormatting>
  <conditionalFormatting sqref="A14">
    <cfRule type="iconSet" priority="602">
      <iconSet>
        <cfvo type="percent" val="0"/>
        <cfvo type="percent" val="33"/>
        <cfvo type="percent" val="67"/>
      </iconSet>
    </cfRule>
  </conditionalFormatting>
  <conditionalFormatting sqref="A14">
    <cfRule type="iconSet" priority="603">
      <iconSet>
        <cfvo type="percent" val="0"/>
        <cfvo type="percent" val="33"/>
        <cfvo type="percent" val="67"/>
      </iconSet>
    </cfRule>
  </conditionalFormatting>
  <conditionalFormatting sqref="A14">
    <cfRule type="iconSet" priority="604">
      <iconSet>
        <cfvo type="percent" val="0"/>
        <cfvo type="percent" val="33"/>
        <cfvo type="percent" val="67"/>
      </iconSet>
    </cfRule>
  </conditionalFormatting>
  <conditionalFormatting sqref="A15">
    <cfRule type="iconSet" priority="598">
      <iconSet>
        <cfvo type="percent" val="0"/>
        <cfvo type="percent" val="33"/>
        <cfvo type="percent" val="67"/>
      </iconSet>
    </cfRule>
  </conditionalFormatting>
  <conditionalFormatting sqref="A15">
    <cfRule type="iconSet" priority="599">
      <iconSet>
        <cfvo type="percent" val="0"/>
        <cfvo type="percent" val="33"/>
        <cfvo type="percent" val="67"/>
      </iconSet>
    </cfRule>
  </conditionalFormatting>
  <conditionalFormatting sqref="A15">
    <cfRule type="iconSet" priority="600">
      <iconSet>
        <cfvo type="percent" val="0"/>
        <cfvo type="percent" val="33"/>
        <cfvo type="percent" val="67"/>
      </iconSet>
    </cfRule>
  </conditionalFormatting>
  <conditionalFormatting sqref="A16:A18">
    <cfRule type="iconSet" priority="594">
      <iconSet>
        <cfvo type="percent" val="0"/>
        <cfvo type="percent" val="33"/>
        <cfvo type="percent" val="67"/>
      </iconSet>
    </cfRule>
  </conditionalFormatting>
  <conditionalFormatting sqref="A16:A18">
    <cfRule type="iconSet" priority="595">
      <iconSet>
        <cfvo type="percent" val="0"/>
        <cfvo type="percent" val="33"/>
        <cfvo type="percent" val="67"/>
      </iconSet>
    </cfRule>
  </conditionalFormatting>
  <conditionalFormatting sqref="A16:A18">
    <cfRule type="iconSet" priority="596">
      <iconSet>
        <cfvo type="percent" val="0"/>
        <cfvo type="percent" val="33"/>
        <cfvo type="percent" val="67"/>
      </iconSet>
    </cfRule>
  </conditionalFormatting>
  <conditionalFormatting sqref="A19:A22">
    <cfRule type="iconSet" priority="590">
      <iconSet>
        <cfvo type="percent" val="0"/>
        <cfvo type="percent" val="33"/>
        <cfvo type="percent" val="67"/>
      </iconSet>
    </cfRule>
  </conditionalFormatting>
  <conditionalFormatting sqref="A19:A22">
    <cfRule type="iconSet" priority="591">
      <iconSet>
        <cfvo type="percent" val="0"/>
        <cfvo type="percent" val="33"/>
        <cfvo type="percent" val="67"/>
      </iconSet>
    </cfRule>
  </conditionalFormatting>
  <conditionalFormatting sqref="A19:A22">
    <cfRule type="iconSet" priority="592">
      <iconSet>
        <cfvo type="percent" val="0"/>
        <cfvo type="percent" val="33"/>
        <cfvo type="percent" val="67"/>
      </iconSet>
    </cfRule>
  </conditionalFormatting>
  <conditionalFormatting sqref="A23:A24">
    <cfRule type="iconSet" priority="586">
      <iconSet>
        <cfvo type="percent" val="0"/>
        <cfvo type="percent" val="33"/>
        <cfvo type="percent" val="67"/>
      </iconSet>
    </cfRule>
  </conditionalFormatting>
  <conditionalFormatting sqref="A23:A24">
    <cfRule type="iconSet" priority="587">
      <iconSet>
        <cfvo type="percent" val="0"/>
        <cfvo type="percent" val="33"/>
        <cfvo type="percent" val="67"/>
      </iconSet>
    </cfRule>
  </conditionalFormatting>
  <conditionalFormatting sqref="A23:A24">
    <cfRule type="iconSet" priority="588">
      <iconSet>
        <cfvo type="percent" val="0"/>
        <cfvo type="percent" val="33"/>
        <cfvo type="percent" val="67"/>
      </iconSet>
    </cfRule>
  </conditionalFormatting>
  <conditionalFormatting sqref="A25">
    <cfRule type="iconSet" priority="582">
      <iconSet>
        <cfvo type="percent" val="0"/>
        <cfvo type="percent" val="33"/>
        <cfvo type="percent" val="67"/>
      </iconSet>
    </cfRule>
  </conditionalFormatting>
  <conditionalFormatting sqref="A25">
    <cfRule type="iconSet" priority="583">
      <iconSet>
        <cfvo type="percent" val="0"/>
        <cfvo type="percent" val="33"/>
        <cfvo type="percent" val="67"/>
      </iconSet>
    </cfRule>
  </conditionalFormatting>
  <conditionalFormatting sqref="A25">
    <cfRule type="iconSet" priority="584">
      <iconSet>
        <cfvo type="percent" val="0"/>
        <cfvo type="percent" val="33"/>
        <cfvo type="percent" val="67"/>
      </iconSet>
    </cfRule>
  </conditionalFormatting>
  <conditionalFormatting sqref="A26">
    <cfRule type="iconSet" priority="578">
      <iconSet>
        <cfvo type="percent" val="0"/>
        <cfvo type="percent" val="33"/>
        <cfvo type="percent" val="67"/>
      </iconSet>
    </cfRule>
  </conditionalFormatting>
  <conditionalFormatting sqref="A26">
    <cfRule type="iconSet" priority="579">
      <iconSet>
        <cfvo type="percent" val="0"/>
        <cfvo type="percent" val="33"/>
        <cfvo type="percent" val="67"/>
      </iconSet>
    </cfRule>
  </conditionalFormatting>
  <conditionalFormatting sqref="A26">
    <cfRule type="iconSet" priority="580">
      <iconSet>
        <cfvo type="percent" val="0"/>
        <cfvo type="percent" val="33"/>
        <cfvo type="percent" val="67"/>
      </iconSet>
    </cfRule>
  </conditionalFormatting>
  <conditionalFormatting sqref="A27">
    <cfRule type="iconSet" priority="574">
      <iconSet>
        <cfvo type="percent" val="0"/>
        <cfvo type="percent" val="33"/>
        <cfvo type="percent" val="67"/>
      </iconSet>
    </cfRule>
  </conditionalFormatting>
  <conditionalFormatting sqref="A27">
    <cfRule type="iconSet" priority="575">
      <iconSet>
        <cfvo type="percent" val="0"/>
        <cfvo type="percent" val="33"/>
        <cfvo type="percent" val="67"/>
      </iconSet>
    </cfRule>
  </conditionalFormatting>
  <conditionalFormatting sqref="A27">
    <cfRule type="iconSet" priority="576">
      <iconSet>
        <cfvo type="percent" val="0"/>
        <cfvo type="percent" val="33"/>
        <cfvo type="percent" val="67"/>
      </iconSet>
    </cfRule>
  </conditionalFormatting>
  <conditionalFormatting sqref="A28">
    <cfRule type="iconSet" priority="570">
      <iconSet>
        <cfvo type="percent" val="0"/>
        <cfvo type="percent" val="33"/>
        <cfvo type="percent" val="67"/>
      </iconSet>
    </cfRule>
  </conditionalFormatting>
  <conditionalFormatting sqref="A28">
    <cfRule type="iconSet" priority="571">
      <iconSet>
        <cfvo type="percent" val="0"/>
        <cfvo type="percent" val="33"/>
        <cfvo type="percent" val="67"/>
      </iconSet>
    </cfRule>
  </conditionalFormatting>
  <conditionalFormatting sqref="A28">
    <cfRule type="iconSet" priority="572">
      <iconSet>
        <cfvo type="percent" val="0"/>
        <cfvo type="percent" val="33"/>
        <cfvo type="percent" val="67"/>
      </iconSet>
    </cfRule>
  </conditionalFormatting>
  <conditionalFormatting sqref="A29">
    <cfRule type="iconSet" priority="566">
      <iconSet>
        <cfvo type="percent" val="0"/>
        <cfvo type="percent" val="33"/>
        <cfvo type="percent" val="67"/>
      </iconSet>
    </cfRule>
  </conditionalFormatting>
  <conditionalFormatting sqref="A29">
    <cfRule type="iconSet" priority="567">
      <iconSet>
        <cfvo type="percent" val="0"/>
        <cfvo type="percent" val="33"/>
        <cfvo type="percent" val="67"/>
      </iconSet>
    </cfRule>
  </conditionalFormatting>
  <conditionalFormatting sqref="A29">
    <cfRule type="iconSet" priority="568">
      <iconSet>
        <cfvo type="percent" val="0"/>
        <cfvo type="percent" val="33"/>
        <cfvo type="percent" val="67"/>
      </iconSet>
    </cfRule>
  </conditionalFormatting>
  <conditionalFormatting sqref="A30">
    <cfRule type="iconSet" priority="562">
      <iconSet>
        <cfvo type="percent" val="0"/>
        <cfvo type="percent" val="33"/>
        <cfvo type="percent" val="67"/>
      </iconSet>
    </cfRule>
  </conditionalFormatting>
  <conditionalFormatting sqref="A30">
    <cfRule type="iconSet" priority="563">
      <iconSet>
        <cfvo type="percent" val="0"/>
        <cfvo type="percent" val="33"/>
        <cfvo type="percent" val="67"/>
      </iconSet>
    </cfRule>
  </conditionalFormatting>
  <conditionalFormatting sqref="A30">
    <cfRule type="iconSet" priority="564">
      <iconSet>
        <cfvo type="percent" val="0"/>
        <cfvo type="percent" val="33"/>
        <cfvo type="percent" val="67"/>
      </iconSet>
    </cfRule>
  </conditionalFormatting>
  <conditionalFormatting sqref="A31">
    <cfRule type="iconSet" priority="558">
      <iconSet>
        <cfvo type="percent" val="0"/>
        <cfvo type="percent" val="33"/>
        <cfvo type="percent" val="67"/>
      </iconSet>
    </cfRule>
  </conditionalFormatting>
  <conditionalFormatting sqref="A31">
    <cfRule type="iconSet" priority="559">
      <iconSet>
        <cfvo type="percent" val="0"/>
        <cfvo type="percent" val="33"/>
        <cfvo type="percent" val="67"/>
      </iconSet>
    </cfRule>
  </conditionalFormatting>
  <conditionalFormatting sqref="A31">
    <cfRule type="iconSet" priority="560">
      <iconSet>
        <cfvo type="percent" val="0"/>
        <cfvo type="percent" val="33"/>
        <cfvo type="percent" val="67"/>
      </iconSet>
    </cfRule>
  </conditionalFormatting>
  <conditionalFormatting sqref="A32">
    <cfRule type="iconSet" priority="554">
      <iconSet>
        <cfvo type="percent" val="0"/>
        <cfvo type="percent" val="33"/>
        <cfvo type="percent" val="67"/>
      </iconSet>
    </cfRule>
  </conditionalFormatting>
  <conditionalFormatting sqref="A32">
    <cfRule type="iconSet" priority="555">
      <iconSet>
        <cfvo type="percent" val="0"/>
        <cfvo type="percent" val="33"/>
        <cfvo type="percent" val="67"/>
      </iconSet>
    </cfRule>
  </conditionalFormatting>
  <conditionalFormatting sqref="A32">
    <cfRule type="iconSet" priority="556">
      <iconSet>
        <cfvo type="percent" val="0"/>
        <cfvo type="percent" val="33"/>
        <cfvo type="percent" val="67"/>
      </iconSet>
    </cfRule>
  </conditionalFormatting>
  <conditionalFormatting sqref="A33">
    <cfRule type="iconSet" priority="550">
      <iconSet>
        <cfvo type="percent" val="0"/>
        <cfvo type="percent" val="33"/>
        <cfvo type="percent" val="67"/>
      </iconSet>
    </cfRule>
  </conditionalFormatting>
  <conditionalFormatting sqref="A33">
    <cfRule type="iconSet" priority="551">
      <iconSet>
        <cfvo type="percent" val="0"/>
        <cfvo type="percent" val="33"/>
        <cfvo type="percent" val="67"/>
      </iconSet>
    </cfRule>
  </conditionalFormatting>
  <conditionalFormatting sqref="A33">
    <cfRule type="iconSet" priority="552">
      <iconSet>
        <cfvo type="percent" val="0"/>
        <cfvo type="percent" val="33"/>
        <cfvo type="percent" val="67"/>
      </iconSet>
    </cfRule>
  </conditionalFormatting>
  <conditionalFormatting sqref="A34">
    <cfRule type="iconSet" priority="546">
      <iconSet>
        <cfvo type="percent" val="0"/>
        <cfvo type="percent" val="33"/>
        <cfvo type="percent" val="67"/>
      </iconSet>
    </cfRule>
  </conditionalFormatting>
  <conditionalFormatting sqref="A34">
    <cfRule type="iconSet" priority="547">
      <iconSet>
        <cfvo type="percent" val="0"/>
        <cfvo type="percent" val="33"/>
        <cfvo type="percent" val="67"/>
      </iconSet>
    </cfRule>
  </conditionalFormatting>
  <conditionalFormatting sqref="A34">
    <cfRule type="iconSet" priority="548">
      <iconSet>
        <cfvo type="percent" val="0"/>
        <cfvo type="percent" val="33"/>
        <cfvo type="percent" val="67"/>
      </iconSet>
    </cfRule>
  </conditionalFormatting>
  <conditionalFormatting sqref="A35">
    <cfRule type="iconSet" priority="542">
      <iconSet>
        <cfvo type="percent" val="0"/>
        <cfvo type="percent" val="33"/>
        <cfvo type="percent" val="67"/>
      </iconSet>
    </cfRule>
  </conditionalFormatting>
  <conditionalFormatting sqref="A35">
    <cfRule type="iconSet" priority="543">
      <iconSet>
        <cfvo type="percent" val="0"/>
        <cfvo type="percent" val="33"/>
        <cfvo type="percent" val="67"/>
      </iconSet>
    </cfRule>
  </conditionalFormatting>
  <conditionalFormatting sqref="A35">
    <cfRule type="iconSet" priority="544">
      <iconSet>
        <cfvo type="percent" val="0"/>
        <cfvo type="percent" val="33"/>
        <cfvo type="percent" val="67"/>
      </iconSet>
    </cfRule>
  </conditionalFormatting>
  <conditionalFormatting sqref="A36">
    <cfRule type="iconSet" priority="538">
      <iconSet>
        <cfvo type="percent" val="0"/>
        <cfvo type="percent" val="33"/>
        <cfvo type="percent" val="67"/>
      </iconSet>
    </cfRule>
  </conditionalFormatting>
  <conditionalFormatting sqref="A36">
    <cfRule type="iconSet" priority="539">
      <iconSet>
        <cfvo type="percent" val="0"/>
        <cfvo type="percent" val="33"/>
        <cfvo type="percent" val="67"/>
      </iconSet>
    </cfRule>
  </conditionalFormatting>
  <conditionalFormatting sqref="A36">
    <cfRule type="iconSet" priority="540">
      <iconSet>
        <cfvo type="percent" val="0"/>
        <cfvo type="percent" val="33"/>
        <cfvo type="percent" val="67"/>
      </iconSet>
    </cfRule>
  </conditionalFormatting>
  <conditionalFormatting sqref="A37">
    <cfRule type="iconSet" priority="534">
      <iconSet>
        <cfvo type="percent" val="0"/>
        <cfvo type="percent" val="33"/>
        <cfvo type="percent" val="67"/>
      </iconSet>
    </cfRule>
  </conditionalFormatting>
  <conditionalFormatting sqref="A37">
    <cfRule type="iconSet" priority="535">
      <iconSet>
        <cfvo type="percent" val="0"/>
        <cfvo type="percent" val="33"/>
        <cfvo type="percent" val="67"/>
      </iconSet>
    </cfRule>
  </conditionalFormatting>
  <conditionalFormatting sqref="A37">
    <cfRule type="iconSet" priority="536">
      <iconSet>
        <cfvo type="percent" val="0"/>
        <cfvo type="percent" val="33"/>
        <cfvo type="percent" val="67"/>
      </iconSet>
    </cfRule>
  </conditionalFormatting>
  <conditionalFormatting sqref="A38">
    <cfRule type="iconSet" priority="530">
      <iconSet>
        <cfvo type="percent" val="0"/>
        <cfvo type="percent" val="33"/>
        <cfvo type="percent" val="67"/>
      </iconSet>
    </cfRule>
  </conditionalFormatting>
  <conditionalFormatting sqref="A38">
    <cfRule type="iconSet" priority="531">
      <iconSet>
        <cfvo type="percent" val="0"/>
        <cfvo type="percent" val="33"/>
        <cfvo type="percent" val="67"/>
      </iconSet>
    </cfRule>
  </conditionalFormatting>
  <conditionalFormatting sqref="A38">
    <cfRule type="iconSet" priority="532">
      <iconSet>
        <cfvo type="percent" val="0"/>
        <cfvo type="percent" val="33"/>
        <cfvo type="percent" val="67"/>
      </iconSet>
    </cfRule>
  </conditionalFormatting>
  <conditionalFormatting sqref="A39">
    <cfRule type="iconSet" priority="526">
      <iconSet>
        <cfvo type="percent" val="0"/>
        <cfvo type="percent" val="33"/>
        <cfvo type="percent" val="67"/>
      </iconSet>
    </cfRule>
  </conditionalFormatting>
  <conditionalFormatting sqref="A39">
    <cfRule type="iconSet" priority="527">
      <iconSet>
        <cfvo type="percent" val="0"/>
        <cfvo type="percent" val="33"/>
        <cfvo type="percent" val="67"/>
      </iconSet>
    </cfRule>
  </conditionalFormatting>
  <conditionalFormatting sqref="A39">
    <cfRule type="iconSet" priority="528">
      <iconSet>
        <cfvo type="percent" val="0"/>
        <cfvo type="percent" val="33"/>
        <cfvo type="percent" val="67"/>
      </iconSet>
    </cfRule>
  </conditionalFormatting>
  <conditionalFormatting sqref="A40">
    <cfRule type="iconSet" priority="522">
      <iconSet>
        <cfvo type="percent" val="0"/>
        <cfvo type="percent" val="33"/>
        <cfvo type="percent" val="67"/>
      </iconSet>
    </cfRule>
  </conditionalFormatting>
  <conditionalFormatting sqref="A40">
    <cfRule type="iconSet" priority="523">
      <iconSet>
        <cfvo type="percent" val="0"/>
        <cfvo type="percent" val="33"/>
        <cfvo type="percent" val="67"/>
      </iconSet>
    </cfRule>
  </conditionalFormatting>
  <conditionalFormatting sqref="A40">
    <cfRule type="iconSet" priority="524">
      <iconSet>
        <cfvo type="percent" val="0"/>
        <cfvo type="percent" val="33"/>
        <cfvo type="percent" val="67"/>
      </iconSet>
    </cfRule>
  </conditionalFormatting>
  <conditionalFormatting sqref="A41">
    <cfRule type="iconSet" priority="518">
      <iconSet>
        <cfvo type="percent" val="0"/>
        <cfvo type="percent" val="33"/>
        <cfvo type="percent" val="67"/>
      </iconSet>
    </cfRule>
  </conditionalFormatting>
  <conditionalFormatting sqref="A41">
    <cfRule type="iconSet" priority="519">
      <iconSet>
        <cfvo type="percent" val="0"/>
        <cfvo type="percent" val="33"/>
        <cfvo type="percent" val="67"/>
      </iconSet>
    </cfRule>
  </conditionalFormatting>
  <conditionalFormatting sqref="A41">
    <cfRule type="iconSet" priority="520">
      <iconSet>
        <cfvo type="percent" val="0"/>
        <cfvo type="percent" val="33"/>
        <cfvo type="percent" val="67"/>
      </iconSet>
    </cfRule>
  </conditionalFormatting>
  <conditionalFormatting sqref="A42">
    <cfRule type="iconSet" priority="514">
      <iconSet>
        <cfvo type="percent" val="0"/>
        <cfvo type="percent" val="33"/>
        <cfvo type="percent" val="67"/>
      </iconSet>
    </cfRule>
  </conditionalFormatting>
  <conditionalFormatting sqref="A42">
    <cfRule type="iconSet" priority="515">
      <iconSet>
        <cfvo type="percent" val="0"/>
        <cfvo type="percent" val="33"/>
        <cfvo type="percent" val="67"/>
      </iconSet>
    </cfRule>
  </conditionalFormatting>
  <conditionalFormatting sqref="A42">
    <cfRule type="iconSet" priority="516">
      <iconSet>
        <cfvo type="percent" val="0"/>
        <cfvo type="percent" val="33"/>
        <cfvo type="percent" val="67"/>
      </iconSet>
    </cfRule>
  </conditionalFormatting>
  <conditionalFormatting sqref="A43">
    <cfRule type="iconSet" priority="510">
      <iconSet>
        <cfvo type="percent" val="0"/>
        <cfvo type="percent" val="33"/>
        <cfvo type="percent" val="67"/>
      </iconSet>
    </cfRule>
  </conditionalFormatting>
  <conditionalFormatting sqref="A43">
    <cfRule type="iconSet" priority="511">
      <iconSet>
        <cfvo type="percent" val="0"/>
        <cfvo type="percent" val="33"/>
        <cfvo type="percent" val="67"/>
      </iconSet>
    </cfRule>
  </conditionalFormatting>
  <conditionalFormatting sqref="A43">
    <cfRule type="iconSet" priority="512">
      <iconSet>
        <cfvo type="percent" val="0"/>
        <cfvo type="percent" val="33"/>
        <cfvo type="percent" val="67"/>
      </iconSet>
    </cfRule>
  </conditionalFormatting>
  <conditionalFormatting sqref="A44">
    <cfRule type="iconSet" priority="506">
      <iconSet>
        <cfvo type="percent" val="0"/>
        <cfvo type="percent" val="33"/>
        <cfvo type="percent" val="67"/>
      </iconSet>
    </cfRule>
  </conditionalFormatting>
  <conditionalFormatting sqref="A44">
    <cfRule type="iconSet" priority="507">
      <iconSet>
        <cfvo type="percent" val="0"/>
        <cfvo type="percent" val="33"/>
        <cfvo type="percent" val="67"/>
      </iconSet>
    </cfRule>
  </conditionalFormatting>
  <conditionalFormatting sqref="A44">
    <cfRule type="iconSet" priority="508">
      <iconSet>
        <cfvo type="percent" val="0"/>
        <cfvo type="percent" val="33"/>
        <cfvo type="percent" val="67"/>
      </iconSet>
    </cfRule>
  </conditionalFormatting>
  <conditionalFormatting sqref="A45">
    <cfRule type="iconSet" priority="502">
      <iconSet>
        <cfvo type="percent" val="0"/>
        <cfvo type="percent" val="33"/>
        <cfvo type="percent" val="67"/>
      </iconSet>
    </cfRule>
  </conditionalFormatting>
  <conditionalFormatting sqref="A45">
    <cfRule type="iconSet" priority="503">
      <iconSet>
        <cfvo type="percent" val="0"/>
        <cfvo type="percent" val="33"/>
        <cfvo type="percent" val="67"/>
      </iconSet>
    </cfRule>
  </conditionalFormatting>
  <conditionalFormatting sqref="A45">
    <cfRule type="iconSet" priority="504">
      <iconSet>
        <cfvo type="percent" val="0"/>
        <cfvo type="percent" val="33"/>
        <cfvo type="percent" val="67"/>
      </iconSet>
    </cfRule>
  </conditionalFormatting>
  <conditionalFormatting sqref="A46">
    <cfRule type="iconSet" priority="498">
      <iconSet>
        <cfvo type="percent" val="0"/>
        <cfvo type="percent" val="33"/>
        <cfvo type="percent" val="67"/>
      </iconSet>
    </cfRule>
  </conditionalFormatting>
  <conditionalFormatting sqref="A46">
    <cfRule type="iconSet" priority="499">
      <iconSet>
        <cfvo type="percent" val="0"/>
        <cfvo type="percent" val="33"/>
        <cfvo type="percent" val="67"/>
      </iconSet>
    </cfRule>
  </conditionalFormatting>
  <conditionalFormatting sqref="A46">
    <cfRule type="iconSet" priority="500">
      <iconSet>
        <cfvo type="percent" val="0"/>
        <cfvo type="percent" val="33"/>
        <cfvo type="percent" val="67"/>
      </iconSet>
    </cfRule>
  </conditionalFormatting>
  <conditionalFormatting sqref="A47">
    <cfRule type="iconSet" priority="494">
      <iconSet>
        <cfvo type="percent" val="0"/>
        <cfvo type="percent" val="33"/>
        <cfvo type="percent" val="67"/>
      </iconSet>
    </cfRule>
  </conditionalFormatting>
  <conditionalFormatting sqref="A47">
    <cfRule type="iconSet" priority="495">
      <iconSet>
        <cfvo type="percent" val="0"/>
        <cfvo type="percent" val="33"/>
        <cfvo type="percent" val="67"/>
      </iconSet>
    </cfRule>
  </conditionalFormatting>
  <conditionalFormatting sqref="A47">
    <cfRule type="iconSet" priority="496">
      <iconSet>
        <cfvo type="percent" val="0"/>
        <cfvo type="percent" val="33"/>
        <cfvo type="percent" val="67"/>
      </iconSet>
    </cfRule>
  </conditionalFormatting>
  <conditionalFormatting sqref="A48">
    <cfRule type="iconSet" priority="490">
      <iconSet>
        <cfvo type="percent" val="0"/>
        <cfvo type="percent" val="33"/>
        <cfvo type="percent" val="67"/>
      </iconSet>
    </cfRule>
  </conditionalFormatting>
  <conditionalFormatting sqref="A48">
    <cfRule type="iconSet" priority="491">
      <iconSet>
        <cfvo type="percent" val="0"/>
        <cfvo type="percent" val="33"/>
        <cfvo type="percent" val="67"/>
      </iconSet>
    </cfRule>
  </conditionalFormatting>
  <conditionalFormatting sqref="A48">
    <cfRule type="iconSet" priority="492">
      <iconSet>
        <cfvo type="percent" val="0"/>
        <cfvo type="percent" val="33"/>
        <cfvo type="percent" val="67"/>
      </iconSet>
    </cfRule>
  </conditionalFormatting>
  <conditionalFormatting sqref="A49">
    <cfRule type="iconSet" priority="486">
      <iconSet>
        <cfvo type="percent" val="0"/>
        <cfvo type="percent" val="33"/>
        <cfvo type="percent" val="67"/>
      </iconSet>
    </cfRule>
  </conditionalFormatting>
  <conditionalFormatting sqref="A49">
    <cfRule type="iconSet" priority="487">
      <iconSet>
        <cfvo type="percent" val="0"/>
        <cfvo type="percent" val="33"/>
        <cfvo type="percent" val="67"/>
      </iconSet>
    </cfRule>
  </conditionalFormatting>
  <conditionalFormatting sqref="A49">
    <cfRule type="iconSet" priority="488">
      <iconSet>
        <cfvo type="percent" val="0"/>
        <cfvo type="percent" val="33"/>
        <cfvo type="percent" val="67"/>
      </iconSet>
    </cfRule>
  </conditionalFormatting>
  <conditionalFormatting sqref="A50">
    <cfRule type="iconSet" priority="482">
      <iconSet>
        <cfvo type="percent" val="0"/>
        <cfvo type="percent" val="33"/>
        <cfvo type="percent" val="67"/>
      </iconSet>
    </cfRule>
  </conditionalFormatting>
  <conditionalFormatting sqref="A50">
    <cfRule type="iconSet" priority="483">
      <iconSet>
        <cfvo type="percent" val="0"/>
        <cfvo type="percent" val="33"/>
        <cfvo type="percent" val="67"/>
      </iconSet>
    </cfRule>
  </conditionalFormatting>
  <conditionalFormatting sqref="A50">
    <cfRule type="iconSet" priority="484">
      <iconSet>
        <cfvo type="percent" val="0"/>
        <cfvo type="percent" val="33"/>
        <cfvo type="percent" val="67"/>
      </iconSet>
    </cfRule>
  </conditionalFormatting>
  <conditionalFormatting sqref="A51">
    <cfRule type="iconSet" priority="478">
      <iconSet>
        <cfvo type="percent" val="0"/>
        <cfvo type="percent" val="33"/>
        <cfvo type="percent" val="67"/>
      </iconSet>
    </cfRule>
  </conditionalFormatting>
  <conditionalFormatting sqref="A51">
    <cfRule type="iconSet" priority="479">
      <iconSet>
        <cfvo type="percent" val="0"/>
        <cfvo type="percent" val="33"/>
        <cfvo type="percent" val="67"/>
      </iconSet>
    </cfRule>
  </conditionalFormatting>
  <conditionalFormatting sqref="A51">
    <cfRule type="iconSet" priority="480">
      <iconSet>
        <cfvo type="percent" val="0"/>
        <cfvo type="percent" val="33"/>
        <cfvo type="percent" val="67"/>
      </iconSet>
    </cfRule>
  </conditionalFormatting>
  <conditionalFormatting sqref="A52">
    <cfRule type="iconSet" priority="474">
      <iconSet>
        <cfvo type="percent" val="0"/>
        <cfvo type="percent" val="33"/>
        <cfvo type="percent" val="67"/>
      </iconSet>
    </cfRule>
  </conditionalFormatting>
  <conditionalFormatting sqref="A52">
    <cfRule type="iconSet" priority="475">
      <iconSet>
        <cfvo type="percent" val="0"/>
        <cfvo type="percent" val="33"/>
        <cfvo type="percent" val="67"/>
      </iconSet>
    </cfRule>
  </conditionalFormatting>
  <conditionalFormatting sqref="A52">
    <cfRule type="iconSet" priority="476">
      <iconSet>
        <cfvo type="percent" val="0"/>
        <cfvo type="percent" val="33"/>
        <cfvo type="percent" val="67"/>
      </iconSet>
    </cfRule>
  </conditionalFormatting>
  <conditionalFormatting sqref="A53">
    <cfRule type="iconSet" priority="470">
      <iconSet>
        <cfvo type="percent" val="0"/>
        <cfvo type="percent" val="33"/>
        <cfvo type="percent" val="67"/>
      </iconSet>
    </cfRule>
  </conditionalFormatting>
  <conditionalFormatting sqref="A53">
    <cfRule type="iconSet" priority="471">
      <iconSet>
        <cfvo type="percent" val="0"/>
        <cfvo type="percent" val="33"/>
        <cfvo type="percent" val="67"/>
      </iconSet>
    </cfRule>
  </conditionalFormatting>
  <conditionalFormatting sqref="A53">
    <cfRule type="iconSet" priority="472">
      <iconSet>
        <cfvo type="percent" val="0"/>
        <cfvo type="percent" val="33"/>
        <cfvo type="percent" val="67"/>
      </iconSet>
    </cfRule>
  </conditionalFormatting>
  <conditionalFormatting sqref="A54">
    <cfRule type="iconSet" priority="466">
      <iconSet>
        <cfvo type="percent" val="0"/>
        <cfvo type="percent" val="33"/>
        <cfvo type="percent" val="67"/>
      </iconSet>
    </cfRule>
  </conditionalFormatting>
  <conditionalFormatting sqref="A54">
    <cfRule type="iconSet" priority="467">
      <iconSet>
        <cfvo type="percent" val="0"/>
        <cfvo type="percent" val="33"/>
        <cfvo type="percent" val="67"/>
      </iconSet>
    </cfRule>
  </conditionalFormatting>
  <conditionalFormatting sqref="A54">
    <cfRule type="iconSet" priority="468">
      <iconSet>
        <cfvo type="percent" val="0"/>
        <cfvo type="percent" val="33"/>
        <cfvo type="percent" val="67"/>
      </iconSet>
    </cfRule>
  </conditionalFormatting>
  <conditionalFormatting sqref="A55">
    <cfRule type="iconSet" priority="462">
      <iconSet>
        <cfvo type="percent" val="0"/>
        <cfvo type="percent" val="33"/>
        <cfvo type="percent" val="67"/>
      </iconSet>
    </cfRule>
  </conditionalFormatting>
  <conditionalFormatting sqref="A55">
    <cfRule type="iconSet" priority="463">
      <iconSet>
        <cfvo type="percent" val="0"/>
        <cfvo type="percent" val="33"/>
        <cfvo type="percent" val="67"/>
      </iconSet>
    </cfRule>
  </conditionalFormatting>
  <conditionalFormatting sqref="A55">
    <cfRule type="iconSet" priority="464">
      <iconSet>
        <cfvo type="percent" val="0"/>
        <cfvo type="percent" val="33"/>
        <cfvo type="percent" val="67"/>
      </iconSet>
    </cfRule>
  </conditionalFormatting>
  <conditionalFormatting sqref="A56">
    <cfRule type="iconSet" priority="458">
      <iconSet>
        <cfvo type="percent" val="0"/>
        <cfvo type="percent" val="33"/>
        <cfvo type="percent" val="67"/>
      </iconSet>
    </cfRule>
  </conditionalFormatting>
  <conditionalFormatting sqref="A56">
    <cfRule type="iconSet" priority="459">
      <iconSet>
        <cfvo type="percent" val="0"/>
        <cfvo type="percent" val="33"/>
        <cfvo type="percent" val="67"/>
      </iconSet>
    </cfRule>
  </conditionalFormatting>
  <conditionalFormatting sqref="A56">
    <cfRule type="iconSet" priority="460">
      <iconSet>
        <cfvo type="percent" val="0"/>
        <cfvo type="percent" val="33"/>
        <cfvo type="percent" val="67"/>
      </iconSet>
    </cfRule>
  </conditionalFormatting>
  <conditionalFormatting sqref="A57">
    <cfRule type="iconSet" priority="454">
      <iconSet>
        <cfvo type="percent" val="0"/>
        <cfvo type="percent" val="33"/>
        <cfvo type="percent" val="67"/>
      </iconSet>
    </cfRule>
  </conditionalFormatting>
  <conditionalFormatting sqref="A57">
    <cfRule type="iconSet" priority="455">
      <iconSet>
        <cfvo type="percent" val="0"/>
        <cfvo type="percent" val="33"/>
        <cfvo type="percent" val="67"/>
      </iconSet>
    </cfRule>
  </conditionalFormatting>
  <conditionalFormatting sqref="A57">
    <cfRule type="iconSet" priority="456">
      <iconSet>
        <cfvo type="percent" val="0"/>
        <cfvo type="percent" val="33"/>
        <cfvo type="percent" val="67"/>
      </iconSet>
    </cfRule>
  </conditionalFormatting>
  <conditionalFormatting sqref="A58">
    <cfRule type="iconSet" priority="450">
      <iconSet>
        <cfvo type="percent" val="0"/>
        <cfvo type="percent" val="33"/>
        <cfvo type="percent" val="67"/>
      </iconSet>
    </cfRule>
  </conditionalFormatting>
  <conditionalFormatting sqref="A58">
    <cfRule type="iconSet" priority="451">
      <iconSet>
        <cfvo type="percent" val="0"/>
        <cfvo type="percent" val="33"/>
        <cfvo type="percent" val="67"/>
      </iconSet>
    </cfRule>
  </conditionalFormatting>
  <conditionalFormatting sqref="A58">
    <cfRule type="iconSet" priority="452">
      <iconSet>
        <cfvo type="percent" val="0"/>
        <cfvo type="percent" val="33"/>
        <cfvo type="percent" val="67"/>
      </iconSet>
    </cfRule>
  </conditionalFormatting>
  <conditionalFormatting sqref="A59">
    <cfRule type="iconSet" priority="446">
      <iconSet>
        <cfvo type="percent" val="0"/>
        <cfvo type="percent" val="33"/>
        <cfvo type="percent" val="67"/>
      </iconSet>
    </cfRule>
  </conditionalFormatting>
  <conditionalFormatting sqref="A59">
    <cfRule type="iconSet" priority="447">
      <iconSet>
        <cfvo type="percent" val="0"/>
        <cfvo type="percent" val="33"/>
        <cfvo type="percent" val="67"/>
      </iconSet>
    </cfRule>
  </conditionalFormatting>
  <conditionalFormatting sqref="A59">
    <cfRule type="iconSet" priority="448">
      <iconSet>
        <cfvo type="percent" val="0"/>
        <cfvo type="percent" val="33"/>
        <cfvo type="percent" val="67"/>
      </iconSet>
    </cfRule>
  </conditionalFormatting>
  <conditionalFormatting sqref="A60">
    <cfRule type="iconSet" priority="442">
      <iconSet>
        <cfvo type="percent" val="0"/>
        <cfvo type="percent" val="33"/>
        <cfvo type="percent" val="67"/>
      </iconSet>
    </cfRule>
  </conditionalFormatting>
  <conditionalFormatting sqref="A60">
    <cfRule type="iconSet" priority="443">
      <iconSet>
        <cfvo type="percent" val="0"/>
        <cfvo type="percent" val="33"/>
        <cfvo type="percent" val="67"/>
      </iconSet>
    </cfRule>
  </conditionalFormatting>
  <conditionalFormatting sqref="A60">
    <cfRule type="iconSet" priority="444">
      <iconSet>
        <cfvo type="percent" val="0"/>
        <cfvo type="percent" val="33"/>
        <cfvo type="percent" val="67"/>
      </iconSet>
    </cfRule>
  </conditionalFormatting>
  <conditionalFormatting sqref="A61">
    <cfRule type="iconSet" priority="438">
      <iconSet>
        <cfvo type="percent" val="0"/>
        <cfvo type="percent" val="33"/>
        <cfvo type="percent" val="67"/>
      </iconSet>
    </cfRule>
  </conditionalFormatting>
  <conditionalFormatting sqref="A61">
    <cfRule type="iconSet" priority="439">
      <iconSet>
        <cfvo type="percent" val="0"/>
        <cfvo type="percent" val="33"/>
        <cfvo type="percent" val="67"/>
      </iconSet>
    </cfRule>
  </conditionalFormatting>
  <conditionalFormatting sqref="A61">
    <cfRule type="iconSet" priority="440">
      <iconSet>
        <cfvo type="percent" val="0"/>
        <cfvo type="percent" val="33"/>
        <cfvo type="percent" val="67"/>
      </iconSet>
    </cfRule>
  </conditionalFormatting>
  <conditionalFormatting sqref="A62">
    <cfRule type="iconSet" priority="434">
      <iconSet>
        <cfvo type="percent" val="0"/>
        <cfvo type="percent" val="33"/>
        <cfvo type="percent" val="67"/>
      </iconSet>
    </cfRule>
  </conditionalFormatting>
  <conditionalFormatting sqref="A62">
    <cfRule type="iconSet" priority="435">
      <iconSet>
        <cfvo type="percent" val="0"/>
        <cfvo type="percent" val="33"/>
        <cfvo type="percent" val="67"/>
      </iconSet>
    </cfRule>
  </conditionalFormatting>
  <conditionalFormatting sqref="A62">
    <cfRule type="iconSet" priority="436">
      <iconSet>
        <cfvo type="percent" val="0"/>
        <cfvo type="percent" val="33"/>
        <cfvo type="percent" val="67"/>
      </iconSet>
    </cfRule>
  </conditionalFormatting>
  <conditionalFormatting sqref="A63">
    <cfRule type="iconSet" priority="430">
      <iconSet>
        <cfvo type="percent" val="0"/>
        <cfvo type="percent" val="33"/>
        <cfvo type="percent" val="67"/>
      </iconSet>
    </cfRule>
  </conditionalFormatting>
  <conditionalFormatting sqref="A63">
    <cfRule type="iconSet" priority="431">
      <iconSet>
        <cfvo type="percent" val="0"/>
        <cfvo type="percent" val="33"/>
        <cfvo type="percent" val="67"/>
      </iconSet>
    </cfRule>
  </conditionalFormatting>
  <conditionalFormatting sqref="A63">
    <cfRule type="iconSet" priority="432">
      <iconSet>
        <cfvo type="percent" val="0"/>
        <cfvo type="percent" val="33"/>
        <cfvo type="percent" val="67"/>
      </iconSet>
    </cfRule>
  </conditionalFormatting>
  <conditionalFormatting sqref="A64">
    <cfRule type="iconSet" priority="426">
      <iconSet>
        <cfvo type="percent" val="0"/>
        <cfvo type="percent" val="33"/>
        <cfvo type="percent" val="67"/>
      </iconSet>
    </cfRule>
  </conditionalFormatting>
  <conditionalFormatting sqref="A64">
    <cfRule type="iconSet" priority="427">
      <iconSet>
        <cfvo type="percent" val="0"/>
        <cfvo type="percent" val="33"/>
        <cfvo type="percent" val="67"/>
      </iconSet>
    </cfRule>
  </conditionalFormatting>
  <conditionalFormatting sqref="A64">
    <cfRule type="iconSet" priority="428">
      <iconSet>
        <cfvo type="percent" val="0"/>
        <cfvo type="percent" val="33"/>
        <cfvo type="percent" val="67"/>
      </iconSet>
    </cfRule>
  </conditionalFormatting>
  <conditionalFormatting sqref="A65">
    <cfRule type="iconSet" priority="422">
      <iconSet>
        <cfvo type="percent" val="0"/>
        <cfvo type="percent" val="33"/>
        <cfvo type="percent" val="67"/>
      </iconSet>
    </cfRule>
  </conditionalFormatting>
  <conditionalFormatting sqref="A65">
    <cfRule type="iconSet" priority="423">
      <iconSet>
        <cfvo type="percent" val="0"/>
        <cfvo type="percent" val="33"/>
        <cfvo type="percent" val="67"/>
      </iconSet>
    </cfRule>
  </conditionalFormatting>
  <conditionalFormatting sqref="A65">
    <cfRule type="iconSet" priority="424">
      <iconSet>
        <cfvo type="percent" val="0"/>
        <cfvo type="percent" val="33"/>
        <cfvo type="percent" val="67"/>
      </iconSet>
    </cfRule>
  </conditionalFormatting>
  <conditionalFormatting sqref="A66">
    <cfRule type="iconSet" priority="418">
      <iconSet>
        <cfvo type="percent" val="0"/>
        <cfvo type="percent" val="33"/>
        <cfvo type="percent" val="67"/>
      </iconSet>
    </cfRule>
  </conditionalFormatting>
  <conditionalFormatting sqref="A66">
    <cfRule type="iconSet" priority="419">
      <iconSet>
        <cfvo type="percent" val="0"/>
        <cfvo type="percent" val="33"/>
        <cfvo type="percent" val="67"/>
      </iconSet>
    </cfRule>
  </conditionalFormatting>
  <conditionalFormatting sqref="A66">
    <cfRule type="iconSet" priority="420">
      <iconSet>
        <cfvo type="percent" val="0"/>
        <cfvo type="percent" val="33"/>
        <cfvo type="percent" val="67"/>
      </iconSet>
    </cfRule>
  </conditionalFormatting>
  <conditionalFormatting sqref="A67">
    <cfRule type="iconSet" priority="414">
      <iconSet>
        <cfvo type="percent" val="0"/>
        <cfvo type="percent" val="33"/>
        <cfvo type="percent" val="67"/>
      </iconSet>
    </cfRule>
  </conditionalFormatting>
  <conditionalFormatting sqref="A67">
    <cfRule type="iconSet" priority="415">
      <iconSet>
        <cfvo type="percent" val="0"/>
        <cfvo type="percent" val="33"/>
        <cfvo type="percent" val="67"/>
      </iconSet>
    </cfRule>
  </conditionalFormatting>
  <conditionalFormatting sqref="A67">
    <cfRule type="iconSet" priority="416">
      <iconSet>
        <cfvo type="percent" val="0"/>
        <cfvo type="percent" val="33"/>
        <cfvo type="percent" val="67"/>
      </iconSet>
    </cfRule>
  </conditionalFormatting>
  <conditionalFormatting sqref="A68">
    <cfRule type="iconSet" priority="410">
      <iconSet>
        <cfvo type="percent" val="0"/>
        <cfvo type="percent" val="33"/>
        <cfvo type="percent" val="67"/>
      </iconSet>
    </cfRule>
  </conditionalFormatting>
  <conditionalFormatting sqref="A68">
    <cfRule type="iconSet" priority="411">
      <iconSet>
        <cfvo type="percent" val="0"/>
        <cfvo type="percent" val="33"/>
        <cfvo type="percent" val="67"/>
      </iconSet>
    </cfRule>
  </conditionalFormatting>
  <conditionalFormatting sqref="A68">
    <cfRule type="iconSet" priority="412">
      <iconSet>
        <cfvo type="percent" val="0"/>
        <cfvo type="percent" val="33"/>
        <cfvo type="percent" val="67"/>
      </iconSet>
    </cfRule>
  </conditionalFormatting>
  <conditionalFormatting sqref="A69">
    <cfRule type="iconSet" priority="406">
      <iconSet>
        <cfvo type="percent" val="0"/>
        <cfvo type="percent" val="33"/>
        <cfvo type="percent" val="67"/>
      </iconSet>
    </cfRule>
  </conditionalFormatting>
  <conditionalFormatting sqref="A69">
    <cfRule type="iconSet" priority="407">
      <iconSet>
        <cfvo type="percent" val="0"/>
        <cfvo type="percent" val="33"/>
        <cfvo type="percent" val="67"/>
      </iconSet>
    </cfRule>
  </conditionalFormatting>
  <conditionalFormatting sqref="A69">
    <cfRule type="iconSet" priority="408">
      <iconSet>
        <cfvo type="percent" val="0"/>
        <cfvo type="percent" val="33"/>
        <cfvo type="percent" val="67"/>
      </iconSet>
    </cfRule>
  </conditionalFormatting>
  <conditionalFormatting sqref="A70">
    <cfRule type="iconSet" priority="402">
      <iconSet>
        <cfvo type="percent" val="0"/>
        <cfvo type="percent" val="33"/>
        <cfvo type="percent" val="67"/>
      </iconSet>
    </cfRule>
  </conditionalFormatting>
  <conditionalFormatting sqref="A70">
    <cfRule type="iconSet" priority="403">
      <iconSet>
        <cfvo type="percent" val="0"/>
        <cfvo type="percent" val="33"/>
        <cfvo type="percent" val="67"/>
      </iconSet>
    </cfRule>
  </conditionalFormatting>
  <conditionalFormatting sqref="A70">
    <cfRule type="iconSet" priority="404">
      <iconSet>
        <cfvo type="percent" val="0"/>
        <cfvo type="percent" val="33"/>
        <cfvo type="percent" val="67"/>
      </iconSet>
    </cfRule>
  </conditionalFormatting>
  <conditionalFormatting sqref="A71">
    <cfRule type="iconSet" priority="398">
      <iconSet>
        <cfvo type="percent" val="0"/>
        <cfvo type="percent" val="33"/>
        <cfvo type="percent" val="67"/>
      </iconSet>
    </cfRule>
  </conditionalFormatting>
  <conditionalFormatting sqref="A71">
    <cfRule type="iconSet" priority="399">
      <iconSet>
        <cfvo type="percent" val="0"/>
        <cfvo type="percent" val="33"/>
        <cfvo type="percent" val="67"/>
      </iconSet>
    </cfRule>
  </conditionalFormatting>
  <conditionalFormatting sqref="A71">
    <cfRule type="iconSet" priority="400">
      <iconSet>
        <cfvo type="percent" val="0"/>
        <cfvo type="percent" val="33"/>
        <cfvo type="percent" val="67"/>
      </iconSet>
    </cfRule>
  </conditionalFormatting>
  <conditionalFormatting sqref="A72">
    <cfRule type="iconSet" priority="394">
      <iconSet>
        <cfvo type="percent" val="0"/>
        <cfvo type="percent" val="33"/>
        <cfvo type="percent" val="67"/>
      </iconSet>
    </cfRule>
  </conditionalFormatting>
  <conditionalFormatting sqref="A72">
    <cfRule type="iconSet" priority="395">
      <iconSet>
        <cfvo type="percent" val="0"/>
        <cfvo type="percent" val="33"/>
        <cfvo type="percent" val="67"/>
      </iconSet>
    </cfRule>
  </conditionalFormatting>
  <conditionalFormatting sqref="A72">
    <cfRule type="iconSet" priority="396">
      <iconSet>
        <cfvo type="percent" val="0"/>
        <cfvo type="percent" val="33"/>
        <cfvo type="percent" val="67"/>
      </iconSet>
    </cfRule>
  </conditionalFormatting>
  <conditionalFormatting sqref="A73">
    <cfRule type="iconSet" priority="390">
      <iconSet>
        <cfvo type="percent" val="0"/>
        <cfvo type="percent" val="33"/>
        <cfvo type="percent" val="67"/>
      </iconSet>
    </cfRule>
  </conditionalFormatting>
  <conditionalFormatting sqref="A73">
    <cfRule type="iconSet" priority="391">
      <iconSet>
        <cfvo type="percent" val="0"/>
        <cfvo type="percent" val="33"/>
        <cfvo type="percent" val="67"/>
      </iconSet>
    </cfRule>
  </conditionalFormatting>
  <conditionalFormatting sqref="A73">
    <cfRule type="iconSet" priority="392">
      <iconSet>
        <cfvo type="percent" val="0"/>
        <cfvo type="percent" val="33"/>
        <cfvo type="percent" val="67"/>
      </iconSet>
    </cfRule>
  </conditionalFormatting>
  <conditionalFormatting sqref="A74">
    <cfRule type="iconSet" priority="386">
      <iconSet>
        <cfvo type="percent" val="0"/>
        <cfvo type="percent" val="33"/>
        <cfvo type="percent" val="67"/>
      </iconSet>
    </cfRule>
  </conditionalFormatting>
  <conditionalFormatting sqref="A74">
    <cfRule type="iconSet" priority="387">
      <iconSet>
        <cfvo type="percent" val="0"/>
        <cfvo type="percent" val="33"/>
        <cfvo type="percent" val="67"/>
      </iconSet>
    </cfRule>
  </conditionalFormatting>
  <conditionalFormatting sqref="A74">
    <cfRule type="iconSet" priority="388">
      <iconSet>
        <cfvo type="percent" val="0"/>
        <cfvo type="percent" val="33"/>
        <cfvo type="percent" val="67"/>
      </iconSet>
    </cfRule>
  </conditionalFormatting>
  <conditionalFormatting sqref="A75">
    <cfRule type="iconSet" priority="382">
      <iconSet>
        <cfvo type="percent" val="0"/>
        <cfvo type="percent" val="33"/>
        <cfvo type="percent" val="67"/>
      </iconSet>
    </cfRule>
  </conditionalFormatting>
  <conditionalFormatting sqref="A75">
    <cfRule type="iconSet" priority="383">
      <iconSet>
        <cfvo type="percent" val="0"/>
        <cfvo type="percent" val="33"/>
        <cfvo type="percent" val="67"/>
      </iconSet>
    </cfRule>
  </conditionalFormatting>
  <conditionalFormatting sqref="A75">
    <cfRule type="iconSet" priority="384">
      <iconSet>
        <cfvo type="percent" val="0"/>
        <cfvo type="percent" val="33"/>
        <cfvo type="percent" val="67"/>
      </iconSet>
    </cfRule>
  </conditionalFormatting>
  <conditionalFormatting sqref="A76">
    <cfRule type="iconSet" priority="378">
      <iconSet>
        <cfvo type="percent" val="0"/>
        <cfvo type="percent" val="33"/>
        <cfvo type="percent" val="67"/>
      </iconSet>
    </cfRule>
  </conditionalFormatting>
  <conditionalFormatting sqref="A76">
    <cfRule type="iconSet" priority="379">
      <iconSet>
        <cfvo type="percent" val="0"/>
        <cfvo type="percent" val="33"/>
        <cfvo type="percent" val="67"/>
      </iconSet>
    </cfRule>
  </conditionalFormatting>
  <conditionalFormatting sqref="A76">
    <cfRule type="iconSet" priority="380">
      <iconSet>
        <cfvo type="percent" val="0"/>
        <cfvo type="percent" val="33"/>
        <cfvo type="percent" val="67"/>
      </iconSet>
    </cfRule>
  </conditionalFormatting>
  <conditionalFormatting sqref="A77">
    <cfRule type="iconSet" priority="374">
      <iconSet>
        <cfvo type="percent" val="0"/>
        <cfvo type="percent" val="33"/>
        <cfvo type="percent" val="67"/>
      </iconSet>
    </cfRule>
  </conditionalFormatting>
  <conditionalFormatting sqref="A77">
    <cfRule type="iconSet" priority="375">
      <iconSet>
        <cfvo type="percent" val="0"/>
        <cfvo type="percent" val="33"/>
        <cfvo type="percent" val="67"/>
      </iconSet>
    </cfRule>
  </conditionalFormatting>
  <conditionalFormatting sqref="A77">
    <cfRule type="iconSet" priority="376">
      <iconSet>
        <cfvo type="percent" val="0"/>
        <cfvo type="percent" val="33"/>
        <cfvo type="percent" val="67"/>
      </iconSet>
    </cfRule>
  </conditionalFormatting>
  <conditionalFormatting sqref="A78">
    <cfRule type="iconSet" priority="370">
      <iconSet>
        <cfvo type="percent" val="0"/>
        <cfvo type="percent" val="33"/>
        <cfvo type="percent" val="67"/>
      </iconSet>
    </cfRule>
  </conditionalFormatting>
  <conditionalFormatting sqref="A78">
    <cfRule type="iconSet" priority="371">
      <iconSet>
        <cfvo type="percent" val="0"/>
        <cfvo type="percent" val="33"/>
        <cfvo type="percent" val="67"/>
      </iconSet>
    </cfRule>
  </conditionalFormatting>
  <conditionalFormatting sqref="A78">
    <cfRule type="iconSet" priority="372">
      <iconSet>
        <cfvo type="percent" val="0"/>
        <cfvo type="percent" val="33"/>
        <cfvo type="percent" val="67"/>
      </iconSet>
    </cfRule>
  </conditionalFormatting>
  <conditionalFormatting sqref="A79">
    <cfRule type="iconSet" priority="366">
      <iconSet>
        <cfvo type="percent" val="0"/>
        <cfvo type="percent" val="33"/>
        <cfvo type="percent" val="67"/>
      </iconSet>
    </cfRule>
  </conditionalFormatting>
  <conditionalFormatting sqref="A79">
    <cfRule type="iconSet" priority="367">
      <iconSet>
        <cfvo type="percent" val="0"/>
        <cfvo type="percent" val="33"/>
        <cfvo type="percent" val="67"/>
      </iconSet>
    </cfRule>
  </conditionalFormatting>
  <conditionalFormatting sqref="A79">
    <cfRule type="iconSet" priority="368">
      <iconSet>
        <cfvo type="percent" val="0"/>
        <cfvo type="percent" val="33"/>
        <cfvo type="percent" val="67"/>
      </iconSet>
    </cfRule>
  </conditionalFormatting>
  <conditionalFormatting sqref="A80">
    <cfRule type="iconSet" priority="362">
      <iconSet>
        <cfvo type="percent" val="0"/>
        <cfvo type="percent" val="33"/>
        <cfvo type="percent" val="67"/>
      </iconSet>
    </cfRule>
  </conditionalFormatting>
  <conditionalFormatting sqref="A80">
    <cfRule type="iconSet" priority="363">
      <iconSet>
        <cfvo type="percent" val="0"/>
        <cfvo type="percent" val="33"/>
        <cfvo type="percent" val="67"/>
      </iconSet>
    </cfRule>
  </conditionalFormatting>
  <conditionalFormatting sqref="A80">
    <cfRule type="iconSet" priority="364">
      <iconSet>
        <cfvo type="percent" val="0"/>
        <cfvo type="percent" val="33"/>
        <cfvo type="percent" val="67"/>
      </iconSet>
    </cfRule>
  </conditionalFormatting>
  <conditionalFormatting sqref="A81">
    <cfRule type="iconSet" priority="358">
      <iconSet>
        <cfvo type="percent" val="0"/>
        <cfvo type="percent" val="33"/>
        <cfvo type="percent" val="67"/>
      </iconSet>
    </cfRule>
  </conditionalFormatting>
  <conditionalFormatting sqref="A81">
    <cfRule type="iconSet" priority="359">
      <iconSet>
        <cfvo type="percent" val="0"/>
        <cfvo type="percent" val="33"/>
        <cfvo type="percent" val="67"/>
      </iconSet>
    </cfRule>
  </conditionalFormatting>
  <conditionalFormatting sqref="A81">
    <cfRule type="iconSet" priority="360">
      <iconSet>
        <cfvo type="percent" val="0"/>
        <cfvo type="percent" val="33"/>
        <cfvo type="percent" val="67"/>
      </iconSet>
    </cfRule>
  </conditionalFormatting>
  <conditionalFormatting sqref="A82">
    <cfRule type="iconSet" priority="354">
      <iconSet>
        <cfvo type="percent" val="0"/>
        <cfvo type="percent" val="33"/>
        <cfvo type="percent" val="67"/>
      </iconSet>
    </cfRule>
  </conditionalFormatting>
  <conditionalFormatting sqref="A82">
    <cfRule type="iconSet" priority="355">
      <iconSet>
        <cfvo type="percent" val="0"/>
        <cfvo type="percent" val="33"/>
        <cfvo type="percent" val="67"/>
      </iconSet>
    </cfRule>
  </conditionalFormatting>
  <conditionalFormatting sqref="A82">
    <cfRule type="iconSet" priority="356">
      <iconSet>
        <cfvo type="percent" val="0"/>
        <cfvo type="percent" val="33"/>
        <cfvo type="percent" val="67"/>
      </iconSet>
    </cfRule>
  </conditionalFormatting>
  <conditionalFormatting sqref="A83">
    <cfRule type="iconSet" priority="350">
      <iconSet>
        <cfvo type="percent" val="0"/>
        <cfvo type="percent" val="33"/>
        <cfvo type="percent" val="67"/>
      </iconSet>
    </cfRule>
  </conditionalFormatting>
  <conditionalFormatting sqref="A83">
    <cfRule type="iconSet" priority="351">
      <iconSet>
        <cfvo type="percent" val="0"/>
        <cfvo type="percent" val="33"/>
        <cfvo type="percent" val="67"/>
      </iconSet>
    </cfRule>
  </conditionalFormatting>
  <conditionalFormatting sqref="A83">
    <cfRule type="iconSet" priority="352">
      <iconSet>
        <cfvo type="percent" val="0"/>
        <cfvo type="percent" val="33"/>
        <cfvo type="percent" val="67"/>
      </iconSet>
    </cfRule>
  </conditionalFormatting>
  <conditionalFormatting sqref="A84">
    <cfRule type="iconSet" priority="346">
      <iconSet>
        <cfvo type="percent" val="0"/>
        <cfvo type="percent" val="33"/>
        <cfvo type="percent" val="67"/>
      </iconSet>
    </cfRule>
  </conditionalFormatting>
  <conditionalFormatting sqref="A84">
    <cfRule type="iconSet" priority="347">
      <iconSet>
        <cfvo type="percent" val="0"/>
        <cfvo type="percent" val="33"/>
        <cfvo type="percent" val="67"/>
      </iconSet>
    </cfRule>
  </conditionalFormatting>
  <conditionalFormatting sqref="A84">
    <cfRule type="iconSet" priority="348">
      <iconSet>
        <cfvo type="percent" val="0"/>
        <cfvo type="percent" val="33"/>
        <cfvo type="percent" val="67"/>
      </iconSet>
    </cfRule>
  </conditionalFormatting>
  <conditionalFormatting sqref="A85">
    <cfRule type="iconSet" priority="342">
      <iconSet>
        <cfvo type="percent" val="0"/>
        <cfvo type="percent" val="33"/>
        <cfvo type="percent" val="67"/>
      </iconSet>
    </cfRule>
  </conditionalFormatting>
  <conditionalFormatting sqref="A85">
    <cfRule type="iconSet" priority="343">
      <iconSet>
        <cfvo type="percent" val="0"/>
        <cfvo type="percent" val="33"/>
        <cfvo type="percent" val="67"/>
      </iconSet>
    </cfRule>
  </conditionalFormatting>
  <conditionalFormatting sqref="A85">
    <cfRule type="iconSet" priority="344">
      <iconSet>
        <cfvo type="percent" val="0"/>
        <cfvo type="percent" val="33"/>
        <cfvo type="percent" val="67"/>
      </iconSet>
    </cfRule>
  </conditionalFormatting>
  <conditionalFormatting sqref="A86">
    <cfRule type="iconSet" priority="338">
      <iconSet>
        <cfvo type="percent" val="0"/>
        <cfvo type="percent" val="33"/>
        <cfvo type="percent" val="67"/>
      </iconSet>
    </cfRule>
  </conditionalFormatting>
  <conditionalFormatting sqref="A86">
    <cfRule type="iconSet" priority="339">
      <iconSet>
        <cfvo type="percent" val="0"/>
        <cfvo type="percent" val="33"/>
        <cfvo type="percent" val="67"/>
      </iconSet>
    </cfRule>
  </conditionalFormatting>
  <conditionalFormatting sqref="A86">
    <cfRule type="iconSet" priority="340">
      <iconSet>
        <cfvo type="percent" val="0"/>
        <cfvo type="percent" val="33"/>
        <cfvo type="percent" val="67"/>
      </iconSet>
    </cfRule>
  </conditionalFormatting>
  <conditionalFormatting sqref="A87">
    <cfRule type="iconSet" priority="334">
      <iconSet>
        <cfvo type="percent" val="0"/>
        <cfvo type="percent" val="33"/>
        <cfvo type="percent" val="67"/>
      </iconSet>
    </cfRule>
  </conditionalFormatting>
  <conditionalFormatting sqref="A87">
    <cfRule type="iconSet" priority="335">
      <iconSet>
        <cfvo type="percent" val="0"/>
        <cfvo type="percent" val="33"/>
        <cfvo type="percent" val="67"/>
      </iconSet>
    </cfRule>
  </conditionalFormatting>
  <conditionalFormatting sqref="A87">
    <cfRule type="iconSet" priority="336">
      <iconSet>
        <cfvo type="percent" val="0"/>
        <cfvo type="percent" val="33"/>
        <cfvo type="percent" val="67"/>
      </iconSet>
    </cfRule>
  </conditionalFormatting>
  <conditionalFormatting sqref="A88">
    <cfRule type="iconSet" priority="330">
      <iconSet>
        <cfvo type="percent" val="0"/>
        <cfvo type="percent" val="33"/>
        <cfvo type="percent" val="67"/>
      </iconSet>
    </cfRule>
  </conditionalFormatting>
  <conditionalFormatting sqref="A88">
    <cfRule type="iconSet" priority="331">
      <iconSet>
        <cfvo type="percent" val="0"/>
        <cfvo type="percent" val="33"/>
        <cfvo type="percent" val="67"/>
      </iconSet>
    </cfRule>
  </conditionalFormatting>
  <conditionalFormatting sqref="A88">
    <cfRule type="iconSet" priority="332">
      <iconSet>
        <cfvo type="percent" val="0"/>
        <cfvo type="percent" val="33"/>
        <cfvo type="percent" val="67"/>
      </iconSet>
    </cfRule>
  </conditionalFormatting>
  <conditionalFormatting sqref="A89">
    <cfRule type="iconSet" priority="326">
      <iconSet>
        <cfvo type="percent" val="0"/>
        <cfvo type="percent" val="33"/>
        <cfvo type="percent" val="67"/>
      </iconSet>
    </cfRule>
  </conditionalFormatting>
  <conditionalFormatting sqref="A89">
    <cfRule type="iconSet" priority="327">
      <iconSet>
        <cfvo type="percent" val="0"/>
        <cfvo type="percent" val="33"/>
        <cfvo type="percent" val="67"/>
      </iconSet>
    </cfRule>
  </conditionalFormatting>
  <conditionalFormatting sqref="A89">
    <cfRule type="iconSet" priority="328">
      <iconSet>
        <cfvo type="percent" val="0"/>
        <cfvo type="percent" val="33"/>
        <cfvo type="percent" val="67"/>
      </iconSet>
    </cfRule>
  </conditionalFormatting>
  <conditionalFormatting sqref="A90">
    <cfRule type="iconSet" priority="322">
      <iconSet>
        <cfvo type="percent" val="0"/>
        <cfvo type="percent" val="33"/>
        <cfvo type="percent" val="67"/>
      </iconSet>
    </cfRule>
  </conditionalFormatting>
  <conditionalFormatting sqref="A90">
    <cfRule type="iconSet" priority="323">
      <iconSet>
        <cfvo type="percent" val="0"/>
        <cfvo type="percent" val="33"/>
        <cfvo type="percent" val="67"/>
      </iconSet>
    </cfRule>
  </conditionalFormatting>
  <conditionalFormatting sqref="A90">
    <cfRule type="iconSet" priority="324">
      <iconSet>
        <cfvo type="percent" val="0"/>
        <cfvo type="percent" val="33"/>
        <cfvo type="percent" val="67"/>
      </iconSet>
    </cfRule>
  </conditionalFormatting>
  <conditionalFormatting sqref="A91">
    <cfRule type="iconSet" priority="318">
      <iconSet>
        <cfvo type="percent" val="0"/>
        <cfvo type="percent" val="33"/>
        <cfvo type="percent" val="67"/>
      </iconSet>
    </cfRule>
  </conditionalFormatting>
  <conditionalFormatting sqref="A91">
    <cfRule type="iconSet" priority="319">
      <iconSet>
        <cfvo type="percent" val="0"/>
        <cfvo type="percent" val="33"/>
        <cfvo type="percent" val="67"/>
      </iconSet>
    </cfRule>
  </conditionalFormatting>
  <conditionalFormatting sqref="A91">
    <cfRule type="iconSet" priority="320">
      <iconSet>
        <cfvo type="percent" val="0"/>
        <cfvo type="percent" val="33"/>
        <cfvo type="percent" val="67"/>
      </iconSet>
    </cfRule>
  </conditionalFormatting>
  <conditionalFormatting sqref="A92">
    <cfRule type="iconSet" priority="314">
      <iconSet>
        <cfvo type="percent" val="0"/>
        <cfvo type="percent" val="33"/>
        <cfvo type="percent" val="67"/>
      </iconSet>
    </cfRule>
  </conditionalFormatting>
  <conditionalFormatting sqref="A92">
    <cfRule type="iconSet" priority="315">
      <iconSet>
        <cfvo type="percent" val="0"/>
        <cfvo type="percent" val="33"/>
        <cfvo type="percent" val="67"/>
      </iconSet>
    </cfRule>
  </conditionalFormatting>
  <conditionalFormatting sqref="A92">
    <cfRule type="iconSet" priority="316">
      <iconSet>
        <cfvo type="percent" val="0"/>
        <cfvo type="percent" val="33"/>
        <cfvo type="percent" val="67"/>
      </iconSet>
    </cfRule>
  </conditionalFormatting>
  <conditionalFormatting sqref="A93">
    <cfRule type="iconSet" priority="310">
      <iconSet>
        <cfvo type="percent" val="0"/>
        <cfvo type="percent" val="33"/>
        <cfvo type="percent" val="67"/>
      </iconSet>
    </cfRule>
  </conditionalFormatting>
  <conditionalFormatting sqref="A93">
    <cfRule type="iconSet" priority="311">
      <iconSet>
        <cfvo type="percent" val="0"/>
        <cfvo type="percent" val="33"/>
        <cfvo type="percent" val="67"/>
      </iconSet>
    </cfRule>
  </conditionalFormatting>
  <conditionalFormatting sqref="A93">
    <cfRule type="iconSet" priority="312">
      <iconSet>
        <cfvo type="percent" val="0"/>
        <cfvo type="percent" val="33"/>
        <cfvo type="percent" val="67"/>
      </iconSet>
    </cfRule>
  </conditionalFormatting>
  <conditionalFormatting sqref="A94">
    <cfRule type="iconSet" priority="306">
      <iconSet>
        <cfvo type="percent" val="0"/>
        <cfvo type="percent" val="33"/>
        <cfvo type="percent" val="67"/>
      </iconSet>
    </cfRule>
  </conditionalFormatting>
  <conditionalFormatting sqref="A94">
    <cfRule type="iconSet" priority="307">
      <iconSet>
        <cfvo type="percent" val="0"/>
        <cfvo type="percent" val="33"/>
        <cfvo type="percent" val="67"/>
      </iconSet>
    </cfRule>
  </conditionalFormatting>
  <conditionalFormatting sqref="A94">
    <cfRule type="iconSet" priority="308">
      <iconSet>
        <cfvo type="percent" val="0"/>
        <cfvo type="percent" val="33"/>
        <cfvo type="percent" val="67"/>
      </iconSet>
    </cfRule>
  </conditionalFormatting>
  <conditionalFormatting sqref="A95">
    <cfRule type="iconSet" priority="302">
      <iconSet>
        <cfvo type="percent" val="0"/>
        <cfvo type="percent" val="33"/>
        <cfvo type="percent" val="67"/>
      </iconSet>
    </cfRule>
  </conditionalFormatting>
  <conditionalFormatting sqref="A95">
    <cfRule type="iconSet" priority="303">
      <iconSet>
        <cfvo type="percent" val="0"/>
        <cfvo type="percent" val="33"/>
        <cfvo type="percent" val="67"/>
      </iconSet>
    </cfRule>
  </conditionalFormatting>
  <conditionalFormatting sqref="A95">
    <cfRule type="iconSet" priority="304">
      <iconSet>
        <cfvo type="percent" val="0"/>
        <cfvo type="percent" val="33"/>
        <cfvo type="percent" val="67"/>
      </iconSet>
    </cfRule>
  </conditionalFormatting>
  <conditionalFormatting sqref="A96">
    <cfRule type="iconSet" priority="298">
      <iconSet>
        <cfvo type="percent" val="0"/>
        <cfvo type="percent" val="33"/>
        <cfvo type="percent" val="67"/>
      </iconSet>
    </cfRule>
  </conditionalFormatting>
  <conditionalFormatting sqref="A96">
    <cfRule type="iconSet" priority="299">
      <iconSet>
        <cfvo type="percent" val="0"/>
        <cfvo type="percent" val="33"/>
        <cfvo type="percent" val="67"/>
      </iconSet>
    </cfRule>
  </conditionalFormatting>
  <conditionalFormatting sqref="A96">
    <cfRule type="iconSet" priority="300">
      <iconSet>
        <cfvo type="percent" val="0"/>
        <cfvo type="percent" val="33"/>
        <cfvo type="percent" val="67"/>
      </iconSet>
    </cfRule>
  </conditionalFormatting>
  <conditionalFormatting sqref="A97">
    <cfRule type="iconSet" priority="294">
      <iconSet>
        <cfvo type="percent" val="0"/>
        <cfvo type="percent" val="33"/>
        <cfvo type="percent" val="67"/>
      </iconSet>
    </cfRule>
  </conditionalFormatting>
  <conditionalFormatting sqref="A97">
    <cfRule type="iconSet" priority="295">
      <iconSet>
        <cfvo type="percent" val="0"/>
        <cfvo type="percent" val="33"/>
        <cfvo type="percent" val="67"/>
      </iconSet>
    </cfRule>
  </conditionalFormatting>
  <conditionalFormatting sqref="A97">
    <cfRule type="iconSet" priority="296">
      <iconSet>
        <cfvo type="percent" val="0"/>
        <cfvo type="percent" val="33"/>
        <cfvo type="percent" val="67"/>
      </iconSet>
    </cfRule>
  </conditionalFormatting>
  <conditionalFormatting sqref="A98">
    <cfRule type="iconSet" priority="290">
      <iconSet>
        <cfvo type="percent" val="0"/>
        <cfvo type="percent" val="33"/>
        <cfvo type="percent" val="67"/>
      </iconSet>
    </cfRule>
  </conditionalFormatting>
  <conditionalFormatting sqref="A98">
    <cfRule type="iconSet" priority="291">
      <iconSet>
        <cfvo type="percent" val="0"/>
        <cfvo type="percent" val="33"/>
        <cfvo type="percent" val="67"/>
      </iconSet>
    </cfRule>
  </conditionalFormatting>
  <conditionalFormatting sqref="A98">
    <cfRule type="iconSet" priority="292">
      <iconSet>
        <cfvo type="percent" val="0"/>
        <cfvo type="percent" val="33"/>
        <cfvo type="percent" val="67"/>
      </iconSet>
    </cfRule>
  </conditionalFormatting>
  <conditionalFormatting sqref="A99">
    <cfRule type="iconSet" priority="286">
      <iconSet>
        <cfvo type="percent" val="0"/>
        <cfvo type="percent" val="33"/>
        <cfvo type="percent" val="67"/>
      </iconSet>
    </cfRule>
  </conditionalFormatting>
  <conditionalFormatting sqref="A99">
    <cfRule type="iconSet" priority="287">
      <iconSet>
        <cfvo type="percent" val="0"/>
        <cfvo type="percent" val="33"/>
        <cfvo type="percent" val="67"/>
      </iconSet>
    </cfRule>
  </conditionalFormatting>
  <conditionalFormatting sqref="A99">
    <cfRule type="iconSet" priority="288">
      <iconSet>
        <cfvo type="percent" val="0"/>
        <cfvo type="percent" val="33"/>
        <cfvo type="percent" val="67"/>
      </iconSet>
    </cfRule>
  </conditionalFormatting>
  <conditionalFormatting sqref="A100">
    <cfRule type="iconSet" priority="282">
      <iconSet>
        <cfvo type="percent" val="0"/>
        <cfvo type="percent" val="33"/>
        <cfvo type="percent" val="67"/>
      </iconSet>
    </cfRule>
  </conditionalFormatting>
  <conditionalFormatting sqref="A100">
    <cfRule type="iconSet" priority="283">
      <iconSet>
        <cfvo type="percent" val="0"/>
        <cfvo type="percent" val="33"/>
        <cfvo type="percent" val="67"/>
      </iconSet>
    </cfRule>
  </conditionalFormatting>
  <conditionalFormatting sqref="A100">
    <cfRule type="iconSet" priority="284">
      <iconSet>
        <cfvo type="percent" val="0"/>
        <cfvo type="percent" val="33"/>
        <cfvo type="percent" val="67"/>
      </iconSet>
    </cfRule>
  </conditionalFormatting>
  <conditionalFormatting sqref="A101">
    <cfRule type="iconSet" priority="278">
      <iconSet>
        <cfvo type="percent" val="0"/>
        <cfvo type="percent" val="33"/>
        <cfvo type="percent" val="67"/>
      </iconSet>
    </cfRule>
  </conditionalFormatting>
  <conditionalFormatting sqref="A101">
    <cfRule type="iconSet" priority="279">
      <iconSet>
        <cfvo type="percent" val="0"/>
        <cfvo type="percent" val="33"/>
        <cfvo type="percent" val="67"/>
      </iconSet>
    </cfRule>
  </conditionalFormatting>
  <conditionalFormatting sqref="A101">
    <cfRule type="iconSet" priority="280">
      <iconSet>
        <cfvo type="percent" val="0"/>
        <cfvo type="percent" val="33"/>
        <cfvo type="percent" val="67"/>
      </iconSet>
    </cfRule>
  </conditionalFormatting>
  <conditionalFormatting sqref="A102">
    <cfRule type="iconSet" priority="274">
      <iconSet>
        <cfvo type="percent" val="0"/>
        <cfvo type="percent" val="33"/>
        <cfvo type="percent" val="67"/>
      </iconSet>
    </cfRule>
  </conditionalFormatting>
  <conditionalFormatting sqref="A102">
    <cfRule type="iconSet" priority="275">
      <iconSet>
        <cfvo type="percent" val="0"/>
        <cfvo type="percent" val="33"/>
        <cfvo type="percent" val="67"/>
      </iconSet>
    </cfRule>
  </conditionalFormatting>
  <conditionalFormatting sqref="A102">
    <cfRule type="iconSet" priority="276">
      <iconSet>
        <cfvo type="percent" val="0"/>
        <cfvo type="percent" val="33"/>
        <cfvo type="percent" val="67"/>
      </iconSet>
    </cfRule>
  </conditionalFormatting>
  <conditionalFormatting sqref="A103">
    <cfRule type="iconSet" priority="270">
      <iconSet>
        <cfvo type="percent" val="0"/>
        <cfvo type="percent" val="33"/>
        <cfvo type="percent" val="67"/>
      </iconSet>
    </cfRule>
  </conditionalFormatting>
  <conditionalFormatting sqref="A103">
    <cfRule type="iconSet" priority="271">
      <iconSet>
        <cfvo type="percent" val="0"/>
        <cfvo type="percent" val="33"/>
        <cfvo type="percent" val="67"/>
      </iconSet>
    </cfRule>
  </conditionalFormatting>
  <conditionalFormatting sqref="A103">
    <cfRule type="iconSet" priority="272">
      <iconSet>
        <cfvo type="percent" val="0"/>
        <cfvo type="percent" val="33"/>
        <cfvo type="percent" val="67"/>
      </iconSet>
    </cfRule>
  </conditionalFormatting>
  <conditionalFormatting sqref="A104">
    <cfRule type="iconSet" priority="266">
      <iconSet>
        <cfvo type="percent" val="0"/>
        <cfvo type="percent" val="33"/>
        <cfvo type="percent" val="67"/>
      </iconSet>
    </cfRule>
  </conditionalFormatting>
  <conditionalFormatting sqref="A104">
    <cfRule type="iconSet" priority="267">
      <iconSet>
        <cfvo type="percent" val="0"/>
        <cfvo type="percent" val="33"/>
        <cfvo type="percent" val="67"/>
      </iconSet>
    </cfRule>
  </conditionalFormatting>
  <conditionalFormatting sqref="A104">
    <cfRule type="iconSet" priority="268">
      <iconSet>
        <cfvo type="percent" val="0"/>
        <cfvo type="percent" val="33"/>
        <cfvo type="percent" val="67"/>
      </iconSet>
    </cfRule>
  </conditionalFormatting>
  <conditionalFormatting sqref="A105">
    <cfRule type="iconSet" priority="262">
      <iconSet>
        <cfvo type="percent" val="0"/>
        <cfvo type="percent" val="33"/>
        <cfvo type="percent" val="67"/>
      </iconSet>
    </cfRule>
  </conditionalFormatting>
  <conditionalFormatting sqref="A105">
    <cfRule type="iconSet" priority="263">
      <iconSet>
        <cfvo type="percent" val="0"/>
        <cfvo type="percent" val="33"/>
        <cfvo type="percent" val="67"/>
      </iconSet>
    </cfRule>
  </conditionalFormatting>
  <conditionalFormatting sqref="A105">
    <cfRule type="iconSet" priority="264">
      <iconSet>
        <cfvo type="percent" val="0"/>
        <cfvo type="percent" val="33"/>
        <cfvo type="percent" val="67"/>
      </iconSet>
    </cfRule>
  </conditionalFormatting>
  <conditionalFormatting sqref="A106">
    <cfRule type="iconSet" priority="258">
      <iconSet>
        <cfvo type="percent" val="0"/>
        <cfvo type="percent" val="33"/>
        <cfvo type="percent" val="67"/>
      </iconSet>
    </cfRule>
  </conditionalFormatting>
  <conditionalFormatting sqref="A106">
    <cfRule type="iconSet" priority="259">
      <iconSet>
        <cfvo type="percent" val="0"/>
        <cfvo type="percent" val="33"/>
        <cfvo type="percent" val="67"/>
      </iconSet>
    </cfRule>
  </conditionalFormatting>
  <conditionalFormatting sqref="A106">
    <cfRule type="iconSet" priority="260">
      <iconSet>
        <cfvo type="percent" val="0"/>
        <cfvo type="percent" val="33"/>
        <cfvo type="percent" val="67"/>
      </iconSet>
    </cfRule>
  </conditionalFormatting>
  <conditionalFormatting sqref="A107">
    <cfRule type="iconSet" priority="254">
      <iconSet>
        <cfvo type="percent" val="0"/>
        <cfvo type="percent" val="33"/>
        <cfvo type="percent" val="67"/>
      </iconSet>
    </cfRule>
  </conditionalFormatting>
  <conditionalFormatting sqref="A107">
    <cfRule type="iconSet" priority="255">
      <iconSet>
        <cfvo type="percent" val="0"/>
        <cfvo type="percent" val="33"/>
        <cfvo type="percent" val="67"/>
      </iconSet>
    </cfRule>
  </conditionalFormatting>
  <conditionalFormatting sqref="A107">
    <cfRule type="iconSet" priority="256">
      <iconSet>
        <cfvo type="percent" val="0"/>
        <cfvo type="percent" val="33"/>
        <cfvo type="percent" val="67"/>
      </iconSet>
    </cfRule>
  </conditionalFormatting>
  <conditionalFormatting sqref="A108">
    <cfRule type="iconSet" priority="250">
      <iconSet>
        <cfvo type="percent" val="0"/>
        <cfvo type="percent" val="33"/>
        <cfvo type="percent" val="67"/>
      </iconSet>
    </cfRule>
  </conditionalFormatting>
  <conditionalFormatting sqref="A108">
    <cfRule type="iconSet" priority="251">
      <iconSet>
        <cfvo type="percent" val="0"/>
        <cfvo type="percent" val="33"/>
        <cfvo type="percent" val="67"/>
      </iconSet>
    </cfRule>
  </conditionalFormatting>
  <conditionalFormatting sqref="A108">
    <cfRule type="iconSet" priority="252">
      <iconSet>
        <cfvo type="percent" val="0"/>
        <cfvo type="percent" val="33"/>
        <cfvo type="percent" val="67"/>
      </iconSet>
    </cfRule>
  </conditionalFormatting>
  <conditionalFormatting sqref="A109">
    <cfRule type="iconSet" priority="246">
      <iconSet>
        <cfvo type="percent" val="0"/>
        <cfvo type="percent" val="33"/>
        <cfvo type="percent" val="67"/>
      </iconSet>
    </cfRule>
  </conditionalFormatting>
  <conditionalFormatting sqref="A109">
    <cfRule type="iconSet" priority="247">
      <iconSet>
        <cfvo type="percent" val="0"/>
        <cfvo type="percent" val="33"/>
        <cfvo type="percent" val="67"/>
      </iconSet>
    </cfRule>
  </conditionalFormatting>
  <conditionalFormatting sqref="A109">
    <cfRule type="iconSet" priority="248">
      <iconSet>
        <cfvo type="percent" val="0"/>
        <cfvo type="percent" val="33"/>
        <cfvo type="percent" val="67"/>
      </iconSet>
    </cfRule>
  </conditionalFormatting>
  <conditionalFormatting sqref="A110">
    <cfRule type="iconSet" priority="242">
      <iconSet>
        <cfvo type="percent" val="0"/>
        <cfvo type="percent" val="33"/>
        <cfvo type="percent" val="67"/>
      </iconSet>
    </cfRule>
  </conditionalFormatting>
  <conditionalFormatting sqref="A110">
    <cfRule type="iconSet" priority="243">
      <iconSet>
        <cfvo type="percent" val="0"/>
        <cfvo type="percent" val="33"/>
        <cfvo type="percent" val="67"/>
      </iconSet>
    </cfRule>
  </conditionalFormatting>
  <conditionalFormatting sqref="A110">
    <cfRule type="iconSet" priority="244">
      <iconSet>
        <cfvo type="percent" val="0"/>
        <cfvo type="percent" val="33"/>
        <cfvo type="percent" val="67"/>
      </iconSet>
    </cfRule>
  </conditionalFormatting>
  <conditionalFormatting sqref="A111">
    <cfRule type="iconSet" priority="238">
      <iconSet>
        <cfvo type="percent" val="0"/>
        <cfvo type="percent" val="33"/>
        <cfvo type="percent" val="67"/>
      </iconSet>
    </cfRule>
  </conditionalFormatting>
  <conditionalFormatting sqref="A111">
    <cfRule type="iconSet" priority="239">
      <iconSet>
        <cfvo type="percent" val="0"/>
        <cfvo type="percent" val="33"/>
        <cfvo type="percent" val="67"/>
      </iconSet>
    </cfRule>
  </conditionalFormatting>
  <conditionalFormatting sqref="A111">
    <cfRule type="iconSet" priority="240">
      <iconSet>
        <cfvo type="percent" val="0"/>
        <cfvo type="percent" val="33"/>
        <cfvo type="percent" val="67"/>
      </iconSet>
    </cfRule>
  </conditionalFormatting>
  <conditionalFormatting sqref="A112">
    <cfRule type="iconSet" priority="234">
      <iconSet>
        <cfvo type="percent" val="0"/>
        <cfvo type="percent" val="33"/>
        <cfvo type="percent" val="67"/>
      </iconSet>
    </cfRule>
  </conditionalFormatting>
  <conditionalFormatting sqref="A112">
    <cfRule type="iconSet" priority="235">
      <iconSet>
        <cfvo type="percent" val="0"/>
        <cfvo type="percent" val="33"/>
        <cfvo type="percent" val="67"/>
      </iconSet>
    </cfRule>
  </conditionalFormatting>
  <conditionalFormatting sqref="A112">
    <cfRule type="iconSet" priority="236">
      <iconSet>
        <cfvo type="percent" val="0"/>
        <cfvo type="percent" val="33"/>
        <cfvo type="percent" val="67"/>
      </iconSet>
    </cfRule>
  </conditionalFormatting>
  <conditionalFormatting sqref="A113">
    <cfRule type="iconSet" priority="230">
      <iconSet>
        <cfvo type="percent" val="0"/>
        <cfvo type="percent" val="33"/>
        <cfvo type="percent" val="67"/>
      </iconSet>
    </cfRule>
  </conditionalFormatting>
  <conditionalFormatting sqref="A113">
    <cfRule type="iconSet" priority="231">
      <iconSet>
        <cfvo type="percent" val="0"/>
        <cfvo type="percent" val="33"/>
        <cfvo type="percent" val="67"/>
      </iconSet>
    </cfRule>
  </conditionalFormatting>
  <conditionalFormatting sqref="A113">
    <cfRule type="iconSet" priority="232">
      <iconSet>
        <cfvo type="percent" val="0"/>
        <cfvo type="percent" val="33"/>
        <cfvo type="percent" val="67"/>
      </iconSet>
    </cfRule>
  </conditionalFormatting>
  <conditionalFormatting sqref="A114">
    <cfRule type="iconSet" priority="226">
      <iconSet>
        <cfvo type="percent" val="0"/>
        <cfvo type="percent" val="33"/>
        <cfvo type="percent" val="67"/>
      </iconSet>
    </cfRule>
  </conditionalFormatting>
  <conditionalFormatting sqref="A114">
    <cfRule type="iconSet" priority="227">
      <iconSet>
        <cfvo type="percent" val="0"/>
        <cfvo type="percent" val="33"/>
        <cfvo type="percent" val="67"/>
      </iconSet>
    </cfRule>
  </conditionalFormatting>
  <conditionalFormatting sqref="A114">
    <cfRule type="iconSet" priority="228">
      <iconSet>
        <cfvo type="percent" val="0"/>
        <cfvo type="percent" val="33"/>
        <cfvo type="percent" val="67"/>
      </iconSet>
    </cfRule>
  </conditionalFormatting>
  <conditionalFormatting sqref="A115">
    <cfRule type="iconSet" priority="222">
      <iconSet>
        <cfvo type="percent" val="0"/>
        <cfvo type="percent" val="33"/>
        <cfvo type="percent" val="67"/>
      </iconSet>
    </cfRule>
  </conditionalFormatting>
  <conditionalFormatting sqref="A115">
    <cfRule type="iconSet" priority="223">
      <iconSet>
        <cfvo type="percent" val="0"/>
        <cfvo type="percent" val="33"/>
        <cfvo type="percent" val="67"/>
      </iconSet>
    </cfRule>
  </conditionalFormatting>
  <conditionalFormatting sqref="A115">
    <cfRule type="iconSet" priority="224">
      <iconSet>
        <cfvo type="percent" val="0"/>
        <cfvo type="percent" val="33"/>
        <cfvo type="percent" val="67"/>
      </iconSet>
    </cfRule>
  </conditionalFormatting>
  <conditionalFormatting sqref="A116">
    <cfRule type="iconSet" priority="218">
      <iconSet>
        <cfvo type="percent" val="0"/>
        <cfvo type="percent" val="33"/>
        <cfvo type="percent" val="67"/>
      </iconSet>
    </cfRule>
  </conditionalFormatting>
  <conditionalFormatting sqref="A116">
    <cfRule type="iconSet" priority="219">
      <iconSet>
        <cfvo type="percent" val="0"/>
        <cfvo type="percent" val="33"/>
        <cfvo type="percent" val="67"/>
      </iconSet>
    </cfRule>
  </conditionalFormatting>
  <conditionalFormatting sqref="A116">
    <cfRule type="iconSet" priority="220">
      <iconSet>
        <cfvo type="percent" val="0"/>
        <cfvo type="percent" val="33"/>
        <cfvo type="percent" val="67"/>
      </iconSet>
    </cfRule>
  </conditionalFormatting>
  <conditionalFormatting sqref="A117">
    <cfRule type="iconSet" priority="214">
      <iconSet>
        <cfvo type="percent" val="0"/>
        <cfvo type="percent" val="33"/>
        <cfvo type="percent" val="67"/>
      </iconSet>
    </cfRule>
  </conditionalFormatting>
  <conditionalFormatting sqref="A117">
    <cfRule type="iconSet" priority="215">
      <iconSet>
        <cfvo type="percent" val="0"/>
        <cfvo type="percent" val="33"/>
        <cfvo type="percent" val="67"/>
      </iconSet>
    </cfRule>
  </conditionalFormatting>
  <conditionalFormatting sqref="A117">
    <cfRule type="iconSet" priority="216">
      <iconSet>
        <cfvo type="percent" val="0"/>
        <cfvo type="percent" val="33"/>
        <cfvo type="percent" val="67"/>
      </iconSet>
    </cfRule>
  </conditionalFormatting>
  <conditionalFormatting sqref="A118">
    <cfRule type="iconSet" priority="210">
      <iconSet>
        <cfvo type="percent" val="0"/>
        <cfvo type="percent" val="33"/>
        <cfvo type="percent" val="67"/>
      </iconSet>
    </cfRule>
  </conditionalFormatting>
  <conditionalFormatting sqref="A118">
    <cfRule type="iconSet" priority="211">
      <iconSet>
        <cfvo type="percent" val="0"/>
        <cfvo type="percent" val="33"/>
        <cfvo type="percent" val="67"/>
      </iconSet>
    </cfRule>
  </conditionalFormatting>
  <conditionalFormatting sqref="A118">
    <cfRule type="iconSet" priority="212">
      <iconSet>
        <cfvo type="percent" val="0"/>
        <cfvo type="percent" val="33"/>
        <cfvo type="percent" val="67"/>
      </iconSet>
    </cfRule>
  </conditionalFormatting>
  <conditionalFormatting sqref="A119">
    <cfRule type="iconSet" priority="206">
      <iconSet>
        <cfvo type="percent" val="0"/>
        <cfvo type="percent" val="33"/>
        <cfvo type="percent" val="67"/>
      </iconSet>
    </cfRule>
  </conditionalFormatting>
  <conditionalFormatting sqref="A119">
    <cfRule type="iconSet" priority="207">
      <iconSet>
        <cfvo type="percent" val="0"/>
        <cfvo type="percent" val="33"/>
        <cfvo type="percent" val="67"/>
      </iconSet>
    </cfRule>
  </conditionalFormatting>
  <conditionalFormatting sqref="A119">
    <cfRule type="iconSet" priority="208">
      <iconSet>
        <cfvo type="percent" val="0"/>
        <cfvo type="percent" val="33"/>
        <cfvo type="percent" val="67"/>
      </iconSet>
    </cfRule>
  </conditionalFormatting>
  <conditionalFormatting sqref="A120">
    <cfRule type="iconSet" priority="202">
      <iconSet>
        <cfvo type="percent" val="0"/>
        <cfvo type="percent" val="33"/>
        <cfvo type="percent" val="67"/>
      </iconSet>
    </cfRule>
  </conditionalFormatting>
  <conditionalFormatting sqref="A120">
    <cfRule type="iconSet" priority="203">
      <iconSet>
        <cfvo type="percent" val="0"/>
        <cfvo type="percent" val="33"/>
        <cfvo type="percent" val="67"/>
      </iconSet>
    </cfRule>
  </conditionalFormatting>
  <conditionalFormatting sqref="A120">
    <cfRule type="iconSet" priority="204">
      <iconSet>
        <cfvo type="percent" val="0"/>
        <cfvo type="percent" val="33"/>
        <cfvo type="percent" val="67"/>
      </iconSet>
    </cfRule>
  </conditionalFormatting>
  <conditionalFormatting sqref="A121">
    <cfRule type="iconSet" priority="198">
      <iconSet>
        <cfvo type="percent" val="0"/>
        <cfvo type="percent" val="33"/>
        <cfvo type="percent" val="67"/>
      </iconSet>
    </cfRule>
  </conditionalFormatting>
  <conditionalFormatting sqref="A121">
    <cfRule type="iconSet" priority="199">
      <iconSet>
        <cfvo type="percent" val="0"/>
        <cfvo type="percent" val="33"/>
        <cfvo type="percent" val="67"/>
      </iconSet>
    </cfRule>
  </conditionalFormatting>
  <conditionalFormatting sqref="A121">
    <cfRule type="iconSet" priority="200">
      <iconSet>
        <cfvo type="percent" val="0"/>
        <cfvo type="percent" val="33"/>
        <cfvo type="percent" val="67"/>
      </iconSet>
    </cfRule>
  </conditionalFormatting>
  <conditionalFormatting sqref="A122">
    <cfRule type="iconSet" priority="194">
      <iconSet>
        <cfvo type="percent" val="0"/>
        <cfvo type="percent" val="33"/>
        <cfvo type="percent" val="67"/>
      </iconSet>
    </cfRule>
  </conditionalFormatting>
  <conditionalFormatting sqref="A122">
    <cfRule type="iconSet" priority="195">
      <iconSet>
        <cfvo type="percent" val="0"/>
        <cfvo type="percent" val="33"/>
        <cfvo type="percent" val="67"/>
      </iconSet>
    </cfRule>
  </conditionalFormatting>
  <conditionalFormatting sqref="A122">
    <cfRule type="iconSet" priority="196">
      <iconSet>
        <cfvo type="percent" val="0"/>
        <cfvo type="percent" val="33"/>
        <cfvo type="percent" val="67"/>
      </iconSet>
    </cfRule>
  </conditionalFormatting>
  <conditionalFormatting sqref="A123">
    <cfRule type="iconSet" priority="190">
      <iconSet>
        <cfvo type="percent" val="0"/>
        <cfvo type="percent" val="33"/>
        <cfvo type="percent" val="67"/>
      </iconSet>
    </cfRule>
  </conditionalFormatting>
  <conditionalFormatting sqref="A123">
    <cfRule type="iconSet" priority="191">
      <iconSet>
        <cfvo type="percent" val="0"/>
        <cfvo type="percent" val="33"/>
        <cfvo type="percent" val="67"/>
      </iconSet>
    </cfRule>
  </conditionalFormatting>
  <conditionalFormatting sqref="A123">
    <cfRule type="iconSet" priority="192">
      <iconSet>
        <cfvo type="percent" val="0"/>
        <cfvo type="percent" val="33"/>
        <cfvo type="percent" val="67"/>
      </iconSet>
    </cfRule>
  </conditionalFormatting>
  <conditionalFormatting sqref="A124">
    <cfRule type="iconSet" priority="186">
      <iconSet>
        <cfvo type="percent" val="0"/>
        <cfvo type="percent" val="33"/>
        <cfvo type="percent" val="67"/>
      </iconSet>
    </cfRule>
  </conditionalFormatting>
  <conditionalFormatting sqref="A124">
    <cfRule type="iconSet" priority="187">
      <iconSet>
        <cfvo type="percent" val="0"/>
        <cfvo type="percent" val="33"/>
        <cfvo type="percent" val="67"/>
      </iconSet>
    </cfRule>
  </conditionalFormatting>
  <conditionalFormatting sqref="A124">
    <cfRule type="iconSet" priority="188">
      <iconSet>
        <cfvo type="percent" val="0"/>
        <cfvo type="percent" val="33"/>
        <cfvo type="percent" val="67"/>
      </iconSet>
    </cfRule>
  </conditionalFormatting>
  <conditionalFormatting sqref="A125">
    <cfRule type="iconSet" priority="182">
      <iconSet>
        <cfvo type="percent" val="0"/>
        <cfvo type="percent" val="33"/>
        <cfvo type="percent" val="67"/>
      </iconSet>
    </cfRule>
  </conditionalFormatting>
  <conditionalFormatting sqref="A125">
    <cfRule type="iconSet" priority="183">
      <iconSet>
        <cfvo type="percent" val="0"/>
        <cfvo type="percent" val="33"/>
        <cfvo type="percent" val="67"/>
      </iconSet>
    </cfRule>
  </conditionalFormatting>
  <conditionalFormatting sqref="A125">
    <cfRule type="iconSet" priority="184">
      <iconSet>
        <cfvo type="percent" val="0"/>
        <cfvo type="percent" val="33"/>
        <cfvo type="percent" val="67"/>
      </iconSet>
    </cfRule>
  </conditionalFormatting>
  <conditionalFormatting sqref="A126">
    <cfRule type="iconSet" priority="178">
      <iconSet>
        <cfvo type="percent" val="0"/>
        <cfvo type="percent" val="33"/>
        <cfvo type="percent" val="67"/>
      </iconSet>
    </cfRule>
  </conditionalFormatting>
  <conditionalFormatting sqref="A126">
    <cfRule type="iconSet" priority="179">
      <iconSet>
        <cfvo type="percent" val="0"/>
        <cfvo type="percent" val="33"/>
        <cfvo type="percent" val="67"/>
      </iconSet>
    </cfRule>
  </conditionalFormatting>
  <conditionalFormatting sqref="A126">
    <cfRule type="iconSet" priority="180">
      <iconSet>
        <cfvo type="percent" val="0"/>
        <cfvo type="percent" val="33"/>
        <cfvo type="percent" val="67"/>
      </iconSet>
    </cfRule>
  </conditionalFormatting>
  <conditionalFormatting sqref="A127">
    <cfRule type="iconSet" priority="174">
      <iconSet>
        <cfvo type="percent" val="0"/>
        <cfvo type="percent" val="33"/>
        <cfvo type="percent" val="67"/>
      </iconSet>
    </cfRule>
  </conditionalFormatting>
  <conditionalFormatting sqref="A127">
    <cfRule type="iconSet" priority="175">
      <iconSet>
        <cfvo type="percent" val="0"/>
        <cfvo type="percent" val="33"/>
        <cfvo type="percent" val="67"/>
      </iconSet>
    </cfRule>
  </conditionalFormatting>
  <conditionalFormatting sqref="A127">
    <cfRule type="iconSet" priority="176">
      <iconSet>
        <cfvo type="percent" val="0"/>
        <cfvo type="percent" val="33"/>
        <cfvo type="percent" val="67"/>
      </iconSet>
    </cfRule>
  </conditionalFormatting>
  <conditionalFormatting sqref="A128">
    <cfRule type="iconSet" priority="170">
      <iconSet>
        <cfvo type="percent" val="0"/>
        <cfvo type="percent" val="33"/>
        <cfvo type="percent" val="67"/>
      </iconSet>
    </cfRule>
  </conditionalFormatting>
  <conditionalFormatting sqref="A128">
    <cfRule type="iconSet" priority="171">
      <iconSet>
        <cfvo type="percent" val="0"/>
        <cfvo type="percent" val="33"/>
        <cfvo type="percent" val="67"/>
      </iconSet>
    </cfRule>
  </conditionalFormatting>
  <conditionalFormatting sqref="A128">
    <cfRule type="iconSet" priority="172">
      <iconSet>
        <cfvo type="percent" val="0"/>
        <cfvo type="percent" val="33"/>
        <cfvo type="percent" val="67"/>
      </iconSet>
    </cfRule>
  </conditionalFormatting>
  <conditionalFormatting sqref="A129">
    <cfRule type="iconSet" priority="166">
      <iconSet>
        <cfvo type="percent" val="0"/>
        <cfvo type="percent" val="33"/>
        <cfvo type="percent" val="67"/>
      </iconSet>
    </cfRule>
  </conditionalFormatting>
  <conditionalFormatting sqref="A129">
    <cfRule type="iconSet" priority="167">
      <iconSet>
        <cfvo type="percent" val="0"/>
        <cfvo type="percent" val="33"/>
        <cfvo type="percent" val="67"/>
      </iconSet>
    </cfRule>
  </conditionalFormatting>
  <conditionalFormatting sqref="A129">
    <cfRule type="iconSet" priority="168">
      <iconSet>
        <cfvo type="percent" val="0"/>
        <cfvo type="percent" val="33"/>
        <cfvo type="percent" val="67"/>
      </iconSet>
    </cfRule>
  </conditionalFormatting>
  <conditionalFormatting sqref="A130">
    <cfRule type="iconSet" priority="162">
      <iconSet>
        <cfvo type="percent" val="0"/>
        <cfvo type="percent" val="33"/>
        <cfvo type="percent" val="67"/>
      </iconSet>
    </cfRule>
  </conditionalFormatting>
  <conditionalFormatting sqref="A130">
    <cfRule type="iconSet" priority="163">
      <iconSet>
        <cfvo type="percent" val="0"/>
        <cfvo type="percent" val="33"/>
        <cfvo type="percent" val="67"/>
      </iconSet>
    </cfRule>
  </conditionalFormatting>
  <conditionalFormatting sqref="A130">
    <cfRule type="iconSet" priority="164">
      <iconSet>
        <cfvo type="percent" val="0"/>
        <cfvo type="percent" val="33"/>
        <cfvo type="percent" val="67"/>
      </iconSet>
    </cfRule>
  </conditionalFormatting>
  <conditionalFormatting sqref="A131">
    <cfRule type="iconSet" priority="158">
      <iconSet>
        <cfvo type="percent" val="0"/>
        <cfvo type="percent" val="33"/>
        <cfvo type="percent" val="67"/>
      </iconSet>
    </cfRule>
  </conditionalFormatting>
  <conditionalFormatting sqref="A131">
    <cfRule type="iconSet" priority="159">
      <iconSet>
        <cfvo type="percent" val="0"/>
        <cfvo type="percent" val="33"/>
        <cfvo type="percent" val="67"/>
      </iconSet>
    </cfRule>
  </conditionalFormatting>
  <conditionalFormatting sqref="A131">
    <cfRule type="iconSet" priority="160">
      <iconSet>
        <cfvo type="percent" val="0"/>
        <cfvo type="percent" val="33"/>
        <cfvo type="percent" val="67"/>
      </iconSet>
    </cfRule>
  </conditionalFormatting>
  <conditionalFormatting sqref="A132">
    <cfRule type="iconSet" priority="154">
      <iconSet>
        <cfvo type="percent" val="0"/>
        <cfvo type="percent" val="33"/>
        <cfvo type="percent" val="67"/>
      </iconSet>
    </cfRule>
  </conditionalFormatting>
  <conditionalFormatting sqref="A132">
    <cfRule type="iconSet" priority="155">
      <iconSet>
        <cfvo type="percent" val="0"/>
        <cfvo type="percent" val="33"/>
        <cfvo type="percent" val="67"/>
      </iconSet>
    </cfRule>
  </conditionalFormatting>
  <conditionalFormatting sqref="A132">
    <cfRule type="iconSet" priority="156">
      <iconSet>
        <cfvo type="percent" val="0"/>
        <cfvo type="percent" val="33"/>
        <cfvo type="percent" val="67"/>
      </iconSet>
    </cfRule>
  </conditionalFormatting>
  <conditionalFormatting sqref="A133">
    <cfRule type="iconSet" priority="150">
      <iconSet>
        <cfvo type="percent" val="0"/>
        <cfvo type="percent" val="33"/>
        <cfvo type="percent" val="67"/>
      </iconSet>
    </cfRule>
  </conditionalFormatting>
  <conditionalFormatting sqref="A133">
    <cfRule type="iconSet" priority="151">
      <iconSet>
        <cfvo type="percent" val="0"/>
        <cfvo type="percent" val="33"/>
        <cfvo type="percent" val="67"/>
      </iconSet>
    </cfRule>
  </conditionalFormatting>
  <conditionalFormatting sqref="A133">
    <cfRule type="iconSet" priority="152">
      <iconSet>
        <cfvo type="percent" val="0"/>
        <cfvo type="percent" val="33"/>
        <cfvo type="percent" val="67"/>
      </iconSet>
    </cfRule>
  </conditionalFormatting>
  <conditionalFormatting sqref="A134">
    <cfRule type="iconSet" priority="146">
      <iconSet>
        <cfvo type="percent" val="0"/>
        <cfvo type="percent" val="33"/>
        <cfvo type="percent" val="67"/>
      </iconSet>
    </cfRule>
  </conditionalFormatting>
  <conditionalFormatting sqref="A134">
    <cfRule type="iconSet" priority="147">
      <iconSet>
        <cfvo type="percent" val="0"/>
        <cfvo type="percent" val="33"/>
        <cfvo type="percent" val="67"/>
      </iconSet>
    </cfRule>
  </conditionalFormatting>
  <conditionalFormatting sqref="A134">
    <cfRule type="iconSet" priority="148">
      <iconSet>
        <cfvo type="percent" val="0"/>
        <cfvo type="percent" val="33"/>
        <cfvo type="percent" val="67"/>
      </iconSet>
    </cfRule>
  </conditionalFormatting>
  <conditionalFormatting sqref="A135">
    <cfRule type="iconSet" priority="142">
      <iconSet>
        <cfvo type="percent" val="0"/>
        <cfvo type="percent" val="33"/>
        <cfvo type="percent" val="67"/>
      </iconSet>
    </cfRule>
  </conditionalFormatting>
  <conditionalFormatting sqref="A135">
    <cfRule type="iconSet" priority="143">
      <iconSet>
        <cfvo type="percent" val="0"/>
        <cfvo type="percent" val="33"/>
        <cfvo type="percent" val="67"/>
      </iconSet>
    </cfRule>
  </conditionalFormatting>
  <conditionalFormatting sqref="A135">
    <cfRule type="iconSet" priority="144">
      <iconSet>
        <cfvo type="percent" val="0"/>
        <cfvo type="percent" val="33"/>
        <cfvo type="percent" val="67"/>
      </iconSet>
    </cfRule>
  </conditionalFormatting>
  <conditionalFormatting sqref="A136">
    <cfRule type="iconSet" priority="138">
      <iconSet>
        <cfvo type="percent" val="0"/>
        <cfvo type="percent" val="33"/>
        <cfvo type="percent" val="67"/>
      </iconSet>
    </cfRule>
  </conditionalFormatting>
  <conditionalFormatting sqref="A136">
    <cfRule type="iconSet" priority="139">
      <iconSet>
        <cfvo type="percent" val="0"/>
        <cfvo type="percent" val="33"/>
        <cfvo type="percent" val="67"/>
      </iconSet>
    </cfRule>
  </conditionalFormatting>
  <conditionalFormatting sqref="A136">
    <cfRule type="iconSet" priority="140">
      <iconSet>
        <cfvo type="percent" val="0"/>
        <cfvo type="percent" val="33"/>
        <cfvo type="percent" val="67"/>
      </iconSet>
    </cfRule>
  </conditionalFormatting>
  <conditionalFormatting sqref="A137">
    <cfRule type="iconSet" priority="134">
      <iconSet>
        <cfvo type="percent" val="0"/>
        <cfvo type="percent" val="33"/>
        <cfvo type="percent" val="67"/>
      </iconSet>
    </cfRule>
  </conditionalFormatting>
  <conditionalFormatting sqref="A137">
    <cfRule type="iconSet" priority="135">
      <iconSet>
        <cfvo type="percent" val="0"/>
        <cfvo type="percent" val="33"/>
        <cfvo type="percent" val="67"/>
      </iconSet>
    </cfRule>
  </conditionalFormatting>
  <conditionalFormatting sqref="A137">
    <cfRule type="iconSet" priority="136">
      <iconSet>
        <cfvo type="percent" val="0"/>
        <cfvo type="percent" val="33"/>
        <cfvo type="percent" val="67"/>
      </iconSet>
    </cfRule>
  </conditionalFormatting>
  <conditionalFormatting sqref="A138">
    <cfRule type="iconSet" priority="130">
      <iconSet>
        <cfvo type="percent" val="0"/>
        <cfvo type="percent" val="33"/>
        <cfvo type="percent" val="67"/>
      </iconSet>
    </cfRule>
  </conditionalFormatting>
  <conditionalFormatting sqref="A138">
    <cfRule type="iconSet" priority="131">
      <iconSet>
        <cfvo type="percent" val="0"/>
        <cfvo type="percent" val="33"/>
        <cfvo type="percent" val="67"/>
      </iconSet>
    </cfRule>
  </conditionalFormatting>
  <conditionalFormatting sqref="A138">
    <cfRule type="iconSet" priority="132">
      <iconSet>
        <cfvo type="percent" val="0"/>
        <cfvo type="percent" val="33"/>
        <cfvo type="percent" val="67"/>
      </iconSet>
    </cfRule>
  </conditionalFormatting>
  <conditionalFormatting sqref="A139">
    <cfRule type="iconSet" priority="126">
      <iconSet>
        <cfvo type="percent" val="0"/>
        <cfvo type="percent" val="33"/>
        <cfvo type="percent" val="67"/>
      </iconSet>
    </cfRule>
  </conditionalFormatting>
  <conditionalFormatting sqref="A139">
    <cfRule type="iconSet" priority="127">
      <iconSet>
        <cfvo type="percent" val="0"/>
        <cfvo type="percent" val="33"/>
        <cfvo type="percent" val="67"/>
      </iconSet>
    </cfRule>
  </conditionalFormatting>
  <conditionalFormatting sqref="A139">
    <cfRule type="iconSet" priority="128">
      <iconSet>
        <cfvo type="percent" val="0"/>
        <cfvo type="percent" val="33"/>
        <cfvo type="percent" val="67"/>
      </iconSet>
    </cfRule>
  </conditionalFormatting>
  <conditionalFormatting sqref="A140">
    <cfRule type="iconSet" priority="122">
      <iconSet>
        <cfvo type="percent" val="0"/>
        <cfvo type="percent" val="33"/>
        <cfvo type="percent" val="67"/>
      </iconSet>
    </cfRule>
  </conditionalFormatting>
  <conditionalFormatting sqref="A140">
    <cfRule type="iconSet" priority="123">
      <iconSet>
        <cfvo type="percent" val="0"/>
        <cfvo type="percent" val="33"/>
        <cfvo type="percent" val="67"/>
      </iconSet>
    </cfRule>
  </conditionalFormatting>
  <conditionalFormatting sqref="A140">
    <cfRule type="iconSet" priority="124">
      <iconSet>
        <cfvo type="percent" val="0"/>
        <cfvo type="percent" val="33"/>
        <cfvo type="percent" val="67"/>
      </iconSet>
    </cfRule>
  </conditionalFormatting>
  <conditionalFormatting sqref="A141">
    <cfRule type="iconSet" priority="118">
      <iconSet>
        <cfvo type="percent" val="0"/>
        <cfvo type="percent" val="33"/>
        <cfvo type="percent" val="67"/>
      </iconSet>
    </cfRule>
  </conditionalFormatting>
  <conditionalFormatting sqref="A141">
    <cfRule type="iconSet" priority="119">
      <iconSet>
        <cfvo type="percent" val="0"/>
        <cfvo type="percent" val="33"/>
        <cfvo type="percent" val="67"/>
      </iconSet>
    </cfRule>
  </conditionalFormatting>
  <conditionalFormatting sqref="A141">
    <cfRule type="iconSet" priority="120">
      <iconSet>
        <cfvo type="percent" val="0"/>
        <cfvo type="percent" val="33"/>
        <cfvo type="percent" val="67"/>
      </iconSet>
    </cfRule>
  </conditionalFormatting>
  <conditionalFormatting sqref="A142">
    <cfRule type="iconSet" priority="114">
      <iconSet>
        <cfvo type="percent" val="0"/>
        <cfvo type="percent" val="33"/>
        <cfvo type="percent" val="67"/>
      </iconSet>
    </cfRule>
  </conditionalFormatting>
  <conditionalFormatting sqref="A142">
    <cfRule type="iconSet" priority="115">
      <iconSet>
        <cfvo type="percent" val="0"/>
        <cfvo type="percent" val="33"/>
        <cfvo type="percent" val="67"/>
      </iconSet>
    </cfRule>
  </conditionalFormatting>
  <conditionalFormatting sqref="A142">
    <cfRule type="iconSet" priority="116">
      <iconSet>
        <cfvo type="percent" val="0"/>
        <cfvo type="percent" val="33"/>
        <cfvo type="percent" val="67"/>
      </iconSet>
    </cfRule>
  </conditionalFormatting>
  <conditionalFormatting sqref="A143">
    <cfRule type="iconSet" priority="110">
      <iconSet>
        <cfvo type="percent" val="0"/>
        <cfvo type="percent" val="33"/>
        <cfvo type="percent" val="67"/>
      </iconSet>
    </cfRule>
  </conditionalFormatting>
  <conditionalFormatting sqref="A143">
    <cfRule type="iconSet" priority="111">
      <iconSet>
        <cfvo type="percent" val="0"/>
        <cfvo type="percent" val="33"/>
        <cfvo type="percent" val="67"/>
      </iconSet>
    </cfRule>
  </conditionalFormatting>
  <conditionalFormatting sqref="A143">
    <cfRule type="iconSet" priority="112">
      <iconSet>
        <cfvo type="percent" val="0"/>
        <cfvo type="percent" val="33"/>
        <cfvo type="percent" val="67"/>
      </iconSet>
    </cfRule>
  </conditionalFormatting>
  <conditionalFormatting sqref="A144">
    <cfRule type="iconSet" priority="106">
      <iconSet>
        <cfvo type="percent" val="0"/>
        <cfvo type="percent" val="33"/>
        <cfvo type="percent" val="67"/>
      </iconSet>
    </cfRule>
  </conditionalFormatting>
  <conditionalFormatting sqref="A144">
    <cfRule type="iconSet" priority="107">
      <iconSet>
        <cfvo type="percent" val="0"/>
        <cfvo type="percent" val="33"/>
        <cfvo type="percent" val="67"/>
      </iconSet>
    </cfRule>
  </conditionalFormatting>
  <conditionalFormatting sqref="A144">
    <cfRule type="iconSet" priority="108">
      <iconSet>
        <cfvo type="percent" val="0"/>
        <cfvo type="percent" val="33"/>
        <cfvo type="percent" val="67"/>
      </iconSet>
    </cfRule>
  </conditionalFormatting>
  <conditionalFormatting sqref="A145">
    <cfRule type="iconSet" priority="102">
      <iconSet>
        <cfvo type="percent" val="0"/>
        <cfvo type="percent" val="33"/>
        <cfvo type="percent" val="67"/>
      </iconSet>
    </cfRule>
  </conditionalFormatting>
  <conditionalFormatting sqref="A145">
    <cfRule type="iconSet" priority="103">
      <iconSet>
        <cfvo type="percent" val="0"/>
        <cfvo type="percent" val="33"/>
        <cfvo type="percent" val="67"/>
      </iconSet>
    </cfRule>
  </conditionalFormatting>
  <conditionalFormatting sqref="A145">
    <cfRule type="iconSet" priority="104">
      <iconSet>
        <cfvo type="percent" val="0"/>
        <cfvo type="percent" val="33"/>
        <cfvo type="percent" val="67"/>
      </iconSet>
    </cfRule>
  </conditionalFormatting>
  <conditionalFormatting sqref="A146">
    <cfRule type="iconSet" priority="98">
      <iconSet>
        <cfvo type="percent" val="0"/>
        <cfvo type="percent" val="33"/>
        <cfvo type="percent" val="67"/>
      </iconSet>
    </cfRule>
  </conditionalFormatting>
  <conditionalFormatting sqref="A146">
    <cfRule type="iconSet" priority="99">
      <iconSet>
        <cfvo type="percent" val="0"/>
        <cfvo type="percent" val="33"/>
        <cfvo type="percent" val="67"/>
      </iconSet>
    </cfRule>
  </conditionalFormatting>
  <conditionalFormatting sqref="A146">
    <cfRule type="iconSet" priority="100">
      <iconSet>
        <cfvo type="percent" val="0"/>
        <cfvo type="percent" val="33"/>
        <cfvo type="percent" val="67"/>
      </iconSet>
    </cfRule>
  </conditionalFormatting>
  <conditionalFormatting sqref="A147">
    <cfRule type="iconSet" priority="94">
      <iconSet>
        <cfvo type="percent" val="0"/>
        <cfvo type="percent" val="33"/>
        <cfvo type="percent" val="67"/>
      </iconSet>
    </cfRule>
  </conditionalFormatting>
  <conditionalFormatting sqref="A147">
    <cfRule type="iconSet" priority="95">
      <iconSet>
        <cfvo type="percent" val="0"/>
        <cfvo type="percent" val="33"/>
        <cfvo type="percent" val="67"/>
      </iconSet>
    </cfRule>
  </conditionalFormatting>
  <conditionalFormatting sqref="A147">
    <cfRule type="iconSet" priority="96">
      <iconSet>
        <cfvo type="percent" val="0"/>
        <cfvo type="percent" val="33"/>
        <cfvo type="percent" val="67"/>
      </iconSet>
    </cfRule>
  </conditionalFormatting>
  <conditionalFormatting sqref="A148">
    <cfRule type="iconSet" priority="90">
      <iconSet>
        <cfvo type="percent" val="0"/>
        <cfvo type="percent" val="33"/>
        <cfvo type="percent" val="67"/>
      </iconSet>
    </cfRule>
  </conditionalFormatting>
  <conditionalFormatting sqref="A148">
    <cfRule type="iconSet" priority="91">
      <iconSet>
        <cfvo type="percent" val="0"/>
        <cfvo type="percent" val="33"/>
        <cfvo type="percent" val="67"/>
      </iconSet>
    </cfRule>
  </conditionalFormatting>
  <conditionalFormatting sqref="A148">
    <cfRule type="iconSet" priority="92">
      <iconSet>
        <cfvo type="percent" val="0"/>
        <cfvo type="percent" val="33"/>
        <cfvo type="percent" val="67"/>
      </iconSet>
    </cfRule>
  </conditionalFormatting>
  <conditionalFormatting sqref="A149">
    <cfRule type="iconSet" priority="86">
      <iconSet>
        <cfvo type="percent" val="0"/>
        <cfvo type="percent" val="33"/>
        <cfvo type="percent" val="67"/>
      </iconSet>
    </cfRule>
  </conditionalFormatting>
  <conditionalFormatting sqref="A149">
    <cfRule type="iconSet" priority="87">
      <iconSet>
        <cfvo type="percent" val="0"/>
        <cfvo type="percent" val="33"/>
        <cfvo type="percent" val="67"/>
      </iconSet>
    </cfRule>
  </conditionalFormatting>
  <conditionalFormatting sqref="A149">
    <cfRule type="iconSet" priority="88">
      <iconSet>
        <cfvo type="percent" val="0"/>
        <cfvo type="percent" val="33"/>
        <cfvo type="percent" val="67"/>
      </iconSet>
    </cfRule>
  </conditionalFormatting>
  <conditionalFormatting sqref="A150">
    <cfRule type="iconSet" priority="82">
      <iconSet>
        <cfvo type="percent" val="0"/>
        <cfvo type="percent" val="33"/>
        <cfvo type="percent" val="67"/>
      </iconSet>
    </cfRule>
  </conditionalFormatting>
  <conditionalFormatting sqref="A150">
    <cfRule type="iconSet" priority="83">
      <iconSet>
        <cfvo type="percent" val="0"/>
        <cfvo type="percent" val="33"/>
        <cfvo type="percent" val="67"/>
      </iconSet>
    </cfRule>
  </conditionalFormatting>
  <conditionalFormatting sqref="A150">
    <cfRule type="iconSet" priority="84">
      <iconSet>
        <cfvo type="percent" val="0"/>
        <cfvo type="percent" val="33"/>
        <cfvo type="percent" val="67"/>
      </iconSet>
    </cfRule>
  </conditionalFormatting>
  <conditionalFormatting sqref="A151">
    <cfRule type="iconSet" priority="78">
      <iconSet>
        <cfvo type="percent" val="0"/>
        <cfvo type="percent" val="33"/>
        <cfvo type="percent" val="67"/>
      </iconSet>
    </cfRule>
  </conditionalFormatting>
  <conditionalFormatting sqref="A151">
    <cfRule type="iconSet" priority="79">
      <iconSet>
        <cfvo type="percent" val="0"/>
        <cfvo type="percent" val="33"/>
        <cfvo type="percent" val="67"/>
      </iconSet>
    </cfRule>
  </conditionalFormatting>
  <conditionalFormatting sqref="A151">
    <cfRule type="iconSet" priority="80">
      <iconSet>
        <cfvo type="percent" val="0"/>
        <cfvo type="percent" val="33"/>
        <cfvo type="percent" val="67"/>
      </iconSet>
    </cfRule>
  </conditionalFormatting>
  <conditionalFormatting sqref="A152">
    <cfRule type="iconSet" priority="74">
      <iconSet>
        <cfvo type="percent" val="0"/>
        <cfvo type="percent" val="33"/>
        <cfvo type="percent" val="67"/>
      </iconSet>
    </cfRule>
  </conditionalFormatting>
  <conditionalFormatting sqref="A152">
    <cfRule type="iconSet" priority="75">
      <iconSet>
        <cfvo type="percent" val="0"/>
        <cfvo type="percent" val="33"/>
        <cfvo type="percent" val="67"/>
      </iconSet>
    </cfRule>
  </conditionalFormatting>
  <conditionalFormatting sqref="A152">
    <cfRule type="iconSet" priority="76">
      <iconSet>
        <cfvo type="percent" val="0"/>
        <cfvo type="percent" val="33"/>
        <cfvo type="percent" val="67"/>
      </iconSet>
    </cfRule>
  </conditionalFormatting>
  <conditionalFormatting sqref="A153">
    <cfRule type="iconSet" priority="70">
      <iconSet>
        <cfvo type="percent" val="0"/>
        <cfvo type="percent" val="33"/>
        <cfvo type="percent" val="67"/>
      </iconSet>
    </cfRule>
  </conditionalFormatting>
  <conditionalFormatting sqref="A153">
    <cfRule type="iconSet" priority="71">
      <iconSet>
        <cfvo type="percent" val="0"/>
        <cfvo type="percent" val="33"/>
        <cfvo type="percent" val="67"/>
      </iconSet>
    </cfRule>
  </conditionalFormatting>
  <conditionalFormatting sqref="A153">
    <cfRule type="iconSet" priority="72">
      <iconSet>
        <cfvo type="percent" val="0"/>
        <cfvo type="percent" val="33"/>
        <cfvo type="percent" val="67"/>
      </iconSet>
    </cfRule>
  </conditionalFormatting>
  <conditionalFormatting sqref="A154">
    <cfRule type="iconSet" priority="66">
      <iconSet>
        <cfvo type="percent" val="0"/>
        <cfvo type="percent" val="33"/>
        <cfvo type="percent" val="67"/>
      </iconSet>
    </cfRule>
  </conditionalFormatting>
  <conditionalFormatting sqref="A154">
    <cfRule type="iconSet" priority="67">
      <iconSet>
        <cfvo type="percent" val="0"/>
        <cfvo type="percent" val="33"/>
        <cfvo type="percent" val="67"/>
      </iconSet>
    </cfRule>
  </conditionalFormatting>
  <conditionalFormatting sqref="A154">
    <cfRule type="iconSet" priority="68">
      <iconSet>
        <cfvo type="percent" val="0"/>
        <cfvo type="percent" val="33"/>
        <cfvo type="percent" val="67"/>
      </iconSet>
    </cfRule>
  </conditionalFormatting>
  <conditionalFormatting sqref="A155">
    <cfRule type="iconSet" priority="62">
      <iconSet>
        <cfvo type="percent" val="0"/>
        <cfvo type="percent" val="33"/>
        <cfvo type="percent" val="67"/>
      </iconSet>
    </cfRule>
  </conditionalFormatting>
  <conditionalFormatting sqref="A155">
    <cfRule type="iconSet" priority="63">
      <iconSet>
        <cfvo type="percent" val="0"/>
        <cfvo type="percent" val="33"/>
        <cfvo type="percent" val="67"/>
      </iconSet>
    </cfRule>
  </conditionalFormatting>
  <conditionalFormatting sqref="A155">
    <cfRule type="iconSet" priority="64">
      <iconSet>
        <cfvo type="percent" val="0"/>
        <cfvo type="percent" val="33"/>
        <cfvo type="percent" val="67"/>
      </iconSet>
    </cfRule>
  </conditionalFormatting>
  <conditionalFormatting sqref="A156">
    <cfRule type="iconSet" priority="58">
      <iconSet>
        <cfvo type="percent" val="0"/>
        <cfvo type="percent" val="33"/>
        <cfvo type="percent" val="67"/>
      </iconSet>
    </cfRule>
  </conditionalFormatting>
  <conditionalFormatting sqref="A156">
    <cfRule type="iconSet" priority="59">
      <iconSet>
        <cfvo type="percent" val="0"/>
        <cfvo type="percent" val="33"/>
        <cfvo type="percent" val="67"/>
      </iconSet>
    </cfRule>
  </conditionalFormatting>
  <conditionalFormatting sqref="A156">
    <cfRule type="iconSet" priority="60">
      <iconSet>
        <cfvo type="percent" val="0"/>
        <cfvo type="percent" val="33"/>
        <cfvo type="percent" val="67"/>
      </iconSet>
    </cfRule>
  </conditionalFormatting>
  <conditionalFormatting sqref="A157">
    <cfRule type="iconSet" priority="54">
      <iconSet>
        <cfvo type="percent" val="0"/>
        <cfvo type="percent" val="33"/>
        <cfvo type="percent" val="67"/>
      </iconSet>
    </cfRule>
  </conditionalFormatting>
  <conditionalFormatting sqref="A157">
    <cfRule type="iconSet" priority="55">
      <iconSet>
        <cfvo type="percent" val="0"/>
        <cfvo type="percent" val="33"/>
        <cfvo type="percent" val="67"/>
      </iconSet>
    </cfRule>
  </conditionalFormatting>
  <conditionalFormatting sqref="A157">
    <cfRule type="iconSet" priority="56">
      <iconSet>
        <cfvo type="percent" val="0"/>
        <cfvo type="percent" val="33"/>
        <cfvo type="percent" val="67"/>
      </iconSet>
    </cfRule>
  </conditionalFormatting>
  <conditionalFormatting sqref="A158">
    <cfRule type="iconSet" priority="50">
      <iconSet>
        <cfvo type="percent" val="0"/>
        <cfvo type="percent" val="33"/>
        <cfvo type="percent" val="67"/>
      </iconSet>
    </cfRule>
  </conditionalFormatting>
  <conditionalFormatting sqref="A158">
    <cfRule type="iconSet" priority="51">
      <iconSet>
        <cfvo type="percent" val="0"/>
        <cfvo type="percent" val="33"/>
        <cfvo type="percent" val="67"/>
      </iconSet>
    </cfRule>
  </conditionalFormatting>
  <conditionalFormatting sqref="A158">
    <cfRule type="iconSet" priority="52">
      <iconSet>
        <cfvo type="percent" val="0"/>
        <cfvo type="percent" val="33"/>
        <cfvo type="percent" val="67"/>
      </iconSet>
    </cfRule>
  </conditionalFormatting>
  <conditionalFormatting sqref="A159">
    <cfRule type="iconSet" priority="46">
      <iconSet>
        <cfvo type="percent" val="0"/>
        <cfvo type="percent" val="33"/>
        <cfvo type="percent" val="67"/>
      </iconSet>
    </cfRule>
  </conditionalFormatting>
  <conditionalFormatting sqref="A159">
    <cfRule type="iconSet" priority="47">
      <iconSet>
        <cfvo type="percent" val="0"/>
        <cfvo type="percent" val="33"/>
        <cfvo type="percent" val="67"/>
      </iconSet>
    </cfRule>
  </conditionalFormatting>
  <conditionalFormatting sqref="A159">
    <cfRule type="iconSet" priority="48">
      <iconSet>
        <cfvo type="percent" val="0"/>
        <cfvo type="percent" val="33"/>
        <cfvo type="percent" val="67"/>
      </iconSet>
    </cfRule>
  </conditionalFormatting>
  <conditionalFormatting sqref="A160">
    <cfRule type="iconSet" priority="42">
      <iconSet>
        <cfvo type="percent" val="0"/>
        <cfvo type="percent" val="33"/>
        <cfvo type="percent" val="67"/>
      </iconSet>
    </cfRule>
  </conditionalFormatting>
  <conditionalFormatting sqref="A160">
    <cfRule type="iconSet" priority="43">
      <iconSet>
        <cfvo type="percent" val="0"/>
        <cfvo type="percent" val="33"/>
        <cfvo type="percent" val="67"/>
      </iconSet>
    </cfRule>
  </conditionalFormatting>
  <conditionalFormatting sqref="A160">
    <cfRule type="iconSet" priority="44">
      <iconSet>
        <cfvo type="percent" val="0"/>
        <cfvo type="percent" val="33"/>
        <cfvo type="percent" val="67"/>
      </iconSet>
    </cfRule>
  </conditionalFormatting>
  <conditionalFormatting sqref="A161">
    <cfRule type="iconSet" priority="38">
      <iconSet>
        <cfvo type="percent" val="0"/>
        <cfvo type="percent" val="33"/>
        <cfvo type="percent" val="67"/>
      </iconSet>
    </cfRule>
  </conditionalFormatting>
  <conditionalFormatting sqref="A161">
    <cfRule type="iconSet" priority="39">
      <iconSet>
        <cfvo type="percent" val="0"/>
        <cfvo type="percent" val="33"/>
        <cfvo type="percent" val="67"/>
      </iconSet>
    </cfRule>
  </conditionalFormatting>
  <conditionalFormatting sqref="A161">
    <cfRule type="iconSet" priority="40">
      <iconSet>
        <cfvo type="percent" val="0"/>
        <cfvo type="percent" val="33"/>
        <cfvo type="percent" val="67"/>
      </iconSet>
    </cfRule>
  </conditionalFormatting>
  <conditionalFormatting sqref="A162">
    <cfRule type="iconSet" priority="34">
      <iconSet>
        <cfvo type="percent" val="0"/>
        <cfvo type="percent" val="33"/>
        <cfvo type="percent" val="67"/>
      </iconSet>
    </cfRule>
  </conditionalFormatting>
  <conditionalFormatting sqref="A162">
    <cfRule type="iconSet" priority="35">
      <iconSet>
        <cfvo type="percent" val="0"/>
        <cfvo type="percent" val="33"/>
        <cfvo type="percent" val="67"/>
      </iconSet>
    </cfRule>
  </conditionalFormatting>
  <conditionalFormatting sqref="A162">
    <cfRule type="iconSet" priority="36">
      <iconSet>
        <cfvo type="percent" val="0"/>
        <cfvo type="percent" val="33"/>
        <cfvo type="percent" val="67"/>
      </iconSet>
    </cfRule>
  </conditionalFormatting>
  <conditionalFormatting sqref="A163">
    <cfRule type="iconSet" priority="30">
      <iconSet>
        <cfvo type="percent" val="0"/>
        <cfvo type="percent" val="33"/>
        <cfvo type="percent" val="67"/>
      </iconSet>
    </cfRule>
  </conditionalFormatting>
  <conditionalFormatting sqref="A163">
    <cfRule type="iconSet" priority="31">
      <iconSet>
        <cfvo type="percent" val="0"/>
        <cfvo type="percent" val="33"/>
        <cfvo type="percent" val="67"/>
      </iconSet>
    </cfRule>
  </conditionalFormatting>
  <conditionalFormatting sqref="A163">
    <cfRule type="iconSet" priority="32">
      <iconSet>
        <cfvo type="percent" val="0"/>
        <cfvo type="percent" val="33"/>
        <cfvo type="percent" val="67"/>
      </iconSet>
    </cfRule>
  </conditionalFormatting>
  <conditionalFormatting sqref="A164">
    <cfRule type="iconSet" priority="26">
      <iconSet>
        <cfvo type="percent" val="0"/>
        <cfvo type="percent" val="33"/>
        <cfvo type="percent" val="67"/>
      </iconSet>
    </cfRule>
  </conditionalFormatting>
  <conditionalFormatting sqref="A164">
    <cfRule type="iconSet" priority="27">
      <iconSet>
        <cfvo type="percent" val="0"/>
        <cfvo type="percent" val="33"/>
        <cfvo type="percent" val="67"/>
      </iconSet>
    </cfRule>
  </conditionalFormatting>
  <conditionalFormatting sqref="A164">
    <cfRule type="iconSet" priority="28">
      <iconSet>
        <cfvo type="percent" val="0"/>
        <cfvo type="percent" val="33"/>
        <cfvo type="percent" val="67"/>
      </iconSet>
    </cfRule>
  </conditionalFormatting>
  <conditionalFormatting sqref="A165">
    <cfRule type="iconSet" priority="22">
      <iconSet>
        <cfvo type="percent" val="0"/>
        <cfvo type="percent" val="33"/>
        <cfvo type="percent" val="67"/>
      </iconSet>
    </cfRule>
  </conditionalFormatting>
  <conditionalFormatting sqref="A165">
    <cfRule type="iconSet" priority="23">
      <iconSet>
        <cfvo type="percent" val="0"/>
        <cfvo type="percent" val="33"/>
        <cfvo type="percent" val="67"/>
      </iconSet>
    </cfRule>
  </conditionalFormatting>
  <conditionalFormatting sqref="A165">
    <cfRule type="iconSet" priority="24">
      <iconSet>
        <cfvo type="percent" val="0"/>
        <cfvo type="percent" val="33"/>
        <cfvo type="percent" val="67"/>
      </iconSet>
    </cfRule>
  </conditionalFormatting>
  <conditionalFormatting sqref="A166">
    <cfRule type="iconSet" priority="18">
      <iconSet>
        <cfvo type="percent" val="0"/>
        <cfvo type="percent" val="33"/>
        <cfvo type="percent" val="67"/>
      </iconSet>
    </cfRule>
  </conditionalFormatting>
  <conditionalFormatting sqref="A166">
    <cfRule type="iconSet" priority="19">
      <iconSet>
        <cfvo type="percent" val="0"/>
        <cfvo type="percent" val="33"/>
        <cfvo type="percent" val="67"/>
      </iconSet>
    </cfRule>
  </conditionalFormatting>
  <conditionalFormatting sqref="A166">
    <cfRule type="iconSet" priority="20">
      <iconSet>
        <cfvo type="percent" val="0"/>
        <cfvo type="percent" val="33"/>
        <cfvo type="percent" val="67"/>
      </iconSet>
    </cfRule>
  </conditionalFormatting>
  <conditionalFormatting sqref="A167">
    <cfRule type="iconSet" priority="14">
      <iconSet>
        <cfvo type="percent" val="0"/>
        <cfvo type="percent" val="33"/>
        <cfvo type="percent" val="67"/>
      </iconSet>
    </cfRule>
  </conditionalFormatting>
  <conditionalFormatting sqref="A167">
    <cfRule type="iconSet" priority="15">
      <iconSet>
        <cfvo type="percent" val="0"/>
        <cfvo type="percent" val="33"/>
        <cfvo type="percent" val="67"/>
      </iconSet>
    </cfRule>
  </conditionalFormatting>
  <conditionalFormatting sqref="A167">
    <cfRule type="iconSet" priority="16">
      <iconSet>
        <cfvo type="percent" val="0"/>
        <cfvo type="percent" val="33"/>
        <cfvo type="percent" val="67"/>
      </iconSet>
    </cfRule>
  </conditionalFormatting>
  <conditionalFormatting sqref="A168">
    <cfRule type="iconSet" priority="10">
      <iconSet>
        <cfvo type="percent" val="0"/>
        <cfvo type="percent" val="33"/>
        <cfvo type="percent" val="67"/>
      </iconSet>
    </cfRule>
  </conditionalFormatting>
  <conditionalFormatting sqref="A168">
    <cfRule type="iconSet" priority="11">
      <iconSet>
        <cfvo type="percent" val="0"/>
        <cfvo type="percent" val="33"/>
        <cfvo type="percent" val="67"/>
      </iconSet>
    </cfRule>
  </conditionalFormatting>
  <conditionalFormatting sqref="A168">
    <cfRule type="iconSet" priority="12">
      <iconSet>
        <cfvo type="percent" val="0"/>
        <cfvo type="percent" val="33"/>
        <cfvo type="percent" val="67"/>
      </iconSet>
    </cfRule>
  </conditionalFormatting>
  <conditionalFormatting sqref="A169">
    <cfRule type="iconSet" priority="6">
      <iconSet>
        <cfvo type="percent" val="0"/>
        <cfvo type="percent" val="33"/>
        <cfvo type="percent" val="67"/>
      </iconSet>
    </cfRule>
  </conditionalFormatting>
  <conditionalFormatting sqref="A169">
    <cfRule type="iconSet" priority="7">
      <iconSet>
        <cfvo type="percent" val="0"/>
        <cfvo type="percent" val="33"/>
        <cfvo type="percent" val="67"/>
      </iconSet>
    </cfRule>
  </conditionalFormatting>
  <conditionalFormatting sqref="A169">
    <cfRule type="iconSet" priority="8">
      <iconSet>
        <cfvo type="percent" val="0"/>
        <cfvo type="percent" val="33"/>
        <cfvo type="percent" val="67"/>
      </iconSet>
    </cfRule>
  </conditionalFormatting>
  <conditionalFormatting sqref="A170">
    <cfRule type="iconSet" priority="2">
      <iconSet>
        <cfvo type="percent" val="0"/>
        <cfvo type="percent" val="33"/>
        <cfvo type="percent" val="67"/>
      </iconSet>
    </cfRule>
  </conditionalFormatting>
  <conditionalFormatting sqref="A170">
    <cfRule type="iconSet" priority="3">
      <iconSet>
        <cfvo type="percent" val="0"/>
        <cfvo type="percent" val="33"/>
        <cfvo type="percent" val="67"/>
      </iconSet>
    </cfRule>
  </conditionalFormatting>
  <conditionalFormatting sqref="A170">
    <cfRule type="iconSet" priority="4">
      <iconSet>
        <cfvo type="percent" val="0"/>
        <cfvo type="percent" val="33"/>
        <cfvo type="percent" val="67"/>
      </iconSet>
    </cfRule>
  </conditionalFormatting>
  <dataValidations count="3">
    <dataValidation type="list" allowBlank="1" showInputMessage="1" showErrorMessage="1" sqref="H41:H170 H37 H38 H39 H40 H7 H8 H9 H10 H11 H12 H13 H14 H36 H16:H18 H19:H22 H23:H24 H25 H26 H27 H28 H29 H30 H31 H32 H33 H34 H35 H15" xr:uid="{FDE0CC5D-F507-4EC4-894F-9C883F443A22}">
      <formula1>Location</formula1>
    </dataValidation>
    <dataValidation type="list" allowBlank="1" showInputMessage="1" showErrorMessage="1" sqref="I41:I170 I37 I38 I39 I40 I7 I8 I9 I10 I11 I12 I13 I14 I15 I16:I18 I19:I22 I23:I24 I25 I26 I27 I28 I29 I30 I31 I32 I33 I34 I35 I36" xr:uid="{927A18D3-7356-4494-98D3-75960342BF4B}">
      <formula1>Package</formula1>
    </dataValidation>
    <dataValidation type="list" allowBlank="1" showInputMessage="1" showErrorMessage="1" sqref="J41:J170 J37 J38 J39 J40 J7 J8 J9 J10 J11 J12 J13 J14 J15 J16:J18 J19:J22 J23:J24 J25 J26 J27 J28 J29 J30 J31 J32 J33 J34 J35 J36" xr:uid="{92ED5F04-DB8A-4BB9-A11D-1CC4EE84B0E0}">
      <formula1>Unit</formula1>
    </dataValidation>
  </dataValidations>
  <pageMargins left="0.7" right="0.7" top="0.75" bottom="0.75" header="0.3" footer="0.3"/>
  <pageSetup paperSize="9" scale="55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29" id="{1CEA0DBA-2825-40D1-B7CF-18DFDD57D0DD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A7</xm:sqref>
        </x14:conditionalFormatting>
        <x14:conditionalFormatting xmlns:xm="http://schemas.microsoft.com/office/excel/2006/main">
          <x14:cfRule type="iconSet" priority="625" id="{C41751CC-D8FA-4FEF-AFAD-2972E530A1C2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A8</xm:sqref>
        </x14:conditionalFormatting>
        <x14:conditionalFormatting xmlns:xm="http://schemas.microsoft.com/office/excel/2006/main">
          <x14:cfRule type="iconSet" priority="621" id="{96A68D51-A7A0-47F6-89E4-2946E659800C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A9</xm:sqref>
        </x14:conditionalFormatting>
        <x14:conditionalFormatting xmlns:xm="http://schemas.microsoft.com/office/excel/2006/main">
          <x14:cfRule type="iconSet" priority="617" id="{025F5371-6282-4370-B2E6-CF3BB8E25FB1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A10</xm:sqref>
        </x14:conditionalFormatting>
        <x14:conditionalFormatting xmlns:xm="http://schemas.microsoft.com/office/excel/2006/main">
          <x14:cfRule type="iconSet" priority="613" id="{3E4CAE56-24BA-4269-A965-81FC4B1D2848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A11</xm:sqref>
        </x14:conditionalFormatting>
        <x14:conditionalFormatting xmlns:xm="http://schemas.microsoft.com/office/excel/2006/main">
          <x14:cfRule type="iconSet" priority="609" id="{79633423-ADD8-4758-85C1-00AEE70C95BC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A12</xm:sqref>
        </x14:conditionalFormatting>
        <x14:conditionalFormatting xmlns:xm="http://schemas.microsoft.com/office/excel/2006/main">
          <x14:cfRule type="iconSet" priority="605" id="{095459DF-6032-412F-AB50-A427E7C1F377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A13</xm:sqref>
        </x14:conditionalFormatting>
        <x14:conditionalFormatting xmlns:xm="http://schemas.microsoft.com/office/excel/2006/main">
          <x14:cfRule type="iconSet" priority="601" id="{420D4099-ADCB-490A-8BE7-F6DADD403EE6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A14</xm:sqref>
        </x14:conditionalFormatting>
        <x14:conditionalFormatting xmlns:xm="http://schemas.microsoft.com/office/excel/2006/main">
          <x14:cfRule type="iconSet" priority="597" id="{A5CD2162-BB08-45A5-BBCB-DF95D6608B51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A15</xm:sqref>
        </x14:conditionalFormatting>
        <x14:conditionalFormatting xmlns:xm="http://schemas.microsoft.com/office/excel/2006/main">
          <x14:cfRule type="iconSet" priority="593" id="{BAF2CEAA-D794-4792-A7EA-6FDE52CD452A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A16:A18</xm:sqref>
        </x14:conditionalFormatting>
        <x14:conditionalFormatting xmlns:xm="http://schemas.microsoft.com/office/excel/2006/main">
          <x14:cfRule type="iconSet" priority="589" id="{27095A8B-FBBF-4E7A-9F19-FED585132CD6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A19:A22</xm:sqref>
        </x14:conditionalFormatting>
        <x14:conditionalFormatting xmlns:xm="http://schemas.microsoft.com/office/excel/2006/main">
          <x14:cfRule type="iconSet" priority="585" id="{35638806-3CD6-4030-8632-4E7CDA4D7DBA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A23:A24</xm:sqref>
        </x14:conditionalFormatting>
        <x14:conditionalFormatting xmlns:xm="http://schemas.microsoft.com/office/excel/2006/main">
          <x14:cfRule type="iconSet" priority="581" id="{A90034A0-857E-4223-9736-F5680F11BF60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A25</xm:sqref>
        </x14:conditionalFormatting>
        <x14:conditionalFormatting xmlns:xm="http://schemas.microsoft.com/office/excel/2006/main">
          <x14:cfRule type="iconSet" priority="577" id="{031A9F24-EE90-4A68-AAC4-F6FA53D487F4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A26</xm:sqref>
        </x14:conditionalFormatting>
        <x14:conditionalFormatting xmlns:xm="http://schemas.microsoft.com/office/excel/2006/main">
          <x14:cfRule type="iconSet" priority="573" id="{0C12CBA7-8AA4-49FB-9295-26B538AC8EDA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A27</xm:sqref>
        </x14:conditionalFormatting>
        <x14:conditionalFormatting xmlns:xm="http://schemas.microsoft.com/office/excel/2006/main">
          <x14:cfRule type="iconSet" priority="569" id="{58CDE515-72F3-4585-B458-8D94BAD19200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A28</xm:sqref>
        </x14:conditionalFormatting>
        <x14:conditionalFormatting xmlns:xm="http://schemas.microsoft.com/office/excel/2006/main">
          <x14:cfRule type="iconSet" priority="565" id="{3B1AE9D5-9805-4792-9E27-BB1DBF20025B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A29</xm:sqref>
        </x14:conditionalFormatting>
        <x14:conditionalFormatting xmlns:xm="http://schemas.microsoft.com/office/excel/2006/main">
          <x14:cfRule type="iconSet" priority="561" id="{9C07B810-B939-4AAB-A175-B585902BE566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A30</xm:sqref>
        </x14:conditionalFormatting>
        <x14:conditionalFormatting xmlns:xm="http://schemas.microsoft.com/office/excel/2006/main">
          <x14:cfRule type="iconSet" priority="557" id="{15D2E77E-94C4-4B19-BB37-9F4EC0C4BF36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A31</xm:sqref>
        </x14:conditionalFormatting>
        <x14:conditionalFormatting xmlns:xm="http://schemas.microsoft.com/office/excel/2006/main">
          <x14:cfRule type="iconSet" priority="553" id="{72403BF2-4919-4FFC-8019-9795779F3124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A32</xm:sqref>
        </x14:conditionalFormatting>
        <x14:conditionalFormatting xmlns:xm="http://schemas.microsoft.com/office/excel/2006/main">
          <x14:cfRule type="iconSet" priority="549" id="{DBBC2B7D-2689-42BA-9114-4185EAC4CF7E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A33</xm:sqref>
        </x14:conditionalFormatting>
        <x14:conditionalFormatting xmlns:xm="http://schemas.microsoft.com/office/excel/2006/main">
          <x14:cfRule type="iconSet" priority="545" id="{67F51DF5-6021-4FC0-83BF-6C32933D4201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A34</xm:sqref>
        </x14:conditionalFormatting>
        <x14:conditionalFormatting xmlns:xm="http://schemas.microsoft.com/office/excel/2006/main">
          <x14:cfRule type="iconSet" priority="541" id="{635F936A-5FAA-43EB-A422-D76E9C945E71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A35</xm:sqref>
        </x14:conditionalFormatting>
        <x14:conditionalFormatting xmlns:xm="http://schemas.microsoft.com/office/excel/2006/main">
          <x14:cfRule type="iconSet" priority="537" id="{AF9D26C1-FA82-4C6A-954F-B4E1FE391392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A36</xm:sqref>
        </x14:conditionalFormatting>
        <x14:conditionalFormatting xmlns:xm="http://schemas.microsoft.com/office/excel/2006/main">
          <x14:cfRule type="iconSet" priority="533" id="{D7FC30B6-A06B-4FD6-B5AA-CE57DE126AD5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A37</xm:sqref>
        </x14:conditionalFormatting>
        <x14:conditionalFormatting xmlns:xm="http://schemas.microsoft.com/office/excel/2006/main">
          <x14:cfRule type="iconSet" priority="529" id="{13851A36-6A93-4AAC-82B3-A903DE7AB3DA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A38</xm:sqref>
        </x14:conditionalFormatting>
        <x14:conditionalFormatting xmlns:xm="http://schemas.microsoft.com/office/excel/2006/main">
          <x14:cfRule type="iconSet" priority="525" id="{D68690E1-82B6-407C-B4B3-34B5517DD624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A39</xm:sqref>
        </x14:conditionalFormatting>
        <x14:conditionalFormatting xmlns:xm="http://schemas.microsoft.com/office/excel/2006/main">
          <x14:cfRule type="iconSet" priority="521" id="{72C90D29-0D02-4392-8571-186013332402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A40</xm:sqref>
        </x14:conditionalFormatting>
        <x14:conditionalFormatting xmlns:xm="http://schemas.microsoft.com/office/excel/2006/main">
          <x14:cfRule type="iconSet" priority="517" id="{77D0A332-9F50-440D-9CED-E2E850B95D48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A41</xm:sqref>
        </x14:conditionalFormatting>
        <x14:conditionalFormatting xmlns:xm="http://schemas.microsoft.com/office/excel/2006/main">
          <x14:cfRule type="iconSet" priority="513" id="{2AF0CF2B-E3F5-4E38-BA9A-23FA21ED95B1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A42</xm:sqref>
        </x14:conditionalFormatting>
        <x14:conditionalFormatting xmlns:xm="http://schemas.microsoft.com/office/excel/2006/main">
          <x14:cfRule type="iconSet" priority="509" id="{ABB808D2-554B-47A1-8AA5-FAE823B848C1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A43</xm:sqref>
        </x14:conditionalFormatting>
        <x14:conditionalFormatting xmlns:xm="http://schemas.microsoft.com/office/excel/2006/main">
          <x14:cfRule type="iconSet" priority="505" id="{82CC71A3-C0C7-4664-9458-A900E4FBD310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A44</xm:sqref>
        </x14:conditionalFormatting>
        <x14:conditionalFormatting xmlns:xm="http://schemas.microsoft.com/office/excel/2006/main">
          <x14:cfRule type="iconSet" priority="501" id="{9D49311E-9B23-42BB-95A0-1F11B71DCBC7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A45</xm:sqref>
        </x14:conditionalFormatting>
        <x14:conditionalFormatting xmlns:xm="http://schemas.microsoft.com/office/excel/2006/main">
          <x14:cfRule type="iconSet" priority="497" id="{4ED108ED-C382-4907-B97F-4112AF46D0E4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A46</xm:sqref>
        </x14:conditionalFormatting>
        <x14:conditionalFormatting xmlns:xm="http://schemas.microsoft.com/office/excel/2006/main">
          <x14:cfRule type="iconSet" priority="493" id="{25892C07-0265-4FD8-8A06-C656781ADDCA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A47</xm:sqref>
        </x14:conditionalFormatting>
        <x14:conditionalFormatting xmlns:xm="http://schemas.microsoft.com/office/excel/2006/main">
          <x14:cfRule type="iconSet" priority="489" id="{BA0ABAEC-492A-46A7-B783-78EBED21C52D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A48</xm:sqref>
        </x14:conditionalFormatting>
        <x14:conditionalFormatting xmlns:xm="http://schemas.microsoft.com/office/excel/2006/main">
          <x14:cfRule type="iconSet" priority="485" id="{4CCB5857-1BA8-482C-9CEE-EFEE4EB48F81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A49</xm:sqref>
        </x14:conditionalFormatting>
        <x14:conditionalFormatting xmlns:xm="http://schemas.microsoft.com/office/excel/2006/main">
          <x14:cfRule type="iconSet" priority="481" id="{694F909E-5672-458B-8730-642307434B7D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A50</xm:sqref>
        </x14:conditionalFormatting>
        <x14:conditionalFormatting xmlns:xm="http://schemas.microsoft.com/office/excel/2006/main">
          <x14:cfRule type="iconSet" priority="477" id="{B5863B9C-AECF-4E64-9262-271A0819CEAA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A51</xm:sqref>
        </x14:conditionalFormatting>
        <x14:conditionalFormatting xmlns:xm="http://schemas.microsoft.com/office/excel/2006/main">
          <x14:cfRule type="iconSet" priority="473" id="{6C491D43-C99D-4005-A22F-FC02DA9C7074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A52</xm:sqref>
        </x14:conditionalFormatting>
        <x14:conditionalFormatting xmlns:xm="http://schemas.microsoft.com/office/excel/2006/main">
          <x14:cfRule type="iconSet" priority="469" id="{396CCF5E-3B02-4B27-8545-E6E6DDE9ADCB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A53</xm:sqref>
        </x14:conditionalFormatting>
        <x14:conditionalFormatting xmlns:xm="http://schemas.microsoft.com/office/excel/2006/main">
          <x14:cfRule type="iconSet" priority="465" id="{201ED2EC-C5E5-4AD4-BEBE-8F548836EC28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A54</xm:sqref>
        </x14:conditionalFormatting>
        <x14:conditionalFormatting xmlns:xm="http://schemas.microsoft.com/office/excel/2006/main">
          <x14:cfRule type="iconSet" priority="461" id="{C1B74BAC-1F66-4C39-807B-549800D1DAD5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A55</xm:sqref>
        </x14:conditionalFormatting>
        <x14:conditionalFormatting xmlns:xm="http://schemas.microsoft.com/office/excel/2006/main">
          <x14:cfRule type="iconSet" priority="457" id="{301A845C-FA51-4519-8EF6-D61270D0F97A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A56</xm:sqref>
        </x14:conditionalFormatting>
        <x14:conditionalFormatting xmlns:xm="http://schemas.microsoft.com/office/excel/2006/main">
          <x14:cfRule type="iconSet" priority="453" id="{8A714DCF-24EF-4D5F-8B35-36527B37FEAF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A57</xm:sqref>
        </x14:conditionalFormatting>
        <x14:conditionalFormatting xmlns:xm="http://schemas.microsoft.com/office/excel/2006/main">
          <x14:cfRule type="iconSet" priority="449" id="{6F2C0700-13E0-40BA-A8D7-518E103BBA79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A58</xm:sqref>
        </x14:conditionalFormatting>
        <x14:conditionalFormatting xmlns:xm="http://schemas.microsoft.com/office/excel/2006/main">
          <x14:cfRule type="iconSet" priority="445" id="{1B38D356-740B-4AF6-9DD5-7C0446C7B50B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A59</xm:sqref>
        </x14:conditionalFormatting>
        <x14:conditionalFormatting xmlns:xm="http://schemas.microsoft.com/office/excel/2006/main">
          <x14:cfRule type="iconSet" priority="441" id="{FA74F300-A759-4B70-9FED-55EA97BC0CEF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A60</xm:sqref>
        </x14:conditionalFormatting>
        <x14:conditionalFormatting xmlns:xm="http://schemas.microsoft.com/office/excel/2006/main">
          <x14:cfRule type="iconSet" priority="437" id="{F1A89DBD-2C7F-47BE-BB9E-B49098B45255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A61</xm:sqref>
        </x14:conditionalFormatting>
        <x14:conditionalFormatting xmlns:xm="http://schemas.microsoft.com/office/excel/2006/main">
          <x14:cfRule type="iconSet" priority="433" id="{4807CFA4-0A43-42BF-B9FD-B9C8573D2484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A62</xm:sqref>
        </x14:conditionalFormatting>
        <x14:conditionalFormatting xmlns:xm="http://schemas.microsoft.com/office/excel/2006/main">
          <x14:cfRule type="iconSet" priority="429" id="{C2C6253C-2496-4F5D-BEEB-F22FEC922BFF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A63</xm:sqref>
        </x14:conditionalFormatting>
        <x14:conditionalFormatting xmlns:xm="http://schemas.microsoft.com/office/excel/2006/main">
          <x14:cfRule type="iconSet" priority="425" id="{6F2933E6-1D8A-4EFA-94E5-8F5F8ADC7925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A64</xm:sqref>
        </x14:conditionalFormatting>
        <x14:conditionalFormatting xmlns:xm="http://schemas.microsoft.com/office/excel/2006/main">
          <x14:cfRule type="iconSet" priority="421" id="{71430A7F-2ABB-4205-8D7B-EE5B80CD0A5A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A65</xm:sqref>
        </x14:conditionalFormatting>
        <x14:conditionalFormatting xmlns:xm="http://schemas.microsoft.com/office/excel/2006/main">
          <x14:cfRule type="iconSet" priority="417" id="{94E97406-DE27-4B22-A675-DD9728941AFE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A66</xm:sqref>
        </x14:conditionalFormatting>
        <x14:conditionalFormatting xmlns:xm="http://schemas.microsoft.com/office/excel/2006/main">
          <x14:cfRule type="iconSet" priority="413" id="{EBF352F2-722A-49CF-9275-46ACE9A49775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A67</xm:sqref>
        </x14:conditionalFormatting>
        <x14:conditionalFormatting xmlns:xm="http://schemas.microsoft.com/office/excel/2006/main">
          <x14:cfRule type="iconSet" priority="409" id="{AEE58FD4-80FC-4DB6-A408-D2D7C707D77E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A68</xm:sqref>
        </x14:conditionalFormatting>
        <x14:conditionalFormatting xmlns:xm="http://schemas.microsoft.com/office/excel/2006/main">
          <x14:cfRule type="iconSet" priority="405" id="{82E52CE6-CAB2-4ED7-BD0A-C493FF391F67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A69</xm:sqref>
        </x14:conditionalFormatting>
        <x14:conditionalFormatting xmlns:xm="http://schemas.microsoft.com/office/excel/2006/main">
          <x14:cfRule type="iconSet" priority="401" id="{A43CBC8A-E774-4262-8F46-896829FCE9BB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A70</xm:sqref>
        </x14:conditionalFormatting>
        <x14:conditionalFormatting xmlns:xm="http://schemas.microsoft.com/office/excel/2006/main">
          <x14:cfRule type="iconSet" priority="397" id="{4DA27E16-5C1C-448A-A92A-78A0D26C4303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A71</xm:sqref>
        </x14:conditionalFormatting>
        <x14:conditionalFormatting xmlns:xm="http://schemas.microsoft.com/office/excel/2006/main">
          <x14:cfRule type="iconSet" priority="393" id="{A54E556E-CC47-42C5-98DD-E50C4D2ADFCB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A72</xm:sqref>
        </x14:conditionalFormatting>
        <x14:conditionalFormatting xmlns:xm="http://schemas.microsoft.com/office/excel/2006/main">
          <x14:cfRule type="iconSet" priority="389" id="{C2156CE7-4F63-45A9-B723-97798A54D709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A73</xm:sqref>
        </x14:conditionalFormatting>
        <x14:conditionalFormatting xmlns:xm="http://schemas.microsoft.com/office/excel/2006/main">
          <x14:cfRule type="iconSet" priority="385" id="{3A1F8B4F-6115-46C5-886C-71DF3BE9DC7C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A74</xm:sqref>
        </x14:conditionalFormatting>
        <x14:conditionalFormatting xmlns:xm="http://schemas.microsoft.com/office/excel/2006/main">
          <x14:cfRule type="iconSet" priority="381" id="{D4AB243D-8ABA-4998-94CF-B96852B651CB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A75</xm:sqref>
        </x14:conditionalFormatting>
        <x14:conditionalFormatting xmlns:xm="http://schemas.microsoft.com/office/excel/2006/main">
          <x14:cfRule type="iconSet" priority="377" id="{BD06A575-A094-4445-803C-1BE359C112F4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A76</xm:sqref>
        </x14:conditionalFormatting>
        <x14:conditionalFormatting xmlns:xm="http://schemas.microsoft.com/office/excel/2006/main">
          <x14:cfRule type="iconSet" priority="373" id="{18007C1C-97F5-43AB-8E88-09FEBE1BDB51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A77</xm:sqref>
        </x14:conditionalFormatting>
        <x14:conditionalFormatting xmlns:xm="http://schemas.microsoft.com/office/excel/2006/main">
          <x14:cfRule type="iconSet" priority="369" id="{9E0BA6E2-68DD-43D0-96C6-F9820FD40A72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A78</xm:sqref>
        </x14:conditionalFormatting>
        <x14:conditionalFormatting xmlns:xm="http://schemas.microsoft.com/office/excel/2006/main">
          <x14:cfRule type="iconSet" priority="365" id="{9D87CA0D-0916-4542-A074-58A31754215F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A79</xm:sqref>
        </x14:conditionalFormatting>
        <x14:conditionalFormatting xmlns:xm="http://schemas.microsoft.com/office/excel/2006/main">
          <x14:cfRule type="iconSet" priority="361" id="{848C17FD-005B-45D4-8C94-D41782166EC1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A80</xm:sqref>
        </x14:conditionalFormatting>
        <x14:conditionalFormatting xmlns:xm="http://schemas.microsoft.com/office/excel/2006/main">
          <x14:cfRule type="iconSet" priority="357" id="{997EAB4B-9B26-464E-9F38-3C0B09B3181F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A81</xm:sqref>
        </x14:conditionalFormatting>
        <x14:conditionalFormatting xmlns:xm="http://schemas.microsoft.com/office/excel/2006/main">
          <x14:cfRule type="iconSet" priority="353" id="{0EF19354-0FEC-4B59-A952-9D265C717E40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A82</xm:sqref>
        </x14:conditionalFormatting>
        <x14:conditionalFormatting xmlns:xm="http://schemas.microsoft.com/office/excel/2006/main">
          <x14:cfRule type="iconSet" priority="349" id="{D9795CF8-0877-495D-BAE9-0536F95934A1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A83</xm:sqref>
        </x14:conditionalFormatting>
        <x14:conditionalFormatting xmlns:xm="http://schemas.microsoft.com/office/excel/2006/main">
          <x14:cfRule type="iconSet" priority="345" id="{144E77B5-F945-4A8C-BCB3-3BC9C75C5D30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A84</xm:sqref>
        </x14:conditionalFormatting>
        <x14:conditionalFormatting xmlns:xm="http://schemas.microsoft.com/office/excel/2006/main">
          <x14:cfRule type="iconSet" priority="341" id="{7B39C654-6D62-41D7-A34A-845F2B206D4E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A85</xm:sqref>
        </x14:conditionalFormatting>
        <x14:conditionalFormatting xmlns:xm="http://schemas.microsoft.com/office/excel/2006/main">
          <x14:cfRule type="iconSet" priority="337" id="{878705D2-2915-4682-9A72-D90510B7ABA3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A86</xm:sqref>
        </x14:conditionalFormatting>
        <x14:conditionalFormatting xmlns:xm="http://schemas.microsoft.com/office/excel/2006/main">
          <x14:cfRule type="iconSet" priority="333" id="{F8430D50-0BDA-4CE8-AA64-F30ACC0D9E9E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A87</xm:sqref>
        </x14:conditionalFormatting>
        <x14:conditionalFormatting xmlns:xm="http://schemas.microsoft.com/office/excel/2006/main">
          <x14:cfRule type="iconSet" priority="329" id="{27134B97-EC34-42F3-B25B-200128F3BA2A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A88</xm:sqref>
        </x14:conditionalFormatting>
        <x14:conditionalFormatting xmlns:xm="http://schemas.microsoft.com/office/excel/2006/main">
          <x14:cfRule type="iconSet" priority="325" id="{E0B04356-804A-4A36-85BF-5B93E55D6DE4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A89</xm:sqref>
        </x14:conditionalFormatting>
        <x14:conditionalFormatting xmlns:xm="http://schemas.microsoft.com/office/excel/2006/main">
          <x14:cfRule type="iconSet" priority="321" id="{CF8C39B5-5038-43DC-A7CF-B24324300F8F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A90</xm:sqref>
        </x14:conditionalFormatting>
        <x14:conditionalFormatting xmlns:xm="http://schemas.microsoft.com/office/excel/2006/main">
          <x14:cfRule type="iconSet" priority="317" id="{3ECB5A2B-FD92-4A9A-9818-D9907257E7F7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A91</xm:sqref>
        </x14:conditionalFormatting>
        <x14:conditionalFormatting xmlns:xm="http://schemas.microsoft.com/office/excel/2006/main">
          <x14:cfRule type="iconSet" priority="313" id="{103BCE01-80BB-4609-BBF1-FD80C3F2AA60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A92</xm:sqref>
        </x14:conditionalFormatting>
        <x14:conditionalFormatting xmlns:xm="http://schemas.microsoft.com/office/excel/2006/main">
          <x14:cfRule type="iconSet" priority="309" id="{A93F3134-F860-4CFA-8FAC-1D604E439C68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A93</xm:sqref>
        </x14:conditionalFormatting>
        <x14:conditionalFormatting xmlns:xm="http://schemas.microsoft.com/office/excel/2006/main">
          <x14:cfRule type="iconSet" priority="305" id="{4BEE269C-822E-4264-B504-265CD4FE02DF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A94</xm:sqref>
        </x14:conditionalFormatting>
        <x14:conditionalFormatting xmlns:xm="http://schemas.microsoft.com/office/excel/2006/main">
          <x14:cfRule type="iconSet" priority="301" id="{6D24A855-AF07-411D-ADA5-4AA18F1E52EB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A95</xm:sqref>
        </x14:conditionalFormatting>
        <x14:conditionalFormatting xmlns:xm="http://schemas.microsoft.com/office/excel/2006/main">
          <x14:cfRule type="iconSet" priority="297" id="{3B475EA0-5ABC-45FC-8411-D6E9A02FC9E2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A96</xm:sqref>
        </x14:conditionalFormatting>
        <x14:conditionalFormatting xmlns:xm="http://schemas.microsoft.com/office/excel/2006/main">
          <x14:cfRule type="iconSet" priority="293" id="{0A36B907-7AEE-4CF3-83BE-156845597C2C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A97</xm:sqref>
        </x14:conditionalFormatting>
        <x14:conditionalFormatting xmlns:xm="http://schemas.microsoft.com/office/excel/2006/main">
          <x14:cfRule type="iconSet" priority="289" id="{27C8D38A-519B-4D0D-AF3C-C3CE1A4FC72D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A98</xm:sqref>
        </x14:conditionalFormatting>
        <x14:conditionalFormatting xmlns:xm="http://schemas.microsoft.com/office/excel/2006/main">
          <x14:cfRule type="iconSet" priority="285" id="{857AB471-0714-4BA2-933B-307902CF21E7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A99</xm:sqref>
        </x14:conditionalFormatting>
        <x14:conditionalFormatting xmlns:xm="http://schemas.microsoft.com/office/excel/2006/main">
          <x14:cfRule type="iconSet" priority="281" id="{7838CF8B-4F46-48E1-B4D7-68E3E8DD43D8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A100</xm:sqref>
        </x14:conditionalFormatting>
        <x14:conditionalFormatting xmlns:xm="http://schemas.microsoft.com/office/excel/2006/main">
          <x14:cfRule type="iconSet" priority="277" id="{C30E4EC8-4902-4832-9320-92E254194063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A101</xm:sqref>
        </x14:conditionalFormatting>
        <x14:conditionalFormatting xmlns:xm="http://schemas.microsoft.com/office/excel/2006/main">
          <x14:cfRule type="iconSet" priority="273" id="{46B19A4F-BD74-4B1A-93B0-AC09E2341EFA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A102</xm:sqref>
        </x14:conditionalFormatting>
        <x14:conditionalFormatting xmlns:xm="http://schemas.microsoft.com/office/excel/2006/main">
          <x14:cfRule type="iconSet" priority="269" id="{5DC82868-129F-4C90-84E4-5189815E9360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A103</xm:sqref>
        </x14:conditionalFormatting>
        <x14:conditionalFormatting xmlns:xm="http://schemas.microsoft.com/office/excel/2006/main">
          <x14:cfRule type="iconSet" priority="265" id="{9B8799DE-1A09-4E77-B14F-FC3B00064C91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A104</xm:sqref>
        </x14:conditionalFormatting>
        <x14:conditionalFormatting xmlns:xm="http://schemas.microsoft.com/office/excel/2006/main">
          <x14:cfRule type="iconSet" priority="261" id="{7156C8CC-039A-4EDA-BD53-611E666D923F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A105</xm:sqref>
        </x14:conditionalFormatting>
        <x14:conditionalFormatting xmlns:xm="http://schemas.microsoft.com/office/excel/2006/main">
          <x14:cfRule type="iconSet" priority="257" id="{A52CA312-884D-469C-832E-DA3BC0AB8886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A106</xm:sqref>
        </x14:conditionalFormatting>
        <x14:conditionalFormatting xmlns:xm="http://schemas.microsoft.com/office/excel/2006/main">
          <x14:cfRule type="iconSet" priority="253" id="{0EEC9BB8-C845-40B4-BD52-DE4828B7FD0D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A107</xm:sqref>
        </x14:conditionalFormatting>
        <x14:conditionalFormatting xmlns:xm="http://schemas.microsoft.com/office/excel/2006/main">
          <x14:cfRule type="iconSet" priority="249" id="{F2E0BAE7-D0C3-41A7-B284-2E35CE44F6B8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A108</xm:sqref>
        </x14:conditionalFormatting>
        <x14:conditionalFormatting xmlns:xm="http://schemas.microsoft.com/office/excel/2006/main">
          <x14:cfRule type="iconSet" priority="245" id="{DBF80CC1-FE65-4BAF-AB4E-0E00DFD54B57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A109</xm:sqref>
        </x14:conditionalFormatting>
        <x14:conditionalFormatting xmlns:xm="http://schemas.microsoft.com/office/excel/2006/main">
          <x14:cfRule type="iconSet" priority="241" id="{CABB6653-0206-4F35-9698-F9865DBD9E6F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A110</xm:sqref>
        </x14:conditionalFormatting>
        <x14:conditionalFormatting xmlns:xm="http://schemas.microsoft.com/office/excel/2006/main">
          <x14:cfRule type="iconSet" priority="237" id="{B6F97492-185F-4FAF-8284-160B929F796A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A111</xm:sqref>
        </x14:conditionalFormatting>
        <x14:conditionalFormatting xmlns:xm="http://schemas.microsoft.com/office/excel/2006/main">
          <x14:cfRule type="iconSet" priority="233" id="{3DEDC932-3E5D-4C21-A0A5-82DDEF74B477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A112</xm:sqref>
        </x14:conditionalFormatting>
        <x14:conditionalFormatting xmlns:xm="http://schemas.microsoft.com/office/excel/2006/main">
          <x14:cfRule type="iconSet" priority="229" id="{A53AE0F9-2D6B-438D-81C1-DABCAA3161E9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A113</xm:sqref>
        </x14:conditionalFormatting>
        <x14:conditionalFormatting xmlns:xm="http://schemas.microsoft.com/office/excel/2006/main">
          <x14:cfRule type="iconSet" priority="225" id="{6A78704A-38F6-47C6-BD7A-FEF2DE69D0E9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A114</xm:sqref>
        </x14:conditionalFormatting>
        <x14:conditionalFormatting xmlns:xm="http://schemas.microsoft.com/office/excel/2006/main">
          <x14:cfRule type="iconSet" priority="221" id="{1EE07210-98EC-4E91-BC8B-C11AE3EFE89E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A115</xm:sqref>
        </x14:conditionalFormatting>
        <x14:conditionalFormatting xmlns:xm="http://schemas.microsoft.com/office/excel/2006/main">
          <x14:cfRule type="iconSet" priority="217" id="{40BD529E-7816-49B4-AFC4-0095136BDA23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A116</xm:sqref>
        </x14:conditionalFormatting>
        <x14:conditionalFormatting xmlns:xm="http://schemas.microsoft.com/office/excel/2006/main">
          <x14:cfRule type="iconSet" priority="213" id="{0396E3FC-8837-469B-B865-A4283A8C4B74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A117</xm:sqref>
        </x14:conditionalFormatting>
        <x14:conditionalFormatting xmlns:xm="http://schemas.microsoft.com/office/excel/2006/main">
          <x14:cfRule type="iconSet" priority="209" id="{85316C1A-EB02-44A0-8872-2A735AE4E307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A118</xm:sqref>
        </x14:conditionalFormatting>
        <x14:conditionalFormatting xmlns:xm="http://schemas.microsoft.com/office/excel/2006/main">
          <x14:cfRule type="iconSet" priority="205" id="{2F3CD671-E27E-4CBE-9775-A656451B48F4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A119</xm:sqref>
        </x14:conditionalFormatting>
        <x14:conditionalFormatting xmlns:xm="http://schemas.microsoft.com/office/excel/2006/main">
          <x14:cfRule type="iconSet" priority="201" id="{4B759640-A6B0-4D90-BAC0-5628C6C5253D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A120</xm:sqref>
        </x14:conditionalFormatting>
        <x14:conditionalFormatting xmlns:xm="http://schemas.microsoft.com/office/excel/2006/main">
          <x14:cfRule type="iconSet" priority="197" id="{D9A8A8BD-24BA-4881-9E95-F0E0ACC3C11B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A121</xm:sqref>
        </x14:conditionalFormatting>
        <x14:conditionalFormatting xmlns:xm="http://schemas.microsoft.com/office/excel/2006/main">
          <x14:cfRule type="iconSet" priority="193" id="{DCD3C4C7-DBED-464F-AF0D-F6B7C2A3928C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A122</xm:sqref>
        </x14:conditionalFormatting>
        <x14:conditionalFormatting xmlns:xm="http://schemas.microsoft.com/office/excel/2006/main">
          <x14:cfRule type="iconSet" priority="189" id="{B98B599A-CB2D-4DE7-B956-41B8342CC71B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A123</xm:sqref>
        </x14:conditionalFormatting>
        <x14:conditionalFormatting xmlns:xm="http://schemas.microsoft.com/office/excel/2006/main">
          <x14:cfRule type="iconSet" priority="185" id="{C8F47A08-36AB-4C04-95AA-3D2D834A1F30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A124</xm:sqref>
        </x14:conditionalFormatting>
        <x14:conditionalFormatting xmlns:xm="http://schemas.microsoft.com/office/excel/2006/main">
          <x14:cfRule type="iconSet" priority="181" id="{79E02439-698F-4F88-BB7C-D14AA14BC249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A125</xm:sqref>
        </x14:conditionalFormatting>
        <x14:conditionalFormatting xmlns:xm="http://schemas.microsoft.com/office/excel/2006/main">
          <x14:cfRule type="iconSet" priority="177" id="{74B93A82-F8BB-439F-B902-9E83C4BEB5FE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A126</xm:sqref>
        </x14:conditionalFormatting>
        <x14:conditionalFormatting xmlns:xm="http://schemas.microsoft.com/office/excel/2006/main">
          <x14:cfRule type="iconSet" priority="173" id="{11F32323-4626-4A6F-82AC-55EA4145D1CC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A127</xm:sqref>
        </x14:conditionalFormatting>
        <x14:conditionalFormatting xmlns:xm="http://schemas.microsoft.com/office/excel/2006/main">
          <x14:cfRule type="iconSet" priority="169" id="{28E46A18-D46E-46F6-B60A-D3E978F821CA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A128</xm:sqref>
        </x14:conditionalFormatting>
        <x14:conditionalFormatting xmlns:xm="http://schemas.microsoft.com/office/excel/2006/main">
          <x14:cfRule type="iconSet" priority="165" id="{554B12E1-D1F2-47A9-A9C7-F33DC729ACC7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A129</xm:sqref>
        </x14:conditionalFormatting>
        <x14:conditionalFormatting xmlns:xm="http://schemas.microsoft.com/office/excel/2006/main">
          <x14:cfRule type="iconSet" priority="161" id="{DBEFD39B-7357-461F-AF8E-52EB2EF59541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A130</xm:sqref>
        </x14:conditionalFormatting>
        <x14:conditionalFormatting xmlns:xm="http://schemas.microsoft.com/office/excel/2006/main">
          <x14:cfRule type="iconSet" priority="157" id="{84FE1286-0992-44D2-BC7F-3EC7A659AA54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A131</xm:sqref>
        </x14:conditionalFormatting>
        <x14:conditionalFormatting xmlns:xm="http://schemas.microsoft.com/office/excel/2006/main">
          <x14:cfRule type="iconSet" priority="153" id="{8828554F-1C20-4528-9BA2-3244CDBB6B60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A132</xm:sqref>
        </x14:conditionalFormatting>
        <x14:conditionalFormatting xmlns:xm="http://schemas.microsoft.com/office/excel/2006/main">
          <x14:cfRule type="iconSet" priority="149" id="{588DFD62-4499-4842-8667-C09E5A82A485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A133</xm:sqref>
        </x14:conditionalFormatting>
        <x14:conditionalFormatting xmlns:xm="http://schemas.microsoft.com/office/excel/2006/main">
          <x14:cfRule type="iconSet" priority="145" id="{91A622FB-5781-41C3-B171-86C876224784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A134</xm:sqref>
        </x14:conditionalFormatting>
        <x14:conditionalFormatting xmlns:xm="http://schemas.microsoft.com/office/excel/2006/main">
          <x14:cfRule type="iconSet" priority="141" id="{20FB647E-C8AA-4109-B7A4-E26479FB3225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A135</xm:sqref>
        </x14:conditionalFormatting>
        <x14:conditionalFormatting xmlns:xm="http://schemas.microsoft.com/office/excel/2006/main">
          <x14:cfRule type="iconSet" priority="137" id="{6C354738-4FD1-4A21-A67A-ABAF6DC6C929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A136</xm:sqref>
        </x14:conditionalFormatting>
        <x14:conditionalFormatting xmlns:xm="http://schemas.microsoft.com/office/excel/2006/main">
          <x14:cfRule type="iconSet" priority="133" id="{83C4F5A7-A9ED-4BAD-88C6-7B741FBA4166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A137</xm:sqref>
        </x14:conditionalFormatting>
        <x14:conditionalFormatting xmlns:xm="http://schemas.microsoft.com/office/excel/2006/main">
          <x14:cfRule type="iconSet" priority="129" id="{FF811D47-9C33-47BB-8CF8-077B4F370EE5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A138</xm:sqref>
        </x14:conditionalFormatting>
        <x14:conditionalFormatting xmlns:xm="http://schemas.microsoft.com/office/excel/2006/main">
          <x14:cfRule type="iconSet" priority="125" id="{7CF97FBD-FD1E-4564-8680-3EE4B6676459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A139</xm:sqref>
        </x14:conditionalFormatting>
        <x14:conditionalFormatting xmlns:xm="http://schemas.microsoft.com/office/excel/2006/main">
          <x14:cfRule type="iconSet" priority="121" id="{E4932198-A5F4-4523-B8C6-CA6E770D0DD8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A140</xm:sqref>
        </x14:conditionalFormatting>
        <x14:conditionalFormatting xmlns:xm="http://schemas.microsoft.com/office/excel/2006/main">
          <x14:cfRule type="iconSet" priority="117" id="{665FBE47-A37E-40AE-9788-05E215B50904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A141</xm:sqref>
        </x14:conditionalFormatting>
        <x14:conditionalFormatting xmlns:xm="http://schemas.microsoft.com/office/excel/2006/main">
          <x14:cfRule type="iconSet" priority="113" id="{848632B1-C860-450E-9764-209EF4E338E6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A142</xm:sqref>
        </x14:conditionalFormatting>
        <x14:conditionalFormatting xmlns:xm="http://schemas.microsoft.com/office/excel/2006/main">
          <x14:cfRule type="iconSet" priority="109" id="{C339CA83-B585-4DDA-8289-587A099B0D57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A143</xm:sqref>
        </x14:conditionalFormatting>
        <x14:conditionalFormatting xmlns:xm="http://schemas.microsoft.com/office/excel/2006/main">
          <x14:cfRule type="iconSet" priority="105" id="{553758D9-C4C9-4BC0-8E30-EFC290B05C5E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A144</xm:sqref>
        </x14:conditionalFormatting>
        <x14:conditionalFormatting xmlns:xm="http://schemas.microsoft.com/office/excel/2006/main">
          <x14:cfRule type="iconSet" priority="101" id="{ABDC5003-C87D-40FC-A7BE-44C0CEE27AE2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A145</xm:sqref>
        </x14:conditionalFormatting>
        <x14:conditionalFormatting xmlns:xm="http://schemas.microsoft.com/office/excel/2006/main">
          <x14:cfRule type="iconSet" priority="97" id="{446BDE24-6677-45EB-9B1C-6F3F286E6160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A146</xm:sqref>
        </x14:conditionalFormatting>
        <x14:conditionalFormatting xmlns:xm="http://schemas.microsoft.com/office/excel/2006/main">
          <x14:cfRule type="iconSet" priority="93" id="{C1C25719-8B2C-4A60-9EC3-FDEDA5567D8C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A147</xm:sqref>
        </x14:conditionalFormatting>
        <x14:conditionalFormatting xmlns:xm="http://schemas.microsoft.com/office/excel/2006/main">
          <x14:cfRule type="iconSet" priority="89" id="{18C59FC3-CB73-4A92-B44D-C347347E6EBC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A148</xm:sqref>
        </x14:conditionalFormatting>
        <x14:conditionalFormatting xmlns:xm="http://schemas.microsoft.com/office/excel/2006/main">
          <x14:cfRule type="iconSet" priority="85" id="{6FD87E36-E80D-4727-8DFC-10FEABE18B00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A149</xm:sqref>
        </x14:conditionalFormatting>
        <x14:conditionalFormatting xmlns:xm="http://schemas.microsoft.com/office/excel/2006/main">
          <x14:cfRule type="iconSet" priority="81" id="{BB1275C2-024F-419C-85C1-E04D5EDE251D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A150</xm:sqref>
        </x14:conditionalFormatting>
        <x14:conditionalFormatting xmlns:xm="http://schemas.microsoft.com/office/excel/2006/main">
          <x14:cfRule type="iconSet" priority="77" id="{39ADEDE2-92AF-4D9D-8D84-72939E89BE27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A151</xm:sqref>
        </x14:conditionalFormatting>
        <x14:conditionalFormatting xmlns:xm="http://schemas.microsoft.com/office/excel/2006/main">
          <x14:cfRule type="iconSet" priority="73" id="{D97F36AC-105D-43FD-93DD-3E93D7439DCA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A152</xm:sqref>
        </x14:conditionalFormatting>
        <x14:conditionalFormatting xmlns:xm="http://schemas.microsoft.com/office/excel/2006/main">
          <x14:cfRule type="iconSet" priority="69" id="{73B8AC27-37FD-4FA1-82D5-2B6EBFA82B4F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A153</xm:sqref>
        </x14:conditionalFormatting>
        <x14:conditionalFormatting xmlns:xm="http://schemas.microsoft.com/office/excel/2006/main">
          <x14:cfRule type="iconSet" priority="65" id="{37C1A90C-9BD2-4617-BCF2-6F61997D454E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A154</xm:sqref>
        </x14:conditionalFormatting>
        <x14:conditionalFormatting xmlns:xm="http://schemas.microsoft.com/office/excel/2006/main">
          <x14:cfRule type="iconSet" priority="61" id="{A4E3D98D-C5A7-4BA3-BBEC-D8D7F4465D8A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A155</xm:sqref>
        </x14:conditionalFormatting>
        <x14:conditionalFormatting xmlns:xm="http://schemas.microsoft.com/office/excel/2006/main">
          <x14:cfRule type="iconSet" priority="57" id="{1A2EF520-F24F-484C-9A6B-ACFA756CED30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A156</xm:sqref>
        </x14:conditionalFormatting>
        <x14:conditionalFormatting xmlns:xm="http://schemas.microsoft.com/office/excel/2006/main">
          <x14:cfRule type="iconSet" priority="53" id="{DAD9E650-CB8E-48B6-BA69-27EAADD76447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A157</xm:sqref>
        </x14:conditionalFormatting>
        <x14:conditionalFormatting xmlns:xm="http://schemas.microsoft.com/office/excel/2006/main">
          <x14:cfRule type="iconSet" priority="49" id="{467F33E8-800C-4C79-A926-3A8B60DD2EEF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A158</xm:sqref>
        </x14:conditionalFormatting>
        <x14:conditionalFormatting xmlns:xm="http://schemas.microsoft.com/office/excel/2006/main">
          <x14:cfRule type="iconSet" priority="45" id="{AA443472-C728-47BF-B579-26AAD4AE066A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A159</xm:sqref>
        </x14:conditionalFormatting>
        <x14:conditionalFormatting xmlns:xm="http://schemas.microsoft.com/office/excel/2006/main">
          <x14:cfRule type="iconSet" priority="41" id="{6DB6D357-989B-4487-89EF-56F12E640D53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A160</xm:sqref>
        </x14:conditionalFormatting>
        <x14:conditionalFormatting xmlns:xm="http://schemas.microsoft.com/office/excel/2006/main">
          <x14:cfRule type="iconSet" priority="37" id="{4D1BF887-3703-4BC7-BCC8-0E9F26A99883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A161</xm:sqref>
        </x14:conditionalFormatting>
        <x14:conditionalFormatting xmlns:xm="http://schemas.microsoft.com/office/excel/2006/main">
          <x14:cfRule type="iconSet" priority="33" id="{87A91976-9E33-4A8F-BE9C-3C4340253082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A162</xm:sqref>
        </x14:conditionalFormatting>
        <x14:conditionalFormatting xmlns:xm="http://schemas.microsoft.com/office/excel/2006/main">
          <x14:cfRule type="iconSet" priority="29" id="{98D4D006-18B3-41DA-8A82-9B64E56B877E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A163</xm:sqref>
        </x14:conditionalFormatting>
        <x14:conditionalFormatting xmlns:xm="http://schemas.microsoft.com/office/excel/2006/main">
          <x14:cfRule type="iconSet" priority="25" id="{93788DB4-30DD-46AA-AF07-89EDA66D2CAF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A164</xm:sqref>
        </x14:conditionalFormatting>
        <x14:conditionalFormatting xmlns:xm="http://schemas.microsoft.com/office/excel/2006/main">
          <x14:cfRule type="iconSet" priority="21" id="{1057EF98-91F4-4509-A0E5-8C59378C15A7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A165</xm:sqref>
        </x14:conditionalFormatting>
        <x14:conditionalFormatting xmlns:xm="http://schemas.microsoft.com/office/excel/2006/main">
          <x14:cfRule type="iconSet" priority="17" id="{3B11F78C-27D4-40D1-8029-817C459663F8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A166</xm:sqref>
        </x14:conditionalFormatting>
        <x14:conditionalFormatting xmlns:xm="http://schemas.microsoft.com/office/excel/2006/main">
          <x14:cfRule type="iconSet" priority="13" id="{975ED4CF-826B-4006-8358-29E2ED87B312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A167</xm:sqref>
        </x14:conditionalFormatting>
        <x14:conditionalFormatting xmlns:xm="http://schemas.microsoft.com/office/excel/2006/main">
          <x14:cfRule type="iconSet" priority="9" id="{681914E2-6E1B-4A82-B09E-FD0E29560EFA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A168</xm:sqref>
        </x14:conditionalFormatting>
        <x14:conditionalFormatting xmlns:xm="http://schemas.microsoft.com/office/excel/2006/main">
          <x14:cfRule type="iconSet" priority="5" id="{68B29E5C-A1EB-4C9F-A241-630BDAD248B9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A169</xm:sqref>
        </x14:conditionalFormatting>
        <x14:conditionalFormatting xmlns:xm="http://schemas.microsoft.com/office/excel/2006/main">
          <x14:cfRule type="iconSet" priority="1" id="{8F569D7C-7F33-455D-8C43-A2B5E6ADA6D0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A170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44D39-89F8-44F5-9058-52B7317E8CC4}">
  <sheetPr codeName="Sheet6">
    <tabColor rgb="FF002060"/>
  </sheetPr>
  <dimension ref="A1:R100"/>
  <sheetViews>
    <sheetView zoomScale="85" zoomScaleNormal="85" zoomScaleSheetLayoutView="115" workbookViewId="0">
      <selection activeCell="H19" sqref="H19"/>
    </sheetView>
  </sheetViews>
  <sheetFormatPr defaultRowHeight="15" x14ac:dyDescent="0.25"/>
  <cols>
    <col min="1" max="2" width="2.7109375" style="6" customWidth="1"/>
    <col min="3" max="6" width="4.7109375" style="6" customWidth="1"/>
    <col min="7" max="7" width="70.7109375" style="6" customWidth="1"/>
    <col min="8" max="9" width="20.7109375" style="6" customWidth="1"/>
    <col min="10" max="12" width="11.140625" style="6" customWidth="1"/>
    <col min="13" max="17" width="12.140625" style="6" customWidth="1"/>
    <col min="18" max="19" width="2.7109375" style="6" customWidth="1"/>
    <col min="20" max="16384" width="9.140625" style="6"/>
  </cols>
  <sheetData>
    <row r="1" spans="1:18" s="153" customFormat="1" x14ac:dyDescent="0.25">
      <c r="B1" s="154"/>
      <c r="C1" s="155" t="s">
        <v>30</v>
      </c>
      <c r="D1" s="156" t="s">
        <v>24</v>
      </c>
      <c r="E1" s="156" t="s">
        <v>25</v>
      </c>
      <c r="F1" s="156" t="s">
        <v>26</v>
      </c>
      <c r="G1" s="156" t="s">
        <v>55</v>
      </c>
      <c r="H1" s="156" t="s">
        <v>20</v>
      </c>
      <c r="I1" s="156" t="s">
        <v>29</v>
      </c>
      <c r="J1" s="156" t="s">
        <v>9</v>
      </c>
      <c r="K1" s="156" t="s">
        <v>10</v>
      </c>
      <c r="L1" s="156" t="s">
        <v>11</v>
      </c>
      <c r="M1" s="156" t="s">
        <v>12</v>
      </c>
      <c r="N1" s="156" t="s">
        <v>13</v>
      </c>
      <c r="O1" s="156" t="s">
        <v>14</v>
      </c>
      <c r="P1" s="156" t="s">
        <v>74</v>
      </c>
      <c r="Q1" s="156" t="s">
        <v>73</v>
      </c>
      <c r="R1" s="154"/>
    </row>
    <row r="2" spans="1:18" s="137" customFormat="1" x14ac:dyDescent="0.25">
      <c r="B2" s="1"/>
      <c r="C2" s="138"/>
      <c r="D2" s="139"/>
      <c r="E2" s="139"/>
      <c r="F2" s="139"/>
      <c r="G2" s="139" t="s">
        <v>263</v>
      </c>
      <c r="H2" s="139" t="s">
        <v>71</v>
      </c>
      <c r="I2" s="139" t="s">
        <v>320</v>
      </c>
      <c r="J2" s="139"/>
      <c r="K2" s="139"/>
      <c r="L2" s="139"/>
      <c r="M2" s="139"/>
      <c r="N2" s="139"/>
      <c r="O2" s="139"/>
      <c r="P2" s="139"/>
      <c r="Q2" s="139"/>
      <c r="R2" s="1"/>
    </row>
    <row r="3" spans="1:18" ht="15.75" thickBot="1" x14ac:dyDescent="0.3"/>
    <row r="4" spans="1:18" ht="79.5" x14ac:dyDescent="0.25">
      <c r="A4" s="140"/>
      <c r="B4" s="1"/>
      <c r="C4" s="145" t="s">
        <v>30</v>
      </c>
      <c r="D4" s="146" t="s">
        <v>24</v>
      </c>
      <c r="E4" s="147" t="s">
        <v>25</v>
      </c>
      <c r="F4" s="148" t="s">
        <v>26</v>
      </c>
      <c r="G4" s="149" t="s">
        <v>55</v>
      </c>
      <c r="H4" s="149" t="s">
        <v>20</v>
      </c>
      <c r="I4" s="149" t="s">
        <v>29</v>
      </c>
      <c r="J4" s="149" t="s">
        <v>9</v>
      </c>
      <c r="K4" s="149" t="s">
        <v>10</v>
      </c>
      <c r="L4" s="149" t="s">
        <v>11</v>
      </c>
      <c r="M4" s="150" t="s">
        <v>12</v>
      </c>
      <c r="N4" s="150" t="s">
        <v>13</v>
      </c>
      <c r="O4" s="151" t="s">
        <v>14</v>
      </c>
      <c r="P4" s="152" t="s">
        <v>74</v>
      </c>
      <c r="Q4" s="151" t="s">
        <v>73</v>
      </c>
      <c r="R4" s="1"/>
    </row>
    <row r="5" spans="1:18" ht="15" customHeight="1" x14ac:dyDescent="0.25">
      <c r="A5" s="140"/>
      <c r="B5" s="9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 s="3"/>
    </row>
    <row r="6" spans="1:18" ht="15" customHeight="1" x14ac:dyDescent="0.25">
      <c r="A6" s="140"/>
      <c r="B6" s="9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 s="3"/>
    </row>
    <row r="7" spans="1:18" ht="15" customHeight="1" x14ac:dyDescent="0.25"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8" ht="15" customHeight="1" x14ac:dyDescent="0.25"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8" ht="15" customHeight="1" x14ac:dyDescent="0.25"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1:18" ht="15" customHeight="1" x14ac:dyDescent="0.25"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1:18" x14ac:dyDescent="0.25"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8" x14ac:dyDescent="0.25"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</row>
    <row r="13" spans="1:18" x14ac:dyDescent="0.25"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1:18" x14ac:dyDescent="0.25"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8" x14ac:dyDescent="0.25"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8" x14ac:dyDescent="0.25"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3:17" x14ac:dyDescent="0.25"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3:17" x14ac:dyDescent="0.25"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3:17" x14ac:dyDescent="0.25"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3:17" x14ac:dyDescent="0.25"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3:17" x14ac:dyDescent="0.25"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</row>
    <row r="22" spans="3:17" x14ac:dyDescent="0.25"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3:17" x14ac:dyDescent="0.25"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</row>
    <row r="24" spans="3:17" x14ac:dyDescent="0.25"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3:17" x14ac:dyDescent="0.25"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3:17" x14ac:dyDescent="0.25"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3:17" x14ac:dyDescent="0.25"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3:17" x14ac:dyDescent="0.25"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</row>
    <row r="29" spans="3:17" x14ac:dyDescent="0.25"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</row>
    <row r="30" spans="3:17" x14ac:dyDescent="0.25"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</row>
    <row r="31" spans="3:17" x14ac:dyDescent="0.25"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</row>
    <row r="32" spans="3:17" x14ac:dyDescent="0.25"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</row>
    <row r="33" spans="3:17" x14ac:dyDescent="0.25"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</row>
    <row r="34" spans="3:17" x14ac:dyDescent="0.25"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</row>
    <row r="35" spans="3:17" x14ac:dyDescent="0.25"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</row>
    <row r="36" spans="3:17" x14ac:dyDescent="0.25"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</row>
    <row r="37" spans="3:17" x14ac:dyDescent="0.25"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3:17" x14ac:dyDescent="0.25"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</row>
    <row r="39" spans="3:17" x14ac:dyDescent="0.25"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</row>
    <row r="40" spans="3:17" x14ac:dyDescent="0.25"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</row>
    <row r="41" spans="3:17" x14ac:dyDescent="0.25"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</row>
    <row r="42" spans="3:17" x14ac:dyDescent="0.25"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</row>
    <row r="43" spans="3:17" x14ac:dyDescent="0.25"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3:17" x14ac:dyDescent="0.25"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3:17" x14ac:dyDescent="0.25"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</row>
    <row r="46" spans="3:17" x14ac:dyDescent="0.25"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</row>
    <row r="47" spans="3:17" x14ac:dyDescent="0.25"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</row>
    <row r="48" spans="3:17" x14ac:dyDescent="0.25"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</row>
    <row r="49" spans="3:17" x14ac:dyDescent="0.25"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3:17" x14ac:dyDescent="0.25"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</row>
    <row r="51" spans="3:17" x14ac:dyDescent="0.25"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</row>
    <row r="52" spans="3:17" x14ac:dyDescent="0.25"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</row>
    <row r="53" spans="3:17" x14ac:dyDescent="0.25"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</row>
    <row r="54" spans="3:17" x14ac:dyDescent="0.25"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3:17" x14ac:dyDescent="0.25"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</row>
    <row r="56" spans="3:17" x14ac:dyDescent="0.25"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</row>
    <row r="57" spans="3:1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</row>
    <row r="58" spans="3:1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</row>
    <row r="59" spans="3:1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3:1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3:1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3:1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3:1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3:1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3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3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3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3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3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3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3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3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3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3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3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3:17" x14ac:dyDescent="0.25"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3:17" x14ac:dyDescent="0.25"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3:17" x14ac:dyDescent="0.25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17" x14ac:dyDescent="0.25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17" x14ac:dyDescent="0.25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3:17" x14ac:dyDescent="0.25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3:17" x14ac:dyDescent="0.25"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  <row r="99" spans="3:17" x14ac:dyDescent="0.25"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</row>
    <row r="100" spans="3:17" x14ac:dyDescent="0.25"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</row>
  </sheetData>
  <pageMargins left="0.7" right="0.7" top="0.75" bottom="0.75" header="0.3" footer="0.3"/>
  <pageSetup paperSize="9"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935F4-D132-496A-B4DD-2D8B8B1AAB4B}">
  <sheetPr codeName="Sheet3">
    <tabColor theme="1"/>
  </sheetPr>
  <dimension ref="A1:Y53"/>
  <sheetViews>
    <sheetView topLeftCell="A37" zoomScaleNormal="100" workbookViewId="0">
      <selection activeCell="I50" sqref="I50"/>
    </sheetView>
  </sheetViews>
  <sheetFormatPr defaultRowHeight="15" x14ac:dyDescent="0.25"/>
  <cols>
    <col min="1" max="16384" width="9.140625" style="9"/>
  </cols>
  <sheetData>
    <row r="1" spans="1:2" s="50" customFormat="1" ht="15.75" thickBot="1" x14ac:dyDescent="0.3">
      <c r="A1" s="50" t="s">
        <v>31</v>
      </c>
      <c r="B1" s="50" t="s">
        <v>260</v>
      </c>
    </row>
    <row r="2" spans="1:2" customFormat="1" ht="15.75" thickTop="1" x14ac:dyDescent="0.25">
      <c r="A2" t="s">
        <v>20</v>
      </c>
      <c r="B2" t="s">
        <v>258</v>
      </c>
    </row>
    <row r="3" spans="1:2" customFormat="1" x14ac:dyDescent="0.25">
      <c r="A3" t="s">
        <v>29</v>
      </c>
      <c r="B3" t="s">
        <v>259</v>
      </c>
    </row>
    <row r="4" spans="1:2" customFormat="1" x14ac:dyDescent="0.25"/>
    <row r="5" spans="1:2" customFormat="1" x14ac:dyDescent="0.25"/>
    <row r="6" spans="1:2" customFormat="1" x14ac:dyDescent="0.25"/>
    <row r="7" spans="1:2" customFormat="1" x14ac:dyDescent="0.25"/>
    <row r="8" spans="1:2" customFormat="1" x14ac:dyDescent="0.25"/>
    <row r="9" spans="1:2" customFormat="1" x14ac:dyDescent="0.25"/>
    <row r="10" spans="1:2" customFormat="1" x14ac:dyDescent="0.25"/>
    <row r="11" spans="1:2" customFormat="1" x14ac:dyDescent="0.25"/>
    <row r="12" spans="1:2" customFormat="1" x14ac:dyDescent="0.25"/>
    <row r="13" spans="1:2" customFormat="1" x14ac:dyDescent="0.25"/>
    <row r="14" spans="1:2" customFormat="1" x14ac:dyDescent="0.25"/>
    <row r="15" spans="1:2" customFormat="1" x14ac:dyDescent="0.25"/>
    <row r="16" spans="1:2" customFormat="1" x14ac:dyDescent="0.25"/>
    <row r="17" spans="1:25" customFormat="1" x14ac:dyDescent="0.25"/>
    <row r="18" spans="1:25" customFormat="1" x14ac:dyDescent="0.25"/>
    <row r="19" spans="1:25" customFormat="1" x14ac:dyDescent="0.25"/>
    <row r="20" spans="1:25" customFormat="1" x14ac:dyDescent="0.25"/>
    <row r="21" spans="1:25" customFormat="1" x14ac:dyDescent="0.25"/>
    <row r="22" spans="1:25" s="8" customFormat="1" x14ac:dyDescent="0.25"/>
    <row r="23" spans="1:25" ht="30" customHeight="1" x14ac:dyDescent="0.45">
      <c r="A23" s="21" t="s">
        <v>33</v>
      </c>
    </row>
    <row r="24" spans="1:25" ht="30" customHeight="1" thickBot="1" x14ac:dyDescent="0.5">
      <c r="A24" s="21"/>
    </row>
    <row r="25" spans="1:25" ht="30" customHeight="1" thickBot="1" x14ac:dyDescent="0.5">
      <c r="A25" s="21"/>
      <c r="B25" s="20" t="s">
        <v>63</v>
      </c>
      <c r="C25" s="22"/>
      <c r="D25" s="22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9"/>
    </row>
    <row r="26" spans="1:25" ht="30" customHeight="1" x14ac:dyDescent="0.45">
      <c r="A26" s="21"/>
      <c r="B26" s="10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2"/>
    </row>
    <row r="27" spans="1:25" ht="30" customHeight="1" x14ac:dyDescent="0.45">
      <c r="A27" s="21"/>
      <c r="B27" s="13"/>
      <c r="C27" s="205" t="s">
        <v>64</v>
      </c>
      <c r="D27" s="205"/>
      <c r="E27" s="205"/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  <c r="R27" s="205"/>
      <c r="S27" s="205"/>
      <c r="T27" s="205"/>
      <c r="U27" s="14"/>
    </row>
    <row r="28" spans="1:25" ht="30" customHeight="1" thickBot="1" x14ac:dyDescent="0.5">
      <c r="A28" s="21"/>
      <c r="B28" s="15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7"/>
    </row>
    <row r="29" spans="1:25" ht="30" customHeight="1" thickBot="1" x14ac:dyDescent="0.3"/>
    <row r="30" spans="1:25" ht="30" customHeight="1" thickBot="1" x14ac:dyDescent="0.5">
      <c r="B30" s="20" t="s">
        <v>34</v>
      </c>
      <c r="C30" s="22"/>
      <c r="D30" s="22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9"/>
      <c r="W30" s="48"/>
      <c r="X30" s="49" t="s">
        <v>40</v>
      </c>
      <c r="Y30" s="19"/>
    </row>
    <row r="31" spans="1:25" ht="30" customHeight="1" thickBot="1" x14ac:dyDescent="0.3"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2"/>
      <c r="W31" s="206" t="s">
        <v>59</v>
      </c>
      <c r="X31" s="207"/>
      <c r="Y31" s="208"/>
    </row>
    <row r="32" spans="1:25" ht="30" customHeight="1" x14ac:dyDescent="0.25">
      <c r="B32" s="13"/>
      <c r="C32" s="66"/>
      <c r="D32" s="43" t="s">
        <v>37</v>
      </c>
      <c r="E32" s="28" t="s">
        <v>37</v>
      </c>
      <c r="F32" s="24" t="s">
        <v>37</v>
      </c>
      <c r="G32" s="24" t="s">
        <v>37</v>
      </c>
      <c r="H32" s="25" t="s">
        <v>37</v>
      </c>
      <c r="I32" s="189" t="s">
        <v>37</v>
      </c>
      <c r="J32" s="189"/>
      <c r="K32" s="189"/>
      <c r="L32" s="189"/>
      <c r="M32" s="189"/>
      <c r="N32" s="189"/>
      <c r="O32" s="189"/>
      <c r="P32" s="189"/>
      <c r="Q32" s="189"/>
      <c r="R32" s="189"/>
      <c r="S32" s="190"/>
      <c r="T32" s="44" t="s">
        <v>37</v>
      </c>
      <c r="U32" s="14"/>
      <c r="W32" s="209"/>
      <c r="X32" s="210"/>
      <c r="Y32" s="211"/>
    </row>
    <row r="33" spans="2:25" ht="30" customHeight="1" thickBot="1" x14ac:dyDescent="0.3">
      <c r="B33" s="15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7"/>
      <c r="W33" s="212"/>
      <c r="X33" s="213"/>
      <c r="Y33" s="214"/>
    </row>
    <row r="34" spans="2:25" ht="30" customHeight="1" thickBot="1" x14ac:dyDescent="0.3"/>
    <row r="35" spans="2:25" ht="30" customHeight="1" thickBot="1" x14ac:dyDescent="0.5">
      <c r="B35" s="20" t="s">
        <v>35</v>
      </c>
      <c r="C35" s="22"/>
      <c r="D35" s="22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9"/>
      <c r="W35" s="48"/>
      <c r="X35" s="49" t="s">
        <v>40</v>
      </c>
      <c r="Y35" s="19"/>
    </row>
    <row r="36" spans="2:25" ht="30" customHeight="1" thickBot="1" x14ac:dyDescent="0.3"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2"/>
      <c r="W36" s="206" t="s">
        <v>60</v>
      </c>
      <c r="X36" s="207"/>
      <c r="Y36" s="208"/>
    </row>
    <row r="37" spans="2:25" ht="30" customHeight="1" x14ac:dyDescent="0.25">
      <c r="B37" s="13"/>
      <c r="C37" s="66"/>
      <c r="D37" s="43" t="s">
        <v>37</v>
      </c>
      <c r="E37" s="27" t="s">
        <v>37</v>
      </c>
      <c r="F37" s="29" t="s">
        <v>37</v>
      </c>
      <c r="G37" s="24" t="s">
        <v>37</v>
      </c>
      <c r="H37" s="25" t="s">
        <v>37</v>
      </c>
      <c r="I37" s="189" t="s">
        <v>37</v>
      </c>
      <c r="J37" s="189"/>
      <c r="K37" s="189"/>
      <c r="L37" s="189"/>
      <c r="M37" s="189"/>
      <c r="N37" s="189"/>
      <c r="O37" s="189"/>
      <c r="P37" s="189"/>
      <c r="Q37" s="189"/>
      <c r="R37" s="189"/>
      <c r="S37" s="190"/>
      <c r="T37" s="44" t="s">
        <v>37</v>
      </c>
      <c r="U37" s="14"/>
      <c r="W37" s="209"/>
      <c r="X37" s="210"/>
      <c r="Y37" s="211"/>
    </row>
    <row r="38" spans="2:25" ht="30" customHeight="1" thickBot="1" x14ac:dyDescent="0.3">
      <c r="B38" s="15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7"/>
      <c r="W38" s="212"/>
      <c r="X38" s="213"/>
      <c r="Y38" s="214"/>
    </row>
    <row r="39" spans="2:25" ht="30" customHeight="1" thickBot="1" x14ac:dyDescent="0.3"/>
    <row r="40" spans="2:25" ht="30" customHeight="1" thickBot="1" x14ac:dyDescent="0.5">
      <c r="B40" s="20" t="s">
        <v>36</v>
      </c>
      <c r="C40" s="22"/>
      <c r="D40" s="22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9"/>
      <c r="W40" s="48"/>
      <c r="X40" s="49" t="s">
        <v>40</v>
      </c>
      <c r="Y40" s="19"/>
    </row>
    <row r="41" spans="2:25" ht="30" customHeight="1" x14ac:dyDescent="0.25"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2"/>
      <c r="W41" s="206" t="s">
        <v>61</v>
      </c>
      <c r="X41" s="207"/>
      <c r="Y41" s="208"/>
    </row>
    <row r="42" spans="2:25" ht="30" customHeight="1" x14ac:dyDescent="0.25">
      <c r="B42" s="13"/>
      <c r="C42" s="66"/>
      <c r="D42" s="42" t="s">
        <v>37</v>
      </c>
      <c r="E42" s="30" t="s">
        <v>37</v>
      </c>
      <c r="F42" s="31" t="s">
        <v>37</v>
      </c>
      <c r="G42" s="31" t="s">
        <v>37</v>
      </c>
      <c r="H42" s="61" t="s">
        <v>37</v>
      </c>
      <c r="I42" s="32" t="s">
        <v>37</v>
      </c>
      <c r="J42" s="33" t="s">
        <v>37</v>
      </c>
      <c r="K42" s="33" t="s">
        <v>37</v>
      </c>
      <c r="L42" s="33" t="s">
        <v>37</v>
      </c>
      <c r="M42" s="33" t="s">
        <v>37</v>
      </c>
      <c r="N42" s="33" t="s">
        <v>37</v>
      </c>
      <c r="O42" s="33" t="s">
        <v>37</v>
      </c>
      <c r="P42" s="33" t="s">
        <v>37</v>
      </c>
      <c r="Q42" s="58" t="s">
        <v>37</v>
      </c>
      <c r="R42" s="62" t="s">
        <v>37</v>
      </c>
      <c r="S42" s="34" t="s">
        <v>37</v>
      </c>
      <c r="T42" s="41" t="s">
        <v>37</v>
      </c>
      <c r="U42" s="14"/>
      <c r="W42" s="209"/>
      <c r="X42" s="210"/>
      <c r="Y42" s="211"/>
    </row>
    <row r="43" spans="2:25" ht="30" customHeight="1" thickBot="1" x14ac:dyDescent="0.3">
      <c r="B43" s="15"/>
      <c r="C43" s="16"/>
      <c r="D43" s="16"/>
      <c r="E43" s="16"/>
      <c r="F43" s="16"/>
      <c r="G43" s="16"/>
      <c r="H43" s="16"/>
      <c r="I43" s="16"/>
      <c r="J43" s="16"/>
      <c r="K43" s="16"/>
      <c r="L43" s="114"/>
      <c r="M43" s="16"/>
      <c r="N43" s="16"/>
      <c r="O43" s="16"/>
      <c r="P43" s="16"/>
      <c r="Q43" s="16"/>
      <c r="R43" s="16"/>
      <c r="S43" s="16"/>
      <c r="T43" s="16"/>
      <c r="U43" s="17"/>
      <c r="W43" s="212"/>
      <c r="X43" s="213"/>
      <c r="Y43" s="214"/>
    </row>
    <row r="44" spans="2:25" ht="30" customHeight="1" thickBot="1" x14ac:dyDescent="0.3">
      <c r="L44" s="115"/>
    </row>
    <row r="45" spans="2:25" ht="30" customHeight="1" thickBot="1" x14ac:dyDescent="0.5">
      <c r="B45" s="20" t="s">
        <v>38</v>
      </c>
      <c r="C45" s="22"/>
      <c r="D45" s="22"/>
      <c r="E45" s="18"/>
      <c r="F45" s="18"/>
      <c r="G45" s="18"/>
      <c r="H45" s="18"/>
      <c r="I45" s="18"/>
      <c r="J45" s="18"/>
      <c r="K45" s="18"/>
      <c r="L45" s="116"/>
      <c r="M45" s="18"/>
      <c r="N45" s="18"/>
      <c r="O45" s="18"/>
      <c r="P45" s="18"/>
      <c r="Q45" s="18"/>
      <c r="R45" s="18"/>
      <c r="S45" s="18"/>
      <c r="T45" s="18"/>
      <c r="U45" s="19"/>
      <c r="W45" s="48"/>
      <c r="X45" s="49" t="s">
        <v>40</v>
      </c>
      <c r="Y45" s="19"/>
    </row>
    <row r="46" spans="2:25" ht="30" customHeight="1" x14ac:dyDescent="0.25"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7"/>
      <c r="M46" s="11"/>
      <c r="N46" s="11"/>
      <c r="O46" s="11"/>
      <c r="P46" s="11"/>
      <c r="Q46" s="11"/>
      <c r="R46" s="11"/>
      <c r="S46" s="11"/>
      <c r="T46" s="11"/>
      <c r="U46" s="12"/>
      <c r="W46" s="206" t="s">
        <v>62</v>
      </c>
      <c r="X46" s="207"/>
      <c r="Y46" s="208"/>
    </row>
    <row r="47" spans="2:25" ht="30" customHeight="1" x14ac:dyDescent="0.25">
      <c r="B47" s="13"/>
      <c r="C47" s="66"/>
      <c r="D47" s="42" t="s">
        <v>37</v>
      </c>
      <c r="E47" s="35" t="s">
        <v>37</v>
      </c>
      <c r="F47" s="36" t="s">
        <v>37</v>
      </c>
      <c r="G47" s="36" t="s">
        <v>37</v>
      </c>
      <c r="H47" s="37" t="s">
        <v>37</v>
      </c>
      <c r="I47" s="38" t="s">
        <v>37</v>
      </c>
      <c r="J47" s="39" t="s">
        <v>37</v>
      </c>
      <c r="K47" s="39" t="s">
        <v>37</v>
      </c>
      <c r="L47" s="39" t="s">
        <v>37</v>
      </c>
      <c r="M47" s="39" t="s">
        <v>37</v>
      </c>
      <c r="N47" s="39" t="s">
        <v>37</v>
      </c>
      <c r="O47" s="39" t="s">
        <v>37</v>
      </c>
      <c r="P47" s="39" t="s">
        <v>37</v>
      </c>
      <c r="Q47" s="59" t="s">
        <v>37</v>
      </c>
      <c r="R47" s="63" t="s">
        <v>37</v>
      </c>
      <c r="S47" s="40" t="s">
        <v>37</v>
      </c>
      <c r="T47" s="41" t="s">
        <v>37</v>
      </c>
      <c r="U47" s="14"/>
      <c r="W47" s="209"/>
      <c r="X47" s="210"/>
      <c r="Y47" s="211"/>
    </row>
    <row r="48" spans="2:25" ht="30" customHeight="1" thickBot="1" x14ac:dyDescent="0.3">
      <c r="B48" s="15"/>
      <c r="C48" s="16"/>
      <c r="D48" s="16"/>
      <c r="E48" s="16"/>
      <c r="F48" s="16"/>
      <c r="G48" s="16"/>
      <c r="H48" s="16"/>
      <c r="I48" s="16"/>
      <c r="J48" s="16"/>
      <c r="K48" s="16"/>
      <c r="L48" s="114"/>
      <c r="M48" s="16"/>
      <c r="N48" s="16"/>
      <c r="O48" s="16"/>
      <c r="P48" s="16"/>
      <c r="Q48" s="16"/>
      <c r="R48" s="16"/>
      <c r="S48" s="16"/>
      <c r="T48" s="16"/>
      <c r="U48" s="17"/>
      <c r="W48" s="212"/>
      <c r="X48" s="213"/>
      <c r="Y48" s="214"/>
    </row>
    <row r="49" spans="2:25" ht="30" customHeight="1" thickBot="1" x14ac:dyDescent="0.3">
      <c r="L49" s="115"/>
    </row>
    <row r="50" spans="2:25" ht="30" customHeight="1" thickBot="1" x14ac:dyDescent="0.5">
      <c r="B50" s="20" t="s">
        <v>39</v>
      </c>
      <c r="C50" s="22"/>
      <c r="D50" s="22"/>
      <c r="E50" s="18"/>
      <c r="F50" s="18"/>
      <c r="G50" s="18"/>
      <c r="H50" s="18"/>
      <c r="I50" s="18"/>
      <c r="J50" s="18"/>
      <c r="K50" s="18"/>
      <c r="L50" s="116"/>
      <c r="M50" s="18"/>
      <c r="N50" s="18"/>
      <c r="O50" s="18"/>
      <c r="P50" s="18"/>
      <c r="Q50" s="18"/>
      <c r="R50" s="18"/>
      <c r="S50" s="18"/>
      <c r="T50" s="18"/>
      <c r="U50" s="19"/>
      <c r="W50" s="48"/>
      <c r="X50" s="49" t="s">
        <v>40</v>
      </c>
      <c r="Y50" s="19"/>
    </row>
    <row r="51" spans="2:25" ht="30" customHeight="1" x14ac:dyDescent="0.25">
      <c r="B51" s="10"/>
      <c r="C51" s="11"/>
      <c r="D51" s="11"/>
      <c r="E51" s="11"/>
      <c r="F51" s="11"/>
      <c r="G51" s="11"/>
      <c r="H51" s="11"/>
      <c r="I51" s="11"/>
      <c r="J51" s="11"/>
      <c r="K51" s="11"/>
      <c r="L51" s="117"/>
      <c r="M51" s="11"/>
      <c r="N51" s="11"/>
      <c r="O51" s="11"/>
      <c r="P51" s="11"/>
      <c r="Q51" s="11"/>
      <c r="R51" s="11"/>
      <c r="S51" s="11"/>
      <c r="T51" s="11"/>
      <c r="U51" s="12"/>
      <c r="W51" s="206" t="s">
        <v>61</v>
      </c>
      <c r="X51" s="207"/>
      <c r="Y51" s="208"/>
    </row>
    <row r="52" spans="2:25" ht="30" customHeight="1" thickBot="1" x14ac:dyDescent="0.3">
      <c r="B52" s="13"/>
      <c r="C52" s="66"/>
      <c r="D52" s="26"/>
      <c r="E52" s="179" t="s">
        <v>37</v>
      </c>
      <c r="F52" s="45" t="s">
        <v>37</v>
      </c>
      <c r="G52" s="45" t="s">
        <v>37</v>
      </c>
      <c r="H52" s="65" t="s">
        <v>37</v>
      </c>
      <c r="I52" s="46" t="s">
        <v>37</v>
      </c>
      <c r="J52" s="45" t="s">
        <v>37</v>
      </c>
      <c r="K52" s="45" t="s">
        <v>37</v>
      </c>
      <c r="L52" s="45" t="s">
        <v>37</v>
      </c>
      <c r="M52" s="45" t="s">
        <v>37</v>
      </c>
      <c r="N52" s="45" t="s">
        <v>37</v>
      </c>
      <c r="O52" s="45" t="s">
        <v>37</v>
      </c>
      <c r="P52" s="45" t="s">
        <v>37</v>
      </c>
      <c r="Q52" s="60" t="s">
        <v>37</v>
      </c>
      <c r="R52" s="64" t="s">
        <v>37</v>
      </c>
      <c r="S52" s="47" t="s">
        <v>37</v>
      </c>
      <c r="T52" s="23"/>
      <c r="U52" s="14"/>
      <c r="W52" s="209"/>
      <c r="X52" s="210"/>
      <c r="Y52" s="211"/>
    </row>
    <row r="53" spans="2:25" ht="30" customHeight="1" thickBot="1" x14ac:dyDescent="0.3">
      <c r="B53" s="15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7"/>
      <c r="W53" s="212"/>
      <c r="X53" s="213"/>
      <c r="Y53" s="214"/>
    </row>
  </sheetData>
  <mergeCells count="8">
    <mergeCell ref="C27:T27"/>
    <mergeCell ref="W46:Y48"/>
    <mergeCell ref="W51:Y53"/>
    <mergeCell ref="I32:S32"/>
    <mergeCell ref="I37:S37"/>
    <mergeCell ref="W31:Y33"/>
    <mergeCell ref="W36:Y38"/>
    <mergeCell ref="W41:Y43"/>
  </mergeCells>
  <conditionalFormatting sqref="C32">
    <cfRule type="iconSet" priority="22">
      <iconSet>
        <cfvo type="percent" val="0"/>
        <cfvo type="percent" val="33"/>
        <cfvo type="percent" val="67"/>
      </iconSet>
    </cfRule>
  </conditionalFormatting>
  <conditionalFormatting sqref="C32">
    <cfRule type="iconSet" priority="23">
      <iconSet>
        <cfvo type="percent" val="0"/>
        <cfvo type="percent" val="33"/>
        <cfvo type="percent" val="67"/>
      </iconSet>
    </cfRule>
  </conditionalFormatting>
  <conditionalFormatting sqref="C32">
    <cfRule type="iconSet" priority="24">
      <iconSet>
        <cfvo type="percent" val="0"/>
        <cfvo type="percent" val="33"/>
        <cfvo type="percent" val="67"/>
      </iconSet>
    </cfRule>
  </conditionalFormatting>
  <conditionalFormatting sqref="C37">
    <cfRule type="iconSet" priority="18">
      <iconSet>
        <cfvo type="percent" val="0"/>
        <cfvo type="percent" val="33"/>
        <cfvo type="percent" val="67"/>
      </iconSet>
    </cfRule>
  </conditionalFormatting>
  <conditionalFormatting sqref="C37">
    <cfRule type="iconSet" priority="19">
      <iconSet>
        <cfvo type="percent" val="0"/>
        <cfvo type="percent" val="33"/>
        <cfvo type="percent" val="67"/>
      </iconSet>
    </cfRule>
  </conditionalFormatting>
  <conditionalFormatting sqref="C37">
    <cfRule type="iconSet" priority="20">
      <iconSet>
        <cfvo type="percent" val="0"/>
        <cfvo type="percent" val="33"/>
        <cfvo type="percent" val="67"/>
      </iconSet>
    </cfRule>
  </conditionalFormatting>
  <conditionalFormatting sqref="C42">
    <cfRule type="iconSet" priority="14">
      <iconSet>
        <cfvo type="percent" val="0"/>
        <cfvo type="percent" val="33"/>
        <cfvo type="percent" val="67"/>
      </iconSet>
    </cfRule>
  </conditionalFormatting>
  <conditionalFormatting sqref="C42">
    <cfRule type="iconSet" priority="15">
      <iconSet>
        <cfvo type="percent" val="0"/>
        <cfvo type="percent" val="33"/>
        <cfvo type="percent" val="67"/>
      </iconSet>
    </cfRule>
  </conditionalFormatting>
  <conditionalFormatting sqref="C42">
    <cfRule type="iconSet" priority="16">
      <iconSet>
        <cfvo type="percent" val="0"/>
        <cfvo type="percent" val="33"/>
        <cfvo type="percent" val="67"/>
      </iconSet>
    </cfRule>
  </conditionalFormatting>
  <conditionalFormatting sqref="C47">
    <cfRule type="iconSet" priority="10">
      <iconSet>
        <cfvo type="percent" val="0"/>
        <cfvo type="percent" val="33"/>
        <cfvo type="percent" val="67"/>
      </iconSet>
    </cfRule>
  </conditionalFormatting>
  <conditionalFormatting sqref="C47">
    <cfRule type="iconSet" priority="11">
      <iconSet>
        <cfvo type="percent" val="0"/>
        <cfvo type="percent" val="33"/>
        <cfvo type="percent" val="67"/>
      </iconSet>
    </cfRule>
  </conditionalFormatting>
  <conditionalFormatting sqref="C47">
    <cfRule type="iconSet" priority="12">
      <iconSet>
        <cfvo type="percent" val="0"/>
        <cfvo type="percent" val="33"/>
        <cfvo type="percent" val="67"/>
      </iconSet>
    </cfRule>
  </conditionalFormatting>
  <conditionalFormatting sqref="C52">
    <cfRule type="iconSet" priority="6">
      <iconSet>
        <cfvo type="percent" val="0"/>
        <cfvo type="percent" val="33"/>
        <cfvo type="percent" val="67"/>
      </iconSet>
    </cfRule>
  </conditionalFormatting>
  <conditionalFormatting sqref="C52">
    <cfRule type="iconSet" priority="7">
      <iconSet>
        <cfvo type="percent" val="0"/>
        <cfvo type="percent" val="33"/>
        <cfvo type="percent" val="67"/>
      </iconSet>
    </cfRule>
  </conditionalFormatting>
  <conditionalFormatting sqref="C52">
    <cfRule type="iconSet" priority="8">
      <iconSet>
        <cfvo type="percent" val="0"/>
        <cfvo type="percent" val="33"/>
        <cfvo type="percent" val="67"/>
      </iconSe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1" id="{E9B37A0A-FBDD-4072-9013-F52A85B16B5D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C32</xm:sqref>
        </x14:conditionalFormatting>
        <x14:conditionalFormatting xmlns:xm="http://schemas.microsoft.com/office/excel/2006/main">
          <x14:cfRule type="iconSet" priority="17" id="{2D2003CE-8C39-4781-BB59-66090F22B439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C37</xm:sqref>
        </x14:conditionalFormatting>
        <x14:conditionalFormatting xmlns:xm="http://schemas.microsoft.com/office/excel/2006/main">
          <x14:cfRule type="iconSet" priority="13" id="{9A573B17-3699-48DA-B41B-4D5F4067D78D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C42</xm:sqref>
        </x14:conditionalFormatting>
        <x14:conditionalFormatting xmlns:xm="http://schemas.microsoft.com/office/excel/2006/main">
          <x14:cfRule type="iconSet" priority="9" id="{387FA710-AE2F-405A-81D6-F8C9C49B74D0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C47</xm:sqref>
        </x14:conditionalFormatting>
        <x14:conditionalFormatting xmlns:xm="http://schemas.microsoft.com/office/excel/2006/main">
          <x14:cfRule type="iconSet" priority="5" id="{EB59B4F5-A8C7-4B5B-A241-D97CB4DAB2CB}">
            <x14:iconSet iconSet="3TrafficLight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TrafficLights2" iconId="0"/>
              <x14:cfIcon iconSet="3TrafficLights2" iconId="2"/>
            </x14:iconSet>
          </x14:cfRule>
          <xm:sqref>C52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7205565-E020-4E30-8426-17314CD1DE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62</vt:i4>
      </vt:variant>
    </vt:vector>
  </HeadingPairs>
  <TitlesOfParts>
    <vt:vector size="68" baseType="lpstr">
      <vt:lpstr>Guide &amp; Info</vt:lpstr>
      <vt:lpstr>Data</vt:lpstr>
      <vt:lpstr>Price reference</vt:lpstr>
      <vt:lpstr>BOQ Model</vt:lpstr>
      <vt:lpstr>Quick research</vt:lpstr>
      <vt:lpstr>Hidden data</vt:lpstr>
      <vt:lpstr>Acid_resistant_brick_lining</vt:lpstr>
      <vt:lpstr>Activation</vt:lpstr>
      <vt:lpstr>Amount</vt:lpstr>
      <vt:lpstr>Amountfrom</vt:lpstr>
      <vt:lpstr>Category_format</vt:lpstr>
      <vt:lpstr>Category_N</vt:lpstr>
      <vt:lpstr>Changerate</vt:lpstr>
      <vt:lpstr>'Quick research'!Criteria</vt:lpstr>
      <vt:lpstr>Currency</vt:lpstr>
      <vt:lpstr>Demolition</vt:lpstr>
      <vt:lpstr>Doors_and_windows</vt:lpstr>
      <vt:lpstr>Earthworks</vt:lpstr>
      <vt:lpstr>Embedded_items</vt:lpstr>
      <vt:lpstr>Endcell</vt:lpstr>
      <vt:lpstr>'Quick research'!Extract</vt:lpstr>
      <vt:lpstr>False_ceiling</vt:lpstr>
      <vt:lpstr>Flooring</vt:lpstr>
      <vt:lpstr>Form_work</vt:lpstr>
      <vt:lpstr>Insulation</vt:lpstr>
      <vt:lpstr>Location</vt:lpstr>
      <vt:lpstr>Location_format</vt:lpstr>
      <vt:lpstr>Location_N</vt:lpstr>
      <vt:lpstr>Location_table</vt:lpstr>
      <vt:lpstr>Location_table2</vt:lpstr>
      <vt:lpstr>Locationmax</vt:lpstr>
      <vt:lpstr>Margin</vt:lpstr>
      <vt:lpstr>Masonry_works</vt:lpstr>
      <vt:lpstr>Miscellaneous</vt:lpstr>
      <vt:lpstr>Package</vt:lpstr>
      <vt:lpstr>Package_format</vt:lpstr>
      <vt:lpstr>Package_N</vt:lpstr>
      <vt:lpstr>Package_table</vt:lpstr>
      <vt:lpstr>Package_table2</vt:lpstr>
      <vt:lpstr>Packagemax</vt:lpstr>
      <vt:lpstr>Painting</vt:lpstr>
      <vt:lpstr>Piles</vt:lpstr>
      <vt:lpstr>Plain_cement_concrete</vt:lpstr>
      <vt:lpstr>Plastering_works</vt:lpstr>
      <vt:lpstr>POP_punning</vt:lpstr>
      <vt:lpstr>pricereference_data</vt:lpstr>
      <vt:lpstr>'Quick research'!Pricetable</vt:lpstr>
      <vt:lpstr>Pricetable</vt:lpstr>
      <vt:lpstr>'Quick research'!Pricing</vt:lpstr>
      <vt:lpstr>Pricing</vt:lpstr>
      <vt:lpstr>'BOQ Model'!Print_Area</vt:lpstr>
      <vt:lpstr>Reinforced_cement_concrete</vt:lpstr>
      <vt:lpstr>Reinforcement</vt:lpstr>
      <vt:lpstr>Road_works</vt:lpstr>
      <vt:lpstr>Sanitary_works</vt:lpstr>
      <vt:lpstr>Sheeting</vt:lpstr>
      <vt:lpstr>Sort</vt:lpstr>
      <vt:lpstr>Structural_steel_works</vt:lpstr>
      <vt:lpstr>Subcategory_format</vt:lpstr>
      <vt:lpstr>Subcategory_N</vt:lpstr>
      <vt:lpstr>Table</vt:lpstr>
      <vt:lpstr>Table_criteria</vt:lpstr>
      <vt:lpstr>Table_input</vt:lpstr>
      <vt:lpstr>Total_format</vt:lpstr>
      <vt:lpstr>Uncertainty_factor</vt:lpstr>
      <vt:lpstr>Unit</vt:lpstr>
      <vt:lpstr>Water_proofing</vt:lpstr>
      <vt:lpstr>Water_supply</vt:lpstr>
    </vt:vector>
  </TitlesOfParts>
  <Company>CNIM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BRUETSHY, Paul</dc:creator>
  <cp:lastModifiedBy>Paul BRUETSHY</cp:lastModifiedBy>
  <dcterms:created xsi:type="dcterms:W3CDTF">2024-04-26T10:42:28Z</dcterms:created>
  <dcterms:modified xsi:type="dcterms:W3CDTF">2024-06-19T05:49:29Z</dcterms:modified>
</cp:coreProperties>
</file>