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aspard sourgen\Downloads\"/>
    </mc:Choice>
  </mc:AlternateContent>
  <bookViews>
    <workbookView xWindow="0" yWindow="0" windowWidth="20820" windowHeight="8745" activeTab="3"/>
  </bookViews>
  <sheets>
    <sheet name="Bulletin" sheetId="3" r:id="rId1"/>
    <sheet name="Feuil2" sheetId="19" r:id="rId2"/>
    <sheet name="Données" sheetId="15" r:id="rId3"/>
    <sheet name="Cumul plafond" sheetId="18" r:id="rId4"/>
    <sheet name="Apprenti" sheetId="16" r:id="rId5"/>
    <sheet name="Cadre" sheetId="17" r:id="rId6"/>
    <sheet name="Contrat pro" sheetId="11" r:id="rId7"/>
    <sheet name="CDD" sheetId="12" r:id="rId8"/>
    <sheet name="Intérim" sheetId="13" r:id="rId9"/>
    <sheet name="CDI" sheetId="14" r:id="rId10"/>
  </sheets>
  <externalReferences>
    <externalReference r:id="rId11"/>
  </externalReferences>
  <definedNames>
    <definedName name="_xlnm.Print_Area" localSheetId="0">Bulletin!#REF!</definedName>
    <definedName name="Saisissable" localSheetId="4">#REF!</definedName>
    <definedName name="Saisissable">#REF!</definedName>
    <definedName name="SALBRUT" localSheetId="4">Apprenti!#REF!</definedName>
    <definedName name="SALBRUT" localSheetId="0">Bulletin!#REF!</definedName>
    <definedName name="SALBRUT" localSheetId="7">CDD!#REF!</definedName>
    <definedName name="SALBRUT" localSheetId="9">CDI!#REF!</definedName>
    <definedName name="SALBRUT" localSheetId="6">'Contrat pro'!#REF!</definedName>
    <definedName name="SALBRUT" localSheetId="2">Données!$E$54</definedName>
    <definedName name="SALBRUT" localSheetId="8">Intérim!#REF!</definedName>
    <definedName name="TAUX2023">'[1]Table des Taux 2024'!$B$1:$E$58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30" i="18" l="1"/>
  <c r="E31" i="15" l="1"/>
  <c r="F10" i="15" s="1"/>
  <c r="H14" i="15" s="1"/>
  <c r="H15" i="15" s="1"/>
  <c r="S94" i="19"/>
  <c r="S95" i="19"/>
  <c r="K11" i="19"/>
  <c r="B31" i="15"/>
  <c r="I11" i="19"/>
  <c r="H6" i="19" l="1"/>
  <c r="H4" i="19"/>
  <c r="E137" i="19"/>
  <c r="E136" i="19"/>
  <c r="E135" i="19"/>
  <c r="F134" i="19"/>
  <c r="E133" i="19"/>
  <c r="E132" i="19"/>
  <c r="E130" i="19"/>
  <c r="E129" i="19"/>
  <c r="E127" i="19"/>
  <c r="E126" i="19"/>
  <c r="F125" i="19"/>
  <c r="D115" i="19"/>
  <c r="D106" i="19"/>
  <c r="H98" i="19"/>
  <c r="H97" i="19"/>
  <c r="G92" i="19"/>
  <c r="K90" i="19"/>
  <c r="G86" i="19"/>
  <c r="D131" i="19" s="1"/>
  <c r="F131" i="19" s="1"/>
  <c r="G85" i="19"/>
  <c r="G83" i="19"/>
  <c r="H82" i="19"/>
  <c r="G82" i="19"/>
  <c r="F80" i="19"/>
  <c r="E80" i="19"/>
  <c r="F78" i="19"/>
  <c r="E78" i="19"/>
  <c r="F77" i="19"/>
  <c r="E77" i="19"/>
  <c r="G74" i="19"/>
  <c r="D74" i="19"/>
  <c r="C98" i="19" s="1"/>
  <c r="D98" i="19" s="1"/>
  <c r="G73" i="19"/>
  <c r="D72" i="19"/>
  <c r="D71" i="19"/>
  <c r="D70" i="19"/>
  <c r="E69" i="19"/>
  <c r="E72" i="19" s="1"/>
  <c r="D69" i="19"/>
  <c r="E68" i="19"/>
  <c r="E70" i="19" s="1"/>
  <c r="G70" i="19" s="1"/>
  <c r="K89" i="19" s="1"/>
  <c r="D68" i="19"/>
  <c r="F65" i="19"/>
  <c r="E65" i="19"/>
  <c r="H64" i="19"/>
  <c r="G64" i="19"/>
  <c r="F63" i="19"/>
  <c r="D63" i="19"/>
  <c r="E115" i="19" s="1"/>
  <c r="F61" i="19"/>
  <c r="D61" i="19"/>
  <c r="F60" i="19"/>
  <c r="G58" i="19"/>
  <c r="F58" i="19"/>
  <c r="H58" i="19" s="1"/>
  <c r="G57" i="19"/>
  <c r="F57" i="19"/>
  <c r="H57" i="19" s="1"/>
  <c r="F56" i="19"/>
  <c r="E56" i="19"/>
  <c r="D56" i="19"/>
  <c r="F55" i="19"/>
  <c r="E55" i="19"/>
  <c r="D55" i="19"/>
  <c r="F54" i="19"/>
  <c r="E54" i="19"/>
  <c r="D54" i="19"/>
  <c r="F53" i="19"/>
  <c r="E53" i="19"/>
  <c r="F52" i="19"/>
  <c r="E52" i="19"/>
  <c r="D52" i="19"/>
  <c r="F50" i="19"/>
  <c r="H49" i="19"/>
  <c r="G49" i="19"/>
  <c r="F48" i="19"/>
  <c r="F47" i="19"/>
  <c r="H47" i="19" s="1"/>
  <c r="E47" i="19"/>
  <c r="G47" i="19" s="1"/>
  <c r="F46" i="19"/>
  <c r="H46" i="19" s="1"/>
  <c r="E46" i="19"/>
  <c r="G46" i="19" s="1"/>
  <c r="F44" i="19"/>
  <c r="E44" i="19"/>
  <c r="H43" i="19"/>
  <c r="G43" i="19"/>
  <c r="F42" i="19"/>
  <c r="E42" i="19"/>
  <c r="H40" i="19"/>
  <c r="G40" i="19"/>
  <c r="F39" i="19"/>
  <c r="D39" i="19"/>
  <c r="F38" i="19"/>
  <c r="D34" i="19"/>
  <c r="K32" i="19"/>
  <c r="K30" i="19"/>
  <c r="K24" i="19"/>
  <c r="H22" i="19"/>
  <c r="G84" i="19"/>
  <c r="H12" i="19"/>
  <c r="C12" i="19"/>
  <c r="E11" i="19"/>
  <c r="C11" i="19"/>
  <c r="D78" i="19"/>
  <c r="C10" i="19"/>
  <c r="D130" i="19" s="1"/>
  <c r="H8" i="19"/>
  <c r="C8" i="19"/>
  <c r="H7" i="19"/>
  <c r="C7" i="19"/>
  <c r="H5" i="19"/>
  <c r="C5" i="19"/>
  <c r="C4" i="19"/>
  <c r="F130" i="19" l="1"/>
  <c r="H54" i="19"/>
  <c r="H39" i="19"/>
  <c r="H99" i="19"/>
  <c r="G56" i="19"/>
  <c r="H61" i="19"/>
  <c r="K88" i="19"/>
  <c r="E92" i="19" s="1"/>
  <c r="I92" i="19" s="1"/>
  <c r="C97" i="19" s="1"/>
  <c r="D97" i="19" s="1"/>
  <c r="H78" i="19"/>
  <c r="G78" i="19"/>
  <c r="D44" i="19"/>
  <c r="D45" i="19"/>
  <c r="D48" i="19"/>
  <c r="H55" i="19"/>
  <c r="D65" i="19"/>
  <c r="G68" i="19"/>
  <c r="H73" i="19"/>
  <c r="D128" i="19"/>
  <c r="F128" i="19" s="1"/>
  <c r="D127" i="19"/>
  <c r="F127" i="19" s="1"/>
  <c r="D135" i="19"/>
  <c r="F135" i="19" s="1"/>
  <c r="G54" i="19"/>
  <c r="G72" i="19"/>
  <c r="D137" i="19"/>
  <c r="F137" i="19" s="1"/>
  <c r="D42" i="19"/>
  <c r="D41" i="19"/>
  <c r="G52" i="19"/>
  <c r="D77" i="19"/>
  <c r="K94" i="19"/>
  <c r="H52" i="19"/>
  <c r="H56" i="19"/>
  <c r="E110" i="19"/>
  <c r="G69" i="19"/>
  <c r="E119" i="19"/>
  <c r="G55" i="19"/>
  <c r="E71" i="19"/>
  <c r="G71" i="19" s="1"/>
  <c r="E106" i="19"/>
  <c r="H63" i="19"/>
  <c r="C100" i="19" l="1"/>
  <c r="D100" i="19" s="1"/>
  <c r="G45" i="19"/>
  <c r="H45" i="19"/>
  <c r="H65" i="19"/>
  <c r="G65" i="19"/>
  <c r="H44" i="19"/>
  <c r="G44" i="19"/>
  <c r="H41" i="19"/>
  <c r="G41" i="19"/>
  <c r="H77" i="19"/>
  <c r="G77" i="19"/>
  <c r="H42" i="19"/>
  <c r="G42" i="19"/>
  <c r="G48" i="19"/>
  <c r="H48" i="19"/>
  <c r="E23" i="15" l="1"/>
  <c r="G23" i="15"/>
  <c r="G28" i="15"/>
  <c r="F11" i="15" s="1"/>
  <c r="F12" i="15" s="1"/>
  <c r="O26" i="18"/>
  <c r="O25" i="18"/>
  <c r="O23" i="18"/>
  <c r="H11" i="15"/>
  <c r="E18" i="18"/>
  <c r="F5" i="18"/>
  <c r="F6" i="18" s="1"/>
  <c r="F7" i="18" s="1"/>
  <c r="F8" i="18" s="1"/>
  <c r="F9" i="18" s="1"/>
  <c r="F10" i="18" s="1"/>
  <c r="F11" i="18" s="1"/>
  <c r="F12" i="18" s="1"/>
  <c r="F13" i="18" s="1"/>
  <c r="F14" i="18" s="1"/>
  <c r="F15" i="18" s="1"/>
  <c r="F16" i="18" s="1"/>
  <c r="F18" i="18" s="1"/>
  <c r="D5" i="18"/>
  <c r="D6" i="18" s="1"/>
  <c r="H10" i="15"/>
  <c r="F14" i="15" s="1"/>
  <c r="I5" i="15"/>
  <c r="H12" i="15"/>
  <c r="H13" i="15"/>
  <c r="D25" i="18"/>
  <c r="I5" i="18" l="1"/>
  <c r="J14" i="19"/>
  <c r="J20" i="19" s="1"/>
  <c r="I14" i="15"/>
  <c r="J14" i="15" s="1"/>
  <c r="K14" i="19"/>
  <c r="J22" i="19" s="1"/>
  <c r="K22" i="19" s="1"/>
  <c r="K34" i="19" s="1"/>
  <c r="I15" i="15"/>
  <c r="J15" i="15" s="1"/>
  <c r="K6" i="18"/>
  <c r="D7" i="18"/>
  <c r="H6" i="18"/>
  <c r="K5" i="18"/>
  <c r="H5" i="18"/>
  <c r="R114" i="19"/>
  <c r="Q114" i="19"/>
  <c r="R108" i="19"/>
  <c r="Q108" i="19"/>
  <c r="P108" i="19"/>
  <c r="O108" i="19"/>
  <c r="P95" i="19"/>
  <c r="P94" i="19"/>
  <c r="P93" i="19"/>
  <c r="P92" i="19"/>
  <c r="P91" i="19"/>
  <c r="P90" i="19"/>
  <c r="D132" i="19" l="1"/>
  <c r="E105" i="19"/>
  <c r="E107" i="19" s="1"/>
  <c r="E114" i="19"/>
  <c r="F117" i="19" s="1"/>
  <c r="D136" i="19"/>
  <c r="F136" i="19" s="1"/>
  <c r="D53" i="19"/>
  <c r="D38" i="19"/>
  <c r="H38" i="19" s="1"/>
  <c r="D126" i="19"/>
  <c r="F126" i="19" s="1"/>
  <c r="F138" i="19" s="1"/>
  <c r="H66" i="19" s="1"/>
  <c r="D50" i="19"/>
  <c r="H50" i="19" s="1"/>
  <c r="C99" i="19"/>
  <c r="D99" i="19" s="1"/>
  <c r="D80" i="19"/>
  <c r="D129" i="19"/>
  <c r="F129" i="19" s="1"/>
  <c r="D60" i="19"/>
  <c r="H60" i="19" s="1"/>
  <c r="D8" i="18"/>
  <c r="H7" i="18"/>
  <c r="I7" i="18" s="1"/>
  <c r="K7" i="18"/>
  <c r="L7" i="18" s="1"/>
  <c r="L5" i="18"/>
  <c r="L6" i="18"/>
  <c r="I6" i="18"/>
  <c r="G43" i="18"/>
  <c r="E38" i="18"/>
  <c r="F25" i="18"/>
  <c r="D26" i="18"/>
  <c r="H80" i="19" l="1"/>
  <c r="G80" i="19"/>
  <c r="H53" i="19"/>
  <c r="H75" i="19" s="1"/>
  <c r="G53" i="19"/>
  <c r="G75" i="19" s="1"/>
  <c r="D133" i="19"/>
  <c r="F133" i="19" s="1"/>
  <c r="F132" i="19"/>
  <c r="K8" i="18"/>
  <c r="D9" i="18"/>
  <c r="H8" i="18"/>
  <c r="I8" i="18" s="1"/>
  <c r="K25" i="18"/>
  <c r="L25" i="18" s="1"/>
  <c r="F26" i="18"/>
  <c r="H25" i="18"/>
  <c r="D27" i="18"/>
  <c r="D28" i="18" s="1"/>
  <c r="D29" i="18" s="1"/>
  <c r="D30" i="18" s="1"/>
  <c r="I25" i="18"/>
  <c r="M6" i="15"/>
  <c r="M4" i="15"/>
  <c r="K4" i="15"/>
  <c r="L6" i="15"/>
  <c r="K6" i="15"/>
  <c r="L3" i="15"/>
  <c r="M7" i="15"/>
  <c r="L7" i="15"/>
  <c r="K7" i="15"/>
  <c r="L4" i="15"/>
  <c r="I31" i="15"/>
  <c r="M3" i="15" s="1"/>
  <c r="G81" i="19" l="1"/>
  <c r="K87" i="19"/>
  <c r="K93" i="19" s="1"/>
  <c r="K95" i="19"/>
  <c r="D10" i="18"/>
  <c r="H9" i="18"/>
  <c r="I9" i="18" s="1"/>
  <c r="K9" i="18"/>
  <c r="L9" i="18" s="1"/>
  <c r="L8" i="18"/>
  <c r="K3" i="15"/>
  <c r="F27" i="18"/>
  <c r="H27" i="18" s="1"/>
  <c r="K26" i="18"/>
  <c r="H26" i="18"/>
  <c r="I26" i="18" s="1"/>
  <c r="D31" i="18"/>
  <c r="D32" i="18" s="1"/>
  <c r="D18" i="3"/>
  <c r="D22" i="3"/>
  <c r="E22" i="3" s="1"/>
  <c r="D21" i="3"/>
  <c r="B22" i="3"/>
  <c r="B21" i="3"/>
  <c r="B20" i="3"/>
  <c r="D20" i="3"/>
  <c r="E20" i="3" s="1"/>
  <c r="F25" i="3"/>
  <c r="D25" i="3"/>
  <c r="E25" i="3" s="1"/>
  <c r="B25" i="3"/>
  <c r="F20" i="3"/>
  <c r="F26" i="17"/>
  <c r="F22" i="17"/>
  <c r="K10" i="18" l="1"/>
  <c r="D11" i="18"/>
  <c r="H10" i="18"/>
  <c r="I10" i="18" s="1"/>
  <c r="L26" i="18"/>
  <c r="F28" i="18"/>
  <c r="K27" i="18"/>
  <c r="L27" i="18" s="1"/>
  <c r="I27" i="18"/>
  <c r="D33" i="18"/>
  <c r="N6" i="15"/>
  <c r="N7" i="15"/>
  <c r="L37" i="15" s="1"/>
  <c r="N4" i="15"/>
  <c r="N3" i="15"/>
  <c r="F22" i="3"/>
  <c r="F79" i="3"/>
  <c r="B75" i="3"/>
  <c r="B74" i="3"/>
  <c r="F73" i="3"/>
  <c r="E70" i="3"/>
  <c r="D70" i="3"/>
  <c r="B62" i="3"/>
  <c r="D62" i="3" s="1"/>
  <c r="B61" i="3"/>
  <c r="G60" i="3"/>
  <c r="B57" i="3"/>
  <c r="G56" i="3"/>
  <c r="G54" i="3"/>
  <c r="B54" i="3"/>
  <c r="G53" i="3"/>
  <c r="B53" i="3"/>
  <c r="G47" i="3"/>
  <c r="B47" i="3"/>
  <c r="G32" i="3"/>
  <c r="G30" i="3"/>
  <c r="E30" i="3"/>
  <c r="D30" i="3"/>
  <c r="G29" i="3"/>
  <c r="E29" i="3"/>
  <c r="C16" i="3"/>
  <c r="B12" i="3"/>
  <c r="E11" i="3"/>
  <c r="B11" i="3"/>
  <c r="H30" i="3" l="1"/>
  <c r="D12" i="18"/>
  <c r="H11" i="18"/>
  <c r="I11" i="18" s="1"/>
  <c r="K11" i="18"/>
  <c r="L11" i="18" s="1"/>
  <c r="L10" i="18"/>
  <c r="E21" i="3"/>
  <c r="F29" i="18"/>
  <c r="H29" i="18" s="1"/>
  <c r="K28" i="18"/>
  <c r="H28" i="18"/>
  <c r="I28" i="18" s="1"/>
  <c r="D34" i="18"/>
  <c r="F72" i="3"/>
  <c r="E62" i="3"/>
  <c r="F62" i="3" s="1"/>
  <c r="F30" i="3"/>
  <c r="F62" i="17"/>
  <c r="K12" i="18" l="1"/>
  <c r="D13" i="18"/>
  <c r="H12" i="18"/>
  <c r="I12" i="18" s="1"/>
  <c r="I29" i="18"/>
  <c r="L28" i="18"/>
  <c r="F30" i="18"/>
  <c r="H30" i="18" s="1"/>
  <c r="I30" i="18" s="1"/>
  <c r="K29" i="18"/>
  <c r="L29" i="18" s="1"/>
  <c r="D35" i="18"/>
  <c r="F67" i="17"/>
  <c r="F66" i="17"/>
  <c r="L12" i="18" l="1"/>
  <c r="D14" i="18"/>
  <c r="H13" i="18"/>
  <c r="I13" i="18" s="1"/>
  <c r="K13" i="18"/>
  <c r="L13" i="18" s="1"/>
  <c r="F31" i="18"/>
  <c r="H31" i="18" s="1"/>
  <c r="I31" i="18" s="1"/>
  <c r="K30" i="18"/>
  <c r="D36" i="18"/>
  <c r="G45" i="18" s="1"/>
  <c r="J84" i="17"/>
  <c r="F23" i="17"/>
  <c r="F13" i="17"/>
  <c r="F14" i="17"/>
  <c r="F21" i="17"/>
  <c r="F52" i="17"/>
  <c r="F58" i="17"/>
  <c r="F59" i="17"/>
  <c r="F79" i="17"/>
  <c r="F80" i="17"/>
  <c r="K14" i="18" l="1"/>
  <c r="L14" i="18" s="1"/>
  <c r="D15" i="18"/>
  <c r="H14" i="18"/>
  <c r="I14" i="18" s="1"/>
  <c r="L30" i="18"/>
  <c r="F32" i="18"/>
  <c r="H32" i="18" s="1"/>
  <c r="I32" i="18" s="1"/>
  <c r="K31" i="18"/>
  <c r="L31" i="18" s="1"/>
  <c r="J78" i="17"/>
  <c r="I77" i="17"/>
  <c r="H77" i="17"/>
  <c r="H75" i="17"/>
  <c r="J75" i="17" s="1"/>
  <c r="H70" i="17"/>
  <c r="J70" i="17" s="1"/>
  <c r="K65" i="17"/>
  <c r="K61" i="17"/>
  <c r="K59" i="17"/>
  <c r="K58" i="17"/>
  <c r="K52" i="17"/>
  <c r="K33" i="17"/>
  <c r="K31" i="17"/>
  <c r="I31" i="17"/>
  <c r="H31" i="17"/>
  <c r="K30" i="17"/>
  <c r="I30" i="17"/>
  <c r="H26" i="17"/>
  <c r="H23" i="17"/>
  <c r="I23" i="17" s="1"/>
  <c r="H22" i="17"/>
  <c r="H21" i="17"/>
  <c r="I21" i="17" s="1"/>
  <c r="G18" i="17"/>
  <c r="I13" i="17"/>
  <c r="H25" i="16"/>
  <c r="H20" i="17"/>
  <c r="I22" i="17" l="1"/>
  <c r="H67" i="17"/>
  <c r="I67" i="17" s="1"/>
  <c r="J67" i="17" s="1"/>
  <c r="D16" i="18"/>
  <c r="H15" i="18"/>
  <c r="I15" i="18" s="1"/>
  <c r="K15" i="18"/>
  <c r="L15" i="18" s="1"/>
  <c r="F33" i="18"/>
  <c r="H33" i="18" s="1"/>
  <c r="I33" i="18" s="1"/>
  <c r="K32" i="18"/>
  <c r="J31" i="17"/>
  <c r="I75" i="17"/>
  <c r="L31" i="17"/>
  <c r="J23" i="17"/>
  <c r="I70" i="17"/>
  <c r="K30" i="16"/>
  <c r="J68" i="16"/>
  <c r="H65" i="16"/>
  <c r="J65" i="16" s="1"/>
  <c r="F14" i="16"/>
  <c r="F13" i="16"/>
  <c r="I13" i="16"/>
  <c r="F70" i="16"/>
  <c r="F69" i="16"/>
  <c r="I67" i="16"/>
  <c r="H67" i="16"/>
  <c r="H59" i="16"/>
  <c r="I59" i="16" s="1"/>
  <c r="I51" i="15"/>
  <c r="K16" i="18" l="1"/>
  <c r="D18" i="18"/>
  <c r="H16" i="18"/>
  <c r="L32" i="18"/>
  <c r="F34" i="18"/>
  <c r="H34" i="18" s="1"/>
  <c r="I34" i="18" s="1"/>
  <c r="K33" i="18"/>
  <c r="L33" i="18" s="1"/>
  <c r="I65" i="16"/>
  <c r="J59" i="16"/>
  <c r="B27" i="15"/>
  <c r="G18" i="16"/>
  <c r="I16" i="18" l="1"/>
  <c r="I18" i="18" s="1"/>
  <c r="H18" i="18"/>
  <c r="L16" i="18"/>
  <c r="L18" i="18" s="1"/>
  <c r="K18" i="18"/>
  <c r="F35" i="18"/>
  <c r="K34" i="18"/>
  <c r="L34" i="18" s="1"/>
  <c r="H23" i="16"/>
  <c r="J23" i="16" s="1"/>
  <c r="H22" i="16"/>
  <c r="I22" i="16" s="1"/>
  <c r="C23" i="15"/>
  <c r="F36" i="18" l="1"/>
  <c r="K35" i="18"/>
  <c r="L35" i="18" s="1"/>
  <c r="H35" i="18"/>
  <c r="I35" i="18" s="1"/>
  <c r="D38" i="18"/>
  <c r="I23" i="16"/>
  <c r="K54" i="16"/>
  <c r="F38" i="18" l="1"/>
  <c r="K36" i="18"/>
  <c r="H36" i="18"/>
  <c r="H38" i="18" s="1"/>
  <c r="I29" i="16"/>
  <c r="K29" i="16"/>
  <c r="L36" i="18" l="1"/>
  <c r="L38" i="18" s="1"/>
  <c r="K38" i="18"/>
  <c r="I36" i="18"/>
  <c r="H21" i="16"/>
  <c r="I21" i="16" s="1"/>
  <c r="F21" i="16"/>
  <c r="K51" i="16"/>
  <c r="I30" i="16"/>
  <c r="I38" i="18" l="1"/>
  <c r="G46" i="18"/>
  <c r="H20" i="16"/>
  <c r="H30" i="16"/>
  <c r="J30" i="16" s="1"/>
  <c r="K31" i="16"/>
  <c r="K36" i="16"/>
  <c r="F44" i="16"/>
  <c r="K44" i="16"/>
  <c r="F48" i="16"/>
  <c r="K48" i="16"/>
  <c r="F49" i="16"/>
  <c r="K49" i="16"/>
  <c r="E22" i="15"/>
  <c r="G22" i="15"/>
  <c r="B24" i="15"/>
  <c r="B25" i="15"/>
  <c r="L35" i="15"/>
  <c r="F70" i="3" l="1"/>
  <c r="J67" i="16"/>
  <c r="J77" i="17"/>
  <c r="L30" i="16"/>
  <c r="D3" i="15" l="1"/>
  <c r="D4" i="15"/>
  <c r="D5" i="15"/>
  <c r="J76" i="14"/>
  <c r="J75" i="14"/>
  <c r="J74" i="14"/>
  <c r="J73" i="14"/>
  <c r="I73" i="14"/>
  <c r="H73" i="14"/>
  <c r="H71" i="14"/>
  <c r="J71" i="14" s="1"/>
  <c r="J68" i="14"/>
  <c r="J67" i="14"/>
  <c r="J66" i="14"/>
  <c r="I65" i="14"/>
  <c r="H65" i="14"/>
  <c r="H61" i="14"/>
  <c r="J61" i="14" s="1"/>
  <c r="K59" i="14"/>
  <c r="L59" i="14" s="1"/>
  <c r="K58" i="14"/>
  <c r="L58" i="14" s="1"/>
  <c r="L83" i="14" s="1"/>
  <c r="L53" i="14"/>
  <c r="L52" i="14"/>
  <c r="K51" i="14"/>
  <c r="L51" i="14" s="1"/>
  <c r="F51" i="14"/>
  <c r="K50" i="14"/>
  <c r="H50" i="14"/>
  <c r="F50" i="14"/>
  <c r="H49" i="14"/>
  <c r="L49" i="14" s="1"/>
  <c r="H48" i="14"/>
  <c r="L48" i="14" s="1"/>
  <c r="H47" i="14"/>
  <c r="L47" i="14" s="1"/>
  <c r="H46" i="14"/>
  <c r="L46" i="14" s="1"/>
  <c r="H45" i="14"/>
  <c r="L45" i="14" s="1"/>
  <c r="L43" i="14"/>
  <c r="H43" i="14"/>
  <c r="J43" i="14" s="1"/>
  <c r="L42" i="14"/>
  <c r="H42" i="14"/>
  <c r="J42" i="14" s="1"/>
  <c r="L41" i="14"/>
  <c r="H41" i="14"/>
  <c r="J41" i="14" s="1"/>
  <c r="L40" i="14"/>
  <c r="H40" i="14"/>
  <c r="J40" i="14" s="1"/>
  <c r="K38" i="14"/>
  <c r="H38" i="14"/>
  <c r="K37" i="14"/>
  <c r="H37" i="14"/>
  <c r="L78" i="14" s="1"/>
  <c r="K35" i="14"/>
  <c r="H35" i="14"/>
  <c r="K32" i="14"/>
  <c r="H32" i="14"/>
  <c r="K31" i="14"/>
  <c r="I31" i="14"/>
  <c r="H31" i="14"/>
  <c r="L30" i="14"/>
  <c r="J30" i="14"/>
  <c r="K29" i="14"/>
  <c r="H29" i="14"/>
  <c r="J26" i="14"/>
  <c r="I26" i="14"/>
  <c r="H26" i="14"/>
  <c r="I24" i="14"/>
  <c r="H24" i="14"/>
  <c r="I23" i="14"/>
  <c r="H23" i="14"/>
  <c r="J20" i="14"/>
  <c r="I20" i="14"/>
  <c r="H20" i="14"/>
  <c r="J76" i="13"/>
  <c r="J75" i="13"/>
  <c r="J74" i="13"/>
  <c r="J73" i="13"/>
  <c r="I73" i="13"/>
  <c r="H73" i="13"/>
  <c r="H71" i="13"/>
  <c r="J71" i="13" s="1"/>
  <c r="J68" i="13"/>
  <c r="J67" i="13"/>
  <c r="J66" i="13"/>
  <c r="I65" i="13"/>
  <c r="H65" i="13"/>
  <c r="H61" i="13"/>
  <c r="J61" i="13" s="1"/>
  <c r="K59" i="13"/>
  <c r="L59" i="13" s="1"/>
  <c r="K58" i="13"/>
  <c r="L58" i="13" s="1"/>
  <c r="L83" i="13" s="1"/>
  <c r="L53" i="13"/>
  <c r="L52" i="13"/>
  <c r="K51" i="13"/>
  <c r="L51" i="13" s="1"/>
  <c r="F51" i="13"/>
  <c r="K50" i="13"/>
  <c r="H50" i="13"/>
  <c r="F50" i="13"/>
  <c r="H49" i="13"/>
  <c r="L49" i="13" s="1"/>
  <c r="H48" i="13"/>
  <c r="L48" i="13" s="1"/>
  <c r="H47" i="13"/>
  <c r="L47" i="13" s="1"/>
  <c r="H46" i="13"/>
  <c r="L46" i="13" s="1"/>
  <c r="H45" i="13"/>
  <c r="L45" i="13" s="1"/>
  <c r="L43" i="13"/>
  <c r="H43" i="13"/>
  <c r="J43" i="13" s="1"/>
  <c r="L42" i="13"/>
  <c r="H42" i="13"/>
  <c r="J42" i="13" s="1"/>
  <c r="L41" i="13"/>
  <c r="H41" i="13"/>
  <c r="J41" i="13" s="1"/>
  <c r="L40" i="13"/>
  <c r="H40" i="13"/>
  <c r="J40" i="13" s="1"/>
  <c r="K38" i="13"/>
  <c r="H38" i="13"/>
  <c r="K37" i="13"/>
  <c r="H37" i="13"/>
  <c r="L78" i="13" s="1"/>
  <c r="K35" i="13"/>
  <c r="H35" i="13"/>
  <c r="K32" i="13"/>
  <c r="H32" i="13"/>
  <c r="K31" i="13"/>
  <c r="I31" i="13"/>
  <c r="H31" i="13"/>
  <c r="L30" i="13"/>
  <c r="J30" i="13"/>
  <c r="K29" i="13"/>
  <c r="H29" i="13"/>
  <c r="J26" i="13"/>
  <c r="I26" i="13"/>
  <c r="H26" i="13"/>
  <c r="I24" i="13"/>
  <c r="H24" i="13"/>
  <c r="I23" i="13"/>
  <c r="H23" i="13"/>
  <c r="J20" i="13"/>
  <c r="I20" i="13"/>
  <c r="H20" i="13"/>
  <c r="J76" i="12"/>
  <c r="J75" i="12"/>
  <c r="J74" i="12"/>
  <c r="J73" i="12"/>
  <c r="I73" i="12"/>
  <c r="H73" i="12"/>
  <c r="H71" i="12"/>
  <c r="J71" i="12" s="1"/>
  <c r="J68" i="12"/>
  <c r="J67" i="12"/>
  <c r="J66" i="12"/>
  <c r="I65" i="12"/>
  <c r="H65" i="12"/>
  <c r="H61" i="12"/>
  <c r="J61" i="12" s="1"/>
  <c r="K59" i="12"/>
  <c r="L59" i="12" s="1"/>
  <c r="K58" i="12"/>
  <c r="L58" i="12" s="1"/>
  <c r="L83" i="12" s="1"/>
  <c r="L53" i="12"/>
  <c r="L52" i="12"/>
  <c r="K51" i="12"/>
  <c r="L51" i="12" s="1"/>
  <c r="F51" i="12"/>
  <c r="K50" i="12"/>
  <c r="H50" i="12"/>
  <c r="F50" i="12"/>
  <c r="H49" i="12"/>
  <c r="L49" i="12" s="1"/>
  <c r="H48" i="12"/>
  <c r="L48" i="12" s="1"/>
  <c r="H47" i="12"/>
  <c r="L47" i="12" s="1"/>
  <c r="H46" i="12"/>
  <c r="L46" i="12" s="1"/>
  <c r="H45" i="12"/>
  <c r="L45" i="12" s="1"/>
  <c r="L43" i="12"/>
  <c r="H43" i="12"/>
  <c r="J43" i="12" s="1"/>
  <c r="L42" i="12"/>
  <c r="H42" i="12"/>
  <c r="J42" i="12" s="1"/>
  <c r="L41" i="12"/>
  <c r="H41" i="12"/>
  <c r="J41" i="12" s="1"/>
  <c r="L40" i="12"/>
  <c r="H40" i="12"/>
  <c r="J40" i="12" s="1"/>
  <c r="K38" i="12"/>
  <c r="H38" i="12"/>
  <c r="K37" i="12"/>
  <c r="H37" i="12"/>
  <c r="L78" i="12" s="1"/>
  <c r="K35" i="12"/>
  <c r="H35" i="12"/>
  <c r="K32" i="12"/>
  <c r="H32" i="12"/>
  <c r="K31" i="12"/>
  <c r="I31" i="12"/>
  <c r="H31" i="12"/>
  <c r="L30" i="12"/>
  <c r="J30" i="12"/>
  <c r="K29" i="12"/>
  <c r="H29" i="12"/>
  <c r="J26" i="12"/>
  <c r="I26" i="12"/>
  <c r="H26" i="12"/>
  <c r="I24" i="12"/>
  <c r="H24" i="12"/>
  <c r="I23" i="12"/>
  <c r="H23" i="12"/>
  <c r="J20" i="12"/>
  <c r="I20" i="12"/>
  <c r="H20" i="12"/>
  <c r="J76" i="11"/>
  <c r="J75" i="11"/>
  <c r="J74" i="11"/>
  <c r="J73" i="11"/>
  <c r="I73" i="11"/>
  <c r="H73" i="11"/>
  <c r="H71" i="11"/>
  <c r="J71" i="11" s="1"/>
  <c r="J68" i="11"/>
  <c r="J67" i="11"/>
  <c r="J66" i="11"/>
  <c r="I65" i="11"/>
  <c r="H65" i="11"/>
  <c r="H61" i="11"/>
  <c r="J61" i="11" s="1"/>
  <c r="K59" i="11"/>
  <c r="L59" i="11" s="1"/>
  <c r="K58" i="11"/>
  <c r="L58" i="11" s="1"/>
  <c r="L83" i="11" s="1"/>
  <c r="L53" i="11"/>
  <c r="L52" i="11"/>
  <c r="K51" i="11"/>
  <c r="L51" i="11" s="1"/>
  <c r="F51" i="11"/>
  <c r="K50" i="11"/>
  <c r="H50" i="11"/>
  <c r="F50" i="11"/>
  <c r="H49" i="11"/>
  <c r="L49" i="11" s="1"/>
  <c r="H48" i="11"/>
  <c r="L48" i="11" s="1"/>
  <c r="H47" i="11"/>
  <c r="L47" i="11" s="1"/>
  <c r="H46" i="11"/>
  <c r="L46" i="11" s="1"/>
  <c r="H45" i="11"/>
  <c r="L45" i="11" s="1"/>
  <c r="L43" i="11"/>
  <c r="H43" i="11"/>
  <c r="J43" i="11" s="1"/>
  <c r="L42" i="11"/>
  <c r="H42" i="11"/>
  <c r="J42" i="11" s="1"/>
  <c r="L41" i="11"/>
  <c r="H41" i="11"/>
  <c r="J41" i="11" s="1"/>
  <c r="L40" i="11"/>
  <c r="H40" i="11"/>
  <c r="J40" i="11" s="1"/>
  <c r="K38" i="11"/>
  <c r="H38" i="11"/>
  <c r="K37" i="11"/>
  <c r="H37" i="11"/>
  <c r="L78" i="11" s="1"/>
  <c r="K35" i="11"/>
  <c r="H35" i="11"/>
  <c r="K32" i="11"/>
  <c r="H32" i="11"/>
  <c r="K31" i="11"/>
  <c r="I31" i="11"/>
  <c r="H31" i="11"/>
  <c r="L30" i="11"/>
  <c r="J30" i="11"/>
  <c r="K29" i="11"/>
  <c r="H29" i="11"/>
  <c r="J26" i="11"/>
  <c r="I26" i="11"/>
  <c r="H26" i="11"/>
  <c r="I24" i="11"/>
  <c r="H24" i="11"/>
  <c r="I23" i="11"/>
  <c r="H23" i="11"/>
  <c r="J20" i="11"/>
  <c r="I20" i="11"/>
  <c r="H20" i="11"/>
  <c r="J23" i="11" l="1"/>
  <c r="L35" i="11"/>
  <c r="J65" i="13"/>
  <c r="J23" i="12"/>
  <c r="L38" i="11"/>
  <c r="J23" i="14"/>
  <c r="L35" i="14"/>
  <c r="J31" i="11"/>
  <c r="J23" i="13"/>
  <c r="L38" i="14"/>
  <c r="J65" i="12"/>
  <c r="L50" i="11"/>
  <c r="L32" i="12"/>
  <c r="L50" i="12"/>
  <c r="L29" i="13"/>
  <c r="J31" i="13"/>
  <c r="J24" i="12"/>
  <c r="J65" i="14"/>
  <c r="J24" i="11"/>
  <c r="L32" i="11"/>
  <c r="J65" i="11"/>
  <c r="L38" i="12"/>
  <c r="L38" i="13"/>
  <c r="L50" i="14"/>
  <c r="L29" i="12"/>
  <c r="J31" i="12"/>
  <c r="J24" i="14"/>
  <c r="L29" i="14"/>
  <c r="J31" i="14"/>
  <c r="L32" i="14"/>
  <c r="J24" i="13"/>
  <c r="L32" i="13"/>
  <c r="L29" i="11"/>
  <c r="L35" i="12"/>
  <c r="L35" i="13"/>
  <c r="L50" i="13"/>
  <c r="H60" i="11"/>
  <c r="J60" i="11" s="1"/>
  <c r="H60" i="14"/>
  <c r="J60" i="14" s="1"/>
  <c r="H60" i="13"/>
  <c r="J60" i="13" s="1"/>
  <c r="H60" i="12"/>
  <c r="J60" i="12" s="1"/>
  <c r="L31" i="14"/>
  <c r="L37" i="14"/>
  <c r="L31" i="13"/>
  <c r="L37" i="13"/>
  <c r="L37" i="12"/>
  <c r="L31" i="12"/>
  <c r="L37" i="11"/>
  <c r="L31" i="11"/>
  <c r="J62" i="13" l="1"/>
  <c r="L77" i="13" s="1"/>
  <c r="J62" i="11"/>
  <c r="L77" i="11" s="1"/>
  <c r="J62" i="14"/>
  <c r="L77" i="14" s="1"/>
  <c r="L62" i="12"/>
  <c r="L84" i="12" s="1"/>
  <c r="L62" i="14"/>
  <c r="L84" i="14" s="1"/>
  <c r="L62" i="13"/>
  <c r="L84" i="13" s="1"/>
  <c r="L62" i="11"/>
  <c r="L84" i="11" s="1"/>
  <c r="J62" i="12"/>
  <c r="L77" i="12" s="1"/>
  <c r="J56" i="16" l="1"/>
  <c r="H81" i="13"/>
  <c r="I80" i="13" s="1"/>
  <c r="L80" i="13" s="1"/>
  <c r="J82" i="13" s="1"/>
  <c r="H81" i="11"/>
  <c r="I80" i="11" s="1"/>
  <c r="L80" i="11" s="1"/>
  <c r="J82" i="11" s="1"/>
  <c r="H81" i="12"/>
  <c r="I80" i="12" s="1"/>
  <c r="L80" i="12" s="1"/>
  <c r="J82" i="12" s="1"/>
  <c r="H81" i="14"/>
  <c r="I80" i="14" s="1"/>
  <c r="L80" i="14" s="1"/>
  <c r="J82" i="14" s="1"/>
  <c r="I26" i="17"/>
  <c r="I25" i="16"/>
  <c r="J22" i="17" l="1"/>
  <c r="F21" i="3"/>
  <c r="J22" i="16"/>
  <c r="I12" i="15"/>
  <c r="J12" i="15" s="1"/>
  <c r="H49" i="3" l="1"/>
  <c r="J20" i="16"/>
  <c r="B43" i="3"/>
  <c r="F18" i="3"/>
  <c r="F26" i="3" s="1"/>
  <c r="D56" i="3" s="1"/>
  <c r="K28" i="16"/>
  <c r="L39" i="16"/>
  <c r="J20" i="17"/>
  <c r="K35" i="17"/>
  <c r="L41" i="17"/>
  <c r="H39" i="3"/>
  <c r="G28" i="3"/>
  <c r="L41" i="16"/>
  <c r="H48" i="3"/>
  <c r="L42" i="16"/>
  <c r="H41" i="3"/>
  <c r="K29" i="17"/>
  <c r="G34" i="3"/>
  <c r="K34" i="16"/>
  <c r="L53" i="17"/>
  <c r="F48" i="17"/>
  <c r="I20" i="17"/>
  <c r="I10" i="15"/>
  <c r="J10" i="15" s="1"/>
  <c r="I11" i="15"/>
  <c r="E18" i="3"/>
  <c r="I13" i="15"/>
  <c r="J13" i="15" s="1"/>
  <c r="L40" i="16"/>
  <c r="L43" i="17"/>
  <c r="L54" i="17"/>
  <c r="I20" i="16"/>
  <c r="D54" i="3" l="1"/>
  <c r="H54" i="3" s="1"/>
  <c r="D43" i="3"/>
  <c r="E43" i="3" s="1"/>
  <c r="F43" i="3" s="1"/>
  <c r="D40" i="3"/>
  <c r="H40" i="3" s="1"/>
  <c r="D42" i="3"/>
  <c r="F42" i="3" s="1"/>
  <c r="D51" i="3"/>
  <c r="H51" i="3" s="1"/>
  <c r="E48" i="3"/>
  <c r="I53" i="17"/>
  <c r="I43" i="17"/>
  <c r="E41" i="3"/>
  <c r="E49" i="3"/>
  <c r="I52" i="17"/>
  <c r="I54" i="17"/>
  <c r="E47" i="3"/>
  <c r="I41" i="17"/>
  <c r="E39" i="3"/>
  <c r="I61" i="17"/>
  <c r="E56" i="3"/>
  <c r="F56" i="3" s="1"/>
  <c r="I41" i="16"/>
  <c r="I39" i="16"/>
  <c r="I51" i="16"/>
  <c r="I42" i="16"/>
  <c r="I44" i="16"/>
  <c r="I40" i="16"/>
  <c r="O27" i="18"/>
  <c r="D49" i="3"/>
  <c r="D32" i="3"/>
  <c r="H32" i="3" s="1"/>
  <c r="D55" i="3"/>
  <c r="H55" i="3" s="1"/>
  <c r="D59" i="3"/>
  <c r="D39" i="3"/>
  <c r="D53" i="3"/>
  <c r="H53" i="3" s="1"/>
  <c r="D48" i="3"/>
  <c r="E28" i="3"/>
  <c r="D37" i="3"/>
  <c r="H37" i="3" s="1"/>
  <c r="D28" i="3"/>
  <c r="H28" i="3" s="1"/>
  <c r="D47" i="3"/>
  <c r="H47" i="3" s="1"/>
  <c r="D29" i="3"/>
  <c r="H29" i="3" s="1"/>
  <c r="D52" i="3" s="1"/>
  <c r="H52" i="3" s="1"/>
  <c r="D34" i="3"/>
  <c r="H34" i="3" s="1"/>
  <c r="D50" i="3"/>
  <c r="F50" i="3" s="1"/>
  <c r="D41" i="3"/>
  <c r="D36" i="3"/>
  <c r="H77" i="3" s="1"/>
  <c r="G59" i="3"/>
  <c r="H56" i="3"/>
  <c r="G18" i="11"/>
  <c r="G18" i="14"/>
  <c r="J11" i="15"/>
  <c r="G18" i="12"/>
  <c r="G18" i="13"/>
  <c r="J26" i="17"/>
  <c r="J25" i="16"/>
  <c r="G20" i="15" l="1"/>
  <c r="H60" i="3"/>
  <c r="L65" i="17"/>
  <c r="L54" i="16"/>
  <c r="F41" i="3"/>
  <c r="F49" i="3"/>
  <c r="H59" i="3"/>
  <c r="F40" i="3"/>
  <c r="H42" i="3"/>
  <c r="G43" i="3"/>
  <c r="H43" i="3" s="1"/>
  <c r="D61" i="3"/>
  <c r="E61" i="3" s="1"/>
  <c r="F61" i="3" s="1"/>
  <c r="H66" i="17"/>
  <c r="I66" i="17" s="1"/>
  <c r="J66" i="17" s="1"/>
  <c r="F39" i="3"/>
  <c r="F48" i="3"/>
  <c r="F47" i="3"/>
  <c r="F51" i="3"/>
  <c r="F37" i="3"/>
  <c r="F29" i="3"/>
  <c r="F36" i="3"/>
  <c r="H36" i="3"/>
  <c r="H50" i="3"/>
  <c r="F28" i="3"/>
  <c r="H55" i="16"/>
  <c r="J55" i="16" s="1"/>
  <c r="J21" i="16"/>
  <c r="J26" i="16" s="1"/>
  <c r="J21" i="17"/>
  <c r="J27" i="17" s="1"/>
  <c r="O28" i="18" l="1"/>
  <c r="H82" i="3"/>
  <c r="H63" i="3"/>
  <c r="H83" i="3" s="1"/>
  <c r="F63" i="3"/>
  <c r="H76" i="3" s="1"/>
  <c r="H64" i="17"/>
  <c r="H42" i="17"/>
  <c r="H45" i="17"/>
  <c r="H59" i="17"/>
  <c r="L59" i="17" s="1"/>
  <c r="H35" i="17"/>
  <c r="L35" i="17" s="1"/>
  <c r="H54" i="17"/>
  <c r="J54" i="17" s="1"/>
  <c r="H47" i="17"/>
  <c r="H39" i="17"/>
  <c r="H37" i="17"/>
  <c r="H33" i="17"/>
  <c r="L33" i="17" s="1"/>
  <c r="H46" i="17"/>
  <c r="H41" i="17"/>
  <c r="J41" i="17" s="1"/>
  <c r="H30" i="17"/>
  <c r="H55" i="17"/>
  <c r="H52" i="17"/>
  <c r="H38" i="17"/>
  <c r="H43" i="17"/>
  <c r="J43" i="17" s="1"/>
  <c r="I29" i="17"/>
  <c r="H60" i="17"/>
  <c r="L60" i="17" s="1"/>
  <c r="H61" i="17"/>
  <c r="H53" i="17"/>
  <c r="J53" i="17" s="1"/>
  <c r="H29" i="17"/>
  <c r="L29" i="17" s="1"/>
  <c r="K64" i="17"/>
  <c r="H44" i="17"/>
  <c r="H58" i="17"/>
  <c r="L58" i="17" s="1"/>
  <c r="H56" i="17"/>
  <c r="H42" i="16"/>
  <c r="J42" i="16" s="1"/>
  <c r="H49" i="16"/>
  <c r="L49" i="16" s="1"/>
  <c r="H36" i="16"/>
  <c r="M77" i="16"/>
  <c r="H34" i="16"/>
  <c r="L34" i="16" s="1"/>
  <c r="H44" i="16"/>
  <c r="H46" i="16"/>
  <c r="L46" i="16" s="1"/>
  <c r="H31" i="16"/>
  <c r="L31" i="16" s="1"/>
  <c r="H51" i="16"/>
  <c r="H40" i="16"/>
  <c r="J40" i="16" s="1"/>
  <c r="H39" i="16"/>
  <c r="J39" i="16" s="1"/>
  <c r="H29" i="16"/>
  <c r="H47" i="16"/>
  <c r="L47" i="16" s="1"/>
  <c r="H50" i="16"/>
  <c r="L50" i="16" s="1"/>
  <c r="H41" i="16"/>
  <c r="J41" i="16" s="1"/>
  <c r="H48" i="16"/>
  <c r="L48" i="16" s="1"/>
  <c r="H37" i="16"/>
  <c r="L37" i="16" s="1"/>
  <c r="H45" i="16"/>
  <c r="L45" i="16" s="1"/>
  <c r="H53" i="16"/>
  <c r="H28" i="16"/>
  <c r="L28" i="16" s="1"/>
  <c r="L64" i="17" l="1"/>
  <c r="L87" i="17" s="1"/>
  <c r="D80" i="3"/>
  <c r="E79" i="3" s="1"/>
  <c r="H79" i="3" s="1"/>
  <c r="F81" i="3" s="1"/>
  <c r="L37" i="17"/>
  <c r="J37" i="17"/>
  <c r="L82" i="17"/>
  <c r="L38" i="17"/>
  <c r="J38" i="17"/>
  <c r="J39" i="17"/>
  <c r="L39" i="17"/>
  <c r="H48" i="17"/>
  <c r="L44" i="17"/>
  <c r="J44" i="17"/>
  <c r="J42" i="17"/>
  <c r="L42" i="17"/>
  <c r="K53" i="16"/>
  <c r="L53" i="16" s="1"/>
  <c r="L77" i="16" s="1"/>
  <c r="J52" i="17"/>
  <c r="L52" i="17"/>
  <c r="L46" i="17"/>
  <c r="J46" i="17"/>
  <c r="J47" i="17"/>
  <c r="L47" i="17"/>
  <c r="J44" i="16"/>
  <c r="L44" i="16"/>
  <c r="L72" i="16"/>
  <c r="L36" i="16"/>
  <c r="J30" i="17"/>
  <c r="L30" i="17"/>
  <c r="H57" i="17" s="1"/>
  <c r="L57" i="17" s="1"/>
  <c r="J51" i="16"/>
  <c r="L51" i="16"/>
  <c r="J61" i="17"/>
  <c r="L61" i="17"/>
  <c r="L29" i="16"/>
  <c r="J29" i="16"/>
  <c r="J56" i="17"/>
  <c r="L56" i="17"/>
  <c r="J29" i="17"/>
  <c r="J55" i="17"/>
  <c r="L55" i="17"/>
  <c r="J45" i="17"/>
  <c r="L45" i="17"/>
  <c r="L57" i="16" l="1"/>
  <c r="L78" i="16" s="1"/>
  <c r="J57" i="16"/>
  <c r="H75" i="16" s="1"/>
  <c r="I74" i="16" s="1"/>
  <c r="L74" i="16" s="1"/>
  <c r="L48" i="17"/>
  <c r="L68" i="17" s="1"/>
  <c r="L88" i="17" s="1"/>
  <c r="I48" i="17"/>
  <c r="J48" i="17"/>
  <c r="J68" i="17" s="1"/>
  <c r="K48" i="17"/>
  <c r="L71" i="16" l="1"/>
  <c r="J76" i="16" s="1"/>
  <c r="L81" i="17"/>
  <c r="H85" i="17"/>
  <c r="I84" i="17" s="1"/>
  <c r="L84" i="17" s="1"/>
  <c r="J86" i="17" l="1"/>
</calcChain>
</file>

<file path=xl/comments1.xml><?xml version="1.0" encoding="utf-8"?>
<comments xmlns="http://schemas.openxmlformats.org/spreadsheetml/2006/main">
  <authors>
    <author>stephane l</author>
  </authors>
  <commentList>
    <comment ref="G59" authorId="0" shapeId="0">
      <text>
        <r>
          <rPr>
            <sz val="9"/>
            <color indexed="81"/>
            <rFont val="Tahoma"/>
            <family val="2"/>
          </rPr>
          <t>(0,3194 ÷ 0,6) × [(1,6 Smic + heures supplémentaires ou complémentaires ÷ rémunération mensuelle brute) - 1]  </t>
        </r>
      </text>
    </comment>
  </commentList>
</comments>
</file>

<file path=xl/comments2.xml><?xml version="1.0" encoding="utf-8"?>
<comments xmlns="http://schemas.openxmlformats.org/spreadsheetml/2006/main">
  <authors>
    <author>Bienvenue</author>
  </authors>
  <commentList>
    <comment ref="B39" authorId="0" shapeId="0">
      <text>
        <r>
          <rPr>
            <sz val="9"/>
            <color indexed="81"/>
            <rFont val="Tahoma"/>
            <family val="2"/>
          </rPr>
          <t xml:space="preserve">
</t>
        </r>
        <r>
          <rPr>
            <sz val="8"/>
            <color indexed="81"/>
            <rFont val="Times New Roman"/>
            <family val="1"/>
          </rPr>
          <t xml:space="preserve">(En plus des 7 % si Salaire Brut &gt; 2,5 SMIC </t>
        </r>
      </text>
    </comment>
    <comment ref="N39" authorId="0" shapeId="0">
      <text>
        <r>
          <rPr>
            <sz val="9"/>
            <color indexed="81"/>
            <rFont val="Tahoma"/>
            <family val="2"/>
          </rPr>
          <t xml:space="preserve">
</t>
        </r>
        <r>
          <rPr>
            <sz val="8"/>
            <color indexed="81"/>
            <rFont val="Times New Roman"/>
            <family val="1"/>
          </rPr>
          <t xml:space="preserve">(En plus des 7 % si Salaire Brut &gt; 2,5 SMIC </t>
        </r>
      </text>
    </comment>
    <comment ref="P39" authorId="0" shapeId="0">
      <text>
        <r>
          <rPr>
            <sz val="9"/>
            <color indexed="81"/>
            <rFont val="Tahoma"/>
            <family val="2"/>
          </rPr>
          <t xml:space="preserve">La limite de 2,5 SMIC pour que cette cotisation se déclenche est paramétrée sur la base de cotisation.
Le SMICH applicable pour apprécier la limite en 2024 est le SMICH au 31.12.2023 soit 11,52
</t>
        </r>
      </text>
    </comment>
    <comment ref="N40" authorId="0" shapeId="0">
      <text>
        <r>
          <rPr>
            <sz val="9"/>
            <color indexed="81"/>
            <rFont val="Tahoma"/>
            <family val="2"/>
          </rPr>
          <t xml:space="preserve">Taux propre à chaque entreprise 
</t>
        </r>
      </text>
    </comment>
    <comment ref="N41" authorId="0" shapeId="0">
      <text>
        <r>
          <rPr>
            <sz val="9"/>
            <color indexed="81"/>
            <rFont val="Tahoma"/>
            <family val="2"/>
          </rPr>
          <t xml:space="preserve">Taux propre à chaque entreprise
</t>
        </r>
      </text>
    </comment>
    <comment ref="N43" authorId="0" shapeId="0">
      <text>
        <r>
          <rPr>
            <sz val="9"/>
            <color indexed="81"/>
            <rFont val="Tahoma"/>
            <family val="2"/>
          </rPr>
          <t xml:space="preserve">
La cotisation Accident du Tavail t Maladies Professionnelles est variable suivant les entreprises et au sein des entrepriss peut être différente selon les postes occupés par les salariés.</t>
        </r>
      </text>
    </comment>
    <comment ref="P46" authorId="0" shapeId="0">
      <text>
        <r>
          <rPr>
            <sz val="9"/>
            <color indexed="81"/>
            <rFont val="Tahoma"/>
            <family val="2"/>
          </rPr>
          <t xml:space="preserve">La limite de 3,5 SMIC pour que cette cotisation se déclenche est paramétrée pour un mois isolé 
Le SMICH pour apprécier la limite de 3,5 SMIC est le SMICH applicable au 31/12/2023
</t>
        </r>
      </text>
    </comment>
    <comment ref="B51" authorId="0" shapeId="0">
      <text>
        <r>
          <rPr>
            <sz val="9"/>
            <color indexed="81"/>
            <rFont val="Tahoma"/>
            <family val="2"/>
          </rPr>
          <t xml:space="preserve">Cf les differents tableaux de suivi </t>
        </r>
        <r>
          <rPr>
            <b/>
            <sz val="9"/>
            <color indexed="81"/>
            <rFont val="Tahoma"/>
            <family val="2"/>
          </rPr>
          <t xml:space="preserve">
</t>
        </r>
        <r>
          <rPr>
            <sz val="9"/>
            <color indexed="81"/>
            <rFont val="Tahoma"/>
            <family val="2"/>
          </rPr>
          <t xml:space="preserve">
</t>
        </r>
      </text>
    </comment>
    <comment ref="N61" authorId="0" shapeId="0">
      <text>
        <r>
          <rPr>
            <b/>
            <sz val="9"/>
            <color indexed="81"/>
            <rFont val="Tahoma"/>
            <family val="2"/>
          </rPr>
          <t xml:space="preserve"> </t>
        </r>
        <r>
          <rPr>
            <sz val="9"/>
            <color indexed="81"/>
            <rFont val="Tahoma"/>
            <family val="2"/>
          </rPr>
          <t xml:space="preserve">Effectif salariés &lt; 50 </t>
        </r>
      </text>
    </comment>
    <comment ref="N62" authorId="0" shapeId="0">
      <text>
        <r>
          <rPr>
            <sz val="9"/>
            <color indexed="81"/>
            <rFont val="Tahoma"/>
            <family val="2"/>
          </rPr>
          <t xml:space="preserve">
Effectif salariés &gt; = 50</t>
        </r>
      </text>
    </comment>
    <comment ref="N63" authorId="0" shapeId="0">
      <text>
        <r>
          <rPr>
            <sz val="9"/>
            <color indexed="81"/>
            <rFont val="Tahoma"/>
            <family val="2"/>
          </rPr>
          <t xml:space="preserve">(Taux Variable) Applicable Si Effectif salariés &gt;= 11
</t>
        </r>
      </text>
    </comment>
    <comment ref="Q63" authorId="0" shapeId="0">
      <text>
        <r>
          <rPr>
            <sz val="9"/>
            <color indexed="81"/>
            <rFont val="Tahoma"/>
            <family val="2"/>
          </rPr>
          <t xml:space="preserve">Taux applicable pour Paris et la petite couronne (Hauts-de-Seine, de la Seine-Saint-Denis et du Val-de-Marne) à compter du 01/02/2024 l(e taux passe de 2,95% à 3,2%)
</t>
        </r>
        <r>
          <rPr>
            <b/>
            <sz val="9"/>
            <color indexed="81"/>
            <rFont val="Tahoma"/>
            <family val="2"/>
          </rPr>
          <t xml:space="preserve">
 </t>
        </r>
        <r>
          <rPr>
            <sz val="9"/>
            <color indexed="81"/>
            <rFont val="Tahoma"/>
            <family val="2"/>
          </rPr>
          <t xml:space="preserve">
</t>
        </r>
      </text>
    </comment>
    <comment ref="N65" authorId="0" shapeId="0">
      <text>
        <r>
          <rPr>
            <b/>
            <sz val="9"/>
            <color indexed="81"/>
            <rFont val="Tahoma"/>
            <family val="2"/>
          </rPr>
          <t xml:space="preserve"> </t>
        </r>
        <r>
          <rPr>
            <sz val="9"/>
            <color indexed="81"/>
            <rFont val="Tahoma"/>
            <family val="2"/>
          </rPr>
          <t>Si Effectif salariés &gt;= 11)</t>
        </r>
      </text>
    </comment>
    <comment ref="N69" authorId="0" shapeId="0">
      <text>
        <r>
          <rPr>
            <sz val="9"/>
            <color indexed="81"/>
            <rFont val="Tahoma"/>
            <family val="2"/>
          </rPr>
          <t>(Si Effectifs salariés &gt; = 11 )</t>
        </r>
      </text>
    </comment>
    <comment ref="N70" authorId="0" shapeId="0">
      <text>
        <r>
          <rPr>
            <sz val="9"/>
            <color indexed="81"/>
            <rFont val="Tahoma"/>
            <family val="2"/>
          </rPr>
          <t xml:space="preserve">(Si Effectifs salariés &lt; 11 )
</t>
        </r>
      </text>
    </comment>
    <comment ref="N71" authorId="0" shapeId="0">
      <text>
        <r>
          <rPr>
            <b/>
            <sz val="9"/>
            <color indexed="81"/>
            <rFont val="Tahoma"/>
            <family val="2"/>
          </rPr>
          <t xml:space="preserve"> 
</t>
        </r>
        <r>
          <rPr>
            <sz val="9"/>
            <color indexed="81"/>
            <rFont val="Tahoma"/>
            <family val="2"/>
          </rPr>
          <t xml:space="preserve">Si Effectifs Salariés &gt;=50 salariés (1)
</t>
        </r>
      </text>
    </comment>
    <comment ref="G81" authorId="0" shapeId="0">
      <text>
        <r>
          <rPr>
            <sz val="9"/>
            <color indexed="81"/>
            <rFont val="Tahoma"/>
            <family val="2"/>
          </rPr>
          <t xml:space="preserve">L'indemnité de rupture conventionnelle est comprise dans le montant net social </t>
        </r>
        <r>
          <rPr>
            <sz val="9"/>
            <color indexed="81"/>
            <rFont val="Tahoma"/>
            <family val="2"/>
          </rPr>
          <t xml:space="preserve">
</t>
        </r>
      </text>
    </comment>
    <comment ref="K88" authorId="0" shapeId="0">
      <text>
        <r>
          <rPr>
            <sz val="9"/>
            <color indexed="81"/>
            <rFont val="Tahoma"/>
            <family val="2"/>
          </rPr>
          <t xml:space="preserve">Le montant de l'Indemnité de départ , imposable, a été rajouté dans la formule de calcul de la feuille Heures Supplémentaires 
</t>
        </r>
      </text>
    </comment>
    <comment ref="E92" authorId="0" shapeId="0">
      <text>
        <r>
          <rPr>
            <sz val="9"/>
            <color indexed="81"/>
            <rFont val="Tahoma"/>
            <family val="2"/>
          </rPr>
          <t xml:space="preserve">Voir la note dans le Mois 1 </t>
        </r>
      </text>
    </comment>
    <comment ref="G92" authorId="0" shapeId="0">
      <text>
        <r>
          <rPr>
            <sz val="9"/>
            <color indexed="81"/>
            <rFont val="Tahoma"/>
            <family val="2"/>
          </rPr>
          <t>Le taux du PAS est SAISI manuellement la table du taux neutre étant reliée au Mois 1</t>
        </r>
      </text>
    </comment>
  </commentList>
</comments>
</file>

<file path=xl/comments3.xml><?xml version="1.0" encoding="utf-8"?>
<comments xmlns="http://schemas.openxmlformats.org/spreadsheetml/2006/main">
  <authors>
    <author>64011-69-14</author>
    <author>stephane l</author>
  </authors>
  <commentList>
    <comment ref="N2" authorId="0" shapeId="0">
      <text>
        <r>
          <rPr>
            <sz val="9"/>
            <color indexed="81"/>
            <rFont val="Tahoma"/>
            <family val="2"/>
          </rPr>
          <t>Le coût AN si le véhicule est loué ne peut pas dépasser l'AN si il aurait été acheté</t>
        </r>
      </text>
    </comment>
    <comment ref="G20" authorId="0" shapeId="0">
      <text>
        <r>
          <rPr>
            <b/>
            <sz val="9"/>
            <color indexed="81"/>
            <rFont val="Tahoma"/>
            <family val="2"/>
          </rPr>
          <t>Si statut autre que cadre et =0 supprimer le salaire cadre mensuel G35</t>
        </r>
      </text>
    </comment>
    <comment ref="G28" authorId="0" shapeId="0">
      <text>
        <r>
          <rPr>
            <b/>
            <sz val="9"/>
            <color indexed="81"/>
            <rFont val="Tahoma"/>
            <charset val="1"/>
          </rPr>
          <t>35 ou 39 * 52/12  c</t>
        </r>
      </text>
    </comment>
    <comment ref="H28" authorId="1" shapeId="0">
      <text>
        <r>
          <rPr>
            <sz val="9"/>
            <color indexed="81"/>
            <rFont val="Tahoma"/>
            <family val="2"/>
          </rPr>
          <t>Non inclus les réparation dûe à un sinistre</t>
        </r>
      </text>
    </comment>
    <comment ref="H29" authorId="1" shapeId="0">
      <text>
        <r>
          <rPr>
            <sz val="9"/>
            <color indexed="81"/>
            <rFont val="Tahoma"/>
            <family val="2"/>
          </rPr>
          <t>Forfait annuelle de l'assurance - exclue les franchises en cas de sinistre - Peut faire la moyenne TTC si une grand flotte de véhicule</t>
        </r>
      </text>
    </comment>
    <comment ref="E31" authorId="0" shapeId="0">
      <text>
        <r>
          <rPr>
            <b/>
            <sz val="9"/>
            <color indexed="81"/>
            <rFont val="Tahoma"/>
            <charset val="1"/>
          </rPr>
          <t>Attention case en %</t>
        </r>
      </text>
    </comment>
    <comment ref="H31" authorId="1" shapeId="0">
      <text>
        <r>
          <rPr>
            <sz val="9"/>
            <color indexed="81"/>
            <rFont val="Tahoma"/>
            <family val="2"/>
          </rPr>
          <t>Uniquement les frais carburant à usage privé payé par l'employeur</t>
        </r>
      </text>
    </comment>
    <comment ref="F34" authorId="1" shapeId="0">
      <text>
        <r>
          <rPr>
            <sz val="9"/>
            <color indexed="81"/>
            <rFont val="Tahoma"/>
            <family val="2"/>
          </rPr>
          <t>Max 218jour sauf si CCN prévoit moins au dela jour supplémentaire</t>
        </r>
      </text>
    </comment>
  </commentList>
</comments>
</file>

<file path=xl/comments4.xml><?xml version="1.0" encoding="utf-8"?>
<comments xmlns="http://schemas.openxmlformats.org/spreadsheetml/2006/main">
  <authors>
    <author>stephane l</author>
  </authors>
  <commentList>
    <comment ref="K53" authorId="0" shapeId="0">
      <text>
        <r>
          <rPr>
            <sz val="9"/>
            <color indexed="81"/>
            <rFont val="Tahoma"/>
            <family val="2"/>
          </rPr>
          <t>(0,3194 ÷ 0,6) × [(1,6 Smic + heures supplémentaires ou complémentaires ÷ rémunération mensuelle brute) - 1]  </t>
        </r>
      </text>
    </comment>
  </commentList>
</comments>
</file>

<file path=xl/comments5.xml><?xml version="1.0" encoding="utf-8"?>
<comments xmlns="http://schemas.openxmlformats.org/spreadsheetml/2006/main">
  <authors>
    <author>stephane l</author>
  </authors>
  <commentList>
    <comment ref="K64" authorId="0" shapeId="0">
      <text>
        <r>
          <rPr>
            <sz val="9"/>
            <color indexed="81"/>
            <rFont val="Tahoma"/>
            <family val="2"/>
          </rPr>
          <t>(0,3194 ÷ 0,6) × [(1,6 Smic + heures supplémentaires ou complémentaires ÷ rémunération mensuelle brute) - 1]  </t>
        </r>
      </text>
    </comment>
  </commentList>
</comments>
</file>

<file path=xl/sharedStrings.xml><?xml version="1.0" encoding="utf-8"?>
<sst xmlns="http://schemas.openxmlformats.org/spreadsheetml/2006/main" count="1084" uniqueCount="482">
  <si>
    <t>BULLETIN DE PAIE</t>
  </si>
  <si>
    <t xml:space="preserve">Tranche A </t>
  </si>
  <si>
    <t>Tranche 1</t>
  </si>
  <si>
    <t xml:space="preserve">Employeur : </t>
  </si>
  <si>
    <t>Tranche B</t>
  </si>
  <si>
    <t>Tranche 2</t>
  </si>
  <si>
    <t>Adresse :</t>
  </si>
  <si>
    <t>SMIC pour 151,67 h :</t>
  </si>
  <si>
    <t>79% smic :</t>
  </si>
  <si>
    <t>N° SIRET :</t>
  </si>
  <si>
    <t>Paiement :</t>
  </si>
  <si>
    <t>Code APE/NAF :</t>
  </si>
  <si>
    <t>Convention collective :</t>
  </si>
  <si>
    <t>Création :</t>
  </si>
  <si>
    <t>Salarié :</t>
  </si>
  <si>
    <t>Emploi :</t>
  </si>
  <si>
    <t>Classification :</t>
  </si>
  <si>
    <t>N° Sécuité Sociale :</t>
  </si>
  <si>
    <t>Effectif :</t>
  </si>
  <si>
    <t>Contrat :</t>
  </si>
  <si>
    <t xml:space="preserve">Nbre heures </t>
  </si>
  <si>
    <t>Taux horaire</t>
  </si>
  <si>
    <t>Montant</t>
  </si>
  <si>
    <t>Salaire de base</t>
  </si>
  <si>
    <t>Heures supplémentaires 25%</t>
  </si>
  <si>
    <t>Heures supplémentaires 50%</t>
  </si>
  <si>
    <t>Absences jours ouvrables/non ouvrables</t>
  </si>
  <si>
    <t>SALAIRE BRUT :</t>
  </si>
  <si>
    <t>Santé</t>
  </si>
  <si>
    <t>Base</t>
  </si>
  <si>
    <t>Taux salarial</t>
  </si>
  <si>
    <t xml:space="preserve">Montant </t>
  </si>
  <si>
    <t>Taux Patronal</t>
  </si>
  <si>
    <t>Maladie, maternité, invalidité, décès</t>
  </si>
  <si>
    <t>Prévoyance non cadre (non obligatoire)</t>
  </si>
  <si>
    <t>Accidents du travail et maladies professionnelles</t>
  </si>
  <si>
    <t>Famille</t>
  </si>
  <si>
    <t>Allocations Familliales</t>
  </si>
  <si>
    <t>Chômage</t>
  </si>
  <si>
    <t>Assurance chômage TA+TB</t>
  </si>
  <si>
    <t>AGS TA+TB</t>
  </si>
  <si>
    <t>Côtisations Retraite</t>
  </si>
  <si>
    <t>Vielliesse Plafonnée</t>
  </si>
  <si>
    <t>Vielliesse Déplafonnée</t>
  </si>
  <si>
    <t>Retraite T1</t>
  </si>
  <si>
    <t>CEG (Contribution d'Equilibre Général) T1</t>
  </si>
  <si>
    <t>Autres contributions</t>
  </si>
  <si>
    <t>FNAL (aide au logement) - &lt;50 salariés</t>
  </si>
  <si>
    <t>FNAL (aide au logement)- &gt;=50 salariés</t>
  </si>
  <si>
    <t xml:space="preserve">Contribution au dialogue social </t>
  </si>
  <si>
    <t>Contribution solidarité Autonomie</t>
  </si>
  <si>
    <r>
      <t>Depuis le 1er janvier 2019 et pour tous les apprentis, le calcul des cotisations sociales ne se fait plus sur la base d'un forfait</t>
    </r>
    <r>
      <rPr>
        <sz val="14"/>
        <color rgb="FFFF0000"/>
        <rFont val="Tahoma"/>
        <family val="2"/>
      </rPr>
      <t>.</t>
    </r>
  </si>
  <si>
    <t>Participation effort construction &gt;=50 salariés</t>
  </si>
  <si>
    <t>Versement transport (&gt;=11 salariés)</t>
  </si>
  <si>
    <t>Les cotisations sociales des apprentis sont désormais calculées sur la base du salaire réel des apprentis et l'employeur bénéficie de la réduction générale de cotisations patronales, devenue plus favorable que les anciennes exonérations de cotisations calculées sur le forfait.</t>
  </si>
  <si>
    <t>Allègement côtisations :</t>
  </si>
  <si>
    <t xml:space="preserve">Réduction Fillon </t>
  </si>
  <si>
    <t>Les employeurs d'apprentis bénéficient, depuis le 1er janvier 2019, de la réduction générale de cotisations patronales ou réduction Fillon au taux maximum. L'exonération de charges salariales est maintenue jusqu'à 79% du SMIC.</t>
  </si>
  <si>
    <t>Réduction cotisation salariale sur HS 1,25</t>
  </si>
  <si>
    <t>Réduction cotisation salariale sur HS 1,50</t>
  </si>
  <si>
    <t>Sous Total :</t>
  </si>
  <si>
    <t>Primes et indemnités non soumises à cotisations</t>
  </si>
  <si>
    <t>Panier Repas Jour</t>
  </si>
  <si>
    <t>Panier Repas nuit</t>
  </si>
  <si>
    <t>Forfait repas</t>
  </si>
  <si>
    <t>Repas frais réels</t>
  </si>
  <si>
    <t>Prime Fractionnement CP</t>
  </si>
  <si>
    <t>Retenues :</t>
  </si>
  <si>
    <t>Tickets Restaurant</t>
  </si>
  <si>
    <t>Déduction TR soumis à cotisations</t>
  </si>
  <si>
    <t>Avantages en nature à déduire</t>
  </si>
  <si>
    <t>Saisie sur salaire</t>
  </si>
  <si>
    <t>Saisie pension alimentaire</t>
  </si>
  <si>
    <t>Avances et acomptes</t>
  </si>
  <si>
    <t>Net à payer avant prélèvement à la source</t>
  </si>
  <si>
    <t>dont évolution de la rémunération liées à la suppression des cotisations chômage et maladie</t>
  </si>
  <si>
    <t xml:space="preserve">Impôt sur le revenu </t>
  </si>
  <si>
    <t>Taux personnalisé/non personnalisé</t>
  </si>
  <si>
    <t>Impôt sur le revenu prélevé à la source</t>
  </si>
  <si>
    <t>Net imposable</t>
  </si>
  <si>
    <t>NET A PAYER</t>
  </si>
  <si>
    <t>Allègement cotisations employeur</t>
  </si>
  <si>
    <t>coût total employeur</t>
  </si>
  <si>
    <t>Pour plus d'explications sur les différents termes utilisés, vous pouvez consulter le site :</t>
  </si>
  <si>
    <t>www.service-public.fr</t>
  </si>
  <si>
    <r>
      <t xml:space="preserve">Conserver ce bulletin sans limitation de durée
</t>
    </r>
    <r>
      <rPr>
        <sz val="10"/>
        <color theme="1"/>
        <rFont val="Calibri"/>
        <family val="2"/>
        <scheme val="minor"/>
      </rPr>
      <t>Pour la définition des termes employés se reporter aux rubriques bulletin de salaire  du site internet service public.fr</t>
    </r>
  </si>
  <si>
    <t>Les apprentis ne sont assujettis à aucune cotisation salariale lorsque leur rémunération est inférieure à 79 % du Smic. L'instruction précise que lorsque la rémunération dépasse 79 % du Smic, si des heures supplémentaires sont réalisées, l’exonération au titre de ces heures s’applique uniquement sur la part de rémunération supérieure à 79 % du SMIC. L'exonération s'appliquera alors à proportion de la part de la rémunération au titre de ces heures supplémentaires dans le total de la rémunération.</t>
  </si>
  <si>
    <t>hors Alsace Moselle :</t>
  </si>
  <si>
    <t>https://www.compta-online.com/frais-de-repas-des-salaries-indemnite-panier-repas-ao2365</t>
  </si>
  <si>
    <t>Statut :</t>
  </si>
  <si>
    <t>ou selon CC :</t>
  </si>
  <si>
    <t>Titres Restaurant :</t>
  </si>
  <si>
    <t>Valeur TR</t>
  </si>
  <si>
    <t>Valeur Part patronale Tickets restaurant</t>
  </si>
  <si>
    <t>limite pour exonération</t>
  </si>
  <si>
    <t>Nbe TR</t>
  </si>
  <si>
    <t>https://www.service-public.fr/particuliers/vosdroits/F2918</t>
  </si>
  <si>
    <t>Lorsque la participation de l'employeur excède 60%,</t>
  </si>
  <si>
    <t xml:space="preserve">c'est la totalité de cette contribution </t>
  </si>
  <si>
    <t>qui doit être réintégrée et soumise à côtisations</t>
  </si>
  <si>
    <t>https://reassurez-moi.fr/guide/pro/mutuelle-entreprise/apprenti</t>
  </si>
  <si>
    <t>Salaire :</t>
  </si>
  <si>
    <t>Date de naissance :</t>
  </si>
  <si>
    <t>Age de l'apprenti :</t>
  </si>
  <si>
    <t>Date de contrat</t>
  </si>
  <si>
    <t>Ancienneté :</t>
  </si>
  <si>
    <t>Taux horaire SMIC :</t>
  </si>
  <si>
    <t>Taux apprenti appliqué :</t>
  </si>
  <si>
    <t>1er année</t>
  </si>
  <si>
    <t>2ème année</t>
  </si>
  <si>
    <t>3ème année</t>
  </si>
  <si>
    <t xml:space="preserve">Date de Sortie : </t>
  </si>
  <si>
    <t>au</t>
  </si>
  <si>
    <t>Nouveau taux horaire :</t>
  </si>
  <si>
    <t>Date d'embauche :</t>
  </si>
  <si>
    <t>Période du : 01/04/2020</t>
  </si>
  <si>
    <t>Nombre d'heure total :</t>
  </si>
  <si>
    <t>Ursaaf cotisation employeur</t>
  </si>
  <si>
    <t>Intérim</t>
  </si>
  <si>
    <t>CDD</t>
  </si>
  <si>
    <t>CDI</t>
  </si>
  <si>
    <t>Non</t>
  </si>
  <si>
    <t>Oui</t>
  </si>
  <si>
    <t>Forfait social sur les côtisations patronales de prévoyance et frais de santé &gt;= 11 salariés</t>
  </si>
  <si>
    <t>TEPA</t>
  </si>
  <si>
    <t>Panier repas</t>
  </si>
  <si>
    <t>Rajout CCN (% du T horaire SMIC):</t>
  </si>
  <si>
    <t>Complémentaire santé forfait</t>
  </si>
  <si>
    <t>Complémentaire santé forfait :</t>
  </si>
  <si>
    <t>Part salariale</t>
  </si>
  <si>
    <t>Part empl</t>
  </si>
  <si>
    <t>AT/MP</t>
  </si>
  <si>
    <t>Panier Repas Jour pour le mois</t>
  </si>
  <si>
    <t>Panier Repas Nuit pour le mois</t>
  </si>
  <si>
    <t>Par repas 01/01/2024 dans la limite de 2/j ( 4,15 secteur hotel, café, restaurants ou HCR )</t>
  </si>
  <si>
    <t>Taux patr :</t>
  </si>
  <si>
    <t>de 11,97 à 14,36€</t>
  </si>
  <si>
    <t>Entreprise :</t>
  </si>
  <si>
    <t>Entre 50 à 60%</t>
  </si>
  <si>
    <t>Nbre</t>
  </si>
  <si>
    <t>Taux</t>
  </si>
  <si>
    <t>Participation effort construction ≥ 50 salariés</t>
  </si>
  <si>
    <t xml:space="preserve">Versement transport ≥ 11 salariés </t>
  </si>
  <si>
    <t>Prévoyance complémentaire ( décès, invalidité )</t>
  </si>
  <si>
    <t>Cotisation transport :</t>
  </si>
  <si>
    <t>TEPA &lt; 20 salariés</t>
  </si>
  <si>
    <t>Réduction des cotisations ( Ex Fillon )</t>
  </si>
  <si>
    <t>Période du : 01/07/2024</t>
  </si>
  <si>
    <t>au : 31/07/2024</t>
  </si>
  <si>
    <t>Ouvrier</t>
  </si>
  <si>
    <t>Cadre</t>
  </si>
  <si>
    <t>Apprenti</t>
  </si>
  <si>
    <t>Stagiaire</t>
  </si>
  <si>
    <t>Contrat n° :</t>
  </si>
  <si>
    <t>Salaire Brut :</t>
  </si>
  <si>
    <t>Retraite T2</t>
  </si>
  <si>
    <t>APEC cadre T1</t>
  </si>
  <si>
    <t>APEC cadre T2</t>
  </si>
  <si>
    <t>CEG (Contribution d'Equilibre Général) T2</t>
  </si>
  <si>
    <t>Cadre dirigeant</t>
  </si>
  <si>
    <t>Salaire Cadre :</t>
  </si>
  <si>
    <t>Forfait jour :</t>
  </si>
  <si>
    <t>Salaire</t>
  </si>
  <si>
    <t>Autre :</t>
  </si>
  <si>
    <t>Cotisation :</t>
  </si>
  <si>
    <t>Prévoyance Cadre TA</t>
  </si>
  <si>
    <t>Assurance chômage TA</t>
  </si>
  <si>
    <t>Assurance chômage TB</t>
  </si>
  <si>
    <t>Type de contrat :</t>
  </si>
  <si>
    <t>|</t>
  </si>
  <si>
    <t>Temps partiel</t>
  </si>
  <si>
    <t>CSG  non déductible</t>
  </si>
  <si>
    <t>CSG déductible</t>
  </si>
  <si>
    <t>Part employeur</t>
  </si>
  <si>
    <t>Logement</t>
  </si>
  <si>
    <t>Repas</t>
  </si>
  <si>
    <t>AN Véhicule :</t>
  </si>
  <si>
    <t>Forfait :</t>
  </si>
  <si>
    <t>Assurance</t>
  </si>
  <si>
    <t>Frais entretien :</t>
  </si>
  <si>
    <t>Km privé année :</t>
  </si>
  <si>
    <t>Prix d'achat TTC ou prix location annuelle :</t>
  </si>
  <si>
    <t>Km total année :</t>
  </si>
  <si>
    <t>Avantages en nature repas</t>
  </si>
  <si>
    <t>Avantages en nature véhicule</t>
  </si>
  <si>
    <t>Avantages en nature logement</t>
  </si>
  <si>
    <t>AN Véhicule au réelle :</t>
  </si>
  <si>
    <t>Véhicule électrique Oui</t>
  </si>
  <si>
    <t>Véhicule électrique Non</t>
  </si>
  <si>
    <t>Type de véhicule</t>
  </si>
  <si>
    <t>Véhicule loué</t>
  </si>
  <si>
    <t>Prise en charge carburant</t>
  </si>
  <si>
    <t>Loué</t>
  </si>
  <si>
    <t xml:space="preserve">AN au réelle </t>
  </si>
  <si>
    <t>AN au forfait</t>
  </si>
  <si>
    <t>Si électrique</t>
  </si>
  <si>
    <t>Moins 5 ans</t>
  </si>
  <si>
    <t>Plus  5 ans</t>
  </si>
  <si>
    <t>AN Véhicule au réelle</t>
  </si>
  <si>
    <t>Année véhicule</t>
  </si>
  <si>
    <t>base de donnée des listes de la ligne 2 à 11</t>
  </si>
  <si>
    <t>Carburant total</t>
  </si>
  <si>
    <t>Autre avantage</t>
  </si>
  <si>
    <t>Prime de pénibilité</t>
  </si>
  <si>
    <t>Avantage véhicule</t>
  </si>
  <si>
    <t>Prêt de véhicule</t>
  </si>
  <si>
    <t xml:space="preserve">Nombre heures </t>
  </si>
  <si>
    <t>Complément SMIC</t>
  </si>
  <si>
    <t>Redevance par le salarié</t>
  </si>
  <si>
    <t>Carburant à titre privé</t>
  </si>
  <si>
    <t>Carburant privé réel</t>
  </si>
  <si>
    <t>Date de construction véhicule :</t>
  </si>
  <si>
    <t>Prélèvement à la source (PAS) :</t>
  </si>
  <si>
    <t>AN véhi loué</t>
  </si>
  <si>
    <t>Cumul salaire</t>
  </si>
  <si>
    <t>Plafond</t>
  </si>
  <si>
    <t>Cumul plafond</t>
  </si>
  <si>
    <t>Cumul Tranche 1</t>
  </si>
  <si>
    <t>T1</t>
  </si>
  <si>
    <t>Cumul T2</t>
  </si>
  <si>
    <t>T2</t>
  </si>
  <si>
    <t>Mois</t>
  </si>
  <si>
    <t>Janvier</t>
  </si>
  <si>
    <t>Février</t>
  </si>
  <si>
    <t>Mars</t>
  </si>
  <si>
    <t>Avril</t>
  </si>
  <si>
    <t>Mai</t>
  </si>
  <si>
    <t>Juin</t>
  </si>
  <si>
    <t>Juillet</t>
  </si>
  <si>
    <t>Aout</t>
  </si>
  <si>
    <t>Septembre</t>
  </si>
  <si>
    <t>Octobre</t>
  </si>
  <si>
    <t>Novembre</t>
  </si>
  <si>
    <t>Décembre</t>
  </si>
  <si>
    <t>T1+T2</t>
  </si>
  <si>
    <t xml:space="preserve">Plafond </t>
  </si>
  <si>
    <t>PASS</t>
  </si>
  <si>
    <t xml:space="preserve"> Tableau Temps partiel</t>
  </si>
  <si>
    <t>base de donnée des listes de la ligne 2 à 14</t>
  </si>
  <si>
    <t>Libellé</t>
  </si>
  <si>
    <t>Cotisations 
salariales</t>
  </si>
  <si>
    <t>Cotisations 
patronales</t>
  </si>
  <si>
    <t xml:space="preserve">Cotisations et Contributions Obligatoires </t>
  </si>
  <si>
    <t>Sécurité sociale Maladie Maternité Invalidité Décés 1.</t>
  </si>
  <si>
    <t xml:space="preserve">Sécurité sociale Maladie Maternité Invalidité Décés 2. </t>
  </si>
  <si>
    <t xml:space="preserve">Mutuelle Cadres </t>
  </si>
  <si>
    <t xml:space="preserve">Mutuelle Non Cadres </t>
  </si>
  <si>
    <t xml:space="preserve">ACCIDENT DU TRAVAIL - MALADIES PROFESSIONNELLES </t>
  </si>
  <si>
    <t xml:space="preserve">FAMILLE </t>
  </si>
  <si>
    <t xml:space="preserve">Allocations Familiales Taux de Base </t>
  </si>
  <si>
    <t xml:space="preserve">Allocations Famliales Taux Majoré </t>
  </si>
  <si>
    <t xml:space="preserve">ASSURANCE CHÔMAGE </t>
  </si>
  <si>
    <t>Chômage ( TA+TB)</t>
  </si>
  <si>
    <t>AGS (TA+TB)</t>
  </si>
  <si>
    <t>APEC (TA+TB)</t>
  </si>
  <si>
    <t xml:space="preserve">RETRAITE </t>
  </si>
  <si>
    <t>Sécurité Sociale Plafonnée</t>
  </si>
  <si>
    <t xml:space="preserve">Sécurité Sociale déplafonnée </t>
  </si>
  <si>
    <t>Complémentaire T1</t>
  </si>
  <si>
    <t xml:space="preserve">Complémentaire T2 </t>
  </si>
  <si>
    <t>Contribution d'équilibre général  T1 (CEG T1)</t>
  </si>
  <si>
    <t>Contribution d'équilibre général  T2 (CEG T2)</t>
  </si>
  <si>
    <t>Contribution d'équilibre Technique  T1 (CET T1)</t>
  </si>
  <si>
    <t xml:space="preserve">Contribution d'équilibre Technique  T2 (CET T2) </t>
  </si>
  <si>
    <t xml:space="preserve">URSSAF FNAL Taux réduit  TA </t>
  </si>
  <si>
    <t xml:space="preserve">URSSAF FNAL Totalité </t>
  </si>
  <si>
    <t xml:space="preserve">Versement Mobilité </t>
  </si>
  <si>
    <t>Tx applicable  Paris et Petite couronne à pa</t>
  </si>
  <si>
    <t>Contribution de solidarité pour l'autonomie</t>
  </si>
  <si>
    <t>Forfait social</t>
  </si>
  <si>
    <t xml:space="preserve">Forfait social sur Retraite Supplémentaire Art 83 </t>
  </si>
  <si>
    <t xml:space="preserve">Contribution dialogue social </t>
  </si>
  <si>
    <t>Taxe d'apprentissage</t>
  </si>
  <si>
    <t xml:space="preserve">Formation professionnelle </t>
  </si>
  <si>
    <t xml:space="preserve">Participation à l'effort de construction </t>
  </si>
  <si>
    <t xml:space="preserve">C.S.G  déductible de l'impôt sur le revenu </t>
  </si>
  <si>
    <t xml:space="preserve">C.S.G./ C.R.D.S non déductible de l'impôt sur le revenu </t>
  </si>
  <si>
    <t xml:space="preserve">CSG  6,8 % sur Heures Supplémentaires  Non déductible </t>
  </si>
  <si>
    <t xml:space="preserve">CSG  6,8 % sur Heures supplémentaires Déductible </t>
  </si>
  <si>
    <t>CSG / CRDS 2,9 %  (Non déductible) sur Heures Supplémentaires</t>
  </si>
  <si>
    <t xml:space="preserve">Cotisations et Contributions Facultatives </t>
  </si>
  <si>
    <t xml:space="preserve">Prévoyance Complémentaire Cadres </t>
  </si>
  <si>
    <t xml:space="preserve">Prévoyance Complémentaire Non Cadres </t>
  </si>
  <si>
    <t>Assurance décés des cadres  (TA)</t>
  </si>
  <si>
    <t>Maintien de salaire TA</t>
  </si>
  <si>
    <t xml:space="preserve">Maintien de salaire TB </t>
  </si>
  <si>
    <t>Plafond de la sécurité sociale 2024</t>
  </si>
  <si>
    <t xml:space="preserve">SMICH 01/01/2023 </t>
  </si>
  <si>
    <t xml:space="preserve">SMICH 01/05/2023 </t>
  </si>
  <si>
    <t>SMICH au 01/01/2024</t>
  </si>
  <si>
    <t>SMIC Mensuel au 01/01/2023</t>
  </si>
  <si>
    <t>SMIC Mensuel au 01/05/2023</t>
  </si>
  <si>
    <t>SMIC Mensuel au 01/01/2024</t>
  </si>
  <si>
    <t>1,6 *SMICH  * 35 * 52 /12 au 01/01/2024</t>
  </si>
  <si>
    <t>2,5 *SMICH*35*52/12 au 01/01/2024</t>
  </si>
  <si>
    <t xml:space="preserve">Calcul alternatif </t>
  </si>
  <si>
    <t>3,5 *SMICH*35*52/12 au 01/01/2024</t>
  </si>
  <si>
    <t>Coefficients Red Gen de  Cot. à compter du 01/01/2024 (Entreprises de moins de 50 sal / Entreprises de 50 ou + de 50 sal.)</t>
  </si>
  <si>
    <t xml:space="preserve">Déduction forfaitaire sur les Heures supplémentaires  moins de 20 salariés </t>
  </si>
  <si>
    <t xml:space="preserve">1,5 euro / Heure suppl </t>
  </si>
  <si>
    <t xml:space="preserve">DFHS entreprises de 20 à moins de 250 salariés </t>
  </si>
  <si>
    <t>0,5 euro / Heure Suppl</t>
  </si>
  <si>
    <t xml:space="preserve">Tickets restaurant Exonération maximale de la Part Patronale </t>
  </si>
  <si>
    <t xml:space="preserve">Pass Navigo RP </t>
  </si>
  <si>
    <t xml:space="preserve">Salaire Brut Inférieur au PMSS </t>
  </si>
  <si>
    <t>Salaire Brut supérieur au PMSS</t>
  </si>
  <si>
    <t xml:space="preserve">PS </t>
  </si>
  <si>
    <t>PP</t>
  </si>
  <si>
    <t>CEG T1</t>
  </si>
  <si>
    <t>CET T1</t>
  </si>
  <si>
    <t>Complémentaire T1  (sur le BP)</t>
  </si>
  <si>
    <t>PS</t>
  </si>
  <si>
    <t xml:space="preserve">CEG T2 </t>
  </si>
  <si>
    <t>CET T2</t>
  </si>
  <si>
    <t xml:space="preserve">Complémentaire T2 (sur le BP) </t>
  </si>
  <si>
    <t>Départements</t>
  </si>
  <si>
    <t>Taux du Versement Mobilité en  2024</t>
  </si>
  <si>
    <t>A compter du 01/02/2024</t>
  </si>
  <si>
    <t>Paris (75) et départements des Hauts-de-Seine (92)</t>
  </si>
  <si>
    <t>2,95 %</t>
  </si>
  <si>
    <t>Départements de la Seine-Saint-Denis et du Val-de-Marne</t>
  </si>
  <si>
    <t>Communes de la région parisienne autres que Paris et les communes du département des Hauts-de-Seine, de la Seine-Saint-Denis et du Val-de-Marne (cf. ci-après)</t>
  </si>
  <si>
    <t xml:space="preserve">2,01 % / 1,6 % </t>
  </si>
  <si>
    <t xml:space="preserve">Consulter les taux applicables sur le site  de URSSAF à l'adresse suivante : </t>
  </si>
  <si>
    <r>
      <t xml:space="preserve">Taux </t>
    </r>
    <r>
      <rPr>
        <b/>
        <sz val="11"/>
        <color theme="1"/>
        <rFont val="Times New Roman"/>
        <family val="1"/>
      </rPr>
      <t>2024</t>
    </r>
    <r>
      <rPr>
        <sz val="11"/>
        <color theme="1"/>
        <rFont val="Times New Roman"/>
        <family val="1"/>
      </rPr>
      <t xml:space="preserve">  du Versement Mobilité en RP </t>
    </r>
  </si>
  <si>
    <r>
      <t xml:space="preserve">  </t>
    </r>
    <r>
      <rPr>
        <i/>
        <sz val="11"/>
        <color theme="1"/>
        <rFont val="Times New Roman"/>
        <family val="1"/>
      </rPr>
      <t xml:space="preserve"> https://www.urssaf.fr/portail/home/taux-et-baremes/versement-mobilite.html</t>
    </r>
  </si>
  <si>
    <t>Nombre d'heure :</t>
  </si>
  <si>
    <t>Contrat</t>
  </si>
  <si>
    <t>35h</t>
  </si>
  <si>
    <t>39h</t>
  </si>
  <si>
    <t>Si temps partiel :</t>
  </si>
  <si>
    <t>Plafond SS 2024 :</t>
  </si>
  <si>
    <t>Ou taux horaire défini</t>
  </si>
  <si>
    <t>Absence</t>
  </si>
  <si>
    <t>HS mensualisé</t>
  </si>
  <si>
    <t>HS 25%</t>
  </si>
  <si>
    <t>HS 50</t>
  </si>
  <si>
    <t>Nombre de jours abs :</t>
  </si>
  <si>
    <t>Heure sup</t>
  </si>
  <si>
    <t>Base de salaire mensuel brut théorique :</t>
  </si>
  <si>
    <r>
      <rPr>
        <sz val="11"/>
        <color rgb="FFFF0000"/>
        <rFont val="Calibri"/>
        <family val="2"/>
        <scheme val="minor"/>
      </rPr>
      <t>Si forfait jour</t>
    </r>
    <r>
      <rPr>
        <sz val="11"/>
        <color theme="1"/>
        <rFont val="Calibri"/>
        <family val="2"/>
        <scheme val="minor"/>
      </rPr>
      <t>, Nbre de jours</t>
    </r>
  </si>
  <si>
    <t>Salaire Cadre Mensuel</t>
  </si>
  <si>
    <t>Nbre de jours travaillé</t>
  </si>
  <si>
    <t>21,67 jour ouvré par mois 5jrs semaine*52semaines/12mois</t>
  </si>
  <si>
    <t>Vérif salaire Brut</t>
  </si>
  <si>
    <t>Temps partiel :</t>
  </si>
  <si>
    <t>Réel fait</t>
  </si>
  <si>
    <t>Salaire modifié</t>
  </si>
  <si>
    <t>NOM prénom :</t>
  </si>
  <si>
    <t>Liste déroulante</t>
  </si>
  <si>
    <t>Madame SUZY</t>
  </si>
  <si>
    <t>Chef comptable</t>
  </si>
  <si>
    <t>Période du : 01/03/2024</t>
  </si>
  <si>
    <t>au : 31/03/2024</t>
  </si>
  <si>
    <t xml:space="preserve">          BULLETIN  DE  SALAIRE</t>
  </si>
  <si>
    <t>EMPLOYEUR</t>
  </si>
  <si>
    <t>SALARIE</t>
  </si>
  <si>
    <t xml:space="preserve">Nom </t>
  </si>
  <si>
    <t xml:space="preserve">Adresse </t>
  </si>
  <si>
    <t xml:space="preserve">Prénom </t>
  </si>
  <si>
    <t xml:space="preserve">Emploi </t>
  </si>
  <si>
    <t>N° SIRET</t>
  </si>
  <si>
    <t>Code APE</t>
  </si>
  <si>
    <t xml:space="preserve">N° de S.S. </t>
  </si>
  <si>
    <t>URSSAF</t>
  </si>
  <si>
    <t>Effectif</t>
  </si>
  <si>
    <t>Statut = C ou NC ou D</t>
  </si>
  <si>
    <t>C</t>
  </si>
  <si>
    <t xml:space="preserve">Heures URSSAF </t>
  </si>
  <si>
    <t xml:space="preserve">SMICH </t>
  </si>
  <si>
    <t xml:space="preserve">  PERIODE DU  :</t>
  </si>
  <si>
    <t>Au :</t>
  </si>
  <si>
    <t xml:space="preserve">Payé le </t>
  </si>
  <si>
    <t xml:space="preserve"> Salaire de base </t>
  </si>
  <si>
    <t>à</t>
  </si>
  <si>
    <t xml:space="preserve">AN TR </t>
  </si>
  <si>
    <t xml:space="preserve">Prime d'ancienneté </t>
  </si>
  <si>
    <t xml:space="preserve">Primes entrant dans la base de calcul des heures supplémentaires et des heures complémentaires </t>
  </si>
  <si>
    <t xml:space="preserve">Avantages en nature </t>
  </si>
  <si>
    <t>Heures complémentaires à + 10 %</t>
  </si>
  <si>
    <t xml:space="preserve">Heures complémentaires à + 25 % </t>
  </si>
  <si>
    <t xml:space="preserve">Heures supplémentaires à + 10 % </t>
  </si>
  <si>
    <t xml:space="preserve"> Heures supplémentaires  à  + 25 %</t>
  </si>
  <si>
    <t xml:space="preserve"> Heures supplémentaires  à  + 50 %</t>
  </si>
  <si>
    <t xml:space="preserve">à </t>
  </si>
  <si>
    <t>Absence du 19/02 au 29/02</t>
  </si>
  <si>
    <t>Commissions</t>
  </si>
  <si>
    <t>Maintien du salaire</t>
  </si>
  <si>
    <t xml:space="preserve">IJSS Brute </t>
  </si>
  <si>
    <t xml:space="preserve">Garantie du Net </t>
  </si>
  <si>
    <t xml:space="preserve">Indemnité  compensatrice de congés payés 2021  - 2022 </t>
  </si>
  <si>
    <t>Indemnité compensatrice de congés payés 2023 - 2024</t>
  </si>
  <si>
    <t xml:space="preserve">Indemnité de licenciement </t>
  </si>
  <si>
    <t>Prime annuelle</t>
  </si>
  <si>
    <t>PLAFOND S.S.  :</t>
  </si>
  <si>
    <t>SALAIRE BRUT TOTAL</t>
  </si>
  <si>
    <t xml:space="preserve">Cotisations et Contributions Sociales Obligatoires </t>
  </si>
  <si>
    <t xml:space="preserve">Tx Salarial </t>
  </si>
  <si>
    <t xml:space="preserve">Tx patronal </t>
  </si>
  <si>
    <t xml:space="preserve">Part salariale </t>
  </si>
  <si>
    <t xml:space="preserve">Part patronale </t>
  </si>
  <si>
    <t xml:space="preserve">SANTE </t>
  </si>
  <si>
    <t xml:space="preserve">Mutuelle Non Cadres  </t>
  </si>
  <si>
    <t xml:space="preserve">Mutuelle Non Cadres T1 + T2 </t>
  </si>
  <si>
    <t>Mutuelle Cadres T1+T2</t>
  </si>
  <si>
    <t xml:space="preserve">Complémentaire T1 CET  </t>
  </si>
  <si>
    <t xml:space="preserve">FAMILLE  </t>
  </si>
  <si>
    <t xml:space="preserve">ASSURANCE CHOMAGE </t>
  </si>
  <si>
    <t xml:space="preserve">AUTRES CONTRIBUTIONS DUES PAR L'EMPLOYEUR </t>
  </si>
  <si>
    <t xml:space="preserve">COTISATIONS STATUTAIRES OU PREVUES PAR LA CONVENTION COLLECTIVE  </t>
  </si>
  <si>
    <t xml:space="preserve">CSG sur Heures Supplémentaires  Non déductible </t>
  </si>
  <si>
    <t xml:space="preserve">CSG sur Heures supplémentaires Déductible </t>
  </si>
  <si>
    <t>CSG / CRDS (Non déductible) sur Heures Supplémentaires</t>
  </si>
  <si>
    <t xml:space="preserve">EXONERATIONS ET ALLEGEMENTS DE COTISATIONS </t>
  </si>
  <si>
    <t xml:space="preserve">Réduction cotisations heures supplémentaires , complémentaires et autres </t>
  </si>
  <si>
    <t xml:space="preserve">Total des Cotisations et Contributions </t>
  </si>
  <si>
    <t xml:space="preserve">Cotisations et Contributions Sociales Facultatives </t>
  </si>
  <si>
    <t>Prévoyance Complémentaire Non Cadres T1+T2</t>
  </si>
  <si>
    <t>Retraite Supplémentaire Art 83</t>
  </si>
  <si>
    <t xml:space="preserve">Montant Net Social </t>
  </si>
  <si>
    <t>Tickets Restaurant PS et PP</t>
  </si>
  <si>
    <t xml:space="preserve">IndemnIté de Transport </t>
  </si>
  <si>
    <t xml:space="preserve">AN TR soumis à cotisations </t>
  </si>
  <si>
    <t xml:space="preserve">AN TR Imposable </t>
  </si>
  <si>
    <t xml:space="preserve">Indemnité de rupture conventionnelle imposable ( non soumise à cotisations )  </t>
  </si>
  <si>
    <t xml:space="preserve">NET A PAYER AVANT IMPOT SUR LE REVENU </t>
  </si>
  <si>
    <t xml:space="preserve">Net Imposable </t>
  </si>
  <si>
    <t xml:space="preserve">Montant net des heures supplémentaires / Complémentaires/ RTT Exonérées </t>
  </si>
  <si>
    <t xml:space="preserve">Montant net des heures supplémentaires / Complémentaires/ RTT Non Exonérées </t>
  </si>
  <si>
    <t xml:space="preserve">Impöt sur le revenu Prélevé à la source </t>
  </si>
  <si>
    <t xml:space="preserve">Base </t>
  </si>
  <si>
    <t xml:space="preserve">Taux personnalisé / Taux non personnalisé </t>
  </si>
  <si>
    <t xml:space="preserve"> </t>
  </si>
  <si>
    <t>Net à payer au salarié (en euros)</t>
  </si>
  <si>
    <t>Allégements de Cotisations Employeur</t>
  </si>
  <si>
    <t xml:space="preserve">Total versé par l'employeur </t>
  </si>
  <si>
    <t xml:space="preserve">Mois </t>
  </si>
  <si>
    <t xml:space="preserve">Cumuls </t>
  </si>
  <si>
    <t>Congés Payés N-1 / N</t>
  </si>
  <si>
    <t>Congés Payés N / N+1</t>
  </si>
  <si>
    <t xml:space="preserve">Prélèvement à la source </t>
  </si>
  <si>
    <t xml:space="preserve">Acquis </t>
  </si>
  <si>
    <t xml:space="preserve">Cumul mois précédent </t>
  </si>
  <si>
    <t>Heures Suppl. / Compl. défiscalisées</t>
  </si>
  <si>
    <t xml:space="preserve">Pris </t>
  </si>
  <si>
    <t xml:space="preserve">Acquis sur le mois </t>
  </si>
  <si>
    <t>Salaire brut</t>
  </si>
  <si>
    <t xml:space="preserve">Reste </t>
  </si>
  <si>
    <t xml:space="preserve">Net imposable </t>
  </si>
  <si>
    <t>« Pour plus d’informations, voir la rubrique dédiée au bulletin de paye sur www.service-public.fr ».</t>
  </si>
  <si>
    <t xml:space="preserve">Pour faire valoir vos droits conservez ce bulletin de paie sans limitation de durée </t>
  </si>
  <si>
    <t>mesdroitssociaux.gouv.fr</t>
  </si>
  <si>
    <t>Suppression de la cotisation maladie applicable au 31/12/2017</t>
  </si>
  <si>
    <t>Montant de la part salariale de cotisation chômage supprimée</t>
  </si>
  <si>
    <t>(2,4 -0,95)</t>
  </si>
  <si>
    <t xml:space="preserve">Attention : calculée sur la TA+TB </t>
  </si>
  <si>
    <t xml:space="preserve">Augmentation de la CSG CRDS </t>
  </si>
  <si>
    <t xml:space="preserve">A  compter du 1 er Octobre </t>
  </si>
  <si>
    <t>(2,4 )</t>
  </si>
  <si>
    <t xml:space="preserve">Autres contributions </t>
  </si>
  <si>
    <t xml:space="preserve">A </t>
  </si>
  <si>
    <t>B</t>
  </si>
  <si>
    <t>D</t>
  </si>
  <si>
    <t>E</t>
  </si>
  <si>
    <t>Tx Pat.</t>
  </si>
  <si>
    <t xml:space="preserve">Mt Pat </t>
  </si>
  <si>
    <t xml:space="preserve">FNAL Base plafonnée </t>
  </si>
  <si>
    <t xml:space="preserve">FNAL Totalité </t>
  </si>
  <si>
    <t>Versement de  mobilité</t>
  </si>
  <si>
    <t xml:space="preserve">Forfait social </t>
  </si>
  <si>
    <t xml:space="preserve">CIF  - CDD </t>
  </si>
  <si>
    <t>Formation professionnelle</t>
  </si>
  <si>
    <t>Prénom</t>
  </si>
  <si>
    <t>Coefficient</t>
  </si>
  <si>
    <t>Date début paie</t>
  </si>
  <si>
    <t>Date fin de paie :</t>
  </si>
  <si>
    <t>NC</t>
  </si>
  <si>
    <t>Heure complémentaire</t>
  </si>
  <si>
    <t>heure complémentaire 25%</t>
  </si>
  <si>
    <t>heure complémentaire 50%</t>
  </si>
  <si>
    <t>Nombre heure temps partiel</t>
  </si>
  <si>
    <t>Tranche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</si>
</sst>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8" formatCode="#,##0.00\ &quot;€&quot;;[Red]\-#,##0.00\ &quot;€&quot;"/>
    <numFmt numFmtId="43" formatCode="_-* #,##0.00_-;\-* #,##0.00_-;_-* &quot;-&quot;??_-;_-@_-"/>
    <numFmt numFmtId="164" formatCode="_-* #,##0.00\ _€_-;\-* #,##0.00\ _€_-;_-* &quot;-&quot;??\ _€_-;_-@_-"/>
    <numFmt numFmtId="165" formatCode="0.000%"/>
    <numFmt numFmtId="166" formatCode="[$-40C]d\-mmm\-yy;@"/>
    <numFmt numFmtId="167" formatCode="#,##0.00\ &quot;€&quot;"/>
    <numFmt numFmtId="168" formatCode="#,##0\ _€"/>
    <numFmt numFmtId="169" formatCode="#,##0\ &quot;€&quot;"/>
    <numFmt numFmtId="170" formatCode="0.0000"/>
    <numFmt numFmtId="171" formatCode="0.000"/>
    <numFmt numFmtId="172" formatCode="_(* #,##0.00_);_(* \(#,##0.00\);_(* &quot;-&quot;??_);_(@_)"/>
    <numFmt numFmtId="173" formatCode="0.0%"/>
    <numFmt numFmtId="174" formatCode="_-* #,##0.0000_-;\-* #,##0.0000_-;_-* &quot;-&quot;??_-;_-@_-"/>
    <numFmt numFmtId="175" formatCode="0.00000"/>
    <numFmt numFmtId="176" formatCode="_-* #,##0.0000\ _€_-;\-* #,##0.0000\ _€_-;_-* &quot;-&quot;??\ _€_-;_-@_-"/>
    <numFmt numFmtId="177" formatCode="#,##0.000"/>
    <numFmt numFmtId="178" formatCode="#,##0.0000"/>
    <numFmt numFmtId="179" formatCode="0.0000%"/>
  </numFmts>
  <fonts count="76"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Calibri"/>
      <family val="2"/>
      <scheme val="minor"/>
    </font>
    <font>
      <sz val="8"/>
      <color rgb="FFFF0000"/>
      <name val="Tahoma"/>
      <family val="2"/>
    </font>
    <font>
      <sz val="14"/>
      <color rgb="FFFF0000"/>
      <name val="Tahoma"/>
      <family val="2"/>
    </font>
    <font>
      <u/>
      <sz val="11"/>
      <color theme="10"/>
      <name val="Calibri"/>
      <family val="2"/>
    </font>
    <font>
      <sz val="14"/>
      <color rgb="FF444444"/>
      <name val="Tahoma"/>
      <family val="2"/>
    </font>
    <font>
      <b/>
      <sz val="12"/>
      <color theme="1"/>
      <name val="Calibri"/>
      <family val="2"/>
      <scheme val="minor"/>
    </font>
    <font>
      <sz val="12"/>
      <color theme="1"/>
      <name val="Calibri"/>
      <family val="2"/>
      <scheme val="minor"/>
    </font>
    <font>
      <sz val="9"/>
      <name val="Arial"/>
      <family val="2"/>
    </font>
    <font>
      <u/>
      <sz val="10"/>
      <color theme="10"/>
      <name val="Calibri"/>
      <family val="2"/>
    </font>
    <font>
      <sz val="14"/>
      <color theme="1"/>
      <name val="Calibri"/>
      <family val="2"/>
      <scheme val="minor"/>
    </font>
    <font>
      <sz val="10"/>
      <color theme="1"/>
      <name val="Calibri"/>
      <family val="2"/>
      <scheme val="minor"/>
    </font>
    <font>
      <sz val="10"/>
      <color rgb="FFFF0000"/>
      <name val="Arial"/>
      <family val="2"/>
    </font>
    <font>
      <i/>
      <sz val="11"/>
      <color theme="1"/>
      <name val="Calibri"/>
      <family val="2"/>
      <scheme val="minor"/>
    </font>
    <font>
      <sz val="11"/>
      <color rgb="FFFF0000"/>
      <name val="Calibri"/>
      <family val="2"/>
      <scheme val="minor"/>
    </font>
    <font>
      <b/>
      <u/>
      <sz val="12"/>
      <color theme="1"/>
      <name val="Calibri"/>
      <family val="2"/>
      <scheme val="minor"/>
    </font>
    <font>
      <sz val="10"/>
      <color theme="1"/>
      <name val="Arial"/>
      <family val="2"/>
    </font>
    <font>
      <b/>
      <u/>
      <sz val="16"/>
      <color theme="1"/>
      <name val="Calibri"/>
      <family val="2"/>
      <scheme val="minor"/>
    </font>
    <font>
      <b/>
      <sz val="12"/>
      <color rgb="FF212529"/>
      <name val="Arial"/>
      <family val="2"/>
    </font>
    <font>
      <sz val="9"/>
      <color indexed="81"/>
      <name val="Tahoma"/>
      <family val="2"/>
    </font>
    <font>
      <u/>
      <sz val="11"/>
      <color theme="1"/>
      <name val="Calibri"/>
      <family val="2"/>
      <scheme val="minor"/>
    </font>
    <font>
      <b/>
      <sz val="9"/>
      <color indexed="81"/>
      <name val="Tahoma"/>
      <family val="2"/>
    </font>
    <font>
      <sz val="12"/>
      <color theme="1"/>
      <name val="Times New Roman"/>
      <family val="1"/>
    </font>
    <font>
      <sz val="9"/>
      <name val="Times New Roman"/>
      <family val="1"/>
    </font>
    <font>
      <sz val="9"/>
      <color rgb="FF000000"/>
      <name val="Times New Roman"/>
      <family val="1"/>
    </font>
    <font>
      <sz val="8"/>
      <name val="Times New Roman"/>
      <family val="1"/>
    </font>
    <font>
      <sz val="12"/>
      <name val="Times New Roman"/>
      <family val="1"/>
    </font>
    <font>
      <b/>
      <sz val="9"/>
      <name val="Times New Roman"/>
      <family val="1"/>
    </font>
    <font>
      <b/>
      <sz val="9"/>
      <color rgb="FF000000"/>
      <name val="Times New Roman"/>
      <family val="1"/>
    </font>
    <font>
      <sz val="9"/>
      <color rgb="FFFF0000"/>
      <name val="Times New Roman"/>
      <family val="1"/>
    </font>
    <font>
      <b/>
      <i/>
      <sz val="9"/>
      <color rgb="FFFF0000"/>
      <name val="Times New Roman"/>
      <family val="1"/>
    </font>
    <font>
      <b/>
      <sz val="14"/>
      <name val="Times New Roman"/>
      <family val="1"/>
    </font>
    <font>
      <b/>
      <sz val="9"/>
      <color rgb="FFFF0000"/>
      <name val="Times New Roman"/>
      <family val="1"/>
    </font>
    <font>
      <sz val="11"/>
      <color rgb="FFFF0000"/>
      <name val="Times New Roman"/>
      <family val="1"/>
    </font>
    <font>
      <sz val="10"/>
      <color rgb="FF000000"/>
      <name val="Times New Roman"/>
      <family val="1"/>
    </font>
    <font>
      <b/>
      <sz val="14"/>
      <name val="Calibri"/>
      <family val="2"/>
      <charset val="1"/>
    </font>
    <font>
      <sz val="10"/>
      <name val="Times New Roman"/>
      <family val="1"/>
    </font>
    <font>
      <sz val="9"/>
      <color theme="1"/>
      <name val="Arial Narrow"/>
      <family val="2"/>
    </font>
    <font>
      <sz val="11"/>
      <color theme="1"/>
      <name val="Times New Roman"/>
      <family val="1"/>
    </font>
    <font>
      <b/>
      <sz val="11"/>
      <color theme="1"/>
      <name val="Times New Roman"/>
      <family val="1"/>
    </font>
    <font>
      <sz val="9"/>
      <color theme="1"/>
      <name val="Times New Roman"/>
      <family val="1"/>
    </font>
    <font>
      <b/>
      <sz val="12"/>
      <color theme="1"/>
      <name val="Times New Roman"/>
      <family val="1"/>
    </font>
    <font>
      <sz val="8"/>
      <color theme="1"/>
      <name val="Times New Roman"/>
      <family val="1"/>
    </font>
    <font>
      <sz val="10"/>
      <color theme="1"/>
      <name val="Times New Roman"/>
      <family val="1"/>
    </font>
    <font>
      <i/>
      <sz val="8"/>
      <color theme="1"/>
      <name val="Times New Roman"/>
      <family val="1"/>
    </font>
    <font>
      <i/>
      <sz val="11"/>
      <color theme="1"/>
      <name val="Times New Roman"/>
      <family val="1"/>
    </font>
    <font>
      <sz val="8"/>
      <color indexed="81"/>
      <name val="Times New Roman"/>
      <family val="1"/>
    </font>
    <font>
      <sz val="10"/>
      <name val="Arial Narrow"/>
      <family val="2"/>
    </font>
    <font>
      <b/>
      <sz val="9"/>
      <color theme="1"/>
      <name val="Times New Roman"/>
      <family val="1"/>
    </font>
    <font>
      <i/>
      <sz val="12"/>
      <color theme="1"/>
      <name val="Times New Roman"/>
      <family val="1"/>
    </font>
    <font>
      <b/>
      <sz val="9"/>
      <color indexed="81"/>
      <name val="Tahoma"/>
      <charset val="1"/>
    </font>
    <font>
      <sz val="10"/>
      <name val="MS Sans Serif"/>
      <family val="2"/>
    </font>
    <font>
      <sz val="9"/>
      <name val="Arial Narrow"/>
      <family val="2"/>
    </font>
    <font>
      <sz val="8"/>
      <name val="Arial Narrow"/>
      <family val="2"/>
    </font>
    <font>
      <sz val="8"/>
      <color rgb="FF000000"/>
      <name val="Arial Narrow"/>
      <family val="2"/>
    </font>
    <font>
      <sz val="8"/>
      <color theme="1"/>
      <name val="Arial Narrow"/>
      <family val="2"/>
    </font>
    <font>
      <sz val="11"/>
      <color theme="1"/>
      <name val="Arial Narrow"/>
      <family val="2"/>
    </font>
    <font>
      <sz val="12"/>
      <color theme="1"/>
      <name val="Arial Narrow"/>
      <family val="2"/>
    </font>
    <font>
      <sz val="9"/>
      <color rgb="FF000000"/>
      <name val="Arial Narrow"/>
      <family val="2"/>
    </font>
    <font>
      <i/>
      <sz val="8"/>
      <color theme="1"/>
      <name val="Arial Narrow"/>
      <family val="2"/>
    </font>
    <font>
      <b/>
      <sz val="8"/>
      <color theme="1"/>
      <name val="Times New Roman"/>
      <family val="1"/>
    </font>
    <font>
      <b/>
      <sz val="11"/>
      <color rgb="FF000000"/>
      <name val="Arial Narrow"/>
      <family val="2"/>
    </font>
    <font>
      <i/>
      <sz val="12"/>
      <name val="Times New Roman"/>
      <family val="1"/>
    </font>
    <font>
      <i/>
      <sz val="10"/>
      <name val="Times New Roman"/>
      <family val="1"/>
    </font>
    <font>
      <b/>
      <sz val="11"/>
      <color rgb="FF000000"/>
      <name val="Times New Roman"/>
      <family val="1"/>
    </font>
    <font>
      <sz val="9"/>
      <color theme="8" tint="0.59999389629810485"/>
      <name val="Times New Roman"/>
      <family val="1"/>
    </font>
    <font>
      <b/>
      <sz val="8"/>
      <name val="Times New Roman"/>
      <family val="1"/>
    </font>
    <font>
      <b/>
      <sz val="7"/>
      <color theme="1"/>
      <name val="Times New Roman"/>
      <family val="1"/>
    </font>
    <font>
      <b/>
      <sz val="10"/>
      <name val="Times New Roman"/>
      <family val="1"/>
    </font>
    <font>
      <b/>
      <sz val="10"/>
      <color rgb="FF000000"/>
      <name val="Times New Roman"/>
      <family val="1"/>
    </font>
    <font>
      <u/>
      <sz val="11"/>
      <color theme="10"/>
      <name val="Calibri"/>
      <family val="2"/>
      <scheme val="minor"/>
    </font>
    <font>
      <sz val="12"/>
      <color rgb="FF006100"/>
      <name val="Calibri"/>
      <family val="2"/>
      <scheme val="minor"/>
    </font>
    <font>
      <sz val="11"/>
      <color rgb="FF34373A"/>
      <name val="Arial"/>
      <family val="2"/>
    </font>
  </fonts>
  <fills count="15">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rgb="FFC6EFCE"/>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auto="1"/>
      </left>
      <right style="thin">
        <color auto="1"/>
      </right>
      <top/>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8"/>
      </left>
      <right/>
      <top style="thin">
        <color indexed="64"/>
      </top>
      <bottom style="thin">
        <color indexed="64"/>
      </bottom>
      <diagonal/>
    </border>
    <border>
      <left style="dashed">
        <color indexed="8"/>
      </left>
      <right/>
      <top style="thin">
        <color indexed="64"/>
      </top>
      <bottom/>
      <diagonal/>
    </border>
    <border>
      <left/>
      <right style="thin">
        <color indexed="8"/>
      </right>
      <top/>
      <bottom/>
      <diagonal/>
    </border>
    <border>
      <left style="thin">
        <color indexed="8"/>
      </left>
      <right style="thin">
        <color indexed="8"/>
      </right>
      <top/>
      <bottom/>
      <diagonal/>
    </border>
    <border>
      <left style="thin">
        <color indexed="8"/>
      </left>
      <right/>
      <top/>
      <bottom/>
      <diagonal/>
    </border>
    <border>
      <left/>
      <right style="hair">
        <color auto="1"/>
      </right>
      <top/>
      <bottom/>
      <diagonal/>
    </border>
    <border>
      <left style="thin">
        <color indexed="64"/>
      </left>
      <right/>
      <top/>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0" fontId="7" fillId="0" borderId="0" applyNumberFormat="0" applyFill="0" applyBorder="0" applyAlignment="0" applyProtection="0">
      <alignment vertical="top"/>
      <protection locked="0"/>
    </xf>
    <xf numFmtId="0" fontId="1" fillId="0" borderId="0"/>
    <xf numFmtId="164"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54" fillId="0" borderId="0"/>
    <xf numFmtId="0" fontId="73" fillId="0" borderId="0" applyNumberFormat="0" applyFill="0" applyBorder="0" applyAlignment="0" applyProtection="0"/>
    <xf numFmtId="0" fontId="74" fillId="14" borderId="0" applyNumberFormat="0" applyBorder="0" applyAlignment="0" applyProtection="0"/>
  </cellStyleXfs>
  <cellXfs count="687">
    <xf numFmtId="0" fontId="0" fillId="0" borderId="0" xfId="0"/>
    <xf numFmtId="0" fontId="0" fillId="0" borderId="1" xfId="0" applyBorder="1"/>
    <xf numFmtId="0" fontId="0" fillId="0" borderId="0" xfId="0" applyAlignment="1">
      <alignment horizontal="center" vertical="center"/>
    </xf>
    <xf numFmtId="0" fontId="0" fillId="3" borderId="2" xfId="0" applyFill="1" applyBorder="1"/>
    <xf numFmtId="0" fontId="0" fillId="3" borderId="4" xfId="0" applyFill="1" applyBorder="1"/>
    <xf numFmtId="0" fontId="0" fillId="3" borderId="3" xfId="0" applyFill="1" applyBorder="1"/>
    <xf numFmtId="14" fontId="0" fillId="3" borderId="3" xfId="0" applyNumberFormat="1" applyFill="1" applyBorder="1"/>
    <xf numFmtId="0" fontId="0" fillId="3" borderId="8" xfId="0" applyFill="1" applyBorder="1"/>
    <xf numFmtId="0" fontId="0" fillId="3" borderId="9" xfId="0" applyFill="1" applyBorder="1"/>
    <xf numFmtId="0" fontId="0" fillId="3" borderId="0" xfId="0" applyFill="1"/>
    <xf numFmtId="14" fontId="0" fillId="3" borderId="0" xfId="0" applyNumberFormat="1" applyFill="1"/>
    <xf numFmtId="0" fontId="0" fillId="3" borderId="5" xfId="0" applyFill="1" applyBorder="1"/>
    <xf numFmtId="14" fontId="0" fillId="3" borderId="7" xfId="0" applyNumberFormat="1" applyFill="1" applyBorder="1" applyAlignment="1">
      <alignment horizontal="left"/>
    </xf>
    <xf numFmtId="0" fontId="0" fillId="3" borderId="6" xfId="0" applyFill="1" applyBorder="1"/>
    <xf numFmtId="0" fontId="0" fillId="3" borderId="7" xfId="0" applyFill="1" applyBorder="1"/>
    <xf numFmtId="0" fontId="0" fillId="0" borderId="4" xfId="0" applyBorder="1"/>
    <xf numFmtId="0" fontId="0" fillId="0" borderId="9" xfId="0" applyBorder="1"/>
    <xf numFmtId="0" fontId="0" fillId="0" borderId="6" xfId="0" applyBorder="1"/>
    <xf numFmtId="0" fontId="0" fillId="0" borderId="7" xfId="0" applyBorder="1"/>
    <xf numFmtId="2" fontId="0" fillId="0" borderId="1" xfId="0" applyNumberFormat="1" applyBorder="1" applyAlignment="1">
      <alignment horizontal="center" vertical="center"/>
    </xf>
    <xf numFmtId="10" fontId="0" fillId="0" borderId="1" xfId="1" applyNumberFormat="1" applyFont="1" applyFill="1" applyBorder="1" applyAlignment="1">
      <alignment horizontal="center" vertical="center"/>
    </xf>
    <xf numFmtId="0" fontId="0" fillId="0" borderId="1" xfId="0" applyBorder="1" applyAlignment="1">
      <alignment horizontal="center" vertical="center"/>
    </xf>
    <xf numFmtId="2" fontId="0" fillId="0" borderId="1" xfId="1" applyNumberFormat="1" applyFont="1" applyFill="1" applyBorder="1" applyAlignment="1">
      <alignment horizontal="center" vertical="center"/>
    </xf>
    <xf numFmtId="0" fontId="7" fillId="0" borderId="0" xfId="2" applyAlignment="1" applyProtection="1">
      <alignment vertical="center" wrapText="1"/>
    </xf>
    <xf numFmtId="0" fontId="8" fillId="0" borderId="0" xfId="0" applyFont="1" applyAlignment="1">
      <alignment vertical="center" wrapText="1"/>
    </xf>
    <xf numFmtId="0" fontId="4" fillId="0" borderId="0" xfId="0" applyFont="1"/>
    <xf numFmtId="0" fontId="4" fillId="0" borderId="10" xfId="0" applyFont="1" applyBorder="1"/>
    <xf numFmtId="0" fontId="0" fillId="0" borderId="11" xfId="0" applyBorder="1"/>
    <xf numFmtId="2" fontId="0" fillId="0" borderId="1" xfId="0" applyNumberFormat="1" applyBorder="1"/>
    <xf numFmtId="10" fontId="0" fillId="0" borderId="11" xfId="0" applyNumberFormat="1" applyBorder="1"/>
    <xf numFmtId="0" fontId="4" fillId="2" borderId="0" xfId="0" applyFont="1" applyFill="1"/>
    <xf numFmtId="0" fontId="0" fillId="0" borderId="0" xfId="0" applyAlignment="1">
      <alignment horizontal="center"/>
    </xf>
    <xf numFmtId="0" fontId="0" fillId="0" borderId="9" xfId="0" applyBorder="1" applyAlignment="1">
      <alignment horizontal="center"/>
    </xf>
    <xf numFmtId="9" fontId="0" fillId="0" borderId="0" xfId="0" applyNumberFormat="1" applyAlignment="1">
      <alignment horizontal="center"/>
    </xf>
    <xf numFmtId="2" fontId="0" fillId="0" borderId="0" xfId="0" applyNumberFormat="1" applyAlignment="1">
      <alignment horizontal="center"/>
    </xf>
    <xf numFmtId="2" fontId="3" fillId="0" borderId="12" xfId="0" applyNumberFormat="1" applyFont="1" applyBorder="1"/>
    <xf numFmtId="2" fontId="0" fillId="0" borderId="9" xfId="0" applyNumberFormat="1" applyBorder="1"/>
    <xf numFmtId="0" fontId="0" fillId="3" borderId="1" xfId="0" applyFill="1" applyBorder="1" applyAlignment="1">
      <alignment horizontal="center" vertical="center"/>
    </xf>
    <xf numFmtId="0" fontId="0" fillId="0" borderId="2" xfId="0" applyBorder="1"/>
    <xf numFmtId="0" fontId="0" fillId="0" borderId="3" xfId="0" applyBorder="1"/>
    <xf numFmtId="2" fontId="4" fillId="0" borderId="1" xfId="0" applyNumberFormat="1" applyFont="1" applyBorder="1"/>
    <xf numFmtId="0" fontId="0" fillId="0" borderId="8" xfId="0" applyBorder="1"/>
    <xf numFmtId="2" fontId="4" fillId="0" borderId="13" xfId="0" applyNumberFormat="1" applyFont="1" applyBorder="1"/>
    <xf numFmtId="0" fontId="15" fillId="0" borderId="0" xfId="0" applyFont="1" applyAlignment="1">
      <alignment vertical="center" wrapText="1"/>
    </xf>
    <xf numFmtId="2" fontId="0" fillId="0" borderId="1" xfId="0" applyNumberFormat="1" applyBorder="1" applyAlignment="1">
      <alignment horizontal="center"/>
    </xf>
    <xf numFmtId="0" fontId="7" fillId="0" borderId="0" xfId="2" applyAlignment="1" applyProtection="1"/>
    <xf numFmtId="0" fontId="5" fillId="0" borderId="0" xfId="0" applyFont="1" applyAlignment="1">
      <alignment vertical="center" wrapText="1"/>
    </xf>
    <xf numFmtId="2" fontId="0" fillId="0" borderId="0" xfId="0" applyNumberFormat="1"/>
    <xf numFmtId="10" fontId="0" fillId="0" borderId="0" xfId="0" applyNumberFormat="1" applyAlignment="1">
      <alignment horizontal="center"/>
    </xf>
    <xf numFmtId="1" fontId="0" fillId="3" borderId="0" xfId="0" applyNumberFormat="1" applyFill="1" applyAlignment="1">
      <alignment horizontal="left"/>
    </xf>
    <xf numFmtId="14" fontId="0" fillId="3" borderId="6" xfId="0" applyNumberFormat="1" applyFill="1" applyBorder="1" applyAlignment="1">
      <alignment horizontal="left"/>
    </xf>
    <xf numFmtId="0" fontId="0" fillId="3" borderId="3" xfId="0" applyFill="1" applyBorder="1" applyAlignment="1">
      <alignment horizontal="right"/>
    </xf>
    <xf numFmtId="14" fontId="0" fillId="3" borderId="5" xfId="0" applyNumberFormat="1" applyFill="1" applyBorder="1" applyAlignment="1">
      <alignment horizontal="left" vertical="center"/>
    </xf>
    <xf numFmtId="0" fontId="4" fillId="0" borderId="11" xfId="0" applyFont="1" applyBorder="1"/>
    <xf numFmtId="0" fontId="0" fillId="3" borderId="0" xfId="0" applyFill="1" applyAlignment="1">
      <alignment horizontal="left"/>
    </xf>
    <xf numFmtId="166" fontId="0" fillId="3" borderId="6" xfId="0" applyNumberFormat="1" applyFill="1" applyBorder="1" applyAlignment="1">
      <alignment horizontal="center" vertical="center"/>
    </xf>
    <xf numFmtId="10" fontId="0" fillId="7" borderId="1" xfId="1" applyNumberFormat="1" applyFont="1" applyFill="1" applyBorder="1" applyAlignment="1">
      <alignment horizontal="center" vertical="center"/>
    </xf>
    <xf numFmtId="0" fontId="0" fillId="7" borderId="1" xfId="0" applyFill="1" applyBorder="1" applyAlignment="1">
      <alignment horizontal="center" vertical="center"/>
    </xf>
    <xf numFmtId="2" fontId="0" fillId="7" borderId="1" xfId="0" applyNumberFormat="1" applyFill="1" applyBorder="1" applyAlignment="1">
      <alignment horizontal="center" vertical="center"/>
    </xf>
    <xf numFmtId="10" fontId="1" fillId="7" borderId="1" xfId="1" applyNumberFormat="1" applyFont="1" applyFill="1" applyBorder="1" applyAlignment="1">
      <alignment horizontal="center" vertical="center"/>
    </xf>
    <xf numFmtId="2" fontId="0" fillId="0" borderId="13" xfId="0" applyNumberFormat="1" applyBorder="1" applyAlignment="1">
      <alignment horizontal="center" vertical="center"/>
    </xf>
    <xf numFmtId="10" fontId="0" fillId="0" borderId="13" xfId="1" applyNumberFormat="1" applyFont="1" applyFill="1" applyBorder="1" applyAlignment="1">
      <alignment horizontal="center" vertical="center"/>
    </xf>
    <xf numFmtId="2" fontId="0" fillId="0" borderId="13" xfId="1" applyNumberFormat="1" applyFont="1" applyFill="1" applyBorder="1" applyAlignment="1">
      <alignment horizontal="center" vertical="center"/>
    </xf>
    <xf numFmtId="165" fontId="0" fillId="0" borderId="1" xfId="1" applyNumberFormat="1" applyFont="1" applyFill="1" applyBorder="1" applyAlignment="1">
      <alignment horizontal="center" vertical="center"/>
    </xf>
    <xf numFmtId="2" fontId="0" fillId="0" borderId="0" xfId="0" applyNumberFormat="1" applyAlignment="1">
      <alignment horizontal="center" vertical="center"/>
    </xf>
    <xf numFmtId="0" fontId="0" fillId="5" borderId="1" xfId="0" applyFill="1" applyBorder="1" applyAlignment="1">
      <alignment horizontal="center" vertical="center"/>
    </xf>
    <xf numFmtId="8" fontId="0" fillId="0" borderId="0" xfId="0" applyNumberFormat="1" applyAlignment="1">
      <alignment horizontal="center"/>
    </xf>
    <xf numFmtId="10" fontId="0" fillId="0" borderId="0" xfId="1" applyNumberFormat="1" applyFont="1" applyFill="1" applyBorder="1" applyAlignment="1">
      <alignment horizontal="center" vertical="center"/>
    </xf>
    <xf numFmtId="167" fontId="0" fillId="0" borderId="0" xfId="0" applyNumberFormat="1" applyAlignment="1">
      <alignment horizontal="center"/>
    </xf>
    <xf numFmtId="0" fontId="0" fillId="0" borderId="15" xfId="0" applyBorder="1"/>
    <xf numFmtId="0" fontId="0" fillId="0" borderId="5" xfId="0" applyBorder="1"/>
    <xf numFmtId="0" fontId="0" fillId="2" borderId="8" xfId="0" applyFill="1" applyBorder="1"/>
    <xf numFmtId="0" fontId="0" fillId="2" borderId="0" xfId="0" applyFill="1"/>
    <xf numFmtId="0" fontId="4" fillId="0" borderId="8" xfId="0" applyFont="1" applyBorder="1"/>
    <xf numFmtId="0" fontId="4" fillId="0" borderId="8" xfId="0" applyFont="1" applyBorder="1" applyAlignment="1">
      <alignment horizontal="left"/>
    </xf>
    <xf numFmtId="0" fontId="4" fillId="0" borderId="0" xfId="0" applyFont="1" applyAlignment="1">
      <alignment horizontal="left"/>
    </xf>
    <xf numFmtId="0" fontId="4" fillId="2" borderId="8" xfId="0" applyFont="1" applyFill="1" applyBorder="1"/>
    <xf numFmtId="0" fontId="0" fillId="0" borderId="10" xfId="0" applyBorder="1" applyAlignment="1">
      <alignment vertical="center"/>
    </xf>
    <xf numFmtId="0" fontId="0" fillId="0" borderId="11" xfId="0" applyBorder="1" applyAlignment="1">
      <alignment vertical="center"/>
    </xf>
    <xf numFmtId="2" fontId="0" fillId="0" borderId="12" xfId="0" applyNumberFormat="1" applyBorder="1" applyAlignment="1">
      <alignment vertical="center"/>
    </xf>
    <xf numFmtId="0" fontId="5" fillId="0" borderId="0" xfId="0" applyFont="1" applyAlignment="1">
      <alignment horizontal="left" vertical="center" wrapText="1"/>
    </xf>
    <xf numFmtId="0" fontId="0" fillId="0" borderId="18" xfId="0" applyBorder="1"/>
    <xf numFmtId="2" fontId="0" fillId="0" borderId="18" xfId="0" applyNumberFormat="1" applyBorder="1" applyAlignment="1">
      <alignment horizontal="center" vertical="center"/>
    </xf>
    <xf numFmtId="2" fontId="0" fillId="0" borderId="8" xfId="0" applyNumberFormat="1" applyBorder="1" applyAlignment="1">
      <alignment horizontal="center" vertical="center"/>
    </xf>
    <xf numFmtId="0" fontId="0" fillId="0" borderId="8" xfId="0" applyBorder="1" applyAlignment="1">
      <alignment horizontal="center" vertical="center"/>
    </xf>
    <xf numFmtId="10" fontId="0" fillId="0" borderId="8" xfId="1" applyNumberFormat="1" applyFont="1" applyFill="1" applyBorder="1" applyAlignment="1">
      <alignment horizontal="center" vertical="center"/>
    </xf>
    <xf numFmtId="165" fontId="0" fillId="0" borderId="8" xfId="1" applyNumberFormat="1" applyFont="1" applyFill="1" applyBorder="1" applyAlignment="1">
      <alignment horizontal="center" vertical="center"/>
    </xf>
    <xf numFmtId="2" fontId="0" fillId="0" borderId="8" xfId="1" applyNumberFormat="1" applyFont="1" applyFill="1" applyBorder="1" applyAlignment="1">
      <alignment horizontal="center" vertical="center"/>
    </xf>
    <xf numFmtId="10" fontId="0" fillId="0" borderId="5" xfId="0" applyNumberFormat="1" applyBorder="1"/>
    <xf numFmtId="10" fontId="0" fillId="0" borderId="3" xfId="1" applyNumberFormat="1" applyFont="1" applyFill="1" applyBorder="1" applyAlignment="1">
      <alignment horizontal="center" vertical="center"/>
    </xf>
    <xf numFmtId="0" fontId="0" fillId="0" borderId="2" xfId="0" applyBorder="1" applyAlignment="1">
      <alignment horizontal="center" vertical="center"/>
    </xf>
    <xf numFmtId="10" fontId="0" fillId="0" borderId="2" xfId="1" applyNumberFormat="1" applyFont="1" applyFill="1" applyBorder="1" applyAlignment="1">
      <alignment horizontal="center" vertical="center"/>
    </xf>
    <xf numFmtId="10" fontId="1" fillId="0" borderId="8" xfId="1" applyNumberFormat="1" applyFont="1" applyFill="1" applyBorder="1" applyAlignment="1">
      <alignment horizontal="center" vertical="center"/>
    </xf>
    <xf numFmtId="0" fontId="0" fillId="2" borderId="10" xfId="0" applyFill="1" applyBorder="1"/>
    <xf numFmtId="0" fontId="0" fillId="2" borderId="12" xfId="0" applyFill="1" applyBorder="1"/>
    <xf numFmtId="2" fontId="0" fillId="0" borderId="15" xfId="0" applyNumberFormat="1" applyBorder="1" applyAlignment="1">
      <alignment horizontal="center" vertical="center"/>
    </xf>
    <xf numFmtId="2" fontId="0" fillId="0" borderId="5" xfId="0" applyNumberFormat="1" applyBorder="1" applyAlignment="1">
      <alignment horizontal="center"/>
    </xf>
    <xf numFmtId="10" fontId="0" fillId="5" borderId="1" xfId="0" applyNumberFormat="1" applyFill="1" applyBorder="1" applyAlignment="1">
      <alignment horizontal="center" vertical="center"/>
    </xf>
    <xf numFmtId="0" fontId="21" fillId="0" borderId="0" xfId="0" applyFont="1"/>
    <xf numFmtId="2" fontId="0" fillId="0" borderId="18" xfId="0" applyNumberFormat="1" applyBorder="1" applyAlignment="1">
      <alignment horizontal="center"/>
    </xf>
    <xf numFmtId="2" fontId="0" fillId="0" borderId="9" xfId="0" applyNumberFormat="1" applyBorder="1" applyAlignment="1">
      <alignment horizontal="center"/>
    </xf>
    <xf numFmtId="0" fontId="0" fillId="0" borderId="18" xfId="0" applyBorder="1" applyAlignment="1">
      <alignment horizontal="center" vertical="center"/>
    </xf>
    <xf numFmtId="14" fontId="0" fillId="3" borderId="5" xfId="0" applyNumberFormat="1" applyFill="1" applyBorder="1" applyAlignment="1">
      <alignment vertical="center"/>
    </xf>
    <xf numFmtId="0" fontId="0" fillId="3" borderId="3" xfId="0" applyFill="1" applyBorder="1" applyAlignment="1">
      <alignment horizontal="left"/>
    </xf>
    <xf numFmtId="0" fontId="0" fillId="3" borderId="0" xfId="0" applyFill="1" applyAlignment="1">
      <alignment horizontal="left" vertical="center"/>
    </xf>
    <xf numFmtId="14" fontId="0" fillId="3" borderId="8" xfId="0" applyNumberFormat="1" applyFill="1" applyBorder="1" applyAlignment="1">
      <alignment vertical="center"/>
    </xf>
    <xf numFmtId="0" fontId="0" fillId="5" borderId="1" xfId="0" applyFill="1" applyBorder="1" applyAlignment="1">
      <alignment horizontal="center"/>
    </xf>
    <xf numFmtId="165" fontId="0" fillId="0" borderId="0" xfId="1" applyNumberFormat="1" applyFont="1" applyFill="1" applyBorder="1" applyAlignment="1">
      <alignment horizontal="center" vertical="center"/>
    </xf>
    <xf numFmtId="4" fontId="0" fillId="0" borderId="2" xfId="0" applyNumberFormat="1" applyBorder="1" applyAlignment="1">
      <alignment horizontal="center" vertical="center"/>
    </xf>
    <xf numFmtId="167" fontId="0" fillId="0" borderId="15" xfId="0" applyNumberFormat="1" applyBorder="1" applyAlignment="1">
      <alignment horizontal="center" vertical="center"/>
    </xf>
    <xf numFmtId="167" fontId="0" fillId="0" borderId="5" xfId="0" applyNumberFormat="1" applyBorder="1" applyAlignment="1">
      <alignment horizontal="center"/>
    </xf>
    <xf numFmtId="0" fontId="2" fillId="0" borderId="0" xfId="0" applyFont="1"/>
    <xf numFmtId="0" fontId="0" fillId="3" borderId="0" xfId="0" applyFill="1" applyAlignment="1">
      <alignment horizontal="left"/>
    </xf>
    <xf numFmtId="2" fontId="0" fillId="0" borderId="1" xfId="0" applyNumberFormat="1" applyBorder="1" applyAlignment="1">
      <alignment horizontal="center"/>
    </xf>
    <xf numFmtId="0" fontId="0" fillId="0" borderId="8" xfId="0" applyFill="1" applyBorder="1"/>
    <xf numFmtId="0" fontId="0" fillId="0" borderId="0" xfId="0" applyFill="1"/>
    <xf numFmtId="0" fontId="0" fillId="0" borderId="18" xfId="0" applyBorder="1" applyAlignment="1">
      <alignment horizontal="center"/>
    </xf>
    <xf numFmtId="0" fontId="0" fillId="0" borderId="0" xfId="0" applyBorder="1" applyAlignment="1">
      <alignment horizontal="center"/>
    </xf>
    <xf numFmtId="167" fontId="0" fillId="0" borderId="0" xfId="0" applyNumberFormat="1" applyBorder="1" applyAlignment="1">
      <alignment horizontal="center" wrapText="1"/>
    </xf>
    <xf numFmtId="167" fontId="0" fillId="0" borderId="0" xfId="0" applyNumberFormat="1" applyBorder="1" applyAlignment="1">
      <alignment horizontal="center"/>
    </xf>
    <xf numFmtId="0" fontId="0" fillId="5" borderId="0" xfId="0" applyFill="1" applyBorder="1" applyAlignment="1">
      <alignment horizontal="center" vertical="center"/>
    </xf>
    <xf numFmtId="14" fontId="0" fillId="5" borderId="0" xfId="0" applyNumberFormat="1" applyFill="1" applyBorder="1" applyAlignment="1">
      <alignment horizontal="center" vertical="center"/>
    </xf>
    <xf numFmtId="2" fontId="0" fillId="0" borderId="0" xfId="0" applyNumberFormat="1" applyBorder="1" applyAlignment="1">
      <alignment horizontal="center"/>
    </xf>
    <xf numFmtId="0" fontId="0" fillId="5" borderId="0" xfId="0" applyFill="1" applyBorder="1" applyAlignment="1">
      <alignment horizontal="center"/>
    </xf>
    <xf numFmtId="0" fontId="0" fillId="0" borderId="0" xfId="0" applyFill="1" applyBorder="1" applyAlignment="1">
      <alignment horizontal="center"/>
    </xf>
    <xf numFmtId="2" fontId="0" fillId="0" borderId="0" xfId="0" applyNumberFormat="1" applyFill="1" applyBorder="1" applyAlignment="1">
      <alignment horizontal="center"/>
    </xf>
    <xf numFmtId="10" fontId="0" fillId="0" borderId="6" xfId="1" applyNumberFormat="1" applyFont="1" applyFill="1" applyBorder="1" applyAlignment="1">
      <alignment horizontal="center" vertical="center"/>
    </xf>
    <xf numFmtId="4" fontId="0" fillId="5" borderId="0" xfId="0" applyNumberFormat="1" applyFill="1" applyBorder="1" applyAlignment="1">
      <alignment horizontal="center" vertical="center"/>
    </xf>
    <xf numFmtId="2" fontId="0" fillId="7" borderId="0" xfId="0" applyNumberFormat="1" applyFill="1" applyBorder="1" applyAlignment="1">
      <alignment horizontal="center" vertical="center"/>
    </xf>
    <xf numFmtId="4" fontId="0" fillId="0" borderId="0" xfId="0" applyNumberFormat="1" applyBorder="1" applyAlignment="1">
      <alignment horizontal="center" vertical="center"/>
    </xf>
    <xf numFmtId="167" fontId="0" fillId="0" borderId="12" xfId="0" applyNumberFormat="1" applyBorder="1" applyAlignment="1">
      <alignment vertical="center"/>
    </xf>
    <xf numFmtId="0" fontId="0" fillId="3" borderId="0" xfId="0" applyFill="1" applyAlignment="1">
      <alignment horizontal="center"/>
    </xf>
    <xf numFmtId="0" fontId="0" fillId="0" borderId="1" xfId="0" applyBorder="1" applyAlignment="1">
      <alignment horizontal="center"/>
    </xf>
    <xf numFmtId="167" fontId="0" fillId="0" borderId="0" xfId="0" applyNumberFormat="1" applyFill="1" applyBorder="1" applyAlignment="1">
      <alignment horizontal="center" vertical="center"/>
    </xf>
    <xf numFmtId="0" fontId="0" fillId="5" borderId="0" xfId="0" applyFill="1" applyAlignment="1">
      <alignment horizontal="center"/>
    </xf>
    <xf numFmtId="0" fontId="0" fillId="5" borderId="9" xfId="0" applyFill="1" applyBorder="1" applyAlignment="1">
      <alignment horizontal="center"/>
    </xf>
    <xf numFmtId="0" fontId="0" fillId="5" borderId="6" xfId="0" applyFill="1" applyBorder="1" applyAlignment="1">
      <alignment horizontal="center"/>
    </xf>
    <xf numFmtId="0" fontId="0" fillId="0" borderId="0" xfId="0" applyBorder="1" applyAlignment="1">
      <alignment horizontal="center" vertical="center"/>
    </xf>
    <xf numFmtId="168" fontId="0" fillId="0" borderId="0" xfId="0" applyNumberFormat="1"/>
    <xf numFmtId="168" fontId="0" fillId="0" borderId="0" xfId="0" applyNumberFormat="1" applyAlignment="1">
      <alignment horizontal="center"/>
    </xf>
    <xf numFmtId="168" fontId="0" fillId="0" borderId="0" xfId="0" applyNumberFormat="1" applyFill="1" applyAlignment="1">
      <alignment horizontal="center"/>
    </xf>
    <xf numFmtId="168" fontId="25" fillId="0" borderId="0" xfId="4" applyNumberFormat="1" applyFont="1" applyBorder="1" applyAlignment="1">
      <alignment horizontal="center" vertical="center" wrapText="1"/>
    </xf>
    <xf numFmtId="169" fontId="0" fillId="0" borderId="0" xfId="0" applyNumberFormat="1" applyAlignment="1">
      <alignment horizontal="center"/>
    </xf>
    <xf numFmtId="0" fontId="0" fillId="0" borderId="0" xfId="0"/>
    <xf numFmtId="0" fontId="29" fillId="0" borderId="31" xfId="0" applyFont="1" applyBorder="1" applyAlignment="1">
      <alignment horizontal="center" vertical="center"/>
    </xf>
    <xf numFmtId="171" fontId="0" fillId="0" borderId="0" xfId="0" applyNumberFormat="1" applyAlignment="1">
      <alignment horizontal="right"/>
    </xf>
    <xf numFmtId="0" fontId="27" fillId="0" borderId="0" xfId="0" applyFont="1"/>
    <xf numFmtId="0" fontId="40" fillId="0" borderId="0" xfId="0" applyFont="1"/>
    <xf numFmtId="0" fontId="25" fillId="0" borderId="30" xfId="0" applyFont="1" applyBorder="1" applyAlignment="1">
      <alignment horizontal="center" vertical="center" wrapText="1"/>
    </xf>
    <xf numFmtId="0" fontId="41" fillId="0" borderId="0" xfId="0" applyFont="1"/>
    <xf numFmtId="0" fontId="45" fillId="0" borderId="0" xfId="0" applyFont="1"/>
    <xf numFmtId="0" fontId="27" fillId="0" borderId="0" xfId="0" applyFont="1" applyAlignment="1">
      <alignment horizontal="left"/>
    </xf>
    <xf numFmtId="0" fontId="25" fillId="0" borderId="0" xfId="0" applyFont="1"/>
    <xf numFmtId="10" fontId="26" fillId="0" borderId="31" xfId="1" applyNumberFormat="1" applyFont="1" applyBorder="1" applyAlignment="1">
      <alignment horizontal="center" vertical="center"/>
    </xf>
    <xf numFmtId="10" fontId="26" fillId="0" borderId="30" xfId="1" applyNumberFormat="1" applyFont="1" applyBorder="1" applyAlignment="1">
      <alignment horizontal="center" vertical="center"/>
    </xf>
    <xf numFmtId="0" fontId="43" fillId="0" borderId="0" xfId="0" applyFont="1"/>
    <xf numFmtId="171" fontId="41" fillId="8" borderId="0" xfId="0" applyNumberFormat="1" applyFont="1" applyFill="1" applyAlignment="1">
      <alignment horizontal="right"/>
    </xf>
    <xf numFmtId="173" fontId="26" fillId="0" borderId="31" xfId="1" applyNumberFormat="1" applyFont="1" applyBorder="1" applyAlignment="1">
      <alignment horizontal="center" vertical="center"/>
    </xf>
    <xf numFmtId="165" fontId="26" fillId="0" borderId="31" xfId="1" applyNumberFormat="1" applyFont="1" applyBorder="1" applyAlignment="1">
      <alignment horizontal="center" vertical="center"/>
    </xf>
    <xf numFmtId="43" fontId="43" fillId="0" borderId="0" xfId="7" applyFont="1" applyFill="1" applyBorder="1" applyAlignment="1">
      <alignment horizontal="center"/>
    </xf>
    <xf numFmtId="0" fontId="43" fillId="0" borderId="0" xfId="0" applyFont="1" applyAlignment="1">
      <alignment horizontal="center" vertical="center"/>
    </xf>
    <xf numFmtId="171" fontId="41" fillId="0" borderId="30" xfId="0" applyNumberFormat="1" applyFont="1" applyBorder="1" applyAlignment="1">
      <alignment horizontal="right" vertical="center"/>
    </xf>
    <xf numFmtId="2" fontId="43" fillId="0" borderId="30" xfId="0" applyNumberFormat="1" applyFont="1" applyBorder="1" applyAlignment="1">
      <alignment horizontal="center" vertical="center"/>
    </xf>
    <xf numFmtId="43" fontId="43" fillId="0" borderId="0" xfId="7" applyFont="1" applyBorder="1" applyAlignment="1">
      <alignment horizontal="center"/>
    </xf>
    <xf numFmtId="43" fontId="26" fillId="0" borderId="30" xfId="7" applyFont="1" applyBorder="1" applyAlignment="1">
      <alignment horizontal="center" vertical="center"/>
    </xf>
    <xf numFmtId="0" fontId="46" fillId="0" borderId="0" xfId="0" quotePrefix="1" applyFont="1"/>
    <xf numFmtId="171" fontId="41" fillId="0" borderId="0" xfId="0" applyNumberFormat="1" applyFont="1" applyAlignment="1">
      <alignment horizontal="right"/>
    </xf>
    <xf numFmtId="0" fontId="25" fillId="0" borderId="0" xfId="0" applyFont="1" applyAlignment="1">
      <alignment horizontal="center" vertical="center" wrapText="1"/>
    </xf>
    <xf numFmtId="0" fontId="31" fillId="0" borderId="0" xfId="0" applyFont="1" applyAlignment="1">
      <alignment horizontal="center" vertical="center" wrapText="1"/>
    </xf>
    <xf numFmtId="43" fontId="43" fillId="0" borderId="0" xfId="7" applyFont="1" applyBorder="1" applyAlignment="1">
      <alignment horizontal="center" vertical="center" wrapText="1"/>
    </xf>
    <xf numFmtId="0" fontId="41" fillId="8" borderId="32" xfId="0" applyFont="1" applyFill="1" applyBorder="1" applyAlignment="1">
      <alignment horizontal="center"/>
    </xf>
    <xf numFmtId="0" fontId="41" fillId="8" borderId="31" xfId="0" applyFont="1" applyFill="1" applyBorder="1" applyAlignment="1">
      <alignment horizontal="center"/>
    </xf>
    <xf numFmtId="0" fontId="47" fillId="0" borderId="0" xfId="0" applyFont="1" applyAlignment="1">
      <alignment horizontal="center" vertical="center" wrapText="1"/>
    </xf>
    <xf numFmtId="173" fontId="26" fillId="0" borderId="31" xfId="1" applyNumberFormat="1" applyFont="1" applyBorder="1" applyAlignment="1">
      <alignment horizontal="right" vertical="center"/>
    </xf>
    <xf numFmtId="170" fontId="41" fillId="8" borderId="0" xfId="0" applyNumberFormat="1" applyFont="1" applyFill="1" applyAlignment="1">
      <alignment horizontal="right"/>
    </xf>
    <xf numFmtId="165" fontId="26" fillId="0" borderId="31" xfId="1" applyNumberFormat="1" applyFont="1" applyFill="1" applyBorder="1" applyAlignment="1">
      <alignment horizontal="center" vertical="center"/>
    </xf>
    <xf numFmtId="165" fontId="26" fillId="0" borderId="30" xfId="1" applyNumberFormat="1" applyFont="1" applyFill="1" applyBorder="1" applyAlignment="1">
      <alignment horizontal="center" vertical="center"/>
    </xf>
    <xf numFmtId="10" fontId="26" fillId="0" borderId="31" xfId="1" applyNumberFormat="1" applyFont="1" applyBorder="1" applyAlignment="1">
      <alignment horizontal="right" vertical="center"/>
    </xf>
    <xf numFmtId="43" fontId="26" fillId="0" borderId="31" xfId="7" applyFont="1" applyBorder="1" applyAlignment="1">
      <alignment horizontal="right" vertical="center"/>
    </xf>
    <xf numFmtId="2" fontId="41" fillId="0" borderId="31" xfId="0" applyNumberFormat="1" applyFont="1" applyBorder="1" applyAlignment="1">
      <alignment horizontal="right" vertical="center"/>
    </xf>
    <xf numFmtId="9" fontId="26" fillId="0" borderId="30" xfId="1" applyFont="1" applyBorder="1" applyAlignment="1">
      <alignment horizontal="right" vertical="center"/>
    </xf>
    <xf numFmtId="2" fontId="41" fillId="0" borderId="30" xfId="0" applyNumberFormat="1" applyFont="1" applyBorder="1" applyAlignment="1">
      <alignment horizontal="center" vertical="center"/>
    </xf>
    <xf numFmtId="43" fontId="26" fillId="0" borderId="30" xfId="7" applyFont="1" applyBorder="1" applyAlignment="1">
      <alignment horizontal="right" vertical="center"/>
    </xf>
    <xf numFmtId="2" fontId="26" fillId="0" borderId="0" xfId="0" applyNumberFormat="1" applyFont="1" applyAlignment="1">
      <alignment horizontal="right"/>
    </xf>
    <xf numFmtId="2" fontId="43" fillId="0" borderId="30" xfId="0" applyNumberFormat="1" applyFont="1" applyBorder="1" applyAlignment="1">
      <alignment horizontal="right" vertical="center" wrapText="1"/>
    </xf>
    <xf numFmtId="2" fontId="43" fillId="0" borderId="0" xfId="0" applyNumberFormat="1" applyFont="1" applyAlignment="1">
      <alignment horizontal="right"/>
    </xf>
    <xf numFmtId="170" fontId="41" fillId="0" borderId="0" xfId="0" applyNumberFormat="1" applyFont="1" applyAlignment="1">
      <alignment horizontal="right"/>
    </xf>
    <xf numFmtId="0" fontId="25" fillId="0" borderId="0" xfId="0" applyFont="1" applyAlignment="1">
      <alignment horizontal="right"/>
    </xf>
    <xf numFmtId="43" fontId="43" fillId="0" borderId="0" xfId="7" quotePrefix="1" applyFont="1" applyBorder="1" applyAlignment="1">
      <alignment horizontal="right"/>
    </xf>
    <xf numFmtId="0" fontId="41" fillId="0" borderId="0" xfId="0" applyFont="1" applyAlignment="1">
      <alignment horizontal="right"/>
    </xf>
    <xf numFmtId="0" fontId="42" fillId="0" borderId="30" xfId="0" applyFont="1" applyBorder="1" applyAlignment="1">
      <alignment horizontal="right" vertical="center" wrapText="1"/>
    </xf>
    <xf numFmtId="0" fontId="41" fillId="0" borderId="30" xfId="0" applyFont="1" applyBorder="1" applyAlignment="1">
      <alignment horizontal="right" vertical="center" wrapText="1"/>
    </xf>
    <xf numFmtId="170" fontId="0" fillId="0" borderId="0" xfId="0" applyNumberFormat="1" applyAlignment="1">
      <alignment horizontal="right"/>
    </xf>
    <xf numFmtId="0" fontId="44" fillId="0" borderId="30" xfId="0" applyFont="1" applyBorder="1" applyAlignment="1">
      <alignment horizontal="center" vertical="center" wrapText="1"/>
    </xf>
    <xf numFmtId="10" fontId="25" fillId="0" borderId="30" xfId="0" applyNumberFormat="1" applyFont="1" applyBorder="1" applyAlignment="1">
      <alignment horizontal="center" vertical="center" wrapText="1"/>
    </xf>
    <xf numFmtId="10" fontId="25" fillId="0" borderId="30" xfId="7" applyNumberFormat="1" applyFont="1" applyBorder="1" applyAlignment="1">
      <alignment horizontal="center" vertical="center" wrapText="1"/>
    </xf>
    <xf numFmtId="170" fontId="25" fillId="0" borderId="0" xfId="0" applyNumberFormat="1" applyFont="1" applyAlignment="1">
      <alignment horizontal="center" vertical="center" wrapText="1"/>
    </xf>
    <xf numFmtId="170" fontId="44" fillId="0" borderId="30" xfId="0" applyNumberFormat="1" applyFont="1" applyBorder="1" applyAlignment="1">
      <alignment horizontal="center" vertical="center" wrapText="1"/>
    </xf>
    <xf numFmtId="10" fontId="44" fillId="0" borderId="30" xfId="0" applyNumberFormat="1" applyFont="1" applyBorder="1" applyAlignment="1">
      <alignment horizontal="center" vertical="center" wrapText="1"/>
    </xf>
    <xf numFmtId="170" fontId="44" fillId="0" borderId="0" xfId="0" applyNumberFormat="1" applyFont="1" applyAlignment="1">
      <alignment horizontal="center" vertical="center" wrapText="1"/>
    </xf>
    <xf numFmtId="10" fontId="44" fillId="0" borderId="0" xfId="0" applyNumberFormat="1" applyFont="1" applyAlignment="1">
      <alignment horizontal="center" vertical="center" wrapText="1"/>
    </xf>
    <xf numFmtId="170" fontId="25" fillId="0" borderId="30" xfId="0" applyNumberFormat="1" applyFont="1" applyBorder="1" applyAlignment="1">
      <alignment horizontal="center" vertical="center" wrapText="1"/>
    </xf>
    <xf numFmtId="0" fontId="52" fillId="0" borderId="30" xfId="0" applyFont="1" applyBorder="1" applyAlignment="1">
      <alignment horizontal="center" vertical="center" wrapText="1"/>
    </xf>
    <xf numFmtId="0" fontId="41" fillId="0" borderId="30" xfId="0" applyFont="1" applyBorder="1"/>
    <xf numFmtId="0" fontId="43" fillId="0" borderId="0" xfId="0" applyFont="1" applyAlignment="1">
      <alignment horizontal="center" vertical="center" wrapText="1"/>
    </xf>
    <xf numFmtId="165" fontId="32" fillId="0" borderId="31" xfId="1" applyNumberFormat="1" applyFont="1" applyBorder="1" applyAlignment="1">
      <alignment horizontal="center" vertical="center"/>
    </xf>
    <xf numFmtId="10" fontId="32" fillId="0" borderId="31" xfId="1" applyNumberFormat="1" applyFont="1" applyBorder="1" applyAlignment="1">
      <alignment horizontal="center" vertical="center"/>
    </xf>
    <xf numFmtId="10" fontId="33" fillId="0" borderId="31" xfId="1" applyNumberFormat="1" applyFont="1" applyBorder="1" applyAlignment="1">
      <alignment horizontal="center" vertical="center"/>
    </xf>
    <xf numFmtId="43" fontId="35" fillId="0" borderId="30" xfId="7" applyFont="1" applyBorder="1" applyAlignment="1">
      <alignment horizontal="center" vertical="center"/>
    </xf>
    <xf numFmtId="43" fontId="32" fillId="0" borderId="30" xfId="7" applyFont="1" applyBorder="1" applyAlignment="1">
      <alignment horizontal="center" vertical="center"/>
    </xf>
    <xf numFmtId="0" fontId="36" fillId="0" borderId="0" xfId="0" applyFont="1"/>
    <xf numFmtId="174" fontId="35" fillId="0" borderId="31" xfId="7" applyNumberFormat="1" applyFont="1" applyBorder="1" applyAlignment="1">
      <alignment horizontal="right" vertical="center" wrapText="1"/>
    </xf>
    <xf numFmtId="174" fontId="35" fillId="0" borderId="30" xfId="7" applyNumberFormat="1" applyFont="1" applyBorder="1" applyAlignment="1">
      <alignment horizontal="right" vertical="center" wrapText="1"/>
    </xf>
    <xf numFmtId="43" fontId="35" fillId="0" borderId="30" xfId="7" applyFont="1" applyBorder="1" applyAlignment="1">
      <alignment horizontal="right" vertical="center"/>
    </xf>
    <xf numFmtId="10" fontId="41" fillId="0" borderId="30" xfId="1" applyNumberFormat="1" applyFont="1" applyBorder="1" applyAlignment="1">
      <alignment horizontal="right" vertical="center" wrapText="1"/>
    </xf>
    <xf numFmtId="0" fontId="41" fillId="0" borderId="0" xfId="0" applyFont="1" applyAlignment="1">
      <alignment horizontal="right" vertical="center" wrapText="1"/>
    </xf>
    <xf numFmtId="172" fontId="29" fillId="0" borderId="31" xfId="7" applyNumberFormat="1" applyFont="1" applyBorder="1" applyAlignment="1">
      <alignment horizontal="right" vertical="center"/>
    </xf>
    <xf numFmtId="43" fontId="29" fillId="8" borderId="34" xfId="7" applyFont="1" applyFill="1" applyBorder="1" applyAlignment="1">
      <alignment horizontal="right" vertical="center"/>
    </xf>
    <xf numFmtId="172" fontId="29" fillId="0" borderId="31" xfId="7" applyNumberFormat="1" applyFont="1" applyBorder="1" applyAlignment="1">
      <alignment horizontal="center" vertical="center"/>
    </xf>
    <xf numFmtId="0" fontId="39" fillId="0" borderId="30" xfId="0" applyFont="1" applyBorder="1" applyAlignment="1">
      <alignment horizontal="left" vertical="center"/>
    </xf>
    <xf numFmtId="0" fontId="39" fillId="0" borderId="32" xfId="0" applyFont="1" applyBorder="1" applyAlignment="1">
      <alignment vertical="center"/>
    </xf>
    <xf numFmtId="0" fontId="39" fillId="0" borderId="31" xfId="0" applyFont="1" applyBorder="1" applyAlignment="1">
      <alignment vertical="center"/>
    </xf>
    <xf numFmtId="0" fontId="39" fillId="0" borderId="32" xfId="0" applyFont="1" applyBorder="1" applyAlignment="1">
      <alignment horizontal="left" vertical="center"/>
    </xf>
    <xf numFmtId="0" fontId="39" fillId="0" borderId="31" xfId="0" applyFont="1" applyBorder="1" applyAlignment="1">
      <alignment horizontal="left" vertical="center"/>
    </xf>
    <xf numFmtId="0" fontId="0" fillId="5" borderId="9" xfId="0" applyFill="1" applyBorder="1" applyAlignment="1">
      <alignment horizontal="center" vertical="center"/>
    </xf>
    <xf numFmtId="2" fontId="0" fillId="0" borderId="0" xfId="0" applyNumberFormat="1" applyBorder="1" applyAlignment="1">
      <alignment horizontal="center" vertical="top"/>
    </xf>
    <xf numFmtId="167" fontId="25" fillId="5" borderId="1" xfId="4" applyNumberFormat="1" applyFont="1" applyFill="1" applyBorder="1" applyAlignment="1">
      <alignment horizontal="center" vertical="center" wrapText="1"/>
    </xf>
    <xf numFmtId="4" fontId="0" fillId="0" borderId="0" xfId="0" applyNumberFormat="1" applyAlignment="1">
      <alignment horizontal="center"/>
    </xf>
    <xf numFmtId="4" fontId="0" fillId="0" borderId="0" xfId="0" applyNumberFormat="1" applyFill="1" applyAlignment="1">
      <alignment horizontal="center"/>
    </xf>
    <xf numFmtId="0" fontId="0" fillId="0" borderId="0" xfId="0" applyBorder="1" applyAlignment="1">
      <alignment horizontal="center" vertical="top" wrapText="1"/>
    </xf>
    <xf numFmtId="4" fontId="0" fillId="0" borderId="0" xfId="0" applyNumberFormat="1" applyFill="1" applyBorder="1" applyAlignment="1">
      <alignment horizontal="center"/>
    </xf>
    <xf numFmtId="4" fontId="0" fillId="0" borderId="0" xfId="0" applyNumberFormat="1"/>
    <xf numFmtId="10" fontId="0" fillId="5" borderId="6" xfId="0" applyNumberFormat="1" applyFill="1" applyBorder="1" applyAlignment="1">
      <alignment horizontal="center"/>
    </xf>
    <xf numFmtId="0" fontId="0" fillId="11" borderId="0" xfId="0" applyFill="1" applyBorder="1" applyAlignment="1">
      <alignment horizontal="center"/>
    </xf>
    <xf numFmtId="0" fontId="0" fillId="11" borderId="9" xfId="0" applyFill="1" applyBorder="1" applyAlignment="1">
      <alignment horizontal="center" vertical="center"/>
    </xf>
    <xf numFmtId="0" fontId="0" fillId="11" borderId="9" xfId="0" applyFill="1" applyBorder="1" applyAlignment="1">
      <alignment horizontal="center"/>
    </xf>
    <xf numFmtId="0" fontId="0" fillId="11" borderId="1" xfId="0" applyFill="1" applyBorder="1" applyAlignment="1">
      <alignment horizontal="center"/>
    </xf>
    <xf numFmtId="2" fontId="0" fillId="5" borderId="9" xfId="0" applyNumberFormat="1" applyFill="1" applyBorder="1" applyAlignment="1">
      <alignment horizontal="center"/>
    </xf>
    <xf numFmtId="14" fontId="0" fillId="5" borderId="0" xfId="0" applyNumberFormat="1" applyFill="1" applyBorder="1" applyAlignment="1">
      <alignment horizontal="center"/>
    </xf>
    <xf numFmtId="0" fontId="0" fillId="5" borderId="7" xfId="0" applyFill="1" applyBorder="1" applyAlignment="1">
      <alignment horizontal="center"/>
    </xf>
    <xf numFmtId="0" fontId="2" fillId="0" borderId="0" xfId="0" applyFont="1" applyAlignment="1">
      <alignment horizontal="center"/>
    </xf>
    <xf numFmtId="0" fontId="23" fillId="0" borderId="0" xfId="0" applyFont="1" applyAlignment="1">
      <alignment horizontal="center"/>
    </xf>
    <xf numFmtId="0" fontId="18" fillId="0" borderId="0" xfId="0" applyFont="1" applyBorder="1" applyAlignment="1">
      <alignment horizontal="center"/>
    </xf>
    <xf numFmtId="9" fontId="0" fillId="0" borderId="0" xfId="0" applyNumberFormat="1" applyBorder="1" applyAlignment="1">
      <alignment horizontal="center"/>
    </xf>
    <xf numFmtId="0" fontId="0" fillId="0" borderId="0" xfId="0" applyBorder="1" applyAlignment="1">
      <alignment horizontal="center" wrapText="1"/>
    </xf>
    <xf numFmtId="0" fontId="0" fillId="11" borderId="0" xfId="0" applyFill="1" applyAlignment="1">
      <alignment horizontal="center"/>
    </xf>
    <xf numFmtId="0" fontId="0" fillId="13" borderId="0" xfId="0" applyFill="1" applyBorder="1" applyAlignment="1">
      <alignment horizontal="center"/>
    </xf>
    <xf numFmtId="167" fontId="0" fillId="13" borderId="0" xfId="0" applyNumberForma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8" fillId="0" borderId="2" xfId="0" applyFont="1" applyBorder="1" applyAlignment="1">
      <alignment horizontal="center"/>
    </xf>
    <xf numFmtId="0" fontId="0" fillId="0" borderId="8" xfId="0" applyBorder="1" applyAlignment="1">
      <alignment horizontal="center"/>
    </xf>
    <xf numFmtId="0" fontId="0" fillId="0" borderId="8" xfId="0" applyBorder="1" applyAlignment="1">
      <alignment horizontal="center" vertical="center" wrapText="1"/>
    </xf>
    <xf numFmtId="0" fontId="18" fillId="0" borderId="8" xfId="0" applyFont="1" applyBorder="1" applyAlignment="1">
      <alignment horizontal="center"/>
    </xf>
    <xf numFmtId="0" fontId="0" fillId="0" borderId="0" xfId="0" applyBorder="1" applyAlignment="1">
      <alignment horizontal="center" vertical="center" wrapText="1"/>
    </xf>
    <xf numFmtId="10" fontId="0" fillId="5" borderId="9" xfId="0" applyNumberFormat="1" applyFill="1" applyBorder="1" applyAlignment="1">
      <alignment horizontal="center"/>
    </xf>
    <xf numFmtId="0" fontId="0" fillId="0" borderId="8" xfId="0" applyFill="1"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18" fillId="0" borderId="35" xfId="0" applyFont="1" applyBorder="1" applyAlignment="1">
      <alignment horizontal="center"/>
    </xf>
    <xf numFmtId="0" fontId="0" fillId="0" borderId="34" xfId="0" applyBorder="1" applyAlignment="1">
      <alignment horizontal="center"/>
    </xf>
    <xf numFmtId="0" fontId="20" fillId="0" borderId="2" xfId="0" applyFont="1" applyBorder="1" applyAlignment="1">
      <alignment horizontal="center"/>
    </xf>
    <xf numFmtId="0" fontId="4" fillId="0" borderId="4" xfId="0" applyFont="1" applyBorder="1" applyAlignment="1">
      <alignment horizontal="center"/>
    </xf>
    <xf numFmtId="167" fontId="0" fillId="5" borderId="0" xfId="0" applyNumberFormat="1" applyFill="1" applyBorder="1" applyAlignment="1">
      <alignment horizontal="center"/>
    </xf>
    <xf numFmtId="10" fontId="0" fillId="0" borderId="0" xfId="0" applyNumberFormat="1" applyBorder="1" applyAlignment="1">
      <alignment horizontal="center"/>
    </xf>
    <xf numFmtId="10" fontId="0" fillId="0" borderId="9" xfId="0" applyNumberFormat="1" applyBorder="1" applyAlignment="1">
      <alignment horizontal="center"/>
    </xf>
    <xf numFmtId="0" fontId="4" fillId="0" borderId="0" xfId="0" applyFont="1" applyBorder="1" applyAlignment="1">
      <alignment horizontal="center"/>
    </xf>
    <xf numFmtId="10" fontId="0" fillId="5" borderId="0" xfId="0" applyNumberFormat="1" applyFill="1" applyBorder="1" applyAlignment="1">
      <alignment horizontal="center"/>
    </xf>
    <xf numFmtId="0" fontId="7" fillId="0" borderId="0" xfId="2" applyBorder="1" applyAlignment="1" applyProtection="1">
      <alignment horizontal="center"/>
    </xf>
    <xf numFmtId="0" fontId="15" fillId="0" borderId="0" xfId="0" applyFont="1" applyBorder="1" applyAlignment="1">
      <alignment horizontal="center" vertical="center"/>
    </xf>
    <xf numFmtId="0" fontId="4" fillId="0" borderId="0" xfId="0" applyFont="1" applyAlignment="1">
      <alignment horizontal="center"/>
    </xf>
    <xf numFmtId="0" fontId="0" fillId="0" borderId="5" xfId="0" applyBorder="1" applyAlignment="1">
      <alignment horizontal="center" wrapText="1"/>
    </xf>
    <xf numFmtId="0" fontId="0" fillId="0" borderId="7" xfId="0" applyBorder="1" applyAlignment="1">
      <alignment horizontal="center"/>
    </xf>
    <xf numFmtId="0" fontId="2" fillId="6" borderId="8" xfId="0" applyFont="1" applyFill="1" applyBorder="1" applyAlignment="1">
      <alignment horizontal="center"/>
    </xf>
    <xf numFmtId="0" fontId="0" fillId="6" borderId="0" xfId="0" applyFill="1" applyBorder="1" applyAlignment="1">
      <alignment horizontal="center"/>
    </xf>
    <xf numFmtId="0" fontId="16" fillId="6" borderId="8" xfId="0" applyFont="1" applyFill="1" applyBorder="1" applyAlignment="1">
      <alignment horizontal="center"/>
    </xf>
    <xf numFmtId="0" fontId="15" fillId="0" borderId="0" xfId="0" applyFont="1" applyBorder="1" applyAlignment="1">
      <alignment horizontal="center" vertical="center" wrapText="1"/>
    </xf>
    <xf numFmtId="0" fontId="15" fillId="0" borderId="0" xfId="0" applyFont="1" applyAlignment="1">
      <alignment horizontal="center" vertical="center" wrapText="1"/>
    </xf>
    <xf numFmtId="0" fontId="0" fillId="4" borderId="1" xfId="0" applyFill="1" applyBorder="1" applyAlignment="1">
      <alignment horizontal="center"/>
    </xf>
    <xf numFmtId="0" fontId="19" fillId="0" borderId="0" xfId="0" applyFont="1" applyBorder="1" applyAlignment="1">
      <alignment horizontal="center" vertical="center"/>
    </xf>
    <xf numFmtId="0" fontId="15" fillId="0" borderId="0" xfId="0" applyFont="1" applyAlignment="1">
      <alignment horizontal="center" vertical="center"/>
    </xf>
    <xf numFmtId="0" fontId="7" fillId="0" borderId="0" xfId="2" applyAlignment="1" applyProtection="1">
      <alignment horizontal="center"/>
    </xf>
    <xf numFmtId="0" fontId="7" fillId="0" borderId="0" xfId="2" applyAlignment="1" applyProtection="1">
      <alignment horizontal="center" vertical="center" wrapText="1"/>
    </xf>
    <xf numFmtId="0" fontId="0" fillId="0" borderId="0" xfId="0" applyAlignment="1">
      <alignment horizontal="left" vertical="top"/>
    </xf>
    <xf numFmtId="0" fontId="0" fillId="0" borderId="0" xfId="0" applyBorder="1" applyAlignment="1">
      <alignment horizontal="left"/>
    </xf>
    <xf numFmtId="0" fontId="0" fillId="0" borderId="0" xfId="0"/>
    <xf numFmtId="0" fontId="58" fillId="0" borderId="0" xfId="0" applyFont="1"/>
    <xf numFmtId="0" fontId="59" fillId="0" borderId="0" xfId="0" applyFont="1"/>
    <xf numFmtId="0" fontId="60" fillId="0" borderId="0" xfId="0" applyFont="1"/>
    <xf numFmtId="0" fontId="10" fillId="0" borderId="0" xfId="0" applyFont="1"/>
    <xf numFmtId="170" fontId="38" fillId="0" borderId="30" xfId="0" applyNumberFormat="1" applyFont="1" applyBorder="1" applyAlignment="1">
      <alignment horizontal="center" vertical="center" wrapText="1"/>
    </xf>
    <xf numFmtId="0" fontId="40" fillId="0" borderId="0" xfId="0" applyFont="1"/>
    <xf numFmtId="0" fontId="41" fillId="0" borderId="30" xfId="0" applyFont="1" applyBorder="1" applyAlignment="1">
      <alignment horizontal="center" vertical="center" wrapText="1"/>
    </xf>
    <xf numFmtId="0" fontId="59" fillId="0" borderId="0" xfId="0" applyFont="1" applyAlignment="1">
      <alignment horizontal="center"/>
    </xf>
    <xf numFmtId="0" fontId="62" fillId="0" borderId="0" xfId="0" applyFont="1"/>
    <xf numFmtId="43" fontId="40" fillId="0" borderId="30" xfId="7" quotePrefix="1" applyFont="1" applyBorder="1"/>
    <xf numFmtId="165" fontId="55" fillId="0" borderId="30" xfId="1" applyNumberFormat="1" applyFont="1" applyBorder="1" applyAlignment="1">
      <alignment horizontal="center" vertical="center"/>
    </xf>
    <xf numFmtId="0" fontId="0" fillId="0" borderId="0" xfId="0" applyAlignment="1">
      <alignment horizontal="center"/>
    </xf>
    <xf numFmtId="0" fontId="41" fillId="0" borderId="0" xfId="0" applyFont="1"/>
    <xf numFmtId="0" fontId="41" fillId="0" borderId="0" xfId="0" applyFont="1" applyAlignment="1">
      <alignment horizontal="center" vertical="center" wrapText="1"/>
    </xf>
    <xf numFmtId="0" fontId="41" fillId="0" borderId="6" xfId="0" applyFont="1" applyBorder="1" applyAlignment="1">
      <alignment horizontal="center" vertical="center" wrapText="1"/>
    </xf>
    <xf numFmtId="0" fontId="45" fillId="0" borderId="0" xfId="0" applyFont="1"/>
    <xf numFmtId="0" fontId="45" fillId="0" borderId="30" xfId="0" applyFont="1" applyBorder="1" applyAlignment="1">
      <alignment horizontal="center" vertical="center" wrapText="1"/>
    </xf>
    <xf numFmtId="0" fontId="63" fillId="0" borderId="30" xfId="0" applyFont="1" applyBorder="1" applyAlignment="1">
      <alignment horizontal="center" vertical="center" wrapText="1"/>
    </xf>
    <xf numFmtId="4" fontId="45" fillId="0" borderId="0" xfId="0" applyNumberFormat="1" applyFont="1" applyAlignment="1">
      <alignment horizontal="center"/>
    </xf>
    <xf numFmtId="0" fontId="60" fillId="0" borderId="0" xfId="0" applyFont="1" applyAlignment="1">
      <alignment horizontal="center" vertical="center"/>
    </xf>
    <xf numFmtId="0" fontId="25" fillId="0" borderId="0" xfId="0" applyFont="1"/>
    <xf numFmtId="0" fontId="25" fillId="0" borderId="30" xfId="0" applyFont="1" applyBorder="1" applyAlignment="1">
      <alignment horizontal="center"/>
    </xf>
    <xf numFmtId="10" fontId="26" fillId="0" borderId="30" xfId="1" applyNumberFormat="1" applyFont="1" applyBorder="1" applyAlignment="1">
      <alignment horizontal="center" vertical="center"/>
    </xf>
    <xf numFmtId="0" fontId="43" fillId="0" borderId="0" xfId="0" applyFont="1"/>
    <xf numFmtId="2" fontId="43" fillId="0" borderId="30" xfId="0" applyNumberFormat="1" applyFont="1" applyBorder="1" applyAlignment="1">
      <alignment horizontal="center" vertical="center"/>
    </xf>
    <xf numFmtId="0" fontId="59" fillId="0" borderId="0" xfId="0" applyFont="1" applyAlignment="1">
      <alignment horizontal="right"/>
    </xf>
    <xf numFmtId="170" fontId="59" fillId="0" borderId="0" xfId="0" applyNumberFormat="1" applyFont="1" applyAlignment="1">
      <alignment horizontal="right"/>
    </xf>
    <xf numFmtId="4" fontId="59" fillId="0" borderId="0" xfId="0" applyNumberFormat="1" applyFont="1"/>
    <xf numFmtId="0" fontId="59" fillId="0" borderId="0" xfId="0" applyFont="1" applyAlignment="1">
      <alignment horizontal="center" vertical="center" wrapText="1"/>
    </xf>
    <xf numFmtId="0" fontId="61" fillId="0" borderId="0" xfId="0" applyFont="1"/>
    <xf numFmtId="10" fontId="59" fillId="0" borderId="0" xfId="0" applyNumberFormat="1" applyFont="1"/>
    <xf numFmtId="165" fontId="59" fillId="0" borderId="0" xfId="1" applyNumberFormat="1" applyFont="1"/>
    <xf numFmtId="0" fontId="61" fillId="0" borderId="0" xfId="0" applyFont="1" applyAlignment="1">
      <alignment horizontal="left"/>
    </xf>
    <xf numFmtId="170" fontId="59" fillId="0" borderId="30" xfId="0" applyNumberFormat="1" applyFont="1" applyBorder="1" applyAlignment="1">
      <alignment horizontal="right"/>
    </xf>
    <xf numFmtId="4" fontId="59" fillId="0" borderId="0" xfId="0" applyNumberFormat="1" applyFont="1" applyAlignment="1">
      <alignment horizontal="center"/>
    </xf>
    <xf numFmtId="171" fontId="59" fillId="0" borderId="0" xfId="0" applyNumberFormat="1" applyFont="1" applyAlignment="1">
      <alignment horizontal="center"/>
    </xf>
    <xf numFmtId="0" fontId="57" fillId="0" borderId="0" xfId="0" applyFont="1" applyAlignment="1">
      <alignment horizontal="center" vertical="center" wrapText="1"/>
    </xf>
    <xf numFmtId="4" fontId="59" fillId="0" borderId="0" xfId="0" applyNumberFormat="1" applyFont="1" applyAlignment="1">
      <alignment horizontal="center" vertical="center" wrapText="1"/>
    </xf>
    <xf numFmtId="178" fontId="59" fillId="0" borderId="30" xfId="0" applyNumberFormat="1" applyFont="1" applyBorder="1" applyAlignment="1">
      <alignment horizontal="right"/>
    </xf>
    <xf numFmtId="176" fontId="59" fillId="0" borderId="30" xfId="7" applyNumberFormat="1" applyFont="1" applyBorder="1" applyAlignment="1">
      <alignment horizontal="right"/>
    </xf>
    <xf numFmtId="170" fontId="59" fillId="0" borderId="0" xfId="0" applyNumberFormat="1" applyFont="1" applyAlignment="1">
      <alignment horizontal="center" vertical="center" wrapText="1"/>
    </xf>
    <xf numFmtId="0" fontId="61" fillId="0" borderId="5" xfId="0" applyFont="1" applyBorder="1" applyAlignment="1">
      <alignment horizontal="center" vertical="center" wrapText="1"/>
    </xf>
    <xf numFmtId="170" fontId="59" fillId="0" borderId="6" xfId="0" applyNumberFormat="1" applyFont="1" applyBorder="1" applyAlignment="1">
      <alignment horizontal="center" vertical="center" wrapText="1"/>
    </xf>
    <xf numFmtId="170" fontId="59" fillId="0" borderId="6" xfId="0" applyNumberFormat="1" applyFont="1" applyBorder="1" applyAlignment="1">
      <alignment horizontal="right"/>
    </xf>
    <xf numFmtId="170" fontId="59" fillId="0" borderId="7" xfId="0" applyNumberFormat="1" applyFont="1" applyBorder="1" applyAlignment="1">
      <alignment horizontal="right"/>
    </xf>
    <xf numFmtId="0" fontId="61" fillId="0" borderId="35" xfId="0" applyFont="1" applyBorder="1" applyAlignment="1">
      <alignment horizontal="center" vertical="center" wrapText="1"/>
    </xf>
    <xf numFmtId="170" fontId="59" fillId="0" borderId="36" xfId="0" applyNumberFormat="1" applyFont="1" applyBorder="1" applyAlignment="1">
      <alignment horizontal="center" vertical="center" wrapText="1"/>
    </xf>
    <xf numFmtId="170" fontId="59" fillId="0" borderId="36" xfId="0" applyNumberFormat="1" applyFont="1" applyBorder="1" applyAlignment="1">
      <alignment horizontal="right"/>
    </xf>
    <xf numFmtId="0" fontId="59" fillId="0" borderId="34" xfId="0" applyFont="1" applyBorder="1" applyAlignment="1">
      <alignment horizontal="right"/>
    </xf>
    <xf numFmtId="170" fontId="64" fillId="0" borderId="0" xfId="0" applyNumberFormat="1" applyFont="1" applyAlignment="1">
      <alignment horizontal="right"/>
    </xf>
    <xf numFmtId="10" fontId="59" fillId="0" borderId="0" xfId="1" applyNumberFormat="1" applyFont="1" applyAlignment="1">
      <alignment horizontal="right"/>
    </xf>
    <xf numFmtId="170" fontId="59" fillId="0" borderId="31" xfId="0" applyNumberFormat="1" applyFont="1" applyBorder="1" applyAlignment="1">
      <alignment horizontal="right"/>
    </xf>
    <xf numFmtId="0" fontId="59" fillId="0" borderId="5" xfId="0" applyFont="1" applyBorder="1" applyAlignment="1">
      <alignment horizontal="center" vertical="center" wrapText="1"/>
    </xf>
    <xf numFmtId="0" fontId="59" fillId="0" borderId="6" xfId="0" applyFont="1" applyBorder="1" applyAlignment="1">
      <alignment horizontal="center" vertical="center" wrapText="1"/>
    </xf>
    <xf numFmtId="4" fontId="59" fillId="0" borderId="6" xfId="0" applyNumberFormat="1" applyFont="1" applyBorder="1" applyAlignment="1">
      <alignment horizontal="right"/>
    </xf>
    <xf numFmtId="0" fontId="59" fillId="0" borderId="7" xfId="0" applyFont="1" applyBorder="1" applyAlignment="1">
      <alignment horizontal="right"/>
    </xf>
    <xf numFmtId="0" fontId="59" fillId="0" borderId="42" xfId="0" applyFont="1" applyBorder="1"/>
    <xf numFmtId="0" fontId="58" fillId="0" borderId="0" xfId="0" applyFont="1" applyAlignment="1">
      <alignment horizontal="center"/>
    </xf>
    <xf numFmtId="171" fontId="38" fillId="0" borderId="30" xfId="0" applyNumberFormat="1" applyFont="1" applyBorder="1" applyAlignment="1">
      <alignment horizontal="center" vertical="center" wrapText="1"/>
    </xf>
    <xf numFmtId="0" fontId="59" fillId="0" borderId="30" xfId="0" applyFont="1" applyBorder="1" applyAlignment="1">
      <alignment horizontal="center" vertical="center"/>
    </xf>
    <xf numFmtId="170" fontId="59" fillId="0" borderId="30" xfId="0" applyNumberFormat="1" applyFont="1" applyBorder="1" applyAlignment="1">
      <alignment horizontal="center" vertical="center"/>
    </xf>
    <xf numFmtId="0" fontId="59" fillId="0" borderId="13" xfId="0" applyFont="1" applyBorder="1" applyAlignment="1">
      <alignment horizontal="center" vertical="center"/>
    </xf>
    <xf numFmtId="0" fontId="25" fillId="0" borderId="30" xfId="0" applyFont="1" applyBorder="1" applyAlignment="1">
      <alignment horizontal="center" vertical="center"/>
    </xf>
    <xf numFmtId="10" fontId="43" fillId="0" borderId="30" xfId="1" applyNumberFormat="1" applyFont="1" applyBorder="1" applyAlignment="1">
      <alignment horizontal="center" vertical="center"/>
    </xf>
    <xf numFmtId="0" fontId="40" fillId="0" borderId="30" xfId="0" applyFont="1" applyBorder="1" applyAlignment="1">
      <alignment horizontal="center"/>
    </xf>
    <xf numFmtId="0" fontId="65" fillId="0" borderId="0" xfId="8" applyFont="1" applyAlignment="1">
      <alignment horizontal="right"/>
    </xf>
    <xf numFmtId="0" fontId="39" fillId="0" borderId="30" xfId="8" applyFont="1" applyBorder="1" applyAlignment="1">
      <alignment horizontal="left" vertical="center" wrapText="1"/>
    </xf>
    <xf numFmtId="0" fontId="39" fillId="0" borderId="0" xfId="8" applyFont="1" applyAlignment="1">
      <alignment horizontal="right"/>
    </xf>
    <xf numFmtId="0" fontId="39" fillId="0" borderId="30" xfId="8" applyFont="1" applyBorder="1" applyAlignment="1">
      <alignment horizontal="left"/>
    </xf>
    <xf numFmtId="3" fontId="39" fillId="0" borderId="0" xfId="8" applyNumberFormat="1" applyFont="1" applyAlignment="1">
      <alignment horizontal="right"/>
    </xf>
    <xf numFmtId="0" fontId="39" fillId="0" borderId="13" xfId="8" applyFont="1" applyBorder="1" applyAlignment="1">
      <alignment horizontal="left"/>
    </xf>
    <xf numFmtId="0" fontId="39" fillId="0" borderId="30" xfId="0" applyFont="1" applyBorder="1" applyAlignment="1">
      <alignment horizontal="center"/>
    </xf>
    <xf numFmtId="0" fontId="39" fillId="0" borderId="30" xfId="8" applyFont="1" applyBorder="1" applyAlignment="1">
      <alignment horizontal="center"/>
    </xf>
    <xf numFmtId="0" fontId="39" fillId="0" borderId="30" xfId="8" applyFont="1" applyBorder="1"/>
    <xf numFmtId="0" fontId="39" fillId="0" borderId="30" xfId="8" applyFont="1" applyBorder="1" applyAlignment="1">
      <alignment horizontal="center" vertical="center" wrapText="1"/>
    </xf>
    <xf numFmtId="14" fontId="39" fillId="0" borderId="0" xfId="0" applyNumberFormat="1" applyFont="1" applyAlignment="1">
      <alignment horizontal="right"/>
    </xf>
    <xf numFmtId="0" fontId="39" fillId="0" borderId="30" xfId="8" applyFont="1" applyBorder="1" applyAlignment="1">
      <alignment horizontal="right"/>
    </xf>
    <xf numFmtId="2" fontId="39" fillId="0" borderId="30" xfId="8" applyNumberFormat="1" applyFont="1" applyBorder="1" applyAlignment="1">
      <alignment horizontal="center" vertical="center" wrapText="1"/>
    </xf>
    <xf numFmtId="4" fontId="39" fillId="0" borderId="30" xfId="8" applyNumberFormat="1" applyFont="1" applyBorder="1" applyAlignment="1">
      <alignment horizontal="center" vertical="center" wrapText="1"/>
    </xf>
    <xf numFmtId="0" fontId="39" fillId="0" borderId="30" xfId="8" applyFont="1" applyBorder="1" applyAlignment="1">
      <alignment horizontal="right" vertical="center" wrapText="1"/>
    </xf>
    <xf numFmtId="0" fontId="66" fillId="0" borderId="30" xfId="8" applyFont="1" applyBorder="1" applyAlignment="1">
      <alignment horizontal="center" vertical="center" wrapText="1"/>
    </xf>
    <xf numFmtId="0" fontId="66" fillId="0" borderId="30" xfId="8" applyFont="1" applyBorder="1" applyAlignment="1">
      <alignment horizontal="center"/>
    </xf>
    <xf numFmtId="4" fontId="39" fillId="0" borderId="30" xfId="8" applyNumberFormat="1" applyFont="1" applyBorder="1"/>
    <xf numFmtId="4" fontId="27" fillId="0" borderId="30" xfId="0" applyNumberFormat="1" applyFont="1" applyBorder="1" applyAlignment="1">
      <alignment horizontal="center" vertical="center"/>
    </xf>
    <xf numFmtId="10" fontId="27" fillId="0" borderId="30" xfId="1" applyNumberFormat="1" applyFont="1" applyFill="1" applyBorder="1" applyAlignment="1">
      <alignment horizontal="center" vertical="center"/>
    </xf>
    <xf numFmtId="4" fontId="27" fillId="0" borderId="32" xfId="0" quotePrefix="1" applyNumberFormat="1" applyFont="1" applyBorder="1" applyAlignment="1">
      <alignment horizontal="center" vertical="center"/>
    </xf>
    <xf numFmtId="0" fontId="43" fillId="0" borderId="30" xfId="0" applyFont="1" applyBorder="1" applyAlignment="1">
      <alignment horizontal="center" vertical="center"/>
    </xf>
    <xf numFmtId="4" fontId="26" fillId="0" borderId="30" xfId="0" applyNumberFormat="1" applyFont="1" applyBorder="1" applyAlignment="1">
      <alignment horizontal="center" vertical="center"/>
    </xf>
    <xf numFmtId="4" fontId="27" fillId="0" borderId="30" xfId="0" applyNumberFormat="1" applyFont="1" applyBorder="1" applyAlignment="1">
      <alignment horizontal="center" vertical="center" wrapText="1"/>
    </xf>
    <xf numFmtId="4" fontId="68" fillId="0" borderId="30" xfId="0" applyNumberFormat="1" applyFont="1" applyBorder="1" applyAlignment="1">
      <alignment horizontal="center" vertical="center"/>
    </xf>
    <xf numFmtId="10" fontId="26" fillId="0" borderId="30" xfId="1" quotePrefix="1" applyNumberFormat="1" applyFont="1" applyFill="1" applyBorder="1" applyAlignment="1">
      <alignment horizontal="center" vertical="center"/>
    </xf>
    <xf numFmtId="4" fontId="27" fillId="0" borderId="30" xfId="0" quotePrefix="1" applyNumberFormat="1" applyFont="1" applyBorder="1" applyAlignment="1">
      <alignment horizontal="center" vertical="center"/>
    </xf>
    <xf numFmtId="10" fontId="26" fillId="0" borderId="30" xfId="1" applyNumberFormat="1" applyFont="1" applyFill="1" applyBorder="1" applyAlignment="1">
      <alignment horizontal="center" vertical="center"/>
    </xf>
    <xf numFmtId="170" fontId="43" fillId="0" borderId="30" xfId="0" applyNumberFormat="1" applyFont="1" applyBorder="1" applyAlignment="1">
      <alignment horizontal="center" vertical="center"/>
    </xf>
    <xf numFmtId="10" fontId="26" fillId="0" borderId="32" xfId="1" applyNumberFormat="1" applyFont="1" applyFill="1" applyBorder="1" applyAlignment="1">
      <alignment horizontal="center" vertical="center"/>
    </xf>
    <xf numFmtId="179" fontId="26" fillId="0" borderId="30" xfId="1" applyNumberFormat="1" applyFont="1" applyFill="1" applyBorder="1" applyAlignment="1">
      <alignment horizontal="center" vertical="center"/>
    </xf>
    <xf numFmtId="4" fontId="27" fillId="0" borderId="32" xfId="0" applyNumberFormat="1" applyFont="1" applyBorder="1" applyAlignment="1">
      <alignment horizontal="center" vertical="center"/>
    </xf>
    <xf numFmtId="0" fontId="43" fillId="0" borderId="13" xfId="0" applyFont="1" applyBorder="1" applyAlignment="1">
      <alignment horizontal="center" vertical="center"/>
    </xf>
    <xf numFmtId="170" fontId="43" fillId="0" borderId="13" xfId="0" applyNumberFormat="1" applyFont="1" applyBorder="1" applyAlignment="1">
      <alignment horizontal="center" vertical="center"/>
    </xf>
    <xf numFmtId="170" fontId="43" fillId="0" borderId="35" xfId="0" applyNumberFormat="1" applyFont="1" applyBorder="1" applyAlignment="1">
      <alignment horizontal="center" vertical="center"/>
    </xf>
    <xf numFmtId="10" fontId="27" fillId="0" borderId="30" xfId="1" applyNumberFormat="1" applyFont="1" applyBorder="1" applyAlignment="1">
      <alignment horizontal="center" vertical="center"/>
    </xf>
    <xf numFmtId="4" fontId="27" fillId="0" borderId="15" xfId="0" applyNumberFormat="1" applyFont="1" applyBorder="1" applyAlignment="1">
      <alignment horizontal="center" vertical="center"/>
    </xf>
    <xf numFmtId="4" fontId="27" fillId="0" borderId="5" xfId="0" applyNumberFormat="1" applyFont="1" applyBorder="1" applyAlignment="1">
      <alignment horizontal="center" vertical="center"/>
    </xf>
    <xf numFmtId="175" fontId="27" fillId="0" borderId="30" xfId="0" applyNumberFormat="1" applyFont="1" applyBorder="1" applyAlignment="1">
      <alignment horizontal="center" vertical="center"/>
    </xf>
    <xf numFmtId="170" fontId="43" fillId="0" borderId="0" xfId="0" applyNumberFormat="1" applyFont="1" applyAlignment="1">
      <alignment horizontal="center" vertical="center"/>
    </xf>
    <xf numFmtId="4" fontId="43" fillId="0" borderId="30" xfId="0" applyNumberFormat="1" applyFont="1" applyBorder="1" applyAlignment="1">
      <alignment horizontal="center" vertical="center"/>
    </xf>
    <xf numFmtId="4" fontId="31" fillId="0" borderId="32" xfId="0" applyNumberFormat="1" applyFont="1" applyBorder="1" applyAlignment="1">
      <alignment horizontal="center" vertical="center"/>
    </xf>
    <xf numFmtId="4" fontId="31" fillId="0" borderId="30" xfId="0" applyNumberFormat="1" applyFont="1" applyBorder="1" applyAlignment="1">
      <alignment horizontal="center" vertical="center"/>
    </xf>
    <xf numFmtId="0" fontId="63" fillId="0" borderId="15" xfId="0" applyFont="1" applyBorder="1" applyAlignment="1">
      <alignment horizontal="center" vertical="center" wrapText="1"/>
    </xf>
    <xf numFmtId="0" fontId="63" fillId="0" borderId="30" xfId="0" quotePrefix="1" applyFont="1" applyBorder="1" applyAlignment="1">
      <alignment horizontal="center" vertical="center" wrapText="1"/>
    </xf>
    <xf numFmtId="0" fontId="63" fillId="0" borderId="30" xfId="0" applyFont="1" applyBorder="1" applyAlignment="1">
      <alignment horizontal="right"/>
    </xf>
    <xf numFmtId="0" fontId="45" fillId="0" borderId="0" xfId="0" applyFont="1" applyAlignment="1">
      <alignment horizontal="center"/>
    </xf>
    <xf numFmtId="0" fontId="63" fillId="0" borderId="30" xfId="0" applyFont="1" applyBorder="1" applyAlignment="1">
      <alignment horizontal="left" vertical="center"/>
    </xf>
    <xf numFmtId="0" fontId="70" fillId="0" borderId="30" xfId="0" applyFont="1" applyBorder="1" applyAlignment="1">
      <alignment horizontal="left" vertical="center" wrapText="1"/>
    </xf>
    <xf numFmtId="0" fontId="63" fillId="0" borderId="30" xfId="0" applyFont="1" applyBorder="1" applyAlignment="1">
      <alignment horizontal="left" vertical="center" wrapText="1"/>
    </xf>
    <xf numFmtId="4" fontId="45" fillId="0" borderId="30" xfId="0" applyNumberFormat="1" applyFont="1" applyBorder="1" applyAlignment="1">
      <alignment horizontal="center" vertical="center" wrapText="1"/>
    </xf>
    <xf numFmtId="0" fontId="27" fillId="0" borderId="30" xfId="0" applyFont="1" applyBorder="1" applyAlignment="1">
      <alignment horizontal="center" vertical="center" wrapText="1"/>
    </xf>
    <xf numFmtId="170" fontId="27" fillId="0" borderId="30" xfId="0" applyNumberFormat="1" applyFont="1" applyBorder="1" applyAlignment="1">
      <alignment horizontal="center" vertical="center" wrapText="1"/>
    </xf>
    <xf numFmtId="4" fontId="71" fillId="0" borderId="13" xfId="0" applyNumberFormat="1" applyFont="1" applyBorder="1" applyAlignment="1">
      <alignment horizontal="right"/>
    </xf>
    <xf numFmtId="0" fontId="41" fillId="0" borderId="7" xfId="0" applyFont="1" applyBorder="1" applyAlignment="1">
      <alignment horizontal="center" vertical="center" wrapText="1"/>
    </xf>
    <xf numFmtId="4" fontId="40" fillId="0" borderId="30" xfId="0" quotePrefix="1" applyNumberFormat="1" applyFont="1" applyBorder="1" applyAlignment="1">
      <alignment horizontal="center"/>
    </xf>
    <xf numFmtId="4" fontId="40" fillId="0" borderId="0" xfId="0" quotePrefix="1" applyNumberFormat="1" applyFont="1" applyAlignment="1">
      <alignment horizontal="center"/>
    </xf>
    <xf numFmtId="0" fontId="40" fillId="0" borderId="0" xfId="0" applyFont="1" applyAlignment="1">
      <alignment horizontal="center"/>
    </xf>
    <xf numFmtId="2" fontId="43" fillId="0" borderId="13" xfId="0" applyNumberFormat="1" applyFont="1" applyBorder="1" applyAlignment="1">
      <alignment horizontal="center" vertical="center"/>
    </xf>
    <xf numFmtId="43" fontId="39" fillId="0" borderId="30" xfId="8" applyNumberFormat="1" applyFont="1" applyBorder="1" applyAlignment="1">
      <alignment horizontal="center" vertical="center" wrapText="1"/>
    </xf>
    <xf numFmtId="2" fontId="39" fillId="0" borderId="39" xfId="8" quotePrefix="1" applyNumberFormat="1" applyFont="1" applyBorder="1" applyAlignment="1">
      <alignment horizontal="center" vertical="center" wrapText="1"/>
    </xf>
    <xf numFmtId="0" fontId="43" fillId="0" borderId="30" xfId="0" applyFont="1" applyBorder="1" applyAlignment="1">
      <alignment horizontal="center" vertical="center" wrapText="1"/>
    </xf>
    <xf numFmtId="2" fontId="39" fillId="8" borderId="30" xfId="8" applyNumberFormat="1" applyFont="1" applyFill="1" applyBorder="1" applyAlignment="1">
      <alignment horizontal="center"/>
    </xf>
    <xf numFmtId="14" fontId="28" fillId="8" borderId="30" xfId="8" applyNumberFormat="1" applyFont="1" applyFill="1" applyBorder="1" applyAlignment="1">
      <alignment horizontal="center"/>
    </xf>
    <xf numFmtId="14" fontId="43" fillId="8" borderId="30" xfId="0" applyNumberFormat="1" applyFont="1" applyFill="1" applyBorder="1" applyAlignment="1">
      <alignment horizontal="center" vertical="center" wrapText="1"/>
    </xf>
    <xf numFmtId="4" fontId="39" fillId="8" borderId="30" xfId="8" applyNumberFormat="1" applyFont="1" applyFill="1" applyBorder="1" applyAlignment="1">
      <alignment horizontal="center" vertical="center" wrapText="1"/>
    </xf>
    <xf numFmtId="4" fontId="39" fillId="8" borderId="13" xfId="8" applyNumberFormat="1" applyFont="1" applyFill="1" applyBorder="1" applyAlignment="1">
      <alignment horizontal="center" vertical="center" wrapText="1"/>
    </xf>
    <xf numFmtId="4" fontId="27" fillId="8" borderId="30" xfId="0" applyNumberFormat="1" applyFont="1" applyFill="1" applyBorder="1" applyAlignment="1">
      <alignment horizontal="center" vertical="center"/>
    </xf>
    <xf numFmtId="4" fontId="27" fillId="8" borderId="30" xfId="0" quotePrefix="1" applyNumberFormat="1" applyFont="1" applyFill="1" applyBorder="1" applyAlignment="1">
      <alignment horizontal="center" vertical="center"/>
    </xf>
    <xf numFmtId="4" fontId="26" fillId="8" borderId="30" xfId="0" quotePrefix="1" applyNumberFormat="1" applyFont="1" applyFill="1" applyBorder="1" applyAlignment="1">
      <alignment horizontal="center" vertical="center"/>
    </xf>
    <xf numFmtId="4" fontId="26" fillId="8" borderId="30" xfId="0" applyNumberFormat="1" applyFont="1" applyFill="1" applyBorder="1" applyAlignment="1">
      <alignment horizontal="center" vertical="center"/>
    </xf>
    <xf numFmtId="43" fontId="45" fillId="0" borderId="30" xfId="7" applyFont="1" applyBorder="1" applyAlignment="1">
      <alignment horizontal="center" vertical="center" wrapText="1"/>
    </xf>
    <xf numFmtId="43" fontId="40" fillId="0" borderId="30" xfId="7" quotePrefix="1" applyFont="1" applyFill="1" applyBorder="1"/>
    <xf numFmtId="43" fontId="40" fillId="8" borderId="30" xfId="7" quotePrefix="1" applyFont="1" applyFill="1" applyBorder="1"/>
    <xf numFmtId="10" fontId="27" fillId="8" borderId="30" xfId="1" applyNumberFormat="1" applyFont="1" applyFill="1" applyBorder="1" applyAlignment="1">
      <alignment horizontal="center" vertical="center"/>
    </xf>
    <xf numFmtId="0" fontId="59" fillId="0" borderId="30" xfId="0" applyFont="1" applyBorder="1"/>
    <xf numFmtId="170" fontId="59" fillId="0" borderId="32" xfId="0" applyNumberFormat="1" applyFont="1" applyBorder="1" applyAlignment="1">
      <alignment horizontal="center" vertical="center"/>
    </xf>
    <xf numFmtId="165" fontId="55" fillId="8" borderId="30" xfId="1" applyNumberFormat="1" applyFont="1" applyFill="1" applyBorder="1" applyAlignment="1">
      <alignment horizontal="center" vertical="center"/>
    </xf>
    <xf numFmtId="4" fontId="51" fillId="8" borderId="30" xfId="0" applyNumberFormat="1" applyFont="1" applyFill="1" applyBorder="1" applyAlignment="1">
      <alignment horizontal="center" vertical="center"/>
    </xf>
    <xf numFmtId="43" fontId="43" fillId="8" borderId="30" xfId="7" quotePrefix="1" applyFont="1" applyFill="1" applyBorder="1" applyAlignment="1">
      <alignment horizontal="center" vertical="center"/>
    </xf>
    <xf numFmtId="0" fontId="39" fillId="0" borderId="43" xfId="8" applyFont="1" applyBorder="1" applyAlignment="1">
      <alignment horizontal="left" vertical="center" wrapText="1"/>
    </xf>
    <xf numFmtId="164" fontId="39" fillId="8" borderId="30" xfId="8" applyNumberFormat="1" applyFont="1" applyFill="1" applyBorder="1" applyAlignment="1">
      <alignment horizontal="center" vertical="center" wrapText="1"/>
    </xf>
    <xf numFmtId="164" fontId="39" fillId="0" borderId="30" xfId="8" applyNumberFormat="1" applyFont="1" applyBorder="1" applyAlignment="1">
      <alignment horizontal="center" vertical="center" wrapText="1"/>
    </xf>
    <xf numFmtId="0" fontId="34" fillId="0" borderId="0" xfId="8" applyFont="1" applyBorder="1" applyAlignment="1">
      <alignment horizontal="center"/>
    </xf>
    <xf numFmtId="0" fontId="65" fillId="0" borderId="0" xfId="8" applyFont="1" applyBorder="1" applyAlignment="1">
      <alignment horizontal="center"/>
    </xf>
    <xf numFmtId="0" fontId="28" fillId="0" borderId="0" xfId="8" applyFont="1" applyBorder="1" applyAlignment="1">
      <alignment horizontal="center"/>
    </xf>
    <xf numFmtId="1" fontId="28" fillId="0" borderId="0" xfId="8" applyNumberFormat="1" applyFont="1" applyBorder="1" applyAlignment="1">
      <alignment horizontal="center"/>
    </xf>
    <xf numFmtId="4" fontId="39" fillId="0" borderId="0" xfId="8" applyNumberFormat="1" applyFont="1" applyBorder="1" applyAlignment="1">
      <alignment horizontal="center" vertical="center" wrapText="1"/>
    </xf>
    <xf numFmtId="4" fontId="39" fillId="0" borderId="0" xfId="8" applyNumberFormat="1" applyFont="1" applyBorder="1"/>
    <xf numFmtId="4" fontId="39" fillId="0" borderId="0" xfId="8" applyNumberFormat="1" applyFont="1" applyFill="1" applyBorder="1"/>
    <xf numFmtId="4" fontId="71" fillId="0" borderId="0" xfId="0" applyNumberFormat="1" applyFont="1" applyFill="1" applyBorder="1" applyAlignment="1">
      <alignment horizontal="right"/>
    </xf>
    <xf numFmtId="0" fontId="50" fillId="0" borderId="0" xfId="8" applyFont="1" applyFill="1" applyBorder="1" applyAlignment="1">
      <alignment horizontal="center" vertical="center" wrapText="1"/>
    </xf>
    <xf numFmtId="164" fontId="43" fillId="0" borderId="30" xfId="0" applyNumberFormat="1" applyFont="1" applyBorder="1" applyAlignment="1">
      <alignment horizontal="center" vertical="center"/>
    </xf>
    <xf numFmtId="0" fontId="61" fillId="0" borderId="43" xfId="0" applyFont="1" applyBorder="1" applyAlignment="1">
      <alignment horizontal="center" vertical="center" wrapText="1"/>
    </xf>
    <xf numFmtId="4" fontId="59" fillId="0" borderId="44" xfId="0" applyNumberFormat="1" applyFont="1" applyBorder="1" applyAlignment="1">
      <alignment horizontal="right"/>
    </xf>
    <xf numFmtId="0" fontId="59" fillId="0" borderId="44" xfId="0" applyFont="1" applyBorder="1" applyAlignment="1">
      <alignment horizontal="right"/>
    </xf>
    <xf numFmtId="0" fontId="61" fillId="0" borderId="43" xfId="0" quotePrefix="1" applyFont="1" applyBorder="1" applyAlignment="1">
      <alignment horizontal="center" vertical="center" wrapText="1"/>
    </xf>
    <xf numFmtId="170" fontId="59" fillId="0" borderId="44" xfId="0" applyNumberFormat="1" applyFont="1" applyBorder="1" applyAlignment="1">
      <alignment horizontal="right"/>
    </xf>
    <xf numFmtId="0" fontId="59" fillId="0" borderId="43" xfId="0" applyFont="1" applyBorder="1" applyAlignment="1">
      <alignment horizontal="center" vertical="center" wrapText="1"/>
    </xf>
    <xf numFmtId="177" fontId="64" fillId="0" borderId="44" xfId="0" applyNumberFormat="1" applyFont="1" applyBorder="1" applyAlignment="1">
      <alignment horizontal="right"/>
    </xf>
    <xf numFmtId="0" fontId="39" fillId="0" borderId="0" xfId="8" applyFont="1" applyFill="1" applyBorder="1" applyAlignment="1">
      <alignment horizontal="center"/>
    </xf>
    <xf numFmtId="14" fontId="28" fillId="0" borderId="0" xfId="8" applyNumberFormat="1" applyFont="1" applyFill="1" applyBorder="1" applyAlignment="1">
      <alignment horizontal="center"/>
    </xf>
    <xf numFmtId="0" fontId="41" fillId="0" borderId="0" xfId="0" applyFont="1" applyFill="1" applyBorder="1" applyAlignment="1">
      <alignment horizontal="center" vertical="center" wrapText="1"/>
    </xf>
    <xf numFmtId="4" fontId="39" fillId="0" borderId="0" xfId="8" applyNumberFormat="1" applyFont="1" applyFill="1" applyBorder="1" applyAlignment="1">
      <alignment horizontal="center" vertical="center" wrapText="1"/>
    </xf>
    <xf numFmtId="0" fontId="69" fillId="0" borderId="30" xfId="8" applyFont="1" applyBorder="1" applyAlignment="1">
      <alignment horizontal="center"/>
    </xf>
    <xf numFmtId="14" fontId="0" fillId="5" borderId="0" xfId="0" applyNumberFormat="1" applyFill="1" applyAlignment="1">
      <alignment horizontal="center"/>
    </xf>
    <xf numFmtId="0" fontId="59" fillId="0" borderId="0" xfId="0" applyFont="1" applyAlignment="1">
      <alignment vertical="center" wrapText="1"/>
    </xf>
    <xf numFmtId="2" fontId="0" fillId="5" borderId="0" xfId="0" applyNumberFormat="1" applyFill="1" applyBorder="1" applyAlignment="1">
      <alignment horizontal="center"/>
    </xf>
    <xf numFmtId="0" fontId="0" fillId="0" borderId="43" xfId="0" applyBorder="1" applyAlignment="1">
      <alignment horizontal="center"/>
    </xf>
    <xf numFmtId="0" fontId="0" fillId="5" borderId="44" xfId="0" applyFill="1" applyBorder="1" applyAlignment="1">
      <alignment horizontal="center"/>
    </xf>
    <xf numFmtId="10" fontId="0" fillId="0" borderId="0" xfId="0" applyNumberFormat="1" applyFill="1" applyBorder="1" applyAlignment="1">
      <alignment horizontal="center"/>
    </xf>
    <xf numFmtId="167" fontId="0" fillId="0" borderId="0" xfId="0" applyNumberFormat="1" applyFill="1" applyBorder="1" applyAlignment="1">
      <alignment horizontal="center"/>
    </xf>
    <xf numFmtId="4" fontId="0" fillId="0" borderId="0" xfId="0" applyNumberFormat="1" applyBorder="1" applyAlignment="1">
      <alignment horizontal="center"/>
    </xf>
    <xf numFmtId="0" fontId="13" fillId="0" borderId="22" xfId="3" applyFont="1" applyBorder="1" applyAlignment="1">
      <alignment horizontal="center" vertical="center" wrapText="1"/>
    </xf>
    <xf numFmtId="0" fontId="13" fillId="0" borderId="23" xfId="3" applyFont="1" applyBorder="1" applyAlignment="1">
      <alignment horizontal="center" vertical="center" wrapText="1"/>
    </xf>
    <xf numFmtId="0" fontId="13" fillId="0" borderId="24" xfId="3" applyFont="1" applyBorder="1" applyAlignment="1">
      <alignment horizontal="center" vertical="center" wrapText="1"/>
    </xf>
    <xf numFmtId="2" fontId="10" fillId="0" borderId="10" xfId="0" applyNumberFormat="1" applyFont="1" applyBorder="1" applyAlignment="1">
      <alignment horizontal="center" vertical="center"/>
    </xf>
    <xf numFmtId="2" fontId="10" fillId="0" borderId="11" xfId="0" applyNumberFormat="1" applyFont="1" applyBorder="1" applyAlignment="1">
      <alignment horizontal="center" vertical="center"/>
    </xf>
    <xf numFmtId="2" fontId="10" fillId="0" borderId="12" xfId="0" applyNumberFormat="1" applyFont="1" applyBorder="1" applyAlignment="1">
      <alignment horizontal="center" vertical="center"/>
    </xf>
    <xf numFmtId="0" fontId="4" fillId="3" borderId="10" xfId="0" applyFont="1" applyFill="1" applyBorder="1" applyAlignment="1">
      <alignment horizontal="center"/>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9" xfId="0" applyFont="1" applyFill="1" applyBorder="1" applyAlignment="1">
      <alignment horizontal="center"/>
    </xf>
    <xf numFmtId="0" fontId="4" fillId="3" borderId="20" xfId="0" applyFont="1" applyFill="1" applyBorder="1" applyAlignment="1">
      <alignment horizontal="center"/>
    </xf>
    <xf numFmtId="0" fontId="4" fillId="3" borderId="21" xfId="0" applyFont="1" applyFill="1" applyBorder="1" applyAlignment="1">
      <alignment horizontal="center"/>
    </xf>
    <xf numFmtId="0" fontId="11" fillId="0" borderId="27" xfId="0" applyFont="1" applyBorder="1" applyAlignment="1">
      <alignment horizontal="center" vertical="top" wrapText="1"/>
    </xf>
    <xf numFmtId="0" fontId="11" fillId="0" borderId="28" xfId="0" applyFont="1" applyBorder="1" applyAlignment="1">
      <alignment horizontal="center" vertical="top" wrapText="1"/>
    </xf>
    <xf numFmtId="0" fontId="11" fillId="0" borderId="29" xfId="0" applyFont="1" applyBorder="1" applyAlignment="1">
      <alignment horizontal="center" vertical="top" wrapText="1"/>
    </xf>
    <xf numFmtId="0" fontId="12" fillId="0" borderId="25" xfId="2" applyFont="1" applyFill="1" applyBorder="1" applyAlignment="1" applyProtection="1">
      <alignment horizontal="center" vertical="top" wrapText="1"/>
    </xf>
    <xf numFmtId="0" fontId="12" fillId="0" borderId="26" xfId="2" applyFont="1" applyFill="1" applyBorder="1" applyAlignment="1" applyProtection="1">
      <alignment horizontal="center" vertical="top" wrapText="1"/>
    </xf>
    <xf numFmtId="0" fontId="0" fillId="3" borderId="10" xfId="0" applyFill="1" applyBorder="1" applyAlignment="1">
      <alignment horizontal="center" wrapText="1"/>
    </xf>
    <xf numFmtId="0" fontId="0" fillId="3" borderId="12" xfId="0" applyFill="1" applyBorder="1" applyAlignment="1">
      <alignment horizontal="center"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10" fontId="0" fillId="0" borderId="10" xfId="1" applyNumberFormat="1" applyFont="1" applyBorder="1" applyAlignment="1">
      <alignment horizontal="center"/>
    </xf>
    <xf numFmtId="10" fontId="0" fillId="0" borderId="12" xfId="1" applyNumberFormat="1" applyFont="1" applyBorder="1" applyAlignment="1">
      <alignment horizontal="center"/>
    </xf>
    <xf numFmtId="2" fontId="0" fillId="0" borderId="10" xfId="0" applyNumberFormat="1" applyBorder="1" applyAlignment="1">
      <alignment horizontal="center"/>
    </xf>
    <xf numFmtId="2" fontId="0" fillId="0" borderId="12" xfId="0" applyNumberFormat="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0" fontId="2" fillId="3" borderId="12" xfId="0" applyFont="1"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9" fillId="3" borderId="10" xfId="0" applyFont="1" applyFill="1" applyBorder="1" applyAlignment="1">
      <alignment horizontal="center"/>
    </xf>
    <xf numFmtId="0" fontId="9" fillId="3" borderId="11" xfId="0" applyFont="1" applyFill="1" applyBorder="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0" fillId="3" borderId="0" xfId="0" applyFill="1" applyAlignment="1">
      <alignment horizontal="left"/>
    </xf>
    <xf numFmtId="0" fontId="0" fillId="3" borderId="9" xfId="0" applyFill="1" applyBorder="1" applyAlignment="1">
      <alignment horizontal="left"/>
    </xf>
    <xf numFmtId="0" fontId="0" fillId="3" borderId="0" xfId="0" applyFill="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1" fillId="0" borderId="30" xfId="0" applyFont="1" applyBorder="1" applyAlignment="1">
      <alignment horizontal="center" vertical="center" wrapText="1"/>
    </xf>
    <xf numFmtId="0" fontId="41" fillId="0" borderId="0" xfId="0" applyFont="1" applyAlignment="1">
      <alignment horizontal="center" vertical="center" wrapText="1"/>
    </xf>
    <xf numFmtId="0" fontId="44" fillId="0" borderId="30" xfId="0" applyFont="1" applyBorder="1" applyAlignment="1">
      <alignment horizontal="center" vertical="center" wrapText="1"/>
    </xf>
    <xf numFmtId="0" fontId="41" fillId="0" borderId="32" xfId="0" applyFont="1" applyBorder="1" applyAlignment="1">
      <alignment horizontal="center" vertical="center" wrapText="1"/>
    </xf>
    <xf numFmtId="0" fontId="41" fillId="0" borderId="33" xfId="0" applyFont="1" applyBorder="1" applyAlignment="1">
      <alignment horizontal="center" vertical="center" wrapText="1"/>
    </xf>
    <xf numFmtId="0" fontId="41" fillId="0" borderId="31" xfId="0" applyFont="1" applyBorder="1" applyAlignment="1">
      <alignment horizontal="center" vertical="center" wrapText="1"/>
    </xf>
    <xf numFmtId="0" fontId="42" fillId="0" borderId="32" xfId="0" applyFont="1" applyBorder="1" applyAlignment="1">
      <alignment horizontal="center" vertical="center" wrapText="1"/>
    </xf>
    <xf numFmtId="0" fontId="42" fillId="0" borderId="31" xfId="0" applyFont="1" applyBorder="1" applyAlignment="1">
      <alignment horizontal="center" vertical="center" wrapText="1"/>
    </xf>
    <xf numFmtId="171" fontId="44" fillId="0" borderId="30" xfId="0" applyNumberFormat="1" applyFont="1" applyBorder="1" applyAlignment="1">
      <alignment horizontal="center" vertical="center" wrapText="1"/>
    </xf>
    <xf numFmtId="14" fontId="28" fillId="0" borderId="5" xfId="0" applyNumberFormat="1" applyFont="1" applyBorder="1" applyAlignment="1">
      <alignment horizontal="center" vertical="center" wrapText="1"/>
    </xf>
    <xf numFmtId="14" fontId="28" fillId="0" borderId="6" xfId="0" applyNumberFormat="1" applyFont="1" applyBorder="1" applyAlignment="1">
      <alignment horizontal="center" vertical="center" wrapText="1"/>
    </xf>
    <xf numFmtId="14" fontId="28" fillId="0" borderId="7" xfId="0" applyNumberFormat="1" applyFont="1" applyBorder="1" applyAlignment="1">
      <alignment horizontal="center" vertical="center" wrapText="1"/>
    </xf>
    <xf numFmtId="0" fontId="50" fillId="12" borderId="5" xfId="8" applyFont="1" applyFill="1" applyBorder="1" applyAlignment="1">
      <alignment horizontal="center" vertical="center" wrapText="1"/>
    </xf>
    <xf numFmtId="0" fontId="50" fillId="12" borderId="6" xfId="8" applyFont="1" applyFill="1" applyBorder="1" applyAlignment="1">
      <alignment horizontal="center" vertical="center" wrapText="1"/>
    </xf>
    <xf numFmtId="0" fontId="39" fillId="0" borderId="32" xfId="8" applyFont="1" applyBorder="1" applyAlignment="1">
      <alignment horizontal="center" vertical="center" wrapText="1"/>
    </xf>
    <xf numFmtId="0" fontId="39" fillId="0" borderId="33" xfId="8" applyFont="1" applyBorder="1" applyAlignment="1">
      <alignment horizontal="center" vertical="center" wrapText="1"/>
    </xf>
    <xf numFmtId="0" fontId="39" fillId="0" borderId="31" xfId="8" applyFont="1" applyBorder="1" applyAlignment="1">
      <alignment horizontal="center" vertical="center" wrapText="1"/>
    </xf>
    <xf numFmtId="0" fontId="26" fillId="8" borderId="32" xfId="0" applyFont="1" applyFill="1" applyBorder="1" applyAlignment="1">
      <alignment horizontal="center" vertical="center"/>
    </xf>
    <xf numFmtId="0" fontId="26" fillId="8" borderId="33" xfId="0" applyFont="1" applyFill="1" applyBorder="1" applyAlignment="1">
      <alignment horizontal="center" vertical="center"/>
    </xf>
    <xf numFmtId="0" fontId="26" fillId="8" borderId="31" xfId="0" applyFont="1" applyFill="1" applyBorder="1" applyAlignment="1">
      <alignment horizontal="center" vertical="center"/>
    </xf>
    <xf numFmtId="0" fontId="34" fillId="0" borderId="30" xfId="8" applyFont="1" applyBorder="1" applyAlignment="1">
      <alignment horizontal="center"/>
    </xf>
    <xf numFmtId="0" fontId="65" fillId="0" borderId="5" xfId="8" applyFont="1" applyBorder="1" applyAlignment="1">
      <alignment horizontal="center"/>
    </xf>
    <xf numFmtId="0" fontId="65" fillId="0" borderId="6" xfId="8" applyFont="1" applyBorder="1" applyAlignment="1">
      <alignment horizontal="center"/>
    </xf>
    <xf numFmtId="0" fontId="65" fillId="0" borderId="7" xfId="8" applyFont="1" applyBorder="1" applyAlignment="1">
      <alignment horizontal="center"/>
    </xf>
    <xf numFmtId="0" fontId="65" fillId="0" borderId="43" xfId="8" applyFont="1" applyBorder="1" applyAlignment="1">
      <alignment horizontal="center"/>
    </xf>
    <xf numFmtId="0" fontId="65" fillId="0" borderId="0" xfId="8" applyFont="1" applyAlignment="1">
      <alignment horizontal="center"/>
    </xf>
    <xf numFmtId="0" fontId="65" fillId="0" borderId="9" xfId="8" applyFont="1" applyBorder="1" applyAlignment="1">
      <alignment horizontal="center"/>
    </xf>
    <xf numFmtId="0" fontId="28" fillId="0" borderId="32" xfId="8" applyFont="1" applyBorder="1" applyAlignment="1">
      <alignment horizontal="center"/>
    </xf>
    <xf numFmtId="0" fontId="28" fillId="0" borderId="33" xfId="8" applyFont="1" applyBorder="1" applyAlignment="1">
      <alignment horizontal="center"/>
    </xf>
    <xf numFmtId="0" fontId="28" fillId="0" borderId="31" xfId="8" applyFont="1" applyBorder="1" applyAlignment="1">
      <alignment horizontal="center"/>
    </xf>
    <xf numFmtId="0" fontId="28" fillId="0" borderId="30" xfId="8" applyFont="1" applyBorder="1" applyAlignment="1">
      <alignment horizontal="center"/>
    </xf>
    <xf numFmtId="0" fontId="39" fillId="0" borderId="32" xfId="8" applyFont="1" applyBorder="1" applyAlignment="1">
      <alignment horizontal="center"/>
    </xf>
    <xf numFmtId="0" fontId="39" fillId="0" borderId="33" xfId="8" applyFont="1" applyBorder="1" applyAlignment="1">
      <alignment horizontal="center"/>
    </xf>
    <xf numFmtId="0" fontId="39" fillId="0" borderId="31" xfId="8" applyFont="1" applyBorder="1" applyAlignment="1">
      <alignment horizontal="center"/>
    </xf>
    <xf numFmtId="3" fontId="39" fillId="0" borderId="32" xfId="8" applyNumberFormat="1" applyFont="1" applyBorder="1" applyAlignment="1">
      <alignment horizontal="center"/>
    </xf>
    <xf numFmtId="3" fontId="39" fillId="0" borderId="33" xfId="8" applyNumberFormat="1" applyFont="1" applyBorder="1" applyAlignment="1">
      <alignment horizontal="center"/>
    </xf>
    <xf numFmtId="3" fontId="39" fillId="0" borderId="31" xfId="8" applyNumberFormat="1" applyFont="1" applyBorder="1" applyAlignment="1">
      <alignment horizontal="center"/>
    </xf>
    <xf numFmtId="1" fontId="28" fillId="0" borderId="30" xfId="8" applyNumberFormat="1" applyFont="1" applyBorder="1" applyAlignment="1">
      <alignment horizontal="center"/>
    </xf>
    <xf numFmtId="0" fontId="39" fillId="0" borderId="37" xfId="8" applyFont="1" applyBorder="1" applyAlignment="1">
      <alignment horizontal="center"/>
    </xf>
    <xf numFmtId="0" fontId="39" fillId="0" borderId="32" xfId="0" applyFont="1" applyBorder="1" applyAlignment="1">
      <alignment horizontal="left"/>
    </xf>
    <xf numFmtId="0" fontId="39" fillId="0" borderId="31" xfId="0" applyFont="1" applyBorder="1" applyAlignment="1">
      <alignment horizontal="left"/>
    </xf>
    <xf numFmtId="0" fontId="39" fillId="0" borderId="32" xfId="0" applyFont="1" applyBorder="1" applyAlignment="1">
      <alignment horizontal="left" vertical="center"/>
    </xf>
    <xf numFmtId="0" fontId="39" fillId="0" borderId="31" xfId="0" applyFont="1" applyBorder="1" applyAlignment="1">
      <alignment horizontal="left" vertical="center"/>
    </xf>
    <xf numFmtId="0" fontId="41" fillId="8" borderId="32" xfId="0" applyFont="1" applyFill="1" applyBorder="1" applyAlignment="1">
      <alignment horizontal="center"/>
    </xf>
    <xf numFmtId="0" fontId="41" fillId="8" borderId="31" xfId="0" applyFont="1" applyFill="1" applyBorder="1" applyAlignment="1">
      <alignment horizontal="center"/>
    </xf>
    <xf numFmtId="0" fontId="39" fillId="0" borderId="32" xfId="0" applyFont="1" applyBorder="1" applyAlignment="1">
      <alignment vertical="center" wrapText="1"/>
    </xf>
    <xf numFmtId="0" fontId="39" fillId="0" borderId="31" xfId="0" applyFont="1" applyBorder="1" applyAlignment="1">
      <alignment vertical="center" wrapText="1"/>
    </xf>
    <xf numFmtId="0" fontId="50" fillId="0" borderId="30" xfId="0" applyFont="1" applyBorder="1" applyAlignment="1">
      <alignment vertical="center" wrapText="1"/>
    </xf>
    <xf numFmtId="0" fontId="38" fillId="0" borderId="32" xfId="0" applyFont="1" applyBorder="1" applyAlignment="1">
      <alignment horizontal="center" vertical="center"/>
    </xf>
    <xf numFmtId="0" fontId="38" fillId="0" borderId="31" xfId="0" applyFont="1" applyBorder="1" applyAlignment="1">
      <alignment horizontal="center" vertical="center"/>
    </xf>
    <xf numFmtId="0" fontId="38" fillId="0" borderId="32" xfId="0" applyFont="1" applyBorder="1" applyAlignment="1">
      <alignment horizontal="left" vertical="center"/>
    </xf>
    <xf numFmtId="0" fontId="38" fillId="0" borderId="31" xfId="0" applyFont="1" applyBorder="1" applyAlignment="1">
      <alignment horizontal="left" vertical="center"/>
    </xf>
    <xf numFmtId="0" fontId="50" fillId="0" borderId="33" xfId="0" applyFont="1" applyBorder="1" applyAlignment="1">
      <alignment horizontal="center" vertical="center" wrapText="1"/>
    </xf>
    <xf numFmtId="0" fontId="50" fillId="0" borderId="31" xfId="0" applyFont="1" applyBorder="1" applyAlignment="1">
      <alignment horizontal="center" vertical="center" wrapText="1"/>
    </xf>
    <xf numFmtId="0" fontId="39" fillId="0" borderId="32" xfId="0" applyFont="1" applyBorder="1" applyAlignment="1">
      <alignment horizontal="left" vertical="center" wrapText="1"/>
    </xf>
    <xf numFmtId="0" fontId="39" fillId="0" borderId="31" xfId="0" applyFont="1" applyBorder="1" applyAlignment="1">
      <alignment horizontal="left" vertical="center" wrapText="1"/>
    </xf>
    <xf numFmtId="0" fontId="42" fillId="8" borderId="35" xfId="0" applyFont="1" applyFill="1" applyBorder="1" applyAlignment="1">
      <alignment horizontal="center"/>
    </xf>
    <xf numFmtId="0" fontId="42" fillId="8" borderId="36" xfId="0" applyFont="1" applyFill="1" applyBorder="1" applyAlignment="1">
      <alignment horizontal="center"/>
    </xf>
    <xf numFmtId="0" fontId="50" fillId="0" borderId="33" xfId="0" applyFont="1" applyBorder="1" applyAlignment="1">
      <alignment horizontal="left" vertical="center" wrapText="1"/>
    </xf>
    <xf numFmtId="0" fontId="50" fillId="0" borderId="31" xfId="0" applyFont="1" applyBorder="1" applyAlignment="1">
      <alignment horizontal="left" vertical="center" wrapText="1"/>
    </xf>
    <xf numFmtId="0" fontId="39" fillId="0" borderId="33" xfId="0" applyFont="1" applyBorder="1" applyAlignment="1">
      <alignment horizontal="left" vertical="center" wrapText="1"/>
    </xf>
    <xf numFmtId="0" fontId="51" fillId="8" borderId="32" xfId="0" applyFont="1" applyFill="1" applyBorder="1" applyAlignment="1">
      <alignment horizontal="center"/>
    </xf>
    <xf numFmtId="0" fontId="51" fillId="8" borderId="31" xfId="0" applyFont="1" applyFill="1" applyBorder="1" applyAlignment="1">
      <alignment horizontal="center"/>
    </xf>
    <xf numFmtId="0" fontId="37" fillId="0" borderId="32" xfId="0" applyFont="1" applyBorder="1" applyAlignment="1">
      <alignment horizontal="left" vertical="center"/>
    </xf>
    <xf numFmtId="0" fontId="37" fillId="0" borderId="31" xfId="0" applyFont="1" applyBorder="1" applyAlignment="1">
      <alignment horizontal="left" vertical="center"/>
    </xf>
    <xf numFmtId="0" fontId="50" fillId="0" borderId="33" xfId="0" applyFont="1" applyBorder="1" applyAlignment="1">
      <alignment vertical="center" wrapText="1"/>
    </xf>
    <xf numFmtId="0" fontId="50" fillId="0" borderId="31" xfId="0" applyFont="1" applyBorder="1" applyAlignment="1">
      <alignment vertical="center" wrapText="1"/>
    </xf>
    <xf numFmtId="0" fontId="47" fillId="0" borderId="0" xfId="0" applyFont="1" applyAlignment="1">
      <alignment horizontal="center" vertical="center" wrapText="1"/>
    </xf>
    <xf numFmtId="0" fontId="28" fillId="8" borderId="32" xfId="0" applyFont="1" applyFill="1" applyBorder="1" applyAlignment="1">
      <alignment horizontal="center" vertical="center" wrapText="1"/>
    </xf>
    <xf numFmtId="0" fontId="28" fillId="8" borderId="33" xfId="0" applyFont="1" applyFill="1" applyBorder="1" applyAlignment="1">
      <alignment horizontal="center" vertical="center" wrapText="1"/>
    </xf>
    <xf numFmtId="0" fontId="28" fillId="8" borderId="31" xfId="0" applyFont="1" applyFill="1" applyBorder="1" applyAlignment="1">
      <alignment horizontal="center" vertical="center" wrapText="1"/>
    </xf>
    <xf numFmtId="0" fontId="39" fillId="0" borderId="32" xfId="0" applyFont="1" applyBorder="1" applyAlignment="1">
      <alignment horizontal="left" vertical="center" wrapText="1" indent="1"/>
    </xf>
    <xf numFmtId="0" fontId="39" fillId="0" borderId="31" xfId="0" applyFont="1" applyBorder="1" applyAlignment="1">
      <alignment horizontal="left" vertical="center" wrapText="1" indent="1"/>
    </xf>
    <xf numFmtId="0" fontId="30" fillId="8" borderId="32" xfId="0" applyFont="1" applyFill="1" applyBorder="1" applyAlignment="1">
      <alignment horizontal="center" vertical="center"/>
    </xf>
    <xf numFmtId="0" fontId="30" fillId="8" borderId="31" xfId="0" applyFont="1" applyFill="1" applyBorder="1" applyAlignment="1">
      <alignment horizontal="center" vertical="center"/>
    </xf>
    <xf numFmtId="0" fontId="34" fillId="0" borderId="32" xfId="0" applyFont="1" applyBorder="1" applyAlignment="1">
      <alignment horizontal="center" vertical="center"/>
    </xf>
    <xf numFmtId="0" fontId="34" fillId="0" borderId="31" xfId="0" applyFont="1" applyBorder="1" applyAlignment="1">
      <alignment horizontal="center" vertical="center"/>
    </xf>
    <xf numFmtId="0" fontId="39" fillId="0" borderId="32" xfId="0" applyFont="1" applyBorder="1" applyAlignment="1">
      <alignment vertical="center"/>
    </xf>
    <xf numFmtId="0" fontId="39" fillId="0" borderId="31" xfId="0" applyFont="1" applyBorder="1" applyAlignment="1">
      <alignment vertical="center"/>
    </xf>
    <xf numFmtId="43" fontId="43" fillId="0" borderId="33" xfId="7" applyFont="1" applyBorder="1" applyAlignment="1">
      <alignment horizontal="center" vertical="center" wrapText="1"/>
    </xf>
    <xf numFmtId="43" fontId="43" fillId="0" borderId="31" xfId="7" applyFont="1" applyBorder="1" applyAlignment="1">
      <alignment horizontal="center" vertical="center" wrapText="1"/>
    </xf>
    <xf numFmtId="0" fontId="41" fillId="0" borderId="32" xfId="0" applyFont="1" applyBorder="1" applyAlignment="1">
      <alignment horizontal="center"/>
    </xf>
    <xf numFmtId="0" fontId="41" fillId="0" borderId="33" xfId="0" applyFont="1" applyBorder="1" applyAlignment="1">
      <alignment horizontal="center"/>
    </xf>
    <xf numFmtId="0" fontId="41" fillId="0" borderId="31" xfId="0" applyFont="1" applyBorder="1" applyAlignment="1">
      <alignment horizontal="center"/>
    </xf>
    <xf numFmtId="0" fontId="26" fillId="0" borderId="31" xfId="0" applyFont="1" applyBorder="1" applyAlignment="1">
      <alignment horizontal="left" vertical="center" wrapText="1"/>
    </xf>
    <xf numFmtId="0" fontId="26" fillId="0" borderId="30" xfId="0" applyFont="1" applyBorder="1" applyAlignment="1">
      <alignment horizontal="left" vertical="center" wrapText="1"/>
    </xf>
    <xf numFmtId="0" fontId="28" fillId="0" borderId="30" xfId="0" applyFont="1" applyBorder="1" applyAlignment="1">
      <alignment horizontal="left" vertical="center" wrapText="1"/>
    </xf>
    <xf numFmtId="0" fontId="39" fillId="0" borderId="38" xfId="8" applyFont="1" applyBorder="1" applyAlignment="1">
      <alignment horizontal="center" vertical="center" wrapText="1"/>
    </xf>
    <xf numFmtId="0" fontId="39" fillId="0" borderId="36" xfId="8" applyFont="1" applyBorder="1" applyAlignment="1">
      <alignment horizontal="center" vertical="center" wrapText="1"/>
    </xf>
    <xf numFmtId="0" fontId="65" fillId="0" borderId="39" xfId="0" applyFont="1" applyBorder="1" applyAlignment="1">
      <alignment horizontal="center"/>
    </xf>
    <xf numFmtId="0" fontId="65" fillId="0" borderId="40" xfId="0" applyFont="1" applyBorder="1" applyAlignment="1">
      <alignment horizontal="center"/>
    </xf>
    <xf numFmtId="0" fontId="65" fillId="0" borderId="41" xfId="0" applyFont="1" applyBorder="1" applyAlignment="1">
      <alignment horizontal="center"/>
    </xf>
    <xf numFmtId="0" fontId="50" fillId="12" borderId="32" xfId="8" applyFont="1" applyFill="1" applyBorder="1" applyAlignment="1">
      <alignment horizontal="center" vertical="center" wrapText="1"/>
    </xf>
    <xf numFmtId="0" fontId="50" fillId="12" borderId="33" xfId="8" applyFont="1" applyFill="1" applyBorder="1" applyAlignment="1">
      <alignment horizontal="center" vertical="center" wrapText="1"/>
    </xf>
    <xf numFmtId="0" fontId="50" fillId="12" borderId="31" xfId="8" applyFont="1" applyFill="1" applyBorder="1" applyAlignment="1">
      <alignment horizontal="center" vertical="center" wrapText="1"/>
    </xf>
    <xf numFmtId="9" fontId="72" fillId="0" borderId="7" xfId="1" applyFont="1" applyBorder="1" applyAlignment="1">
      <alignment horizontal="center" vertical="center" wrapText="1"/>
    </xf>
    <xf numFmtId="9" fontId="72" fillId="0" borderId="15" xfId="1" applyFont="1" applyBorder="1" applyAlignment="1">
      <alignment horizontal="center" vertical="center" wrapText="1"/>
    </xf>
    <xf numFmtId="0" fontId="56" fillId="0" borderId="30" xfId="0" applyFont="1" applyBorder="1" applyAlignment="1">
      <alignment horizontal="left" vertical="center" wrapText="1"/>
    </xf>
    <xf numFmtId="0" fontId="30" fillId="5" borderId="33" xfId="0" applyFont="1" applyFill="1" applyBorder="1" applyAlignment="1">
      <alignment horizontal="center" vertical="center" wrapText="1"/>
    </xf>
    <xf numFmtId="0" fontId="30" fillId="5" borderId="31" xfId="0" applyFont="1" applyFill="1" applyBorder="1" applyAlignment="1">
      <alignment horizontal="center" vertical="center" wrapText="1"/>
    </xf>
    <xf numFmtId="0" fontId="26" fillId="0" borderId="33" xfId="0" applyFont="1" applyBorder="1" applyAlignment="1">
      <alignment horizontal="left" vertical="center" wrapText="1"/>
    </xf>
    <xf numFmtId="0" fontId="67" fillId="10" borderId="7" xfId="0" applyFont="1" applyFill="1" applyBorder="1" applyAlignment="1">
      <alignment horizontal="center" vertical="center" wrapText="1"/>
    </xf>
    <xf numFmtId="0" fontId="67" fillId="10" borderId="15" xfId="0" applyFont="1" applyFill="1" applyBorder="1" applyAlignment="1">
      <alignment horizontal="center" vertical="center" wrapText="1"/>
    </xf>
    <xf numFmtId="0" fontId="26" fillId="0" borderId="33" xfId="0" applyFont="1" applyBorder="1" applyAlignment="1">
      <alignment vertical="center" wrapText="1"/>
    </xf>
    <xf numFmtId="0" fontId="26" fillId="0" borderId="31" xfId="0" applyFont="1" applyBorder="1" applyAlignment="1">
      <alignment vertical="center" wrapText="1"/>
    </xf>
    <xf numFmtId="0" fontId="26" fillId="0" borderId="33" xfId="0" applyFont="1" applyBorder="1" applyAlignment="1">
      <alignment horizontal="center" vertical="center" wrapText="1"/>
    </xf>
    <xf numFmtId="0" fontId="26" fillId="0" borderId="31" xfId="0" applyFont="1" applyBorder="1" applyAlignment="1">
      <alignment horizontal="center" vertical="center" wrapText="1"/>
    </xf>
    <xf numFmtId="0" fontId="69" fillId="5" borderId="6" xfId="0" applyFont="1" applyFill="1" applyBorder="1" applyAlignment="1">
      <alignment horizontal="center" vertical="center" wrapText="1"/>
    </xf>
    <xf numFmtId="0" fontId="69" fillId="5" borderId="7" xfId="0" applyFont="1" applyFill="1" applyBorder="1" applyAlignment="1">
      <alignment horizontal="center" vertical="center" wrapText="1"/>
    </xf>
    <xf numFmtId="0" fontId="58" fillId="0" borderId="0" xfId="0" applyFont="1" applyAlignment="1">
      <alignment horizontal="center"/>
    </xf>
    <xf numFmtId="0" fontId="69" fillId="9" borderId="36" xfId="0" applyFont="1" applyFill="1" applyBorder="1" applyAlignment="1">
      <alignment horizontal="center" vertical="center" wrapText="1"/>
    </xf>
    <xf numFmtId="0" fontId="69" fillId="9" borderId="34" xfId="0" applyFont="1" applyFill="1" applyBorder="1" applyAlignment="1">
      <alignment horizontal="center" vertical="center" wrapText="1"/>
    </xf>
    <xf numFmtId="0" fontId="26" fillId="0" borderId="30" xfId="0" applyFont="1" applyBorder="1" applyAlignment="1">
      <alignment vertical="center" wrapText="1"/>
    </xf>
    <xf numFmtId="0" fontId="72" fillId="0" borderId="7" xfId="0" applyFont="1" applyBorder="1" applyAlignment="1">
      <alignment horizontal="center" vertical="center" wrapText="1"/>
    </xf>
    <xf numFmtId="0" fontId="72" fillId="0" borderId="15" xfId="0" applyFont="1" applyBorder="1" applyAlignment="1">
      <alignment horizontal="center" vertical="center" wrapText="1"/>
    </xf>
    <xf numFmtId="0" fontId="44" fillId="0" borderId="33" xfId="0" applyFont="1" applyBorder="1" applyAlignment="1">
      <alignment horizontal="center" vertical="center" wrapText="1"/>
    </xf>
    <xf numFmtId="0" fontId="44" fillId="0" borderId="31" xfId="0" applyFont="1" applyBorder="1" applyAlignment="1">
      <alignment horizontal="center" vertical="center" wrapText="1"/>
    </xf>
    <xf numFmtId="0" fontId="44" fillId="0" borderId="30" xfId="0" applyFont="1" applyBorder="1" applyAlignment="1">
      <alignment horizontal="right" vertical="center" wrapText="1"/>
    </xf>
    <xf numFmtId="4" fontId="40" fillId="0" borderId="30" xfId="0" applyNumberFormat="1" applyFont="1" applyBorder="1" applyAlignment="1">
      <alignment horizontal="center"/>
    </xf>
    <xf numFmtId="0" fontId="40" fillId="0" borderId="30" xfId="0" applyFont="1" applyBorder="1" applyAlignment="1">
      <alignment horizontal="center"/>
    </xf>
    <xf numFmtId="0" fontId="42" fillId="0" borderId="30" xfId="0" applyFont="1" applyBorder="1" applyAlignment="1">
      <alignment horizontal="right" vertical="center" wrapText="1"/>
    </xf>
    <xf numFmtId="4" fontId="40" fillId="8" borderId="30" xfId="0" quotePrefix="1" applyNumberFormat="1" applyFont="1" applyFill="1" applyBorder="1" applyAlignment="1">
      <alignment horizontal="center"/>
    </xf>
    <xf numFmtId="0" fontId="42" fillId="0" borderId="43" xfId="0" applyFont="1" applyBorder="1" applyAlignment="1">
      <alignment horizontal="center" vertical="center" wrapText="1"/>
    </xf>
    <xf numFmtId="0" fontId="42" fillId="0" borderId="0" xfId="0" applyFont="1" applyAlignment="1">
      <alignment horizontal="center" vertical="center" wrapText="1"/>
    </xf>
    <xf numFmtId="0" fontId="42" fillId="0" borderId="44"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7" xfId="0" applyFont="1" applyBorder="1" applyAlignment="1">
      <alignment horizontal="center" vertical="center" wrapText="1"/>
    </xf>
    <xf numFmtId="0" fontId="63" fillId="0" borderId="15" xfId="0" applyFont="1" applyBorder="1" applyAlignment="1">
      <alignment horizontal="center" vertical="center" wrapText="1"/>
    </xf>
    <xf numFmtId="0" fontId="41" fillId="0" borderId="0" xfId="0" applyFont="1" applyAlignment="1">
      <alignment horizontal="center"/>
    </xf>
    <xf numFmtId="4" fontId="63" fillId="0" borderId="35" xfId="0" applyNumberFormat="1" applyFont="1" applyBorder="1" applyAlignment="1">
      <alignment horizontal="center" vertical="center" wrapText="1"/>
    </xf>
    <xf numFmtId="0" fontId="63" fillId="0" borderId="34" xfId="0" applyFont="1" applyBorder="1" applyAlignment="1">
      <alignment horizontal="center" vertical="center" wrapText="1"/>
    </xf>
    <xf numFmtId="10" fontId="63" fillId="0" borderId="30" xfId="0" applyNumberFormat="1" applyFont="1" applyBorder="1" applyAlignment="1">
      <alignment horizontal="center" vertical="center" wrapText="1"/>
    </xf>
    <xf numFmtId="0" fontId="63" fillId="0" borderId="30" xfId="0" applyFont="1" applyBorder="1" applyAlignment="1">
      <alignment horizontal="center" vertical="center" wrapText="1"/>
    </xf>
    <xf numFmtId="0" fontId="63" fillId="0" borderId="30" xfId="0" applyFont="1" applyBorder="1" applyAlignment="1">
      <alignment horizontal="right"/>
    </xf>
    <xf numFmtId="4" fontId="45" fillId="0" borderId="30" xfId="0" applyNumberFormat="1" applyFont="1" applyBorder="1" applyAlignment="1">
      <alignment horizontal="center"/>
    </xf>
    <xf numFmtId="0" fontId="63" fillId="0" borderId="32" xfId="0" applyFont="1" applyBorder="1" applyAlignment="1">
      <alignment horizontal="right"/>
    </xf>
    <xf numFmtId="0" fontId="63" fillId="0" borderId="33" xfId="0" applyFont="1" applyBorder="1" applyAlignment="1">
      <alignment horizontal="right"/>
    </xf>
    <xf numFmtId="0" fontId="63" fillId="0" borderId="31" xfId="0" applyFont="1" applyBorder="1" applyAlignment="1">
      <alignment horizontal="right"/>
    </xf>
    <xf numFmtId="164" fontId="45" fillId="8" borderId="30" xfId="0" applyNumberFormat="1" applyFont="1" applyFill="1" applyBorder="1" applyAlignment="1">
      <alignment horizontal="center"/>
    </xf>
    <xf numFmtId="0" fontId="45" fillId="8" borderId="30" xfId="0" applyFont="1" applyFill="1" applyBorder="1" applyAlignment="1">
      <alignment horizontal="center"/>
    </xf>
    <xf numFmtId="0" fontId="45" fillId="0" borderId="30" xfId="0" applyFont="1" applyBorder="1" applyAlignment="1">
      <alignment horizontal="center"/>
    </xf>
    <xf numFmtId="0" fontId="63" fillId="0" borderId="32" xfId="0" applyFont="1" applyBorder="1" applyAlignment="1">
      <alignment horizontal="center" vertical="center" wrapText="1"/>
    </xf>
    <xf numFmtId="0" fontId="63" fillId="0" borderId="31" xfId="0" applyFont="1" applyBorder="1" applyAlignment="1">
      <alignment horizontal="center" vertical="center" wrapText="1"/>
    </xf>
    <xf numFmtId="0" fontId="62" fillId="0" borderId="0" xfId="0" applyFont="1" applyAlignment="1">
      <alignment horizontal="left" vertical="center" wrapText="1"/>
    </xf>
    <xf numFmtId="0" fontId="55" fillId="0" borderId="30" xfId="0" applyFont="1" applyBorder="1" applyAlignment="1">
      <alignment horizontal="left" vertical="center"/>
    </xf>
    <xf numFmtId="0" fontId="55" fillId="0" borderId="32" xfId="0" applyFont="1" applyBorder="1" applyAlignment="1">
      <alignment horizontal="left" vertical="center"/>
    </xf>
    <xf numFmtId="0" fontId="61" fillId="0" borderId="30" xfId="0" applyFont="1" applyBorder="1" applyAlignment="1">
      <alignment horizontal="left" vertical="center"/>
    </xf>
    <xf numFmtId="0" fontId="61" fillId="0" borderId="32" xfId="0" applyFont="1" applyBorder="1" applyAlignment="1">
      <alignment horizontal="left" vertical="center"/>
    </xf>
    <xf numFmtId="0" fontId="55" fillId="0" borderId="31" xfId="0" applyFont="1" applyBorder="1" applyAlignment="1">
      <alignment horizontal="left" vertical="center"/>
    </xf>
    <xf numFmtId="0" fontId="4" fillId="0" borderId="8" xfId="0" applyFont="1" applyBorder="1" applyAlignment="1">
      <alignment horizontal="left" wrapText="1"/>
    </xf>
    <xf numFmtId="0" fontId="4" fillId="0" borderId="9" xfId="0" applyFont="1" applyBorder="1" applyAlignment="1">
      <alignment horizontal="left" wrapText="1"/>
    </xf>
    <xf numFmtId="0" fontId="0" fillId="3" borderId="1" xfId="0" applyFill="1" applyBorder="1" applyAlignment="1">
      <alignment horizontal="center"/>
    </xf>
    <xf numFmtId="0" fontId="4" fillId="3" borderId="13" xfId="0" applyFont="1" applyFill="1" applyBorder="1" applyAlignment="1">
      <alignment horizontal="center"/>
    </xf>
    <xf numFmtId="0" fontId="11" fillId="0" borderId="16" xfId="0" applyFont="1" applyBorder="1" applyAlignment="1">
      <alignment horizontal="center" vertical="top" wrapText="1"/>
    </xf>
    <xf numFmtId="0" fontId="11" fillId="0" borderId="14" xfId="0" applyFont="1" applyBorder="1" applyAlignment="1">
      <alignment horizontal="center" vertical="top" wrapText="1"/>
    </xf>
    <xf numFmtId="0" fontId="12" fillId="0" borderId="14" xfId="2" applyFont="1" applyFill="1" applyBorder="1" applyAlignment="1" applyProtection="1">
      <alignment horizontal="center" vertical="top" wrapText="1"/>
    </xf>
    <xf numFmtId="0" fontId="12" fillId="0" borderId="17" xfId="2" applyFont="1" applyFill="1" applyBorder="1" applyAlignment="1" applyProtection="1">
      <alignment horizontal="center" vertical="top"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7" xfId="3" applyFont="1" applyBorder="1" applyAlignment="1">
      <alignment horizontal="center" vertical="center" wrapText="1"/>
    </xf>
    <xf numFmtId="0" fontId="0" fillId="0" borderId="1" xfId="0" applyBorder="1" applyAlignment="1">
      <alignment horizontal="center"/>
    </xf>
    <xf numFmtId="10" fontId="0" fillId="0" borderId="1" xfId="1" applyNumberFormat="1" applyFont="1" applyBorder="1" applyAlignment="1">
      <alignment horizontal="center"/>
    </xf>
    <xf numFmtId="2" fontId="0" fillId="0" borderId="1" xfId="0" applyNumberFormat="1" applyBorder="1" applyAlignment="1">
      <alignment horizontal="center"/>
    </xf>
    <xf numFmtId="0" fontId="2" fillId="3" borderId="1" xfId="0" applyFont="1" applyFill="1" applyBorder="1" applyAlignment="1">
      <alignment horizontal="center"/>
    </xf>
    <xf numFmtId="2" fontId="10" fillId="0" borderId="2" xfId="0" applyNumberFormat="1" applyFont="1" applyBorder="1" applyAlignment="1">
      <alignment horizontal="center" vertical="center"/>
    </xf>
    <xf numFmtId="2" fontId="10" fillId="0" borderId="3" xfId="0" applyNumberFormat="1" applyFont="1" applyBorder="1" applyAlignment="1">
      <alignment horizontal="center" vertical="center"/>
    </xf>
    <xf numFmtId="2" fontId="10" fillId="0" borderId="4" xfId="0" applyNumberFormat="1" applyFont="1" applyBorder="1" applyAlignment="1">
      <alignment horizontal="center" vertical="center"/>
    </xf>
    <xf numFmtId="0" fontId="4" fillId="3" borderId="1" xfId="0" applyFont="1" applyFill="1" applyBorder="1" applyAlignment="1">
      <alignment horizontal="center"/>
    </xf>
    <xf numFmtId="0" fontId="75" fillId="0" borderId="0" xfId="0" applyFont="1"/>
    <xf numFmtId="0" fontId="0" fillId="0" borderId="0" xfId="0" applyNumberFormat="1" applyAlignment="1">
      <alignment horizontal="left"/>
    </xf>
    <xf numFmtId="168" fontId="74" fillId="14" borderId="0" xfId="10" applyNumberFormat="1" applyAlignment="1">
      <alignment horizontal="center"/>
    </xf>
  </cellXfs>
  <cellStyles count="11">
    <cellStyle name="Comma" xfId="4" builtinId="3"/>
    <cellStyle name="Good" xfId="10" builtinId="26"/>
    <cellStyle name="Hyperlink" xfId="2" builtinId="8"/>
    <cellStyle name="Lien hypertexte 2" xfId="9"/>
    <cellStyle name="Milliers 2" xfId="7"/>
    <cellStyle name="Milliers 3" xfId="5"/>
    <cellStyle name="Normal" xfId="0" builtinId="0"/>
    <cellStyle name="Normal 2" xfId="6"/>
    <cellStyle name="Normal 3" xfId="3"/>
    <cellStyle name="Normal_LAMA" xfId="8"/>
    <cellStyle name="Percent" xfId="1" builtinId="5"/>
  </cellStyles>
  <dxfs count="13">
    <dxf>
      <font>
        <color auto="1"/>
      </font>
      <fill>
        <patternFill>
          <bgColor rgb="FFFFFF00"/>
        </patternFill>
      </fill>
    </dxf>
    <dxf>
      <font>
        <color auto="1"/>
      </font>
      <fill>
        <patternFill>
          <bgColor rgb="FFFFFF00"/>
        </patternFill>
      </fill>
    </dxf>
    <dxf>
      <fill>
        <patternFill>
          <bgColor rgb="FFFFFF00"/>
        </patternFill>
      </fill>
    </dxf>
    <dxf>
      <font>
        <color auto="1"/>
      </font>
      <fill>
        <patternFill>
          <bgColor rgb="FFFFFF00"/>
        </patternFill>
      </fill>
    </dxf>
    <dxf>
      <fill>
        <patternFill>
          <bgColor rgb="FFFFFF00"/>
        </patternFill>
      </fill>
    </dxf>
    <dxf>
      <font>
        <color auto="1"/>
      </font>
      <fill>
        <patternFill>
          <bgColor rgb="FFFFFF00"/>
        </patternFill>
      </fill>
    </dxf>
    <dxf>
      <alignment horizontal="center" textRotation="0" indent="0" justifyLastLine="0" shrinkToFit="0" readingOrder="0"/>
    </dxf>
    <dxf>
      <alignment horizontal="center" textRotation="0" indent="0" justifyLastLine="0" shrinkToFit="0" readingOrder="0"/>
    </dxf>
    <dxf>
      <font>
        <b val="0"/>
        <i val="0"/>
        <strike val="0"/>
        <condense val="0"/>
        <extend val="0"/>
        <outline val="0"/>
        <shadow val="0"/>
        <u/>
        <vertAlign val="baseline"/>
        <sz val="11"/>
        <color theme="1"/>
        <name val="Calibri"/>
        <scheme val="minor"/>
      </font>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font>
        <b val="0"/>
        <i val="0"/>
        <strike val="0"/>
        <condense val="0"/>
        <extend val="0"/>
        <outline val="0"/>
        <shadow val="0"/>
        <u/>
        <vertAlign val="baseline"/>
        <sz val="11"/>
        <color theme="1"/>
        <name val="Calibri"/>
        <scheme val="minor"/>
      </font>
      <alignment horizontal="center" textRotation="0" indent="0" justifyLastLine="0" shrinkToFit="0" readingOrder="0"/>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formation\RC%20EXERCICE%201%20CORRE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MA "/>
      <sheetName val="Thémes abordés "/>
      <sheetName val="Législation rupture conventionn"/>
      <sheetName val="Sal Ref RC "/>
      <sheetName val="TR Matrice Cotisations "/>
      <sheetName val="TR Matrice Net Imposable"/>
      <sheetName val="Table des Taux 2024"/>
      <sheetName val="Enoncé 2024"/>
      <sheetName val="1. Départ en cours de mois "/>
      <sheetName val="RSF 1"/>
      <sheetName val="RSF 2"/>
      <sheetName val="2. RC CORRECTION "/>
      <sheetName val="Calculateur "/>
      <sheetName val="Correction Suite "/>
      <sheetName val="Taux Neutre"/>
      <sheetName val="Masque de Saisie"/>
      <sheetName val="MOIS 1 "/>
      <sheetName val="HEURES SUPP. MOIS 1 "/>
      <sheetName val="MOIS 2 "/>
      <sheetName val="HEURES SUPP. MOIS 2"/>
      <sheetName val="MOIS 3"/>
      <sheetName val="HEURES SUPP. MOIS 3"/>
      <sheetName val="SUIVI RETRAITE "/>
      <sheetName val="CET "/>
      <sheetName val="DSN CET "/>
      <sheetName val="SUIVI LIMITE 2,5 SMIC"/>
      <sheetName val="SUIVI ALLOCATIONS FAMILIALES"/>
      <sheetName val="SUIVI RED GEN DE COT"/>
      <sheetName val="Matrice Val. Abs; "/>
      <sheetName val="Matrice IJSS Maladie"/>
      <sheetName val="Matrice IJSS Maternité"/>
      <sheetName val="Matrice IJSS AT"/>
      <sheetName val="Matrice Val Abs"/>
      <sheetName val="Feuille de Contrôle Vierge "/>
      <sheetName val="Red. Gen. de  Cot. Mois  Isolé"/>
      <sheetName val="Red. Gen. de Cot. Janv"/>
    </sheetNames>
    <sheetDataSet>
      <sheetData sheetId="0"/>
      <sheetData sheetId="1"/>
      <sheetData sheetId="2"/>
      <sheetData sheetId="3"/>
      <sheetData sheetId="4"/>
      <sheetData sheetId="5"/>
      <sheetData sheetId="6">
        <row r="1">
          <cell r="B1" t="str">
            <v>Libellé</v>
          </cell>
          <cell r="C1"/>
          <cell r="D1" t="str">
            <v>Cotisations 
salariales</v>
          </cell>
          <cell r="E1" t="str">
            <v>Cotisations 
patronales</v>
          </cell>
        </row>
        <row r="2">
          <cell r="B2" t="str">
            <v xml:space="preserve">Cotisations et Contributions Obligatoires </v>
          </cell>
          <cell r="C2"/>
          <cell r="D2"/>
          <cell r="E2"/>
        </row>
        <row r="3">
          <cell r="B3" t="str">
            <v>Sécurité sociale Maladie Maternité Invalidité Décés 1.</v>
          </cell>
          <cell r="C3"/>
          <cell r="D3"/>
          <cell r="E3">
            <v>7.0000000000000007E-2</v>
          </cell>
        </row>
        <row r="4">
          <cell r="B4" t="str">
            <v xml:space="preserve">Sécurité sociale Maladie Maternité Invalidité Décés 2. </v>
          </cell>
          <cell r="C4"/>
          <cell r="D4"/>
          <cell r="E4">
            <v>0.06</v>
          </cell>
        </row>
        <row r="5">
          <cell r="B5" t="str">
            <v xml:space="preserve">Mutuelle Cadres </v>
          </cell>
          <cell r="C5"/>
          <cell r="D5"/>
          <cell r="E5"/>
        </row>
        <row r="6">
          <cell r="B6" t="str">
            <v xml:space="preserve">Mutuelle Non Cadres </v>
          </cell>
          <cell r="C6"/>
          <cell r="D6"/>
          <cell r="E6"/>
        </row>
        <row r="7">
          <cell r="B7"/>
          <cell r="C7"/>
          <cell r="D7"/>
          <cell r="E7"/>
        </row>
        <row r="8">
          <cell r="B8" t="str">
            <v xml:space="preserve">ACCIDENT DU TRAVAIL - MALADIES PROFESSIONNELLES </v>
          </cell>
          <cell r="C8"/>
          <cell r="D8"/>
          <cell r="E8"/>
        </row>
        <row r="9">
          <cell r="B9" t="str">
            <v xml:space="preserve">FAMILLE </v>
          </cell>
          <cell r="C9"/>
          <cell r="D9"/>
          <cell r="E9"/>
        </row>
        <row r="10">
          <cell r="B10" t="str">
            <v xml:space="preserve">Allocations Familiales Taux de Base </v>
          </cell>
          <cell r="C10"/>
          <cell r="D10"/>
          <cell r="E10">
            <v>3.4500000000000003E-2</v>
          </cell>
        </row>
        <row r="11">
          <cell r="B11" t="str">
            <v xml:space="preserve">Allocations Famliales Taux Majoré </v>
          </cell>
          <cell r="C11"/>
          <cell r="D11"/>
          <cell r="E11">
            <v>1.7999999999999999E-2</v>
          </cell>
        </row>
        <row r="12">
          <cell r="B12" t="str">
            <v xml:space="preserve">ASSURANCE CHÔMAGE </v>
          </cell>
          <cell r="C12"/>
          <cell r="D12"/>
          <cell r="E12"/>
        </row>
        <row r="13">
          <cell r="B13" t="str">
            <v>Chômage ( TA+TB)</v>
          </cell>
          <cell r="C13"/>
          <cell r="D13"/>
          <cell r="E13">
            <v>4.0500000000000001E-2</v>
          </cell>
        </row>
        <row r="14">
          <cell r="B14" t="str">
            <v>AGS (TA+TB)</v>
          </cell>
          <cell r="C14"/>
          <cell r="D14"/>
          <cell r="E14">
            <v>2E-3</v>
          </cell>
        </row>
        <row r="15">
          <cell r="B15" t="str">
            <v>APEC (TA+TB)</v>
          </cell>
          <cell r="C15"/>
          <cell r="D15">
            <v>2.4000000000000001E-4</v>
          </cell>
          <cell r="E15">
            <v>3.6000000000000002E-4</v>
          </cell>
        </row>
        <row r="16">
          <cell r="B16" t="str">
            <v xml:space="preserve">RETRAITE </v>
          </cell>
          <cell r="C16"/>
          <cell r="D16"/>
          <cell r="E16"/>
        </row>
        <row r="17">
          <cell r="B17" t="str">
            <v>Sécurité Sociale Plafonnée</v>
          </cell>
          <cell r="C17"/>
          <cell r="D17">
            <v>6.9000000000000006E-2</v>
          </cell>
          <cell r="E17">
            <v>8.5500000000000007E-2</v>
          </cell>
        </row>
        <row r="18">
          <cell r="B18" t="str">
            <v xml:space="preserve">Sécurité Sociale déplafonnée </v>
          </cell>
          <cell r="C18"/>
          <cell r="D18">
            <v>4.0000000000000001E-3</v>
          </cell>
          <cell r="E18">
            <v>2.0199999999999999E-2</v>
          </cell>
        </row>
        <row r="19">
          <cell r="B19" t="str">
            <v>Complémentaire T1</v>
          </cell>
          <cell r="C19"/>
          <cell r="D19">
            <v>3.15E-2</v>
          </cell>
          <cell r="E19">
            <v>4.7199999999999999E-2</v>
          </cell>
        </row>
        <row r="20">
          <cell r="B20" t="str">
            <v xml:space="preserve">Complémentaire T2 </v>
          </cell>
          <cell r="C20"/>
          <cell r="D20">
            <v>8.6400000000000005E-2</v>
          </cell>
          <cell r="E20">
            <v>0.1295</v>
          </cell>
        </row>
        <row r="21">
          <cell r="B21" t="str">
            <v>Contribution d'équilibre général  T1 (CEG T1)</v>
          </cell>
          <cell r="C21"/>
          <cell r="D21">
            <v>8.6E-3</v>
          </cell>
          <cell r="E21">
            <v>1.29E-2</v>
          </cell>
        </row>
        <row r="22">
          <cell r="B22" t="str">
            <v>Contribution d'équilibre général  T2 (CEG T2)</v>
          </cell>
          <cell r="C22"/>
          <cell r="D22">
            <v>1.0800000000000001E-2</v>
          </cell>
          <cell r="E22">
            <v>1.6199999999999999E-2</v>
          </cell>
        </row>
        <row r="23">
          <cell r="B23" t="str">
            <v>Contribution d'équilibre Technique  T1 (CET T1)</v>
          </cell>
          <cell r="C23"/>
          <cell r="D23">
            <v>1.4E-3</v>
          </cell>
          <cell r="E23">
            <v>2.0999999999999999E-3</v>
          </cell>
        </row>
        <row r="24">
          <cell r="B24" t="str">
            <v xml:space="preserve">Contribution d'équilibre Technique  T2 (CET T2) </v>
          </cell>
          <cell r="C24"/>
          <cell r="D24">
            <v>1.4E-3</v>
          </cell>
          <cell r="E24">
            <v>2.0999999999999999E-3</v>
          </cell>
        </row>
        <row r="25">
          <cell r="B25"/>
          <cell r="C25"/>
          <cell r="D25"/>
          <cell r="E25"/>
        </row>
        <row r="26">
          <cell r="B26" t="str">
            <v xml:space="preserve">URSSAF FNAL Taux réduit  TA </v>
          </cell>
          <cell r="C26"/>
          <cell r="D26"/>
          <cell r="E26">
            <v>1E-3</v>
          </cell>
        </row>
        <row r="27">
          <cell r="B27" t="str">
            <v xml:space="preserve">URSSAF FNAL Totalité </v>
          </cell>
          <cell r="C27"/>
          <cell r="D27"/>
          <cell r="E27">
            <v>5.0000000000000001E-3</v>
          </cell>
          <cell r="F27"/>
        </row>
        <row r="28">
          <cell r="B28" t="str">
            <v xml:space="preserve">Versement Mobilité </v>
          </cell>
          <cell r="C28"/>
          <cell r="D28"/>
          <cell r="E28">
            <v>3.2000000000000001E-2</v>
          </cell>
          <cell r="F28" t="str">
            <v>Tx applicable  Paris et Petite couronne à pa</v>
          </cell>
        </row>
        <row r="29">
          <cell r="B29" t="str">
            <v>Contribution de solidarité pour l'autonomie</v>
          </cell>
          <cell r="C29"/>
          <cell r="D29"/>
          <cell r="E29">
            <v>3.0000000000000001E-3</v>
          </cell>
        </row>
        <row r="30">
          <cell r="B30" t="str">
            <v>Forfait social</v>
          </cell>
          <cell r="C30"/>
          <cell r="D30"/>
          <cell r="E30">
            <v>0.08</v>
          </cell>
          <cell r="F30"/>
        </row>
        <row r="31">
          <cell r="B31" t="str">
            <v xml:space="preserve">Forfait social sur Retraite Supplémentaire Art 83 </v>
          </cell>
          <cell r="C31"/>
          <cell r="D31"/>
          <cell r="E31">
            <v>0.2</v>
          </cell>
          <cell r="F31"/>
        </row>
        <row r="32">
          <cell r="B32" t="str">
            <v xml:space="preserve">Contribution dialogue social </v>
          </cell>
          <cell r="C32"/>
          <cell r="D32"/>
          <cell r="E32">
            <v>1.6000000000000001E-4</v>
          </cell>
        </row>
        <row r="33">
          <cell r="B33" t="str">
            <v>Taxe d'apprentissage</v>
          </cell>
          <cell r="C33"/>
          <cell r="D33"/>
          <cell r="E33">
            <v>6.7999999999999996E-3</v>
          </cell>
          <cell r="F33"/>
        </row>
        <row r="34">
          <cell r="B34" t="str">
            <v xml:space="preserve">Formation professionnelle </v>
          </cell>
          <cell r="C34"/>
          <cell r="D34"/>
          <cell r="E34">
            <v>0.01</v>
          </cell>
          <cell r="F34"/>
        </row>
        <row r="35">
          <cell r="B35" t="str">
            <v xml:space="preserve">Formation professionnelle </v>
          </cell>
          <cell r="C35"/>
          <cell r="D35"/>
          <cell r="E35">
            <v>5.4999999999999997E-3</v>
          </cell>
          <cell r="F35"/>
        </row>
        <row r="36">
          <cell r="B36" t="str">
            <v xml:space="preserve">Participation à l'effort de construction </v>
          </cell>
          <cell r="C36"/>
          <cell r="D36"/>
          <cell r="E36">
            <v>4.4999999999999997E-3</v>
          </cell>
          <cell r="F36"/>
        </row>
        <row r="37">
          <cell r="B37"/>
          <cell r="C37"/>
          <cell r="D37"/>
          <cell r="E37"/>
          <cell r="F37"/>
        </row>
        <row r="38">
          <cell r="B38" t="str">
            <v xml:space="preserve">C.S.G  déductible de l'impôt sur le revenu </v>
          </cell>
          <cell r="C38"/>
          <cell r="D38">
            <v>6.8000000000000005E-2</v>
          </cell>
          <cell r="E38"/>
        </row>
        <row r="39">
          <cell r="B39" t="str">
            <v xml:space="preserve">C.S.G./ C.R.D.S non déductible de l'impôt sur le revenu </v>
          </cell>
          <cell r="C39"/>
          <cell r="D39">
            <v>2.9000000000000001E-2</v>
          </cell>
          <cell r="E39"/>
        </row>
        <row r="40">
          <cell r="B40" t="str">
            <v xml:space="preserve">CSG  6,8 % sur Heures Supplémentaires  Non déductible </v>
          </cell>
          <cell r="C40"/>
          <cell r="D40">
            <v>6.8000000000000005E-2</v>
          </cell>
          <cell r="E40"/>
        </row>
        <row r="41">
          <cell r="B41" t="str">
            <v xml:space="preserve">CSG  6,8 % sur Heures supplémentaires Déductible </v>
          </cell>
          <cell r="C41"/>
          <cell r="D41">
            <v>6.8000000000000005E-2</v>
          </cell>
          <cell r="E41"/>
        </row>
        <row r="42">
          <cell r="B42" t="str">
            <v>CSG / CRDS 2,9 %  (Non déductible) sur Heures Supplémentaires</v>
          </cell>
          <cell r="C42"/>
          <cell r="D42">
            <v>2.9000000000000001E-2</v>
          </cell>
          <cell r="E42"/>
        </row>
        <row r="43">
          <cell r="B43"/>
          <cell r="C43"/>
          <cell r="D43"/>
          <cell r="E43"/>
        </row>
        <row r="44">
          <cell r="B44" t="str">
            <v xml:space="preserve">Cotisations et Contributions Facultatives </v>
          </cell>
          <cell r="C44"/>
          <cell r="D44"/>
          <cell r="E44"/>
        </row>
        <row r="45">
          <cell r="B45" t="str">
            <v xml:space="preserve">Prévoyance Complémentaire Cadres </v>
          </cell>
          <cell r="C45"/>
          <cell r="D45"/>
          <cell r="E45"/>
        </row>
        <row r="46">
          <cell r="B46" t="str">
            <v xml:space="preserve">Prévoyance Complémentaire Non Cadres </v>
          </cell>
          <cell r="C46"/>
          <cell r="D46"/>
          <cell r="E46"/>
        </row>
        <row r="47">
          <cell r="B47" t="str">
            <v>Assurance décés des cadres  (TA)</v>
          </cell>
          <cell r="C47"/>
          <cell r="D47"/>
          <cell r="E47">
            <v>1.4999999999999999E-2</v>
          </cell>
        </row>
        <row r="48">
          <cell r="B48" t="str">
            <v>Maintien de salaire TA</v>
          </cell>
          <cell r="C48"/>
          <cell r="D48"/>
          <cell r="E48"/>
        </row>
        <row r="49">
          <cell r="B49" t="str">
            <v xml:space="preserve">Maintien de salaire TB </v>
          </cell>
          <cell r="C49"/>
          <cell r="D49"/>
          <cell r="E49"/>
        </row>
        <row r="50">
          <cell r="B50"/>
          <cell r="C50"/>
          <cell r="D50"/>
          <cell r="E50"/>
        </row>
        <row r="51">
          <cell r="B51" t="str">
            <v>Plafond de la sécurité sociale 2024</v>
          </cell>
          <cell r="C51"/>
          <cell r="D51">
            <v>3864</v>
          </cell>
          <cell r="E51"/>
        </row>
        <row r="52">
          <cell r="B52" t="str">
            <v xml:space="preserve">SMICH 01/01/2023 </v>
          </cell>
          <cell r="C52"/>
          <cell r="D52">
            <v>11.27</v>
          </cell>
          <cell r="E52"/>
        </row>
        <row r="53">
          <cell r="B53" t="str">
            <v xml:space="preserve">SMICH 01/05/2023 </v>
          </cell>
          <cell r="C53"/>
          <cell r="D53">
            <v>11.52</v>
          </cell>
          <cell r="E53"/>
        </row>
        <row r="54">
          <cell r="B54" t="str">
            <v>SMICH au 01/01/2024</v>
          </cell>
          <cell r="C54"/>
          <cell r="D54">
            <v>11.65</v>
          </cell>
          <cell r="E54"/>
        </row>
        <row r="55">
          <cell r="B55" t="str">
            <v>SMIC Mensuel au 01/01/2023</v>
          </cell>
          <cell r="C55"/>
          <cell r="D55">
            <v>1709.2833333333331</v>
          </cell>
          <cell r="E55"/>
        </row>
        <row r="56">
          <cell r="B56" t="str">
            <v>SMIC Mensuel au 01/05/2023</v>
          </cell>
          <cell r="C56"/>
          <cell r="D56">
            <v>1747.1999999999998</v>
          </cell>
          <cell r="E56"/>
        </row>
        <row r="57">
          <cell r="B57" t="str">
            <v>SMIC Mensuel au 01/01/2024</v>
          </cell>
          <cell r="C57"/>
          <cell r="D57">
            <v>1766.9166666666667</v>
          </cell>
          <cell r="E57"/>
        </row>
        <row r="58">
          <cell r="B58" t="str">
            <v>1,6 *SMICH  * 35 * 52 /12 au 01/01/2024</v>
          </cell>
          <cell r="C58"/>
          <cell r="D58">
            <v>2827.0666666666662</v>
          </cell>
          <cell r="E58"/>
        </row>
      </sheetData>
      <sheetData sheetId="7"/>
      <sheetData sheetId="8"/>
      <sheetData sheetId="9"/>
      <sheetData sheetId="10"/>
      <sheetData sheetId="11"/>
      <sheetData sheetId="12"/>
      <sheetData sheetId="13">
        <row r="97">
          <cell r="G97" t="str">
            <v xml:space="preserve">Non soumise à cotisations </v>
          </cell>
        </row>
        <row r="98">
          <cell r="F98">
            <v>3415.3846153846152</v>
          </cell>
        </row>
      </sheetData>
      <sheetData sheetId="14"/>
      <sheetData sheetId="15">
        <row r="5">
          <cell r="H5"/>
        </row>
        <row r="6">
          <cell r="H6"/>
        </row>
        <row r="7">
          <cell r="H7"/>
        </row>
        <row r="8">
          <cell r="H8"/>
        </row>
        <row r="9">
          <cell r="H9"/>
        </row>
        <row r="10">
          <cell r="H10"/>
        </row>
        <row r="13">
          <cell r="H13"/>
          <cell r="I13"/>
        </row>
        <row r="14">
          <cell r="H14"/>
          <cell r="I14"/>
        </row>
        <row r="16">
          <cell r="H16"/>
          <cell r="I16"/>
        </row>
        <row r="18">
          <cell r="H18"/>
          <cell r="I18"/>
        </row>
        <row r="20">
          <cell r="H20">
            <v>1.4999999999999999E-2</v>
          </cell>
          <cell r="I20"/>
        </row>
        <row r="24">
          <cell r="I24"/>
        </row>
        <row r="30">
          <cell r="F30"/>
        </row>
        <row r="33">
          <cell r="F33"/>
        </row>
        <row r="34">
          <cell r="F34"/>
        </row>
        <row r="43">
          <cell r="H43"/>
        </row>
        <row r="46">
          <cell r="H46"/>
        </row>
        <row r="56">
          <cell r="H56"/>
        </row>
      </sheetData>
      <sheetData sheetId="16">
        <row r="97">
          <cell r="D97" t="str">
            <v xml:space="preserve">Reste </v>
          </cell>
        </row>
        <row r="98">
          <cell r="D98"/>
        </row>
        <row r="99">
          <cell r="D99"/>
        </row>
      </sheetData>
      <sheetData sheetId="17">
        <row r="59">
          <cell r="H59"/>
        </row>
      </sheetData>
      <sheetData sheetId="18"/>
      <sheetData sheetId="19">
        <row r="59">
          <cell r="F59"/>
          <cell r="G59"/>
        </row>
        <row r="103">
          <cell r="F103"/>
        </row>
        <row r="144">
          <cell r="I144"/>
        </row>
      </sheetData>
      <sheetData sheetId="20"/>
      <sheetData sheetId="21"/>
      <sheetData sheetId="22">
        <row r="9">
          <cell r="H9">
            <v>7203.2930226095732</v>
          </cell>
          <cell r="J9">
            <v>7203.2930226095732</v>
          </cell>
        </row>
      </sheetData>
      <sheetData sheetId="23">
        <row r="19">
          <cell r="F19">
            <v>0</v>
          </cell>
        </row>
        <row r="20">
          <cell r="D20">
            <v>222.36999999999998</v>
          </cell>
        </row>
        <row r="21">
          <cell r="D21">
            <v>0</v>
          </cell>
        </row>
        <row r="22">
          <cell r="F22">
            <v>0</v>
          </cell>
        </row>
        <row r="23">
          <cell r="D23">
            <v>0</v>
          </cell>
        </row>
        <row r="24">
          <cell r="D24">
            <v>0</v>
          </cell>
        </row>
        <row r="34">
          <cell r="F34">
            <v>0</v>
          </cell>
        </row>
        <row r="35">
          <cell r="D35">
            <v>0</v>
          </cell>
        </row>
        <row r="36">
          <cell r="D36">
            <v>0</v>
          </cell>
        </row>
      </sheetData>
      <sheetData sheetId="24"/>
      <sheetData sheetId="25">
        <row r="11">
          <cell r="K11">
            <v>0</v>
          </cell>
          <cell r="M11"/>
        </row>
      </sheetData>
      <sheetData sheetId="26">
        <row r="11">
          <cell r="K11">
            <v>237.58479164835165</v>
          </cell>
        </row>
      </sheetData>
      <sheetData sheetId="27"/>
      <sheetData sheetId="28"/>
      <sheetData sheetId="29"/>
      <sheetData sheetId="30"/>
      <sheetData sheetId="31"/>
      <sheetData sheetId="32"/>
      <sheetData sheetId="33"/>
      <sheetData sheetId="34"/>
      <sheetData sheetId="35"/>
    </sheetDataSet>
  </externalBook>
</externalLink>
</file>

<file path=xl/tables/table1.xml><?xml version="1.0" encoding="utf-8"?>
<table xmlns="http://schemas.openxmlformats.org/spreadsheetml/2006/main" id="5" name="Tableau5" displayName="Tableau5" ref="G2:G7" totalsRowShown="0" headerRowDxfId="11" dataDxfId="10">
  <autoFilter ref="G2:G7"/>
  <tableColumns count="1">
    <tableColumn id="1" name="Statut :" dataDxfId="9"/>
  </tableColumns>
  <tableStyleInfo name="TableStyleMedium2" showFirstColumn="0" showLastColumn="0" showRowStripes="1" showColumnStripes="0"/>
</table>
</file>

<file path=xl/tables/table2.xml><?xml version="1.0" encoding="utf-8"?>
<table xmlns="http://schemas.openxmlformats.org/spreadsheetml/2006/main" id="6" name="Tableau6" displayName="Tableau6" ref="E2:E7" totalsRowShown="0" headerRowDxfId="8" dataDxfId="7">
  <autoFilter ref="E2:E7"/>
  <tableColumns count="1">
    <tableColumn id="1" name="Type de contrat :" dataDxfId="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www.service-public.fr/"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hyperlink" Target="https://www.urssaf.fr/portail/home/employeur/calculer-les-cotisations/les-taux-de-cotisations/le-forfait-social/le-forfait-social-au-taux-de-8.html" TargetMode="External"/><Relationship Id="rId7" Type="http://schemas.openxmlformats.org/officeDocument/2006/relationships/table" Target="../tables/table2.xml"/><Relationship Id="rId2" Type="http://schemas.openxmlformats.org/officeDocument/2006/relationships/hyperlink" Target="https://www.service-public.fr/particuliers/vosdroits/F2918" TargetMode="External"/><Relationship Id="rId1" Type="http://schemas.openxmlformats.org/officeDocument/2006/relationships/hyperlink" Target="https://reassurez-moi.fr/guide/pro/mutuelle-entreprise/apprenti" TargetMode="External"/><Relationship Id="rId6" Type="http://schemas.openxmlformats.org/officeDocument/2006/relationships/table" Target="../tables/table1.xml"/><Relationship Id="rId5" Type="http://schemas.openxmlformats.org/officeDocument/2006/relationships/vmlDrawing" Target="../drawings/vmlDrawing3.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compta-online.com/frais-de-repas-des-salaries-indemnite-panier-repas-ao2365" TargetMode="External"/><Relationship Id="rId2" Type="http://schemas.openxmlformats.org/officeDocument/2006/relationships/hyperlink" Target="http://www.service-public.fr/" TargetMode="External"/><Relationship Id="rId1" Type="http://schemas.openxmlformats.org/officeDocument/2006/relationships/hyperlink" Target="https://www.urssaf.fr/portail/home/employeur/calculer-les-cotisations/les-taux-de-cotisations/le-forfait-social/le-forfait-social-au-taux-de-8.html" TargetMode="External"/><Relationship Id="rId6" Type="http://schemas.openxmlformats.org/officeDocument/2006/relationships/comments" Target="../comments4.xml"/><Relationship Id="rId5" Type="http://schemas.openxmlformats.org/officeDocument/2006/relationships/vmlDrawing" Target="../drawings/vmlDrawing4.v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6.bin"/><Relationship Id="rId1" Type="http://schemas.openxmlformats.org/officeDocument/2006/relationships/hyperlink" Target="http://www.service-public.fr/" TargetMode="External"/><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hyperlink" Target="http://www.service-public.fr/"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service-public.fr/"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www.service-public.fr/"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service-public.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B1:H85"/>
  <sheetViews>
    <sheetView zoomScaleNormal="100" workbookViewId="0">
      <selection activeCell="G7" sqref="G7"/>
    </sheetView>
  </sheetViews>
  <sheetFormatPr defaultColWidth="11.42578125" defaultRowHeight="15" x14ac:dyDescent="0.25"/>
  <cols>
    <col min="1" max="1" width="11.42578125" customWidth="1"/>
    <col min="2" max="2" width="17.7109375" customWidth="1"/>
    <col min="3" max="3" width="29.28515625" customWidth="1"/>
    <col min="4" max="4" width="15.140625" customWidth="1"/>
    <col min="5" max="5" width="19.28515625" customWidth="1"/>
    <col min="6" max="6" width="14.5703125" customWidth="1"/>
    <col min="7" max="7" width="22.7109375" customWidth="1"/>
    <col min="8" max="8" width="15.85546875" customWidth="1"/>
  </cols>
  <sheetData>
    <row r="1" spans="2:8" ht="15" customHeight="1" x14ac:dyDescent="0.25"/>
    <row r="2" spans="2:8" x14ac:dyDescent="0.25">
      <c r="B2" s="499" t="s">
        <v>0</v>
      </c>
      <c r="C2" s="500"/>
      <c r="D2" s="500"/>
      <c r="E2" s="500"/>
      <c r="F2" s="500"/>
      <c r="G2" s="500"/>
      <c r="H2" s="501"/>
    </row>
    <row r="3" spans="2:8" x14ac:dyDescent="0.25">
      <c r="B3" s="502"/>
      <c r="C3" s="503"/>
      <c r="D3" s="503"/>
      <c r="E3" s="503"/>
      <c r="F3" s="503"/>
      <c r="G3" s="503"/>
      <c r="H3" s="504"/>
    </row>
    <row r="4" spans="2:8" x14ac:dyDescent="0.25">
      <c r="B4" s="3" t="s">
        <v>3</v>
      </c>
      <c r="C4" s="5"/>
      <c r="D4" s="4"/>
      <c r="E4" s="3" t="s">
        <v>352</v>
      </c>
      <c r="F4" s="103"/>
      <c r="G4" s="6" t="s">
        <v>353</v>
      </c>
      <c r="H4" s="4"/>
    </row>
    <row r="5" spans="2:8" x14ac:dyDescent="0.25">
      <c r="B5" s="7" t="s">
        <v>6</v>
      </c>
      <c r="C5" s="9"/>
      <c r="D5" s="8"/>
      <c r="E5" s="7"/>
      <c r="F5" s="9"/>
      <c r="G5" s="10"/>
      <c r="H5" s="8"/>
    </row>
    <row r="6" spans="2:8" x14ac:dyDescent="0.25">
      <c r="B6" s="7"/>
      <c r="C6" s="9"/>
      <c r="D6" s="8"/>
      <c r="E6" s="7"/>
      <c r="F6" s="9"/>
      <c r="G6" s="9"/>
      <c r="H6" s="8"/>
    </row>
    <row r="7" spans="2:8" x14ac:dyDescent="0.25">
      <c r="B7" s="7" t="s">
        <v>9</v>
      </c>
      <c r="C7" s="9"/>
      <c r="D7" s="8"/>
      <c r="E7" s="7"/>
      <c r="F7" s="9" t="s">
        <v>10</v>
      </c>
      <c r="G7" s="9"/>
      <c r="H7" s="8"/>
    </row>
    <row r="8" spans="2:8" x14ac:dyDescent="0.25">
      <c r="B8" s="7" t="s">
        <v>11</v>
      </c>
      <c r="C8" s="9"/>
      <c r="D8" s="8"/>
      <c r="E8" s="7"/>
      <c r="F8" s="9"/>
      <c r="G8" s="9"/>
      <c r="H8" s="8"/>
    </row>
    <row r="9" spans="2:8" x14ac:dyDescent="0.25">
      <c r="B9" s="7" t="s">
        <v>12</v>
      </c>
      <c r="C9" s="9"/>
      <c r="D9" s="8"/>
      <c r="E9" s="7"/>
      <c r="F9" s="9"/>
      <c r="G9" s="9"/>
      <c r="H9" s="8"/>
    </row>
    <row r="10" spans="2:8" x14ac:dyDescent="0.25">
      <c r="B10" s="11" t="s">
        <v>13</v>
      </c>
      <c r="C10" s="13"/>
      <c r="D10" s="12"/>
      <c r="E10" s="11"/>
      <c r="F10" s="13"/>
      <c r="G10" s="13"/>
      <c r="H10" s="14"/>
    </row>
    <row r="11" spans="2:8" x14ac:dyDescent="0.25">
      <c r="B11" s="7" t="str">
        <f>"Emploi : " &amp; Données!E28</f>
        <v>Emploi : Chef comptable</v>
      </c>
      <c r="C11" s="9"/>
      <c r="D11" s="9"/>
      <c r="E11" s="104" t="str">
        <f>"Salarié : " &amp; Données!E26</f>
        <v>Salarié : Madame SUZY</v>
      </c>
      <c r="F11" s="9"/>
      <c r="G11" s="9"/>
      <c r="H11" s="8"/>
    </row>
    <row r="12" spans="2:8" x14ac:dyDescent="0.25">
      <c r="B12" s="7" t="str">
        <f>"Statut : " &amp; Données!E29</f>
        <v>Statut : Ouvrier</v>
      </c>
      <c r="C12" s="9"/>
      <c r="D12" s="9"/>
      <c r="E12" s="9" t="s">
        <v>6</v>
      </c>
      <c r="F12" s="9"/>
      <c r="G12" s="9"/>
      <c r="H12" s="8"/>
    </row>
    <row r="13" spans="2:8" x14ac:dyDescent="0.25">
      <c r="B13" s="7" t="s">
        <v>17</v>
      </c>
      <c r="C13" s="9"/>
      <c r="D13" s="112"/>
      <c r="E13" s="9"/>
      <c r="F13" s="505"/>
      <c r="G13" s="505"/>
      <c r="H13" s="506"/>
    </row>
    <row r="14" spans="2:8" x14ac:dyDescent="0.25">
      <c r="B14" s="7" t="s">
        <v>153</v>
      </c>
      <c r="C14" s="9"/>
      <c r="D14" s="49"/>
      <c r="E14" s="9"/>
      <c r="F14" s="507"/>
      <c r="G14" s="507"/>
      <c r="H14" s="508"/>
    </row>
    <row r="15" spans="2:8" x14ac:dyDescent="0.25">
      <c r="B15" s="105"/>
      <c r="C15" s="9"/>
      <c r="D15" s="112"/>
      <c r="E15" s="9"/>
      <c r="F15" s="507"/>
      <c r="G15" s="507"/>
      <c r="H15" s="508"/>
    </row>
    <row r="16" spans="2:8" x14ac:dyDescent="0.25">
      <c r="B16" s="52" t="s">
        <v>114</v>
      </c>
      <c r="C16" s="55">
        <f>Données!B28</f>
        <v>45200</v>
      </c>
      <c r="D16" s="50" t="s">
        <v>111</v>
      </c>
      <c r="E16" s="13"/>
      <c r="F16" s="509"/>
      <c r="G16" s="509"/>
      <c r="H16" s="510"/>
    </row>
    <row r="17" spans="2:8" x14ac:dyDescent="0.25">
      <c r="B17" s="41"/>
      <c r="D17" s="31" t="s">
        <v>206</v>
      </c>
      <c r="E17" s="31" t="s">
        <v>21</v>
      </c>
      <c r="F17" s="31" t="s">
        <v>22</v>
      </c>
      <c r="H17" s="15"/>
    </row>
    <row r="18" spans="2:8" x14ac:dyDescent="0.25">
      <c r="B18" s="41" t="s">
        <v>23</v>
      </c>
      <c r="D18" s="31">
        <f>Données!F10</f>
        <v>86.668571428571411</v>
      </c>
      <c r="E18" s="34">
        <f>Données!F11</f>
        <v>6.657155416012559</v>
      </c>
      <c r="F18" s="34">
        <f>Données!C13</f>
        <v>0</v>
      </c>
      <c r="H18" s="16"/>
    </row>
    <row r="19" spans="2:8" x14ac:dyDescent="0.25">
      <c r="B19" s="41" t="s">
        <v>207</v>
      </c>
      <c r="D19" s="31"/>
      <c r="E19" s="34"/>
      <c r="F19" s="34">
        <v>8.9499999999999993</v>
      </c>
      <c r="H19" s="16"/>
    </row>
    <row r="20" spans="2:8" x14ac:dyDescent="0.25">
      <c r="B20" s="41" t="e">
        <f>IF(Données!#REF!=0,"","Heure supplémentaire mensualisé")</f>
        <v>#REF!</v>
      </c>
      <c r="D20" s="34" t="e">
        <f>IF(Données!#REF!=0,"",Données!B35)</f>
        <v>#REF!</v>
      </c>
      <c r="E20" s="34" t="e">
        <f>IF(D20="","",Données!C35)</f>
        <v>#REF!</v>
      </c>
      <c r="F20" s="34" t="str">
        <f>IF(Données!D35=0,"",Données!D35)</f>
        <v/>
      </c>
      <c r="H20" s="16"/>
    </row>
    <row r="21" spans="2:8" x14ac:dyDescent="0.25">
      <c r="B21" s="41" t="str">
        <f>IF(OR(Données!G31=0,Données!G31=""),"","Heures supplémentaires 25%")</f>
        <v/>
      </c>
      <c r="D21" s="34" t="str">
        <f>IF(Données!G31=0,"",Données!G31)</f>
        <v/>
      </c>
      <c r="E21" s="34" t="str">
        <f>IF(D21="","",Données!I12)</f>
        <v/>
      </c>
      <c r="F21" s="34" t="str">
        <f>IF(D21="","",Données!J12)</f>
        <v/>
      </c>
      <c r="G21" s="34"/>
      <c r="H21" s="16"/>
    </row>
    <row r="22" spans="2:8" x14ac:dyDescent="0.25">
      <c r="B22" s="41" t="e">
        <f>IF(Données!#REF!=0,"","Heures supplémentaires 50%")</f>
        <v>#REF!</v>
      </c>
      <c r="D22" s="34" t="e">
        <f>IF(Données!#REF!=0,"",Données!#REF!)</f>
        <v>#REF!</v>
      </c>
      <c r="E22" s="34" t="e">
        <f>IF(D22="","",Données!I13)</f>
        <v>#REF!</v>
      </c>
      <c r="F22" s="34" t="e">
        <f>IF(D22="","",Données!J13)</f>
        <v>#REF!</v>
      </c>
      <c r="H22" s="16"/>
    </row>
    <row r="23" spans="2:8" x14ac:dyDescent="0.25">
      <c r="B23" s="41" t="s">
        <v>204</v>
      </c>
      <c r="D23" s="31"/>
      <c r="E23" s="34"/>
      <c r="F23" s="34">
        <v>170</v>
      </c>
      <c r="H23" s="16"/>
    </row>
    <row r="24" spans="2:8" x14ac:dyDescent="0.25">
      <c r="B24" s="41" t="s">
        <v>203</v>
      </c>
      <c r="D24" s="31"/>
      <c r="E24" s="34"/>
      <c r="F24" s="34">
        <v>50</v>
      </c>
      <c r="H24" s="16"/>
    </row>
    <row r="25" spans="2:8" x14ac:dyDescent="0.25">
      <c r="B25" s="41" t="str">
        <f>IF(OR(Données!B34=0,Données!B34=""),"",Absences jours ouvrables/non ouvrables)</f>
        <v/>
      </c>
      <c r="D25" s="31" t="str">
        <f>IF(Données!B34=0,"",Données!B34)</f>
        <v/>
      </c>
      <c r="E25" s="34" t="str">
        <f>IF(D25="","",Données!G31)</f>
        <v/>
      </c>
      <c r="F25" s="34" t="str">
        <f>IF(Données!D34="","",Données!D34)</f>
        <v/>
      </c>
      <c r="H25" s="16"/>
    </row>
    <row r="26" spans="2:8" x14ac:dyDescent="0.25">
      <c r="B26" s="77" t="s">
        <v>27</v>
      </c>
      <c r="C26" s="78"/>
      <c r="D26" s="78"/>
      <c r="E26" s="78"/>
      <c r="F26" s="130" t="e">
        <f>SUM(F18:F24)</f>
        <v>#REF!</v>
      </c>
      <c r="G26" s="17"/>
      <c r="H26" s="18"/>
    </row>
    <row r="27" spans="2:8" x14ac:dyDescent="0.25">
      <c r="B27" s="71" t="s">
        <v>28</v>
      </c>
      <c r="C27" s="72"/>
      <c r="D27" s="116" t="s">
        <v>29</v>
      </c>
      <c r="E27" s="81" t="s">
        <v>30</v>
      </c>
      <c r="F27" s="116" t="s">
        <v>31</v>
      </c>
      <c r="G27" s="81" t="s">
        <v>32</v>
      </c>
      <c r="H27" s="81" t="s">
        <v>173</v>
      </c>
    </row>
    <row r="28" spans="2:8" x14ac:dyDescent="0.25">
      <c r="B28" s="73" t="s">
        <v>33</v>
      </c>
      <c r="C28" s="25"/>
      <c r="D28" s="60" t="e">
        <f>F26</f>
        <v>#REF!</v>
      </c>
      <c r="E28" s="89" t="e">
        <f>IF(F26&lt;(2.5*Données!B23),7%,13%)</f>
        <v>#REF!</v>
      </c>
      <c r="F28" s="108" t="e">
        <f>E28*D28</f>
        <v>#REF!</v>
      </c>
      <c r="G28" s="91">
        <f>IF(Données!C13&lt;=(2.5*Données!B23),7%,13%)</f>
        <v>7.0000000000000007E-2</v>
      </c>
      <c r="H28" s="60" t="e">
        <f>D28*G28</f>
        <v>#REF!</v>
      </c>
    </row>
    <row r="29" spans="2:8" x14ac:dyDescent="0.25">
      <c r="B29" s="73" t="s">
        <v>143</v>
      </c>
      <c r="C29" s="25"/>
      <c r="D29" s="82" t="e">
        <f>IF(Données!F40=0,"",F26)</f>
        <v>#REF!</v>
      </c>
      <c r="E29" s="67">
        <f>IF(Données!F40=0,"",Données!F40)</f>
        <v>0.02</v>
      </c>
      <c r="F29" s="83" t="e">
        <f>IF(D29="","",D29*E29)</f>
        <v>#REF!</v>
      </c>
      <c r="G29" s="85">
        <f>IF(Données!G40=0,"",Données!G40)</f>
        <v>2.4E-2</v>
      </c>
      <c r="H29" s="82" t="e">
        <f>IF(D29="","",G29*D29)</f>
        <v>#REF!</v>
      </c>
    </row>
    <row r="30" spans="2:8" x14ac:dyDescent="0.25">
      <c r="B30" s="73" t="s">
        <v>127</v>
      </c>
      <c r="C30" s="25"/>
      <c r="D30" s="82">
        <f>IF(Données!E39=0,"",Données!E39)</f>
        <v>35</v>
      </c>
      <c r="E30" s="67">
        <f>IF(Données!E39=0,"",Données!F39)</f>
        <v>0.4</v>
      </c>
      <c r="F30" s="83">
        <f>IF(D30="","",D30*E30)</f>
        <v>14</v>
      </c>
      <c r="G30" s="85">
        <f>IF(Données!E39=0,"",Données!G39)</f>
        <v>0.6</v>
      </c>
      <c r="H30" s="82">
        <f>IF(D30="","",D30*G30)</f>
        <v>21</v>
      </c>
    </row>
    <row r="31" spans="2:8" x14ac:dyDescent="0.25">
      <c r="B31" s="511" t="s">
        <v>35</v>
      </c>
      <c r="C31" s="512"/>
      <c r="D31" s="16"/>
      <c r="E31" s="16"/>
      <c r="F31" s="16"/>
      <c r="G31" s="81"/>
      <c r="H31" s="16"/>
    </row>
    <row r="32" spans="2:8" x14ac:dyDescent="0.25">
      <c r="B32" s="41"/>
      <c r="D32" s="82" t="e">
        <f>F26</f>
        <v>#REF!</v>
      </c>
      <c r="E32" s="67"/>
      <c r="F32" s="83"/>
      <c r="G32" s="85">
        <f>Données!E41</f>
        <v>0.02</v>
      </c>
      <c r="H32" s="82" t="e">
        <f>D32*G32</f>
        <v>#REF!</v>
      </c>
    </row>
    <row r="33" spans="2:8" x14ac:dyDescent="0.25">
      <c r="B33" s="71" t="s">
        <v>36</v>
      </c>
      <c r="C33" s="72"/>
      <c r="D33" s="82"/>
      <c r="E33" s="67"/>
      <c r="F33" s="83"/>
      <c r="G33" s="85"/>
      <c r="H33" s="82"/>
    </row>
    <row r="34" spans="2:8" x14ac:dyDescent="0.25">
      <c r="B34" s="73" t="s">
        <v>37</v>
      </c>
      <c r="C34" s="25"/>
      <c r="D34" s="82" t="e">
        <f>F26</f>
        <v>#REF!</v>
      </c>
      <c r="E34" s="67"/>
      <c r="F34" s="83"/>
      <c r="G34" s="92">
        <f>IF(Données!C13&lt;=(3.5*Données!B23),3.45%,5.25%)</f>
        <v>3.4500000000000003E-2</v>
      </c>
      <c r="H34" s="82" t="e">
        <f>D34*G34</f>
        <v>#REF!</v>
      </c>
    </row>
    <row r="35" spans="2:8" x14ac:dyDescent="0.25">
      <c r="B35" s="71" t="s">
        <v>38</v>
      </c>
      <c r="C35" s="72"/>
      <c r="D35" s="82"/>
      <c r="E35" s="67"/>
      <c r="F35" s="84"/>
      <c r="G35" s="85"/>
      <c r="H35" s="82"/>
    </row>
    <row r="36" spans="2:8" x14ac:dyDescent="0.25">
      <c r="B36" s="73" t="s">
        <v>166</v>
      </c>
      <c r="C36" s="25"/>
      <c r="D36" s="82" t="e">
        <f>IF(F26&lt;=Données!B22,F26,Données!B22)</f>
        <v>#REF!</v>
      </c>
      <c r="E36" s="67">
        <v>4.0500000000000001E-2</v>
      </c>
      <c r="F36" s="84" t="e">
        <f>E36*D36</f>
        <v>#REF!</v>
      </c>
      <c r="G36" s="85">
        <v>4.0500000000000001E-2</v>
      </c>
      <c r="H36" s="82" t="e">
        <f>D36*G36</f>
        <v>#REF!</v>
      </c>
    </row>
    <row r="37" spans="2:8" x14ac:dyDescent="0.25">
      <c r="B37" s="73" t="s">
        <v>40</v>
      </c>
      <c r="C37" s="25"/>
      <c r="D37" s="82" t="e">
        <f>IF(F26&lt;=(4*Données!B22),F26,(4*Données!B22))</f>
        <v>#REF!</v>
      </c>
      <c r="E37" s="67">
        <v>2.5000000000000001E-3</v>
      </c>
      <c r="F37" s="83" t="e">
        <f>E37*D37</f>
        <v>#REF!</v>
      </c>
      <c r="G37" s="85">
        <v>2.5000000000000001E-3</v>
      </c>
      <c r="H37" s="82" t="e">
        <f>D37*G37</f>
        <v>#REF!</v>
      </c>
    </row>
    <row r="38" spans="2:8" x14ac:dyDescent="0.25">
      <c r="B38" s="71" t="s">
        <v>41</v>
      </c>
      <c r="C38" s="72"/>
      <c r="D38" s="82"/>
      <c r="E38" s="67"/>
      <c r="F38" s="84"/>
      <c r="G38" s="85"/>
      <c r="H38" s="82"/>
    </row>
    <row r="39" spans="2:8" x14ac:dyDescent="0.25">
      <c r="B39" s="73" t="s">
        <v>45</v>
      </c>
      <c r="C39" s="25"/>
      <c r="D39" s="82" t="e">
        <f>IF(F26&lt;=Données!B22,F26,Données!B22)</f>
        <v>#REF!</v>
      </c>
      <c r="E39" s="67" t="e">
        <f>IF(Données!#REF!="Exonération de cotisation","",0.86%)</f>
        <v>#REF!</v>
      </c>
      <c r="F39" s="83" t="e">
        <f>IF(Données!#REF!="Exonération de cotisation","",D39*E39)</f>
        <v>#REF!</v>
      </c>
      <c r="G39" s="85">
        <v>1.29E-2</v>
      </c>
      <c r="H39" s="82">
        <f>Données!C13*G39</f>
        <v>0</v>
      </c>
    </row>
    <row r="40" spans="2:8" x14ac:dyDescent="0.25">
      <c r="B40" s="73" t="s">
        <v>158</v>
      </c>
      <c r="C40" s="25"/>
      <c r="D40" s="82" t="e">
        <f>IF(F26&lt;=(8*Données!B22),Données!C13-Données!B22,(8*Données!B22))</f>
        <v>#REF!</v>
      </c>
      <c r="E40" s="67">
        <v>1.0800000000000001E-2</v>
      </c>
      <c r="F40" s="83" t="e">
        <f>E40*D40</f>
        <v>#REF!</v>
      </c>
      <c r="G40" s="85">
        <v>1.6199999999999999E-2</v>
      </c>
      <c r="H40" s="82" t="e">
        <f>G40*D40</f>
        <v>#REF!</v>
      </c>
    </row>
    <row r="41" spans="2:8" x14ac:dyDescent="0.25">
      <c r="B41" s="73" t="s">
        <v>44</v>
      </c>
      <c r="C41" s="25"/>
      <c r="D41" s="82" t="e">
        <f>IF(F26&lt;=Données!B22,F26,Données!B22)</f>
        <v>#REF!</v>
      </c>
      <c r="E41" s="67" t="e">
        <f>IF(Données!#REF!="Exonération de cotisation","",3.56%)</f>
        <v>#REF!</v>
      </c>
      <c r="F41" s="83" t="e">
        <f>IF(Données!#REF!="Exonération de cotisation","",D41*E41)</f>
        <v>#REF!</v>
      </c>
      <c r="G41" s="85">
        <v>5.33E-2</v>
      </c>
      <c r="H41" s="82">
        <f>Données!C13*G41</f>
        <v>0</v>
      </c>
    </row>
    <row r="42" spans="2:8" x14ac:dyDescent="0.25">
      <c r="B42" s="73" t="s">
        <v>165</v>
      </c>
      <c r="C42" s="25"/>
      <c r="D42" s="82" t="e">
        <f>IF(F26&lt;=Données!B22,F26,Données!B22)</f>
        <v>#REF!</v>
      </c>
      <c r="E42" s="67">
        <v>0.02</v>
      </c>
      <c r="F42" s="83" t="e">
        <f>E42*D42</f>
        <v>#REF!</v>
      </c>
      <c r="G42" s="85">
        <v>2.4E-2</v>
      </c>
      <c r="H42" s="82" t="e">
        <f>G42*D42</f>
        <v>#REF!</v>
      </c>
    </row>
    <row r="43" spans="2:8" ht="15" customHeight="1" x14ac:dyDescent="0.25">
      <c r="B43" s="73" t="str">
        <f>IF(Données!C13&gt;Données!B22,"Contribution d'équilibre Technique CET","")</f>
        <v/>
      </c>
      <c r="C43" s="25"/>
      <c r="D43" s="82" t="e">
        <f>IF(F26&lt;=(8*Données!B22),IF(B43="","",SUM(D41:D41)),8*Données!B22)</f>
        <v>#REF!</v>
      </c>
      <c r="E43" s="67" t="e">
        <f>IF(D43="","",0.14%)</f>
        <v>#REF!</v>
      </c>
      <c r="F43" s="83" t="e">
        <f>IF(D43="","",E43*D43)</f>
        <v>#REF!</v>
      </c>
      <c r="G43" s="85" t="e">
        <f>IF(D43="","",0.21%)</f>
        <v>#REF!</v>
      </c>
      <c r="H43" s="82" t="e">
        <f>IF(D43="","",G43*D43)</f>
        <v>#REF!</v>
      </c>
    </row>
    <row r="44" spans="2:8" x14ac:dyDescent="0.25">
      <c r="B44" s="71" t="s">
        <v>46</v>
      </c>
      <c r="C44" s="72"/>
      <c r="D44" s="82"/>
      <c r="E44" s="67"/>
      <c r="F44" s="84"/>
      <c r="G44" s="85"/>
      <c r="H44" s="82"/>
    </row>
    <row r="45" spans="2:8" x14ac:dyDescent="0.25">
      <c r="B45" s="114" t="s">
        <v>171</v>
      </c>
      <c r="C45" s="115"/>
      <c r="D45" s="82"/>
      <c r="E45" s="67">
        <v>2.4E-2</v>
      </c>
      <c r="F45" s="84"/>
      <c r="G45" s="85"/>
      <c r="H45" s="82"/>
    </row>
    <row r="46" spans="2:8" x14ac:dyDescent="0.25">
      <c r="B46" s="114" t="s">
        <v>172</v>
      </c>
      <c r="C46" s="115"/>
      <c r="D46" s="82"/>
      <c r="E46" s="67">
        <v>6.8000000000000005E-2</v>
      </c>
      <c r="F46" s="84"/>
      <c r="G46" s="85"/>
      <c r="H46" s="82"/>
    </row>
    <row r="47" spans="2:8" ht="15" customHeight="1" x14ac:dyDescent="0.25">
      <c r="B47" s="74" t="str">
        <f>IF(Données!B35&lt;50,"FNAL (aide au logement)  &lt; 50 salariés","FNAL (aide au logement)  ≥  50 salariés")</f>
        <v>FNAL (aide au logement)  &lt; 50 salariés</v>
      </c>
      <c r="C47" s="75"/>
      <c r="D47" s="82" t="e">
        <f>F26</f>
        <v>#REF!</v>
      </c>
      <c r="E47" s="67" t="e">
        <f>IF(Données!#REF!="Exonération de cotisation","",IF(Données!B35&lt;50,0.1%,0.5%))</f>
        <v>#REF!</v>
      </c>
      <c r="F47" s="84" t="e">
        <f>IF(Données!#REF!="Exonération de cotisation","",D47*E47)</f>
        <v>#REF!</v>
      </c>
      <c r="G47" s="85">
        <f>IF(Données!B35&lt;50,0.1%,0.5%)</f>
        <v>1E-3</v>
      </c>
      <c r="H47" s="82" t="e">
        <f>IF(D47="","",G47*D47)</f>
        <v>#REF!</v>
      </c>
    </row>
    <row r="48" spans="2:8" x14ac:dyDescent="0.25">
      <c r="B48" s="73" t="s">
        <v>42</v>
      </c>
      <c r="C48" s="25"/>
      <c r="D48" s="82" t="e">
        <f>IF(F26&lt;=Données!B22,F26,Données!B22)</f>
        <v>#REF!</v>
      </c>
      <c r="E48" s="67" t="e">
        <f>IF(Données!#REF!="Exonération de cotisation","",6.9%)</f>
        <v>#REF!</v>
      </c>
      <c r="F48" s="83" t="e">
        <f>IF(Données!#REF!="Exonération de cotisation","",D48*E48)</f>
        <v>#REF!</v>
      </c>
      <c r="G48" s="85">
        <v>8.5500000000000007E-2</v>
      </c>
      <c r="H48" s="82">
        <f>Données!C13*G48</f>
        <v>0</v>
      </c>
    </row>
    <row r="49" spans="2:8" x14ac:dyDescent="0.25">
      <c r="B49" s="73" t="s">
        <v>43</v>
      </c>
      <c r="C49" s="25"/>
      <c r="D49" s="82" t="e">
        <f>F26</f>
        <v>#REF!</v>
      </c>
      <c r="E49" s="67" t="e">
        <f>IF(Données!#REF!="Exonération de cotisation","",0.4%)</f>
        <v>#REF!</v>
      </c>
      <c r="F49" s="83" t="e">
        <f>IF(Données!#REF!="Exonération de cotisation","",D49*E49)</f>
        <v>#REF!</v>
      </c>
      <c r="G49" s="85">
        <v>2.0199999999999999E-2</v>
      </c>
      <c r="H49" s="82">
        <f>Données!C13*G49</f>
        <v>0</v>
      </c>
    </row>
    <row r="50" spans="2:8" x14ac:dyDescent="0.25">
      <c r="B50" s="74" t="s">
        <v>49</v>
      </c>
      <c r="C50" s="75"/>
      <c r="D50" s="82" t="e">
        <f>F26</f>
        <v>#REF!</v>
      </c>
      <c r="E50" s="107"/>
      <c r="F50" s="83" t="e">
        <f>E50*D50</f>
        <v>#REF!</v>
      </c>
      <c r="G50" s="86">
        <v>1.6000000000000001E-4</v>
      </c>
      <c r="H50" s="82" t="e">
        <f>D50*G50</f>
        <v>#REF!</v>
      </c>
    </row>
    <row r="51" spans="2:8" x14ac:dyDescent="0.25">
      <c r="B51" s="74" t="s">
        <v>50</v>
      </c>
      <c r="C51" s="75"/>
      <c r="D51" s="82" t="e">
        <f>F26</f>
        <v>#REF!</v>
      </c>
      <c r="E51" s="67"/>
      <c r="F51" s="84" t="e">
        <f>E51*D51</f>
        <v>#REF!</v>
      </c>
      <c r="G51" s="85">
        <v>3.0000000000000001E-3</v>
      </c>
      <c r="H51" s="82" t="e">
        <f>D51*G51</f>
        <v>#REF!</v>
      </c>
    </row>
    <row r="52" spans="2:8" ht="27" customHeight="1" x14ac:dyDescent="0.25">
      <c r="B52" s="513" t="s">
        <v>123</v>
      </c>
      <c r="C52" s="514"/>
      <c r="D52" s="82" t="e">
        <f>H29</f>
        <v>#REF!</v>
      </c>
      <c r="E52" s="67"/>
      <c r="F52" s="84"/>
      <c r="G52" s="85">
        <v>0.08</v>
      </c>
      <c r="H52" s="82" t="e">
        <f>IF(Données!B35&gt;=11,D52*G52,0)</f>
        <v>#REF!</v>
      </c>
    </row>
    <row r="53" spans="2:8" x14ac:dyDescent="0.25">
      <c r="B53" s="74" t="str">
        <f>IF(Données!B36="Non","Taxe d'apprentissage hors Alsace Moselle","Taxe d'apprentissage Alsace Moselle")</f>
        <v>Taxe d'apprentissage Alsace Moselle</v>
      </c>
      <c r="C53" s="75"/>
      <c r="D53" s="82" t="e">
        <f>F26</f>
        <v>#REF!</v>
      </c>
      <c r="E53" s="67"/>
      <c r="F53" s="84"/>
      <c r="G53" s="85">
        <f>IF(Données!B36="Non",0.68%,0.44%)</f>
        <v>4.4000000000000003E-3</v>
      </c>
      <c r="H53" s="82" t="e">
        <f>D53*G53</f>
        <v>#REF!</v>
      </c>
    </row>
    <row r="54" spans="2:8" x14ac:dyDescent="0.25">
      <c r="B54" s="513" t="str">
        <f>IF(Données!B35&lt;11,"Contribution unique à la formation professionnelle entreprise &lt; 11 salariés","Contribution unique à la formation professionnelle entreprise &gt; 11 salariés")</f>
        <v>Contribution unique à la formation professionnelle entreprise &gt; 11 salariés</v>
      </c>
      <c r="C54" s="514"/>
      <c r="D54" s="82" t="e">
        <f>F26</f>
        <v>#REF!</v>
      </c>
      <c r="E54" s="67"/>
      <c r="F54" s="84"/>
      <c r="G54" s="85">
        <f>IF(Données!B35&lt;11,0.55%,1%)</f>
        <v>0.01</v>
      </c>
      <c r="H54" s="82" t="e">
        <f>D54*G54</f>
        <v>#REF!</v>
      </c>
    </row>
    <row r="55" spans="2:8" x14ac:dyDescent="0.25">
      <c r="B55" s="74" t="s">
        <v>141</v>
      </c>
      <c r="C55" s="75"/>
      <c r="D55" s="82" t="e">
        <f>F26</f>
        <v>#REF!</v>
      </c>
      <c r="E55" s="67"/>
      <c r="F55" s="84"/>
      <c r="G55" s="85">
        <v>0.01</v>
      </c>
      <c r="H55" s="82" t="e">
        <f>IF(Données!B35&gt;=50,D55*G55,0*D55)</f>
        <v>#REF!</v>
      </c>
    </row>
    <row r="56" spans="2:8" ht="16.5" customHeight="1" x14ac:dyDescent="0.25">
      <c r="B56" s="74" t="s">
        <v>142</v>
      </c>
      <c r="C56" s="75"/>
      <c r="D56" s="82" t="e">
        <f>F26</f>
        <v>#REF!</v>
      </c>
      <c r="E56" s="67" t="e">
        <f>IF(Données!#REF!="Exonération de cotisation","",2.6%)</f>
        <v>#REF!</v>
      </c>
      <c r="F56" s="84" t="e">
        <f>IF(Données!#REF!="Exonération de cotisation","",D56*E56)</f>
        <v>#REF!</v>
      </c>
      <c r="G56" s="85">
        <f>Données!B37</f>
        <v>0.02</v>
      </c>
      <c r="H56" s="82" t="e">
        <f>D56*G56</f>
        <v>#REF!</v>
      </c>
    </row>
    <row r="57" spans="2:8" x14ac:dyDescent="0.25">
      <c r="B57" s="513" t="str">
        <f>IF(Données!B35&gt;=250,"contribution supplémentaire à l'apprentissage &gt;= 250 salarié","")</f>
        <v/>
      </c>
      <c r="C57" s="514"/>
      <c r="D57" s="82"/>
      <c r="E57" s="67"/>
      <c r="F57" s="84"/>
      <c r="G57" s="85"/>
      <c r="H57" s="82"/>
    </row>
    <row r="58" spans="2:8" x14ac:dyDescent="0.25">
      <c r="B58" s="93" t="s">
        <v>55</v>
      </c>
      <c r="C58" s="94"/>
      <c r="D58" s="82"/>
      <c r="E58" s="67"/>
      <c r="F58" s="84"/>
      <c r="G58" s="85"/>
      <c r="H58" s="82"/>
    </row>
    <row r="59" spans="2:8" x14ac:dyDescent="0.25">
      <c r="B59" s="73" t="s">
        <v>146</v>
      </c>
      <c r="C59" s="25"/>
      <c r="D59" s="82" t="e">
        <f>IF(F26&lt;(1.6*Données!B23),F26,"")</f>
        <v>#REF!</v>
      </c>
      <c r="E59" s="67"/>
      <c r="F59" s="101"/>
      <c r="G59" s="100" t="e">
        <f>IF(F26&lt;(1.6*Données!B23),((IF(Données!B35&lt;50,0.3194,0.3234))/0.6)*(((1.6*(Données!B23*12))/(F26*12)-1)),0)</f>
        <v>#REF!</v>
      </c>
      <c r="H59" s="99" t="e">
        <f>IF(F26&lt;(1.6*Données!B23),-(D59*12)*G59%,0)</f>
        <v>#REF!</v>
      </c>
    </row>
    <row r="60" spans="2:8" x14ac:dyDescent="0.25">
      <c r="B60" s="73" t="s">
        <v>145</v>
      </c>
      <c r="C60" s="25"/>
      <c r="D60" s="82"/>
      <c r="E60" s="67"/>
      <c r="F60" s="84"/>
      <c r="G60" s="87">
        <f>IF(Données!B35&lt;20,1.5,0.5)</f>
        <v>1.5</v>
      </c>
      <c r="H60" s="82">
        <f>IF(Données!B35&lt;20,-SUM(Données!J11:J13)*G60,0)</f>
        <v>0</v>
      </c>
    </row>
    <row r="61" spans="2:8" x14ac:dyDescent="0.25">
      <c r="B61" s="73" t="str">
        <f>IF(Données!G34="Oui","","Réduction cotisation salariale sur HS 1,25")</f>
        <v>Réduction cotisation salariale sur HS 1,25</v>
      </c>
      <c r="C61" s="25"/>
      <c r="D61" s="82">
        <f>IF(B62="","",SUM(Données!J11:J12))</f>
        <v>0</v>
      </c>
      <c r="E61" s="67">
        <f>IF(D61="","",11.31%)</f>
        <v>0.11310000000000001</v>
      </c>
      <c r="F61" s="83">
        <f>IF(D61="","",-D61*E61)</f>
        <v>0</v>
      </c>
      <c r="G61" s="87"/>
      <c r="H61" s="82"/>
    </row>
    <row r="62" spans="2:8" x14ac:dyDescent="0.25">
      <c r="B62" s="73" t="str">
        <f>IF(Données!G34="Oui","","Réduction cotisation salariale sur HS 1,50")</f>
        <v>Réduction cotisation salariale sur HS 1,50</v>
      </c>
      <c r="C62" s="25"/>
      <c r="D62" s="82" t="str">
        <f>IF(B62="","",D21)</f>
        <v/>
      </c>
      <c r="E62" s="67" t="str">
        <f>IF(D62="","",11.31%)</f>
        <v/>
      </c>
      <c r="F62" s="83" t="str">
        <f>IF(D62="","",-D62*E62)</f>
        <v/>
      </c>
      <c r="G62" s="87"/>
      <c r="H62" s="82"/>
    </row>
    <row r="63" spans="2:8" x14ac:dyDescent="0.25">
      <c r="B63" s="26" t="s">
        <v>60</v>
      </c>
      <c r="C63" s="53"/>
      <c r="D63" s="69"/>
      <c r="E63" s="17"/>
      <c r="F63" s="110" t="e">
        <f>SUM(F28:F62)</f>
        <v>#REF!</v>
      </c>
      <c r="G63" s="88"/>
      <c r="H63" s="109" t="e">
        <f>SUM(H28:H62)</f>
        <v>#REF!</v>
      </c>
    </row>
    <row r="64" spans="2:8" x14ac:dyDescent="0.25">
      <c r="B64" s="76" t="s">
        <v>61</v>
      </c>
      <c r="C64" s="30"/>
      <c r="H64" s="16"/>
    </row>
    <row r="65" spans="2:8" x14ac:dyDescent="0.25">
      <c r="B65" s="73" t="s">
        <v>64</v>
      </c>
      <c r="C65" s="25"/>
      <c r="D65" s="31"/>
      <c r="E65" s="31"/>
      <c r="F65" s="31"/>
      <c r="G65" s="31"/>
      <c r="H65" s="32"/>
    </row>
    <row r="66" spans="2:8" x14ac:dyDescent="0.25">
      <c r="B66" s="73" t="s">
        <v>65</v>
      </c>
      <c r="C66" s="25"/>
      <c r="D66" s="31"/>
      <c r="E66" s="31"/>
      <c r="F66" s="31"/>
      <c r="G66" s="31"/>
      <c r="H66" s="32"/>
    </row>
    <row r="67" spans="2:8" x14ac:dyDescent="0.25">
      <c r="B67" s="73" t="s">
        <v>66</v>
      </c>
      <c r="C67" s="25"/>
      <c r="D67" s="31"/>
      <c r="E67" s="31"/>
      <c r="F67" s="31"/>
      <c r="G67" s="31"/>
      <c r="H67" s="32"/>
    </row>
    <row r="68" spans="2:8" x14ac:dyDescent="0.25">
      <c r="B68" s="76" t="s">
        <v>67</v>
      </c>
      <c r="C68" s="30"/>
      <c r="D68" s="31"/>
      <c r="E68" s="31"/>
      <c r="F68" s="31"/>
      <c r="G68" s="31"/>
      <c r="H68" s="32"/>
    </row>
    <row r="69" spans="2:8" x14ac:dyDescent="0.25">
      <c r="B69" s="73" t="s">
        <v>69</v>
      </c>
      <c r="C69" s="25"/>
      <c r="D69" s="31"/>
      <c r="E69" s="33"/>
      <c r="F69" s="34"/>
      <c r="G69" s="33"/>
      <c r="H69" s="16"/>
    </row>
    <row r="70" spans="2:8" x14ac:dyDescent="0.25">
      <c r="B70" s="73" t="s">
        <v>183</v>
      </c>
      <c r="C70" s="25"/>
      <c r="D70" s="31" t="str">
        <f>IF(Données!I35=0,"",Données!I35)</f>
        <v/>
      </c>
      <c r="E70" s="68">
        <f>IF(Données!J35=0,"",Données!J35)</f>
        <v>5.35</v>
      </c>
      <c r="F70" s="34" t="str">
        <f>IF(Données!L35=0,"",Données!L35)</f>
        <v/>
      </c>
      <c r="G70" s="31"/>
      <c r="H70" s="32"/>
    </row>
    <row r="71" spans="2:8" x14ac:dyDescent="0.25">
      <c r="B71" s="73" t="s">
        <v>184</v>
      </c>
      <c r="C71" s="25"/>
      <c r="D71" s="31"/>
      <c r="E71" s="68"/>
      <c r="F71" s="34"/>
      <c r="G71" s="31"/>
      <c r="H71" s="32"/>
    </row>
    <row r="72" spans="2:8" x14ac:dyDescent="0.25">
      <c r="B72" s="73" t="s">
        <v>185</v>
      </c>
      <c r="C72" s="25"/>
      <c r="D72" s="31"/>
      <c r="E72" s="68"/>
      <c r="F72" s="34" t="e">
        <f>-Données!L37</f>
        <v>#VALUE!</v>
      </c>
      <c r="G72" s="31"/>
      <c r="H72" s="32"/>
    </row>
    <row r="73" spans="2:8" ht="15" customHeight="1" x14ac:dyDescent="0.25">
      <c r="B73" s="73" t="s">
        <v>73</v>
      </c>
      <c r="C73" s="25"/>
      <c r="D73" s="31"/>
      <c r="E73" s="31"/>
      <c r="F73" s="34" t="str">
        <f>IF(Données!L41=0,"",Données!L41)</f>
        <v/>
      </c>
      <c r="G73" s="31"/>
      <c r="H73" s="32"/>
    </row>
    <row r="74" spans="2:8" x14ac:dyDescent="0.25">
      <c r="B74" s="73" t="str">
        <f>IF(N75="","","Saisie sur salaire")</f>
        <v/>
      </c>
      <c r="G74" s="31"/>
      <c r="H74" s="32"/>
    </row>
    <row r="75" spans="2:8" x14ac:dyDescent="0.25">
      <c r="B75" s="73" t="str">
        <f>IF(N76="","","Saisie pension alimentaire")</f>
        <v/>
      </c>
      <c r="G75" s="31"/>
      <c r="H75" s="32"/>
    </row>
    <row r="76" spans="2:8" ht="18.75" x14ac:dyDescent="0.3">
      <c r="B76" s="497" t="s">
        <v>74</v>
      </c>
      <c r="C76" s="498"/>
      <c r="D76" s="498"/>
      <c r="E76" s="498"/>
      <c r="F76" s="498"/>
      <c r="G76" s="498"/>
      <c r="H76" s="35" t="e">
        <f>F26-F63+SUM(F65:F67)-SUM(F69:F74)</f>
        <v>#REF!</v>
      </c>
    </row>
    <row r="77" spans="2:8" ht="15" customHeight="1" x14ac:dyDescent="0.25">
      <c r="B77" s="73" t="s">
        <v>75</v>
      </c>
      <c r="C77" s="25"/>
      <c r="H77" s="36" t="e">
        <f>(D36*3.15%)</f>
        <v>#REF!</v>
      </c>
    </row>
    <row r="78" spans="2:8" x14ac:dyDescent="0.25">
      <c r="B78" s="494" t="s">
        <v>76</v>
      </c>
      <c r="C78" s="495"/>
      <c r="D78" s="496"/>
      <c r="E78" s="37" t="s">
        <v>29</v>
      </c>
      <c r="F78" s="482" t="s">
        <v>77</v>
      </c>
      <c r="G78" s="483"/>
      <c r="H78" s="37" t="s">
        <v>22</v>
      </c>
    </row>
    <row r="79" spans="2:8" ht="15" customHeight="1" x14ac:dyDescent="0.25">
      <c r="B79" s="484" t="s">
        <v>78</v>
      </c>
      <c r="C79" s="485"/>
      <c r="D79" s="486"/>
      <c r="E79" s="113" t="e">
        <f>D80</f>
        <v>#REF!</v>
      </c>
      <c r="F79" s="487">
        <f>Données!E45</f>
        <v>0</v>
      </c>
      <c r="G79" s="488"/>
      <c r="H79" s="28" t="e">
        <f>E79*F79</f>
        <v>#REF!</v>
      </c>
    </row>
    <row r="80" spans="2:8" ht="18.75" customHeight="1" x14ac:dyDescent="0.25">
      <c r="B80" s="484" t="s">
        <v>79</v>
      </c>
      <c r="C80" s="486"/>
      <c r="D80" s="489" t="e">
        <f>F26-(SUM(F20:F22))-F63+IF(H30="",0,H30)</f>
        <v>#REF!</v>
      </c>
      <c r="E80" s="490"/>
      <c r="F80" s="491" t="s">
        <v>80</v>
      </c>
      <c r="G80" s="492"/>
      <c r="H80" s="493"/>
    </row>
    <row r="81" spans="2:8" ht="15.75" x14ac:dyDescent="0.25">
      <c r="B81" s="41"/>
      <c r="F81" s="468" t="e">
        <f>H76-H79</f>
        <v>#REF!</v>
      </c>
      <c r="G81" s="469"/>
      <c r="H81" s="470"/>
    </row>
    <row r="82" spans="2:8" x14ac:dyDescent="0.25">
      <c r="B82" s="38"/>
      <c r="C82" s="39"/>
      <c r="D82" s="39"/>
      <c r="E82" s="471" t="s">
        <v>81</v>
      </c>
      <c r="F82" s="472"/>
      <c r="G82" s="473"/>
      <c r="H82" s="40" t="e">
        <f>-(H60+H59)+(D34*1.8%)+(F26*6%)</f>
        <v>#REF!</v>
      </c>
    </row>
    <row r="83" spans="2:8" ht="19.5" customHeight="1" x14ac:dyDescent="0.25">
      <c r="B83" s="41"/>
      <c r="E83" s="474" t="s">
        <v>82</v>
      </c>
      <c r="F83" s="475"/>
      <c r="G83" s="476"/>
      <c r="H83" s="42" t="e">
        <f>F26+H63+SUM(F65:F67)</f>
        <v>#REF!</v>
      </c>
    </row>
    <row r="84" spans="2:8" x14ac:dyDescent="0.25">
      <c r="B84" s="477" t="s">
        <v>83</v>
      </c>
      <c r="C84" s="478"/>
      <c r="D84" s="478"/>
      <c r="E84" s="478"/>
      <c r="F84" s="479"/>
      <c r="G84" s="480" t="s">
        <v>84</v>
      </c>
      <c r="H84" s="481"/>
    </row>
    <row r="85" spans="2:8" ht="18.75" x14ac:dyDescent="0.25">
      <c r="B85" s="465" t="s">
        <v>85</v>
      </c>
      <c r="C85" s="466"/>
      <c r="D85" s="466"/>
      <c r="E85" s="466"/>
      <c r="F85" s="466"/>
      <c r="G85" s="466"/>
      <c r="H85" s="467"/>
    </row>
  </sheetData>
  <dataConsolidate/>
  <mergeCells count="23">
    <mergeCell ref="B76:G76"/>
    <mergeCell ref="B2:H3"/>
    <mergeCell ref="F13:H13"/>
    <mergeCell ref="F14:H14"/>
    <mergeCell ref="F15:H15"/>
    <mergeCell ref="F16:H16"/>
    <mergeCell ref="B31:C31"/>
    <mergeCell ref="B52:C52"/>
    <mergeCell ref="B54:C54"/>
    <mergeCell ref="B57:C57"/>
    <mergeCell ref="F78:G78"/>
    <mergeCell ref="B79:D79"/>
    <mergeCell ref="F79:G79"/>
    <mergeCell ref="B80:C80"/>
    <mergeCell ref="D80:E80"/>
    <mergeCell ref="F80:H80"/>
    <mergeCell ref="B78:D78"/>
    <mergeCell ref="B85:H85"/>
    <mergeCell ref="F81:H81"/>
    <mergeCell ref="E82:G82"/>
    <mergeCell ref="E83:G83"/>
    <mergeCell ref="B84:F84"/>
    <mergeCell ref="G84:H84"/>
  </mergeCells>
  <hyperlinks>
    <hyperlink ref="G84" r:id="rId1"/>
  </hyperlinks>
  <printOptions horizontalCentered="1" verticalCentered="1"/>
  <pageMargins left="0.70866141732283472" right="0.70866141732283472" top="0.74803149606299213" bottom="0.74803149606299213" header="0.31496062992125984" footer="0.31496062992125984"/>
  <pageSetup paperSize="9" scale="81" fitToHeight="0" orientation="portrait"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40"/>
  <sheetViews>
    <sheetView workbookViewId="0">
      <selection activeCell="J19" sqref="J19"/>
    </sheetView>
  </sheetViews>
  <sheetFormatPr defaultColWidth="11.42578125" defaultRowHeight="15" x14ac:dyDescent="0.25"/>
  <cols>
    <col min="1" max="1" width="11.42578125" style="143"/>
    <col min="2" max="2" width="50.85546875" bestFit="1" customWidth="1"/>
    <col min="3" max="3" width="7.5703125" bestFit="1" customWidth="1"/>
    <col min="4" max="4" width="9" bestFit="1" customWidth="1"/>
    <col min="5" max="5" width="27.28515625" bestFit="1" customWidth="1"/>
    <col min="6" max="6" width="9" bestFit="1" customWidth="1"/>
    <col min="7" max="8" width="10.7109375" bestFit="1" customWidth="1"/>
    <col min="9" max="9" width="8.7109375" bestFit="1" customWidth="1"/>
    <col min="10" max="10" width="4.85546875" bestFit="1" customWidth="1"/>
    <col min="11" max="11" width="21.85546875" bestFit="1" customWidth="1"/>
    <col min="12" max="13" width="11.42578125" style="286"/>
    <col min="14" max="14" width="71.42578125" style="286" bestFit="1" customWidth="1"/>
    <col min="15" max="15" width="7.28515625" style="286" bestFit="1" customWidth="1"/>
    <col min="16" max="16" width="11.42578125" style="286"/>
    <col min="18" max="18" width="31.140625" bestFit="1" customWidth="1"/>
    <col min="19" max="19" width="8" bestFit="1" customWidth="1"/>
  </cols>
  <sheetData>
    <row r="1" spans="2:13" s="286" customFormat="1" x14ac:dyDescent="0.25"/>
    <row r="2" spans="2:13" s="286" customFormat="1" ht="18.75" x14ac:dyDescent="0.3">
      <c r="B2" s="535" t="s">
        <v>354</v>
      </c>
      <c r="C2" s="535"/>
      <c r="D2" s="535"/>
      <c r="E2" s="535"/>
      <c r="F2" s="535"/>
      <c r="G2" s="535"/>
      <c r="H2" s="535"/>
      <c r="I2" s="535"/>
      <c r="J2" s="535"/>
      <c r="K2" s="535"/>
      <c r="L2" s="435"/>
      <c r="M2" s="435"/>
    </row>
    <row r="3" spans="2:13" s="286" customFormat="1" ht="15.75" x14ac:dyDescent="0.25">
      <c r="B3" s="536" t="s">
        <v>355</v>
      </c>
      <c r="C3" s="537"/>
      <c r="D3" s="537"/>
      <c r="E3" s="538"/>
      <c r="F3" s="352"/>
      <c r="G3" s="539" t="s">
        <v>356</v>
      </c>
      <c r="H3" s="540"/>
      <c r="I3" s="540"/>
      <c r="J3" s="540"/>
      <c r="K3" s="541"/>
      <c r="L3" s="436"/>
      <c r="M3" s="436"/>
    </row>
    <row r="4" spans="2:13" s="286" customFormat="1" ht="15" customHeight="1" x14ac:dyDescent="0.25">
      <c r="B4" s="353" t="s">
        <v>357</v>
      </c>
      <c r="C4" s="542">
        <f>'[1]Masque de Saisie'!H5</f>
        <v>0</v>
      </c>
      <c r="D4" s="543"/>
      <c r="E4" s="544"/>
      <c r="F4" s="354"/>
      <c r="G4" s="355" t="s">
        <v>357</v>
      </c>
      <c r="H4" s="545" t="str">
        <f>Données!E26</f>
        <v>Madame SUZY</v>
      </c>
      <c r="I4" s="545"/>
      <c r="J4" s="545"/>
      <c r="K4" s="545"/>
      <c r="L4" s="437"/>
      <c r="M4" s="437"/>
    </row>
    <row r="5" spans="2:13" s="286" customFormat="1" ht="15" customHeight="1" x14ac:dyDescent="0.25">
      <c r="B5" s="353" t="s">
        <v>358</v>
      </c>
      <c r="C5" s="542">
        <f>'[1]Masque de Saisie'!H6</f>
        <v>0</v>
      </c>
      <c r="D5" s="543"/>
      <c r="E5" s="544"/>
      <c r="F5" s="354"/>
      <c r="G5" s="355" t="s">
        <v>359</v>
      </c>
      <c r="H5" s="545">
        <f>'[1]Masque de Saisie'!F30</f>
        <v>0</v>
      </c>
      <c r="I5" s="545"/>
      <c r="J5" s="545"/>
      <c r="K5" s="545"/>
      <c r="L5" s="437"/>
      <c r="M5" s="437"/>
    </row>
    <row r="6" spans="2:13" s="286" customFormat="1" ht="15" customHeight="1" x14ac:dyDescent="0.25">
      <c r="B6" s="353"/>
      <c r="C6" s="546"/>
      <c r="D6" s="547"/>
      <c r="E6" s="548"/>
      <c r="F6" s="354"/>
      <c r="G6" s="355" t="s">
        <v>360</v>
      </c>
      <c r="H6" s="545" t="str">
        <f>Données!E28</f>
        <v>Chef comptable</v>
      </c>
      <c r="I6" s="545"/>
      <c r="J6" s="545"/>
      <c r="K6" s="545"/>
      <c r="L6" s="437"/>
      <c r="M6" s="437"/>
    </row>
    <row r="7" spans="2:13" s="286" customFormat="1" ht="15" customHeight="1" x14ac:dyDescent="0.25">
      <c r="B7" s="353" t="s">
        <v>361</v>
      </c>
      <c r="C7" s="549">
        <f>'[1]Masque de Saisie'!H7</f>
        <v>0</v>
      </c>
      <c r="D7" s="550"/>
      <c r="E7" s="551"/>
      <c r="F7" s="356"/>
      <c r="G7" s="355" t="s">
        <v>473</v>
      </c>
      <c r="H7" s="545">
        <f>'[1]Masque de Saisie'!F33</f>
        <v>0</v>
      </c>
      <c r="I7" s="545"/>
      <c r="J7" s="545"/>
      <c r="K7" s="545"/>
      <c r="L7" s="437"/>
      <c r="M7" s="437"/>
    </row>
    <row r="8" spans="2:13" s="286" customFormat="1" x14ac:dyDescent="0.25">
      <c r="B8" s="353" t="s">
        <v>362</v>
      </c>
      <c r="C8" s="546">
        <f>'[1]Masque de Saisie'!H8</f>
        <v>0</v>
      </c>
      <c r="D8" s="547"/>
      <c r="E8" s="548"/>
      <c r="F8" s="354"/>
      <c r="G8" s="355" t="s">
        <v>363</v>
      </c>
      <c r="H8" s="552">
        <f>'[1]Masque de Saisie'!F34</f>
        <v>0</v>
      </c>
      <c r="I8" s="552"/>
      <c r="J8" s="552"/>
      <c r="K8" s="552"/>
      <c r="L8" s="438"/>
      <c r="M8" s="438"/>
    </row>
    <row r="9" spans="2:13" s="286" customFormat="1" ht="15.75" customHeight="1" x14ac:dyDescent="0.25">
      <c r="B9" s="353" t="s">
        <v>364</v>
      </c>
      <c r="C9" s="549"/>
      <c r="D9" s="550"/>
      <c r="E9" s="551"/>
      <c r="F9" s="356"/>
      <c r="G9" s="357" t="s">
        <v>358</v>
      </c>
      <c r="H9" s="545"/>
      <c r="I9" s="545"/>
      <c r="J9" s="545"/>
      <c r="K9" s="545"/>
      <c r="L9" s="437"/>
      <c r="M9" s="437"/>
    </row>
    <row r="10" spans="2:13" s="286" customFormat="1" x14ac:dyDescent="0.25">
      <c r="B10" s="353" t="s">
        <v>365</v>
      </c>
      <c r="C10" s="412">
        <f>'[1]Masque de Saisie'!H10</f>
        <v>0</v>
      </c>
      <c r="D10" s="553"/>
      <c r="E10" s="548"/>
      <c r="F10" s="354"/>
      <c r="G10" s="554" t="s">
        <v>366</v>
      </c>
      <c r="H10" s="555"/>
      <c r="I10" s="358" t="s">
        <v>476</v>
      </c>
      <c r="J10" s="359"/>
      <c r="K10" s="359"/>
      <c r="L10" s="452"/>
      <c r="M10" s="452"/>
    </row>
    <row r="11" spans="2:13" s="286" customFormat="1" ht="15.75" customHeight="1" x14ac:dyDescent="0.25">
      <c r="B11" s="432" t="s">
        <v>368</v>
      </c>
      <c r="C11" s="433">
        <f>+'[1]Masque de Saisie'!H49</f>
        <v>0</v>
      </c>
      <c r="D11" s="359" t="s">
        <v>369</v>
      </c>
      <c r="E11" s="414">
        <f>+'[1]Masque de Saisie'!H46</f>
        <v>0</v>
      </c>
      <c r="F11" s="354"/>
      <c r="G11" s="546" t="s">
        <v>370</v>
      </c>
      <c r="H11" s="548"/>
      <c r="I11" s="415">
        <f>Données!B28</f>
        <v>45200</v>
      </c>
      <c r="J11" s="456" t="s">
        <v>371</v>
      </c>
      <c r="K11" s="415">
        <f>Données!B30</f>
        <v>45322</v>
      </c>
      <c r="L11" s="453"/>
      <c r="M11" s="453"/>
    </row>
    <row r="12" spans="2:13" s="286" customFormat="1" ht="15.75" customHeight="1" x14ac:dyDescent="0.25">
      <c r="B12" s="361"/>
      <c r="C12" s="524">
        <f>'[1]Masque de Saisie'!H9</f>
        <v>0</v>
      </c>
      <c r="D12" s="525"/>
      <c r="E12" s="526"/>
      <c r="F12" s="362"/>
      <c r="G12" s="361" t="s">
        <v>372</v>
      </c>
      <c r="H12" s="416">
        <f>+'[1]Masque de Saisie'!H43</f>
        <v>0</v>
      </c>
      <c r="I12" s="301"/>
      <c r="J12" s="301"/>
      <c r="K12" s="406"/>
      <c r="L12" s="454"/>
      <c r="M12" s="454"/>
    </row>
    <row r="13" spans="2:13" s="286" customFormat="1" x14ac:dyDescent="0.25">
      <c r="B13" s="527"/>
      <c r="C13" s="528"/>
      <c r="D13" s="528"/>
      <c r="E13" s="528"/>
      <c r="F13" s="528"/>
      <c r="G13" s="528"/>
      <c r="H13" s="528"/>
      <c r="I13" s="528"/>
      <c r="J13" s="528"/>
      <c r="K13" s="528"/>
      <c r="L13" s="443"/>
      <c r="M13" s="443"/>
    </row>
    <row r="14" spans="2:13" s="286" customFormat="1" ht="15" customHeight="1" x14ac:dyDescent="0.25">
      <c r="B14" s="529" t="s">
        <v>373</v>
      </c>
      <c r="C14" s="530"/>
      <c r="D14" s="530"/>
      <c r="E14" s="530"/>
      <c r="F14" s="530"/>
      <c r="G14" s="531"/>
      <c r="H14" s="434">
        <v>151.66999999999999</v>
      </c>
      <c r="I14" s="361" t="s">
        <v>374</v>
      </c>
      <c r="J14" s="364">
        <f>Données!F11</f>
        <v>6.657155416012559</v>
      </c>
      <c r="K14" s="417">
        <f>Données!F12</f>
        <v>1009.6685714285713</v>
      </c>
      <c r="L14" s="455"/>
      <c r="M14" s="455"/>
    </row>
    <row r="15" spans="2:13" s="286" customFormat="1" ht="15" customHeight="1" x14ac:dyDescent="0.25">
      <c r="B15" s="529" t="s">
        <v>375</v>
      </c>
      <c r="C15" s="530"/>
      <c r="D15" s="530"/>
      <c r="E15" s="530"/>
      <c r="F15" s="530"/>
      <c r="G15" s="531"/>
      <c r="H15" s="361"/>
      <c r="I15" s="361"/>
      <c r="J15" s="364"/>
      <c r="K15" s="365"/>
      <c r="L15" s="455"/>
      <c r="M15" s="455"/>
    </row>
    <row r="16" spans="2:13" s="286" customFormat="1" ht="15" customHeight="1" x14ac:dyDescent="0.25">
      <c r="B16" s="529" t="s">
        <v>376</v>
      </c>
      <c r="C16" s="530"/>
      <c r="D16" s="530"/>
      <c r="E16" s="530"/>
      <c r="F16" s="530"/>
      <c r="G16" s="531"/>
      <c r="H16" s="366"/>
      <c r="I16" s="367"/>
      <c r="J16" s="364"/>
      <c r="K16" s="365"/>
      <c r="L16" s="455"/>
      <c r="M16" s="455"/>
    </row>
    <row r="17" spans="2:13" s="286" customFormat="1" ht="15" customHeight="1" x14ac:dyDescent="0.25">
      <c r="B17" s="529" t="s">
        <v>377</v>
      </c>
      <c r="C17" s="530"/>
      <c r="D17" s="530"/>
      <c r="E17" s="530"/>
      <c r="F17" s="530"/>
      <c r="G17" s="531"/>
      <c r="H17" s="366"/>
      <c r="I17" s="367"/>
      <c r="J17" s="364"/>
      <c r="K17" s="365"/>
      <c r="L17" s="455"/>
      <c r="M17" s="455"/>
    </row>
    <row r="18" spans="2:13" s="286" customFormat="1" ht="15" customHeight="1" x14ac:dyDescent="0.25">
      <c r="B18" s="529" t="s">
        <v>378</v>
      </c>
      <c r="C18" s="530"/>
      <c r="D18" s="530"/>
      <c r="E18" s="530"/>
      <c r="F18" s="530"/>
      <c r="G18" s="531"/>
      <c r="H18" s="366"/>
      <c r="I18" s="367" t="s">
        <v>374</v>
      </c>
      <c r="J18" s="364"/>
      <c r="K18" s="365"/>
      <c r="L18" s="455"/>
      <c r="M18" s="455"/>
    </row>
    <row r="19" spans="2:13" s="286" customFormat="1" ht="15" customHeight="1" x14ac:dyDescent="0.25">
      <c r="B19" s="529" t="s">
        <v>379</v>
      </c>
      <c r="C19" s="530"/>
      <c r="D19" s="530"/>
      <c r="E19" s="530"/>
      <c r="F19" s="530"/>
      <c r="G19" s="531"/>
      <c r="H19" s="366"/>
      <c r="I19" s="367" t="s">
        <v>374</v>
      </c>
      <c r="J19" s="364"/>
      <c r="K19" s="365"/>
      <c r="L19" s="439"/>
      <c r="M19" s="439"/>
    </row>
    <row r="20" spans="2:13" s="286" customFormat="1" ht="15" customHeight="1" x14ac:dyDescent="0.25">
      <c r="B20" s="529" t="s">
        <v>380</v>
      </c>
      <c r="C20" s="530"/>
      <c r="D20" s="530"/>
      <c r="E20" s="530"/>
      <c r="F20" s="530"/>
      <c r="G20" s="531"/>
      <c r="H20" s="366"/>
      <c r="I20" s="367" t="s">
        <v>374</v>
      </c>
      <c r="J20" s="364">
        <f>J14*1.25</f>
        <v>8.3214442700156983</v>
      </c>
      <c r="K20" s="365"/>
      <c r="L20" s="439"/>
      <c r="M20" s="439"/>
    </row>
    <row r="21" spans="2:13" s="286" customFormat="1" ht="15" customHeight="1" x14ac:dyDescent="0.25">
      <c r="B21" s="529" t="s">
        <v>381</v>
      </c>
      <c r="C21" s="530"/>
      <c r="D21" s="530"/>
      <c r="E21" s="530"/>
      <c r="F21" s="530"/>
      <c r="G21" s="531"/>
      <c r="H21" s="366"/>
      <c r="I21" s="367" t="s">
        <v>374</v>
      </c>
      <c r="J21" s="364"/>
      <c r="K21" s="365"/>
      <c r="L21" s="439"/>
      <c r="M21" s="439"/>
    </row>
    <row r="22" spans="2:13" s="286" customFormat="1" ht="15" customHeight="1" x14ac:dyDescent="0.25">
      <c r="B22" s="529" t="s">
        <v>382</v>
      </c>
      <c r="C22" s="530"/>
      <c r="D22" s="530"/>
      <c r="E22" s="530"/>
      <c r="F22" s="530"/>
      <c r="G22" s="531"/>
      <c r="H22" s="411">
        <f>+'[1]Masque de Saisie'!H56</f>
        <v>0</v>
      </c>
      <c r="I22" s="367" t="s">
        <v>374</v>
      </c>
      <c r="J22" s="364">
        <f>ROUND(((K14+K17)*1.25/H14),6)</f>
        <v>8.3212609999999998</v>
      </c>
      <c r="K22" s="365">
        <f>ROUND(H22*J22,2)</f>
        <v>0</v>
      </c>
      <c r="L22" s="439"/>
      <c r="M22" s="439"/>
    </row>
    <row r="23" spans="2:13" s="286" customFormat="1" ht="15" customHeight="1" x14ac:dyDescent="0.25">
      <c r="B23" s="529" t="s">
        <v>383</v>
      </c>
      <c r="C23" s="530"/>
      <c r="D23" s="530"/>
      <c r="E23" s="530"/>
      <c r="F23" s="530"/>
      <c r="G23" s="531"/>
      <c r="H23" s="366"/>
      <c r="I23" s="367" t="s">
        <v>384</v>
      </c>
      <c r="J23" s="361"/>
      <c r="K23" s="365"/>
      <c r="L23" s="439"/>
      <c r="M23" s="439"/>
    </row>
    <row r="24" spans="2:13" s="286" customFormat="1" ht="15" customHeight="1" x14ac:dyDescent="0.25">
      <c r="B24" s="529" t="s">
        <v>385</v>
      </c>
      <c r="C24" s="530"/>
      <c r="D24" s="530"/>
      <c r="E24" s="530"/>
      <c r="F24" s="530"/>
      <c r="G24" s="531"/>
      <c r="H24" s="363"/>
      <c r="I24" s="368"/>
      <c r="J24" s="360"/>
      <c r="K24" s="369">
        <f>-3700*9/21</f>
        <v>-1585.7142857142858</v>
      </c>
      <c r="L24" s="440"/>
      <c r="M24" s="440"/>
    </row>
    <row r="25" spans="2:13" s="286" customFormat="1" ht="15" customHeight="1" x14ac:dyDescent="0.25">
      <c r="B25" s="529" t="s">
        <v>386</v>
      </c>
      <c r="C25" s="530"/>
      <c r="D25" s="530"/>
      <c r="E25" s="530"/>
      <c r="F25" s="530"/>
      <c r="G25" s="531"/>
      <c r="H25" s="363"/>
      <c r="I25" s="368"/>
      <c r="J25" s="360"/>
      <c r="K25" s="369"/>
      <c r="L25" s="440"/>
      <c r="M25" s="440"/>
    </row>
    <row r="26" spans="2:13" s="286" customFormat="1" ht="15" customHeight="1" x14ac:dyDescent="0.25">
      <c r="B26" s="529" t="s">
        <v>387</v>
      </c>
      <c r="C26" s="530"/>
      <c r="D26" s="530"/>
      <c r="E26" s="530"/>
      <c r="F26" s="530"/>
      <c r="G26" s="531"/>
      <c r="H26" s="363"/>
      <c r="I26" s="368"/>
      <c r="J26" s="360"/>
      <c r="K26" s="369"/>
      <c r="L26" s="440"/>
      <c r="M26" s="440"/>
    </row>
    <row r="27" spans="2:13" s="286" customFormat="1" ht="15" customHeight="1" x14ac:dyDescent="0.25">
      <c r="B27" s="529" t="s">
        <v>388</v>
      </c>
      <c r="C27" s="530"/>
      <c r="D27" s="530"/>
      <c r="E27" s="530"/>
      <c r="F27" s="530"/>
      <c r="G27" s="531"/>
      <c r="H27" s="363"/>
      <c r="I27" s="368"/>
      <c r="J27" s="360"/>
      <c r="K27" s="369"/>
      <c r="L27" s="440"/>
      <c r="M27" s="440"/>
    </row>
    <row r="28" spans="2:13" s="286" customFormat="1" ht="15" customHeight="1" x14ac:dyDescent="0.25">
      <c r="B28" s="529" t="s">
        <v>389</v>
      </c>
      <c r="C28" s="530"/>
      <c r="D28" s="530"/>
      <c r="E28" s="530"/>
      <c r="F28" s="530"/>
      <c r="G28" s="531"/>
      <c r="H28" s="363"/>
      <c r="I28" s="368"/>
      <c r="J28" s="360"/>
      <c r="K28" s="369"/>
      <c r="L28" s="440"/>
      <c r="M28" s="440"/>
    </row>
    <row r="29" spans="2:13" s="286" customFormat="1" ht="15" customHeight="1" x14ac:dyDescent="0.25">
      <c r="B29" s="529" t="s">
        <v>390</v>
      </c>
      <c r="C29" s="530"/>
      <c r="D29" s="530"/>
      <c r="E29" s="530"/>
      <c r="F29" s="530"/>
      <c r="G29" s="531"/>
      <c r="H29" s="363"/>
      <c r="I29" s="368"/>
      <c r="J29" s="360"/>
      <c r="K29" s="369"/>
      <c r="L29" s="440"/>
      <c r="M29" s="440"/>
    </row>
    <row r="30" spans="2:13" s="286" customFormat="1" ht="15" customHeight="1" x14ac:dyDescent="0.25">
      <c r="B30" s="529" t="s">
        <v>391</v>
      </c>
      <c r="C30" s="530"/>
      <c r="D30" s="530"/>
      <c r="E30" s="530"/>
      <c r="F30" s="530"/>
      <c r="G30" s="531"/>
      <c r="H30" s="363"/>
      <c r="I30" s="368"/>
      <c r="J30" s="360"/>
      <c r="K30" s="369">
        <f>'[1]Correction Suite '!G99</f>
        <v>0</v>
      </c>
      <c r="L30" s="441"/>
      <c r="M30" s="441"/>
    </row>
    <row r="31" spans="2:13" s="286" customFormat="1" ht="15" customHeight="1" x14ac:dyDescent="0.25">
      <c r="B31" s="529" t="s">
        <v>392</v>
      </c>
      <c r="C31" s="530"/>
      <c r="D31" s="530"/>
      <c r="E31" s="530"/>
      <c r="F31" s="530"/>
      <c r="G31" s="531"/>
      <c r="H31" s="363"/>
      <c r="I31" s="368"/>
      <c r="J31" s="360"/>
      <c r="K31" s="369"/>
      <c r="L31" s="441"/>
      <c r="M31" s="441"/>
    </row>
    <row r="32" spans="2:13" s="286" customFormat="1" ht="15" customHeight="1" x14ac:dyDescent="0.25">
      <c r="B32" s="529" t="s">
        <v>393</v>
      </c>
      <c r="C32" s="530"/>
      <c r="D32" s="530"/>
      <c r="E32" s="530"/>
      <c r="F32" s="530"/>
      <c r="G32" s="531"/>
      <c r="H32" s="363"/>
      <c r="I32" s="368"/>
      <c r="J32" s="360"/>
      <c r="K32" s="369" t="str">
        <f>'[1]Correction Suite '!G97</f>
        <v xml:space="preserve">Non soumise à cotisations </v>
      </c>
      <c r="L32" s="441"/>
      <c r="M32" s="441"/>
    </row>
    <row r="33" spans="2:19" s="286" customFormat="1" ht="15" customHeight="1" x14ac:dyDescent="0.25">
      <c r="B33" s="529"/>
      <c r="C33" s="530"/>
      <c r="D33" s="530"/>
      <c r="E33" s="530"/>
      <c r="F33" s="530"/>
      <c r="G33" s="531"/>
      <c r="H33" s="363"/>
      <c r="I33" s="368"/>
      <c r="J33" s="360"/>
      <c r="K33" s="369"/>
      <c r="L33" s="441"/>
      <c r="M33" s="441"/>
    </row>
    <row r="34" spans="2:19" s="286" customFormat="1" ht="15.75" x14ac:dyDescent="0.25">
      <c r="B34" s="602" t="s">
        <v>394</v>
      </c>
      <c r="C34" s="603"/>
      <c r="D34" s="418">
        <f>'[1]Masque de Saisie'!H47</f>
        <v>0</v>
      </c>
      <c r="E34" s="604" t="s">
        <v>395</v>
      </c>
      <c r="F34" s="605"/>
      <c r="G34" s="605"/>
      <c r="H34" s="605"/>
      <c r="I34" s="605"/>
      <c r="J34" s="606"/>
      <c r="K34" s="405">
        <f>SUM(K14:K33)</f>
        <v>-576.04571428571444</v>
      </c>
      <c r="L34" s="442"/>
      <c r="M34" s="442"/>
    </row>
    <row r="35" spans="2:19" s="286" customFormat="1" ht="15" customHeight="1" x14ac:dyDescent="0.25">
      <c r="B35" s="607"/>
      <c r="C35" s="608"/>
      <c r="D35" s="608"/>
      <c r="E35" s="608"/>
      <c r="F35" s="608"/>
      <c r="G35" s="608"/>
      <c r="H35" s="608"/>
      <c r="I35" s="608"/>
      <c r="J35" s="608"/>
      <c r="K35" s="609"/>
      <c r="L35" s="443"/>
      <c r="M35" s="443"/>
    </row>
    <row r="36" spans="2:19" s="286" customFormat="1" ht="46.5" customHeight="1" x14ac:dyDescent="0.3">
      <c r="B36" s="610" t="s">
        <v>396</v>
      </c>
      <c r="C36" s="611"/>
      <c r="D36" s="403" t="s">
        <v>29</v>
      </c>
      <c r="E36" s="404" t="s">
        <v>397</v>
      </c>
      <c r="F36" s="404" t="s">
        <v>398</v>
      </c>
      <c r="G36" s="403" t="s">
        <v>399</v>
      </c>
      <c r="H36" s="403" t="s">
        <v>400</v>
      </c>
      <c r="I36" s="343"/>
      <c r="J36" s="288"/>
      <c r="K36" s="288"/>
      <c r="L36" s="288"/>
      <c r="M36" s="288"/>
      <c r="N36" s="563" t="s">
        <v>239</v>
      </c>
      <c r="O36" s="564"/>
      <c r="P36" s="291" t="s">
        <v>240</v>
      </c>
      <c r="Q36" s="345" t="s">
        <v>241</v>
      </c>
      <c r="R36" s="292"/>
    </row>
    <row r="37" spans="2:19" s="286" customFormat="1" ht="15" customHeight="1" x14ac:dyDescent="0.3">
      <c r="B37" s="616" t="s">
        <v>401</v>
      </c>
      <c r="C37" s="617"/>
      <c r="D37" s="596"/>
      <c r="E37" s="597"/>
      <c r="F37" s="597"/>
      <c r="G37" s="597"/>
      <c r="H37" s="598"/>
      <c r="I37" s="288"/>
      <c r="J37" s="288"/>
      <c r="K37" s="288"/>
      <c r="L37" s="288"/>
      <c r="M37" s="288"/>
      <c r="N37" s="565" t="s">
        <v>242</v>
      </c>
      <c r="O37" s="566"/>
      <c r="P37" s="291"/>
      <c r="Q37" s="345"/>
      <c r="R37" s="292"/>
    </row>
    <row r="38" spans="2:19" s="286" customFormat="1" ht="15" customHeight="1" x14ac:dyDescent="0.3">
      <c r="B38" s="599" t="s">
        <v>243</v>
      </c>
      <c r="C38" s="600"/>
      <c r="D38" s="370">
        <f>K34</f>
        <v>-576.04571428571444</v>
      </c>
      <c r="E38" s="371"/>
      <c r="F38" s="371">
        <f>VLOOKUP(B38,TAUX2023,4,FALSE)</f>
        <v>7.0000000000000007E-2</v>
      </c>
      <c r="G38" s="372"/>
      <c r="H38" s="370">
        <f>ROUND(D38*F38,2)</f>
        <v>-40.32</v>
      </c>
      <c r="I38" s="288"/>
      <c r="J38" s="288"/>
      <c r="K38" s="314"/>
      <c r="L38" s="288"/>
      <c r="M38" s="288"/>
      <c r="N38" s="567" t="s">
        <v>243</v>
      </c>
      <c r="O38" s="568"/>
      <c r="P38" s="309"/>
      <c r="Q38" s="309">
        <v>7.0000000000000007E-2</v>
      </c>
      <c r="R38" s="310"/>
      <c r="S38" s="299"/>
    </row>
    <row r="39" spans="2:19" s="286" customFormat="1" ht="15" customHeight="1" x14ac:dyDescent="0.3">
      <c r="B39" s="599" t="s">
        <v>244</v>
      </c>
      <c r="C39" s="600"/>
      <c r="D39" s="421">
        <f>'[1]SUIVI LIMITE 2,5 SMIC'!K11</f>
        <v>0</v>
      </c>
      <c r="E39" s="371"/>
      <c r="F39" s="371">
        <f>VLOOKUP(B39,TAUX2023,4,FALSE)</f>
        <v>0.06</v>
      </c>
      <c r="G39" s="372"/>
      <c r="H39" s="370">
        <f t="shared" ref="H39:H65" si="0">ROUND(D39*F39,2)</f>
        <v>0</v>
      </c>
      <c r="I39" s="288"/>
      <c r="J39" s="288"/>
      <c r="K39" s="314"/>
      <c r="L39" s="288"/>
      <c r="M39" s="288"/>
      <c r="N39" s="569" t="s">
        <v>244</v>
      </c>
      <c r="O39" s="570"/>
      <c r="P39" s="154"/>
      <c r="Q39" s="154">
        <v>0.06</v>
      </c>
      <c r="R39" s="150"/>
      <c r="S39" s="149"/>
    </row>
    <row r="40" spans="2:19" s="286" customFormat="1" ht="15" customHeight="1" x14ac:dyDescent="0.3">
      <c r="B40" s="597"/>
      <c r="C40" s="598"/>
      <c r="D40" s="370"/>
      <c r="E40" s="373"/>
      <c r="F40" s="373"/>
      <c r="G40" s="372">
        <f t="shared" ref="G40:G73" si="1">ROUND(D40*E40,2)</f>
        <v>0</v>
      </c>
      <c r="H40" s="370">
        <f t="shared" si="0"/>
        <v>0</v>
      </c>
      <c r="I40" s="288"/>
      <c r="J40" s="288"/>
      <c r="K40" s="294"/>
      <c r="L40" s="288"/>
      <c r="M40" s="288"/>
      <c r="N40" s="569" t="s">
        <v>245</v>
      </c>
      <c r="O40" s="570"/>
      <c r="P40" s="203"/>
      <c r="Q40" s="203"/>
      <c r="R40" s="582"/>
      <c r="S40" s="149"/>
    </row>
    <row r="41" spans="2:19" s="286" customFormat="1" ht="15" customHeight="1" x14ac:dyDescent="0.3">
      <c r="B41" s="599" t="s">
        <v>402</v>
      </c>
      <c r="C41" s="600"/>
      <c r="D41" s="378">
        <f>IF(J10=1,K34,0)</f>
        <v>0</v>
      </c>
      <c r="E41" s="426"/>
      <c r="F41" s="426"/>
      <c r="G41" s="372">
        <f t="shared" si="1"/>
        <v>0</v>
      </c>
      <c r="H41" s="370">
        <f t="shared" si="0"/>
        <v>0</v>
      </c>
      <c r="I41" s="288"/>
      <c r="J41" s="288"/>
      <c r="K41" s="294"/>
      <c r="L41" s="288"/>
      <c r="M41" s="288"/>
      <c r="N41" s="569" t="s">
        <v>246</v>
      </c>
      <c r="O41" s="570"/>
      <c r="P41" s="154"/>
      <c r="Q41" s="154"/>
      <c r="R41" s="582"/>
      <c r="S41" s="149"/>
    </row>
    <row r="42" spans="2:19" ht="16.5" customHeight="1" x14ac:dyDescent="0.3">
      <c r="B42" s="601" t="s">
        <v>403</v>
      </c>
      <c r="C42" s="601"/>
      <c r="D42" s="370">
        <f>IF(J10=1,'[1]SUIVI RETRAITE '!H9+'[1]SUIVI RETRAITE '!L9,0)</f>
        <v>0</v>
      </c>
      <c r="E42" s="371">
        <f>'[1]Masque de Saisie'!H13</f>
        <v>0</v>
      </c>
      <c r="F42" s="371">
        <f>'[1]Masque de Saisie'!I13</f>
        <v>0</v>
      </c>
      <c r="G42" s="372">
        <f t="shared" si="1"/>
        <v>0</v>
      </c>
      <c r="H42" s="370">
        <f t="shared" si="0"/>
        <v>0</v>
      </c>
      <c r="I42" s="288"/>
      <c r="J42" s="288"/>
      <c r="K42" s="294"/>
      <c r="L42" s="288"/>
      <c r="M42" s="288"/>
      <c r="N42" s="583"/>
      <c r="O42" s="584"/>
      <c r="P42" s="584"/>
      <c r="Q42" s="585"/>
      <c r="R42" s="172"/>
      <c r="S42" s="149"/>
    </row>
    <row r="43" spans="2:19" ht="15.75" customHeight="1" x14ac:dyDescent="0.3">
      <c r="B43" s="601"/>
      <c r="C43" s="601"/>
      <c r="D43" s="373"/>
      <c r="E43" s="373"/>
      <c r="F43" s="373"/>
      <c r="G43" s="372">
        <f t="shared" si="1"/>
        <v>0</v>
      </c>
      <c r="H43" s="370">
        <f t="shared" si="0"/>
        <v>0</v>
      </c>
      <c r="I43" s="288"/>
      <c r="J43" s="288"/>
      <c r="K43" s="294"/>
      <c r="L43" s="288"/>
      <c r="M43" s="288"/>
      <c r="N43" s="586" t="s">
        <v>247</v>
      </c>
      <c r="O43" s="587"/>
      <c r="P43" s="216"/>
      <c r="Q43" s="173"/>
      <c r="R43" s="149"/>
      <c r="S43" s="149"/>
    </row>
    <row r="44" spans="2:19" ht="15" customHeight="1" x14ac:dyDescent="0.3">
      <c r="B44" s="599" t="s">
        <v>245</v>
      </c>
      <c r="C44" s="600"/>
      <c r="D44" s="420">
        <f>IF(J10=2,K34,0)</f>
        <v>0</v>
      </c>
      <c r="E44" s="371">
        <f>'[1]Masque de Saisie'!H16</f>
        <v>0</v>
      </c>
      <c r="F44" s="371">
        <f>'[1]Masque de Saisie'!I16</f>
        <v>0</v>
      </c>
      <c r="G44" s="372">
        <f t="shared" si="1"/>
        <v>0</v>
      </c>
      <c r="H44" s="370">
        <f t="shared" si="0"/>
        <v>0</v>
      </c>
      <c r="I44" s="288"/>
      <c r="J44" s="288"/>
      <c r="K44" s="294"/>
      <c r="L44" s="288"/>
      <c r="M44" s="288"/>
      <c r="N44" s="588" t="s">
        <v>248</v>
      </c>
      <c r="O44" s="589"/>
      <c r="P44" s="217"/>
      <c r="Q44" s="217"/>
      <c r="R44" s="149"/>
      <c r="S44" s="149"/>
    </row>
    <row r="45" spans="2:19" ht="10.5" customHeight="1" x14ac:dyDescent="0.3">
      <c r="B45" s="599" t="s">
        <v>404</v>
      </c>
      <c r="C45" s="600"/>
      <c r="D45" s="419">
        <f>IF(J10=2,'[1]SUIVI RETRAITE '!H9+'[1]SUIVI RETRAITE '!L9,0)</f>
        <v>0</v>
      </c>
      <c r="E45" s="426"/>
      <c r="F45" s="426"/>
      <c r="G45" s="372">
        <f t="shared" si="1"/>
        <v>0</v>
      </c>
      <c r="H45" s="370">
        <f t="shared" si="0"/>
        <v>0</v>
      </c>
      <c r="I45" s="288"/>
      <c r="J45" s="288"/>
      <c r="K45" s="294"/>
      <c r="L45" s="288"/>
      <c r="M45" s="288"/>
      <c r="N45" s="573" t="s">
        <v>249</v>
      </c>
      <c r="O45" s="574"/>
      <c r="P45" s="218"/>
      <c r="Q45" s="153">
        <v>3.4500000000000003E-2</v>
      </c>
      <c r="R45" s="149"/>
      <c r="S45" s="149"/>
    </row>
    <row r="46" spans="2:19" ht="16.5" hidden="1" customHeight="1" x14ac:dyDescent="0.3">
      <c r="B46" s="601" t="s">
        <v>284</v>
      </c>
      <c r="C46" s="601"/>
      <c r="D46" s="374"/>
      <c r="E46" s="371">
        <f>VLOOKUP(B46,TAUX2023,3,FALSE)</f>
        <v>0</v>
      </c>
      <c r="F46" s="371">
        <f>VLOOKUP(B46,TAUX2023,4,FALSE)</f>
        <v>0</v>
      </c>
      <c r="G46" s="372">
        <f t="shared" si="1"/>
        <v>0</v>
      </c>
      <c r="H46" s="370">
        <f t="shared" si="0"/>
        <v>0</v>
      </c>
      <c r="I46" s="288"/>
      <c r="J46" s="288"/>
      <c r="K46" s="294"/>
      <c r="L46" s="288"/>
      <c r="M46" s="288"/>
      <c r="N46" s="575" t="s">
        <v>250</v>
      </c>
      <c r="O46" s="570"/>
      <c r="P46" s="218"/>
      <c r="Q46" s="157">
        <v>1.7999999999999999E-2</v>
      </c>
      <c r="R46" s="149"/>
      <c r="S46" s="149"/>
    </row>
    <row r="47" spans="2:19" ht="16.5" hidden="1" customHeight="1" x14ac:dyDescent="0.3">
      <c r="B47" s="601" t="s">
        <v>285</v>
      </c>
      <c r="C47" s="601"/>
      <c r="D47" s="370"/>
      <c r="E47" s="371">
        <f>VLOOKUP(B47,TAUX2023,3,FALSE)</f>
        <v>0</v>
      </c>
      <c r="F47" s="371">
        <f>VLOOKUP(B47,TAUX2023,4,FALSE)</f>
        <v>0</v>
      </c>
      <c r="G47" s="372">
        <f t="shared" si="1"/>
        <v>0</v>
      </c>
      <c r="H47" s="370">
        <f t="shared" si="0"/>
        <v>0</v>
      </c>
      <c r="I47" s="288"/>
      <c r="J47" s="288"/>
      <c r="K47" s="294"/>
      <c r="L47" s="288"/>
      <c r="M47" s="288"/>
      <c r="N47" s="576" t="s">
        <v>251</v>
      </c>
      <c r="O47" s="577"/>
      <c r="P47" s="174"/>
      <c r="Q47" s="156"/>
      <c r="R47" s="149"/>
      <c r="S47" s="149"/>
    </row>
    <row r="48" spans="2:19" ht="16.5" x14ac:dyDescent="0.3">
      <c r="B48" s="612" t="s">
        <v>283</v>
      </c>
      <c r="C48" s="612"/>
      <c r="D48" s="370">
        <f>IF(J10=2,IF(F78=0,IF(K34&gt;D34,D34,K34),0),0)</f>
        <v>0</v>
      </c>
      <c r="E48" s="371"/>
      <c r="F48" s="371">
        <f>VLOOKUP(B48,TAUX2023,4,FALSE)</f>
        <v>1.4999999999999999E-2</v>
      </c>
      <c r="G48" s="383">
        <f>ROUND(D48*E48,2)</f>
        <v>0</v>
      </c>
      <c r="H48" s="311">
        <f>ROUND(D48*F48,2)</f>
        <v>0</v>
      </c>
      <c r="I48" s="288"/>
      <c r="J48" s="288"/>
      <c r="K48" s="294"/>
      <c r="L48" s="288"/>
      <c r="M48" s="288"/>
      <c r="N48" s="560" t="s">
        <v>252</v>
      </c>
      <c r="O48" s="561"/>
      <c r="P48" s="158"/>
      <c r="Q48" s="158">
        <v>4.0500000000000001E-2</v>
      </c>
      <c r="R48" s="149"/>
      <c r="S48" s="149"/>
    </row>
    <row r="49" spans="2:19" ht="16.5" customHeight="1" x14ac:dyDescent="0.3">
      <c r="B49" s="299"/>
      <c r="C49" s="299"/>
      <c r="D49" s="370"/>
      <c r="E49" s="373"/>
      <c r="F49" s="373"/>
      <c r="G49" s="372">
        <f t="shared" si="1"/>
        <v>0</v>
      </c>
      <c r="H49" s="370">
        <f t="shared" si="0"/>
        <v>0</v>
      </c>
      <c r="I49" s="288"/>
      <c r="J49" s="288"/>
      <c r="K49" s="294"/>
      <c r="L49" s="288"/>
      <c r="M49" s="288"/>
      <c r="N49" s="560" t="s">
        <v>253</v>
      </c>
      <c r="O49" s="561"/>
      <c r="P49" s="158"/>
      <c r="Q49" s="205">
        <v>2E-3</v>
      </c>
      <c r="R49" s="149"/>
      <c r="S49" s="149"/>
    </row>
    <row r="50" spans="2:19" ht="16.5" customHeight="1" x14ac:dyDescent="0.3">
      <c r="B50" s="613" t="s">
        <v>247</v>
      </c>
      <c r="C50" s="614"/>
      <c r="D50" s="375">
        <f>K34</f>
        <v>-576.04571428571444</v>
      </c>
      <c r="E50" s="371"/>
      <c r="F50" s="371">
        <f>'[1]Masque de Saisie'!I24</f>
        <v>0</v>
      </c>
      <c r="G50" s="372"/>
      <c r="H50" s="370">
        <f t="shared" si="0"/>
        <v>0</v>
      </c>
      <c r="I50" s="288"/>
      <c r="J50" s="288"/>
      <c r="K50" s="294"/>
      <c r="L50" s="288"/>
      <c r="M50" s="458"/>
      <c r="N50" s="580" t="s">
        <v>254</v>
      </c>
      <c r="O50" s="581"/>
      <c r="P50" s="175">
        <v>2.4000000000000001E-4</v>
      </c>
      <c r="Q50" s="176">
        <v>3.6000000000000002E-4</v>
      </c>
      <c r="R50" s="149"/>
      <c r="S50" s="149"/>
    </row>
    <row r="51" spans="2:19" ht="16.5" x14ac:dyDescent="0.3">
      <c r="B51" s="613" t="s">
        <v>255</v>
      </c>
      <c r="C51" s="614"/>
      <c r="D51" s="376"/>
      <c r="E51" s="371"/>
      <c r="F51" s="371"/>
      <c r="G51" s="372"/>
      <c r="H51" s="370"/>
      <c r="I51" s="288"/>
      <c r="J51" s="288"/>
      <c r="K51" s="288"/>
      <c r="L51" s="288"/>
      <c r="M51" s="458"/>
      <c r="N51" s="571" t="s">
        <v>255</v>
      </c>
      <c r="O51" s="572"/>
      <c r="P51" s="572"/>
      <c r="Q51" s="572"/>
      <c r="R51" s="149"/>
      <c r="S51" s="149"/>
    </row>
    <row r="52" spans="2:19" ht="16.5" x14ac:dyDescent="0.3">
      <c r="B52" s="615" t="s">
        <v>256</v>
      </c>
      <c r="C52" s="599"/>
      <c r="D52" s="419">
        <f>'[1]SUIVI RETRAITE '!H9</f>
        <v>7203.2930226095732</v>
      </c>
      <c r="E52" s="371">
        <f>VLOOKUP(B52,TAUX2023,3,FALSE)</f>
        <v>6.9000000000000006E-2</v>
      </c>
      <c r="F52" s="371">
        <f>VLOOKUP(B52,TAUX2023,4,FALSE)</f>
        <v>8.5500000000000007E-2</v>
      </c>
      <c r="G52" s="372">
        <f t="shared" si="1"/>
        <v>497.03</v>
      </c>
      <c r="H52" s="370">
        <f t="shared" si="0"/>
        <v>615.88</v>
      </c>
      <c r="I52" s="288"/>
      <c r="J52" s="288"/>
      <c r="K52" s="288"/>
      <c r="L52" s="288"/>
      <c r="M52" s="288"/>
      <c r="N52" s="556" t="s">
        <v>256</v>
      </c>
      <c r="O52" s="557"/>
      <c r="P52" s="153">
        <v>6.9000000000000006E-2</v>
      </c>
      <c r="Q52" s="153">
        <v>8.5500000000000007E-2</v>
      </c>
      <c r="R52" s="149"/>
      <c r="S52" s="149"/>
    </row>
    <row r="53" spans="2:19" ht="16.5" x14ac:dyDescent="0.3">
      <c r="B53" s="615" t="s">
        <v>257</v>
      </c>
      <c r="C53" s="599"/>
      <c r="D53" s="419">
        <f>K34</f>
        <v>-576.04571428571444</v>
      </c>
      <c r="E53" s="371">
        <f>VLOOKUP(B53,TAUX2023,3,FALSE)</f>
        <v>4.0000000000000001E-3</v>
      </c>
      <c r="F53" s="371">
        <f>VLOOKUP(B53,TAUX2023,4,FALSE)</f>
        <v>2.0199999999999999E-2</v>
      </c>
      <c r="G53" s="372">
        <f t="shared" si="1"/>
        <v>-2.2999999999999998</v>
      </c>
      <c r="H53" s="370">
        <f t="shared" si="0"/>
        <v>-11.64</v>
      </c>
      <c r="I53" s="288"/>
      <c r="J53" s="288"/>
      <c r="K53" s="288"/>
      <c r="L53" s="288"/>
      <c r="M53" s="288"/>
      <c r="N53" s="556" t="s">
        <v>257</v>
      </c>
      <c r="O53" s="557"/>
      <c r="P53" s="153">
        <v>4.0000000000000001E-3</v>
      </c>
      <c r="Q53" s="206">
        <v>2.0199999999999999E-2</v>
      </c>
      <c r="R53" s="149"/>
      <c r="S53" s="149"/>
    </row>
    <row r="54" spans="2:19" ht="16.5" x14ac:dyDescent="0.3">
      <c r="B54" s="618" t="s">
        <v>258</v>
      </c>
      <c r="C54" s="619"/>
      <c r="D54" s="419">
        <f>'[1]CET '!F19</f>
        <v>0</v>
      </c>
      <c r="E54" s="377">
        <f>'[1]CET '!D20</f>
        <v>222.36999999999998</v>
      </c>
      <c r="F54" s="377">
        <f>'[1]CET '!D21</f>
        <v>0</v>
      </c>
      <c r="G54" s="372">
        <f t="shared" si="1"/>
        <v>0</v>
      </c>
      <c r="H54" s="370">
        <f t="shared" si="0"/>
        <v>0</v>
      </c>
      <c r="I54" s="316"/>
      <c r="J54" s="317"/>
      <c r="K54" s="318"/>
      <c r="L54" s="318"/>
      <c r="M54" s="288"/>
      <c r="N54" s="556" t="s">
        <v>258</v>
      </c>
      <c r="O54" s="557"/>
      <c r="P54" s="153">
        <v>3.15E-2</v>
      </c>
      <c r="Q54" s="153">
        <v>4.7199999999999999E-2</v>
      </c>
      <c r="R54" s="149"/>
      <c r="S54" s="149"/>
    </row>
    <row r="55" spans="2:19" ht="16.5" x14ac:dyDescent="0.3">
      <c r="B55" s="618" t="s">
        <v>405</v>
      </c>
      <c r="C55" s="619"/>
      <c r="D55" s="419">
        <f>'[1]CET '!F22</f>
        <v>0</v>
      </c>
      <c r="E55" s="377">
        <f>'[1]CET '!D23</f>
        <v>0</v>
      </c>
      <c r="F55" s="377">
        <f>'[1]CET '!D24</f>
        <v>0</v>
      </c>
      <c r="G55" s="372">
        <f t="shared" si="1"/>
        <v>0</v>
      </c>
      <c r="H55" s="370">
        <f t="shared" si="0"/>
        <v>0</v>
      </c>
      <c r="I55" s="316"/>
      <c r="J55" s="317"/>
      <c r="K55" s="318"/>
      <c r="L55" s="318"/>
      <c r="M55" s="288"/>
      <c r="N55" s="556" t="s">
        <v>259</v>
      </c>
      <c r="O55" s="557"/>
      <c r="P55" s="153">
        <v>8.6400000000000005E-2</v>
      </c>
      <c r="Q55" s="153">
        <v>0.1295</v>
      </c>
      <c r="R55" s="149"/>
      <c r="S55" s="149"/>
    </row>
    <row r="56" spans="2:19" ht="16.5" x14ac:dyDescent="0.3">
      <c r="B56" s="615" t="s">
        <v>259</v>
      </c>
      <c r="C56" s="599"/>
      <c r="D56" s="420">
        <f>'[1]CET '!F34</f>
        <v>0</v>
      </c>
      <c r="E56" s="377">
        <f>'[1]CET '!D35</f>
        <v>0</v>
      </c>
      <c r="F56" s="379">
        <f>'[1]CET '!D36</f>
        <v>0</v>
      </c>
      <c r="G56" s="372">
        <f t="shared" si="1"/>
        <v>0</v>
      </c>
      <c r="H56" s="370">
        <f t="shared" si="0"/>
        <v>0</v>
      </c>
      <c r="I56" s="316"/>
      <c r="J56" s="317"/>
      <c r="K56" s="318"/>
      <c r="L56" s="318"/>
      <c r="M56" s="288"/>
      <c r="N56" s="556" t="s">
        <v>260</v>
      </c>
      <c r="O56" s="557"/>
      <c r="P56" s="153">
        <v>8.6E-3</v>
      </c>
      <c r="Q56" s="153">
        <v>1.29E-2</v>
      </c>
      <c r="R56" s="149"/>
      <c r="S56" s="149"/>
    </row>
    <row r="57" spans="2:19" ht="16.5" x14ac:dyDescent="0.3">
      <c r="B57" s="620"/>
      <c r="C57" s="621"/>
      <c r="D57" s="370"/>
      <c r="E57" s="379"/>
      <c r="F57" s="379">
        <f>IF(J34&gt;C33,'[1]Table des Taux 2024'!G79,0)</f>
        <v>0</v>
      </c>
      <c r="G57" s="372">
        <f t="shared" si="1"/>
        <v>0</v>
      </c>
      <c r="H57" s="370">
        <f t="shared" si="0"/>
        <v>0</v>
      </c>
      <c r="I57" s="316"/>
      <c r="J57" s="317"/>
      <c r="K57" s="318"/>
      <c r="L57" s="318"/>
      <c r="M57" s="288"/>
      <c r="N57" s="556" t="s">
        <v>261</v>
      </c>
      <c r="O57" s="557"/>
      <c r="P57" s="153">
        <v>1.0800000000000001E-2</v>
      </c>
      <c r="Q57" s="153">
        <v>1.6199999999999999E-2</v>
      </c>
      <c r="R57" s="149"/>
      <c r="S57" s="149"/>
    </row>
    <row r="58" spans="2:19" ht="16.5" x14ac:dyDescent="0.3">
      <c r="B58" s="620"/>
      <c r="C58" s="621"/>
      <c r="D58" s="370"/>
      <c r="E58" s="379"/>
      <c r="F58" s="379">
        <f>IF(J35&gt;C34,'[1]Table des Taux 2024'!G80,0)</f>
        <v>0</v>
      </c>
      <c r="G58" s="372">
        <f t="shared" si="1"/>
        <v>0</v>
      </c>
      <c r="H58" s="370">
        <f t="shared" si="0"/>
        <v>0</v>
      </c>
      <c r="I58" s="316"/>
      <c r="J58" s="317"/>
      <c r="K58" s="318"/>
      <c r="L58" s="318"/>
      <c r="M58" s="288"/>
      <c r="N58" s="556" t="s">
        <v>262</v>
      </c>
      <c r="O58" s="557"/>
      <c r="P58" s="153">
        <v>1.4E-3</v>
      </c>
      <c r="Q58" s="153">
        <v>2.0999999999999999E-3</v>
      </c>
      <c r="R58" s="149"/>
      <c r="S58" s="149"/>
    </row>
    <row r="59" spans="2:19" ht="16.5" x14ac:dyDescent="0.3">
      <c r="B59" s="622" t="s">
        <v>406</v>
      </c>
      <c r="C59" s="623"/>
      <c r="D59" s="370"/>
      <c r="E59" s="371"/>
      <c r="F59" s="379"/>
      <c r="G59" s="372"/>
      <c r="H59" s="370"/>
      <c r="I59" s="316"/>
      <c r="J59" s="624"/>
      <c r="K59" s="624"/>
      <c r="L59" s="288"/>
      <c r="M59" s="288"/>
      <c r="N59" s="556" t="s">
        <v>263</v>
      </c>
      <c r="O59" s="557"/>
      <c r="P59" s="153">
        <v>1.4E-3</v>
      </c>
      <c r="Q59" s="153">
        <v>2.0999999999999999E-3</v>
      </c>
      <c r="R59" s="149"/>
      <c r="S59" s="149"/>
    </row>
    <row r="60" spans="2:19" ht="16.5" customHeight="1" x14ac:dyDescent="0.3">
      <c r="B60" s="615" t="s">
        <v>249</v>
      </c>
      <c r="C60" s="599"/>
      <c r="D60" s="370">
        <f>K34</f>
        <v>-576.04571428571444</v>
      </c>
      <c r="E60" s="371"/>
      <c r="F60" s="350">
        <f>VLOOKUP(B60,TAUX2023,4,FALSE)</f>
        <v>3.4500000000000003E-2</v>
      </c>
      <c r="G60" s="372"/>
      <c r="H60" s="370">
        <f t="shared" si="0"/>
        <v>-19.87</v>
      </c>
      <c r="I60" s="316"/>
      <c r="J60" s="344"/>
      <c r="K60" s="344"/>
      <c r="L60" s="288"/>
      <c r="M60" s="288"/>
      <c r="N60" s="170"/>
      <c r="O60" s="171"/>
      <c r="P60" s="174"/>
      <c r="Q60" s="156"/>
      <c r="R60" s="172"/>
      <c r="S60" s="149"/>
    </row>
    <row r="61" spans="2:19" ht="16.5" customHeight="1" x14ac:dyDescent="0.3">
      <c r="B61" s="615" t="s">
        <v>250</v>
      </c>
      <c r="C61" s="599"/>
      <c r="D61" s="419">
        <f>'[1]SUIVI ALLOCATIONS FAMILIALES'!K11</f>
        <v>237.58479164835165</v>
      </c>
      <c r="E61" s="371"/>
      <c r="F61" s="350">
        <f>VLOOKUP(B61,TAUX2023,4,FALSE)</f>
        <v>1.7999999999999999E-2</v>
      </c>
      <c r="G61" s="372"/>
      <c r="H61" s="370">
        <f t="shared" si="0"/>
        <v>4.28</v>
      </c>
      <c r="I61" s="316"/>
      <c r="J61" s="287"/>
      <c r="K61" s="344"/>
      <c r="L61" s="288"/>
      <c r="M61" s="288"/>
      <c r="N61" s="556" t="s">
        <v>264</v>
      </c>
      <c r="O61" s="557"/>
      <c r="P61" s="218"/>
      <c r="Q61" s="153">
        <v>1E-3</v>
      </c>
      <c r="R61" s="172"/>
      <c r="S61" s="149"/>
    </row>
    <row r="62" spans="2:19" ht="25.5" customHeight="1" x14ac:dyDescent="0.3">
      <c r="B62" s="622" t="s">
        <v>407</v>
      </c>
      <c r="C62" s="623"/>
      <c r="D62" s="373"/>
      <c r="E62" s="380"/>
      <c r="F62" s="379"/>
      <c r="G62" s="372"/>
      <c r="H62" s="370"/>
      <c r="I62" s="319"/>
      <c r="J62" s="287"/>
      <c r="K62" s="344"/>
      <c r="L62" s="288"/>
      <c r="M62" s="288"/>
      <c r="N62" s="578" t="s">
        <v>265</v>
      </c>
      <c r="O62" s="579"/>
      <c r="P62" s="218"/>
      <c r="Q62" s="153">
        <v>5.0000000000000001E-3</v>
      </c>
      <c r="R62" s="172"/>
      <c r="S62" s="149"/>
    </row>
    <row r="63" spans="2:19" ht="16.5" x14ac:dyDescent="0.3">
      <c r="B63" s="615" t="s">
        <v>38</v>
      </c>
      <c r="C63" s="599"/>
      <c r="D63" s="422">
        <f>'[1]SUIVI RETRAITE '!H9+'[1]SUIVI RETRAITE '!J9</f>
        <v>14406.586045219146</v>
      </c>
      <c r="E63" s="379"/>
      <c r="F63" s="381">
        <f>'[1]Table des Taux 2024'!F14+'[1]Table des Taux 2024'!F15</f>
        <v>0</v>
      </c>
      <c r="G63" s="372"/>
      <c r="H63" s="370">
        <f t="shared" si="0"/>
        <v>0</v>
      </c>
      <c r="I63" s="319"/>
      <c r="J63" s="287"/>
      <c r="K63" s="344"/>
      <c r="L63" s="288"/>
      <c r="M63" s="288"/>
      <c r="N63" s="578" t="s">
        <v>266</v>
      </c>
      <c r="O63" s="579"/>
      <c r="P63" s="218"/>
      <c r="Q63" s="207">
        <v>3.2000000000000001E-2</v>
      </c>
      <c r="R63" s="172" t="s">
        <v>267</v>
      </c>
      <c r="S63" s="149"/>
    </row>
    <row r="64" spans="2:19" ht="24" customHeight="1" x14ac:dyDescent="0.3">
      <c r="B64" s="615"/>
      <c r="C64" s="599"/>
      <c r="D64" s="374"/>
      <c r="E64" s="379"/>
      <c r="F64" s="381"/>
      <c r="G64" s="372">
        <f t="shared" si="1"/>
        <v>0</v>
      </c>
      <c r="H64" s="370">
        <f t="shared" si="0"/>
        <v>0</v>
      </c>
      <c r="I64" s="319"/>
      <c r="J64" s="287"/>
      <c r="K64" s="344"/>
      <c r="L64" s="288"/>
      <c r="M64" s="288"/>
      <c r="N64" s="556" t="s">
        <v>268</v>
      </c>
      <c r="O64" s="557"/>
      <c r="P64" s="218"/>
      <c r="Q64" s="153">
        <v>3.0000000000000001E-3</v>
      </c>
      <c r="R64" s="172"/>
      <c r="S64" s="149"/>
    </row>
    <row r="65" spans="2:19" ht="24" customHeight="1" x14ac:dyDescent="0.3">
      <c r="B65" s="615" t="s">
        <v>254</v>
      </c>
      <c r="C65" s="599"/>
      <c r="D65" s="374">
        <f>IF(J10=2,D63,0)</f>
        <v>0</v>
      </c>
      <c r="E65" s="382">
        <f>VLOOKUP(B65,TAUX2023,3,FALSE)</f>
        <v>2.4000000000000001E-4</v>
      </c>
      <c r="F65" s="382">
        <f>VLOOKUP(B65,TAUX2023,4,FALSE)</f>
        <v>3.6000000000000002E-4</v>
      </c>
      <c r="G65" s="372">
        <f t="shared" si="1"/>
        <v>0</v>
      </c>
      <c r="H65" s="370">
        <f t="shared" si="0"/>
        <v>0</v>
      </c>
      <c r="I65" s="319"/>
      <c r="J65" s="288"/>
      <c r="K65" s="294"/>
      <c r="L65" s="288"/>
      <c r="M65" s="288"/>
      <c r="N65" s="556" t="s">
        <v>269</v>
      </c>
      <c r="O65" s="557"/>
      <c r="P65" s="218"/>
      <c r="Q65" s="153">
        <v>0.08</v>
      </c>
      <c r="R65" s="172"/>
      <c r="S65" s="149"/>
    </row>
    <row r="66" spans="2:19" ht="18.75" customHeight="1" x14ac:dyDescent="0.3">
      <c r="B66" s="622" t="s">
        <v>408</v>
      </c>
      <c r="C66" s="623"/>
      <c r="D66" s="370"/>
      <c r="E66" s="370"/>
      <c r="F66" s="383"/>
      <c r="G66" s="372"/>
      <c r="H66" s="419" t="e">
        <f>F138</f>
        <v>#VALUE!</v>
      </c>
      <c r="I66" s="288"/>
      <c r="J66" s="288"/>
      <c r="K66" s="288"/>
      <c r="L66" s="288"/>
      <c r="M66" s="288"/>
      <c r="N66" s="219" t="s">
        <v>270</v>
      </c>
      <c r="O66" s="219"/>
      <c r="P66" s="218"/>
      <c r="Q66" s="153">
        <v>0.2</v>
      </c>
      <c r="R66" s="172"/>
      <c r="S66" s="149"/>
    </row>
    <row r="67" spans="2:19" ht="24" customHeight="1" x14ac:dyDescent="0.3">
      <c r="B67" s="625" t="s">
        <v>409</v>
      </c>
      <c r="C67" s="626"/>
      <c r="D67" s="384"/>
      <c r="E67" s="385"/>
      <c r="F67" s="386"/>
      <c r="G67" s="372"/>
      <c r="H67" s="370"/>
      <c r="I67" s="288"/>
      <c r="J67" s="287"/>
      <c r="K67" s="344"/>
      <c r="L67" s="288"/>
      <c r="M67" s="288"/>
      <c r="N67" s="556" t="s">
        <v>271</v>
      </c>
      <c r="O67" s="557"/>
      <c r="P67" s="218"/>
      <c r="Q67" s="158">
        <v>1.6000000000000001E-4</v>
      </c>
      <c r="R67" s="155"/>
      <c r="S67" s="149"/>
    </row>
    <row r="68" spans="2:19" ht="16.5" x14ac:dyDescent="0.3">
      <c r="B68" s="627" t="s">
        <v>275</v>
      </c>
      <c r="C68" s="627"/>
      <c r="D68" s="420">
        <f>'[1]HEURES SUPP. MOIS 2'!I144</f>
        <v>0</v>
      </c>
      <c r="E68" s="387">
        <f>VLOOKUP(B68,TAUX2023,3,FALSE)</f>
        <v>6.8000000000000005E-2</v>
      </c>
      <c r="F68" s="370"/>
      <c r="G68" s="372">
        <f t="shared" si="1"/>
        <v>0</v>
      </c>
      <c r="H68" s="370"/>
      <c r="I68" s="288"/>
      <c r="J68" s="287"/>
      <c r="K68" s="344"/>
      <c r="L68" s="288"/>
      <c r="M68" s="288"/>
      <c r="N68" s="556" t="s">
        <v>272</v>
      </c>
      <c r="O68" s="557"/>
      <c r="P68" s="144"/>
      <c r="Q68" s="153">
        <v>6.7999999999999996E-3</v>
      </c>
      <c r="R68" s="155"/>
      <c r="S68" s="149"/>
    </row>
    <row r="69" spans="2:19" ht="16.5" customHeight="1" x14ac:dyDescent="0.3">
      <c r="B69" s="627" t="s">
        <v>276</v>
      </c>
      <c r="C69" s="627"/>
      <c r="D69" s="420">
        <f>'[1]HEURES SUPP. MOIS 2'!I147</f>
        <v>0</v>
      </c>
      <c r="E69" s="387">
        <f>VLOOKUP(B69,TAUX2023,3,FALSE)</f>
        <v>2.9000000000000001E-2</v>
      </c>
      <c r="F69" s="370"/>
      <c r="G69" s="372">
        <f t="shared" si="1"/>
        <v>0</v>
      </c>
      <c r="H69" s="370"/>
      <c r="I69" s="288"/>
      <c r="J69" s="287"/>
      <c r="K69" s="344"/>
      <c r="L69" s="314"/>
      <c r="M69" s="288"/>
      <c r="N69" s="556" t="s">
        <v>273</v>
      </c>
      <c r="O69" s="557"/>
      <c r="P69" s="144"/>
      <c r="Q69" s="153">
        <v>0.01</v>
      </c>
      <c r="R69" s="159"/>
      <c r="S69" s="149"/>
    </row>
    <row r="70" spans="2:19" ht="16.5" x14ac:dyDescent="0.3">
      <c r="B70" s="627" t="s">
        <v>410</v>
      </c>
      <c r="C70" s="627"/>
      <c r="D70" s="420">
        <f>'[1]HEURES SUPP. MOIS 2'!I145</f>
        <v>0</v>
      </c>
      <c r="E70" s="387">
        <f>E68</f>
        <v>6.8000000000000005E-2</v>
      </c>
      <c r="F70" s="370"/>
      <c r="G70" s="372">
        <f t="shared" si="1"/>
        <v>0</v>
      </c>
      <c r="H70" s="370"/>
      <c r="I70" s="288"/>
      <c r="J70" s="288"/>
      <c r="K70" s="314"/>
      <c r="L70" s="314"/>
      <c r="M70" s="288"/>
      <c r="N70" s="556" t="s">
        <v>273</v>
      </c>
      <c r="O70" s="557"/>
      <c r="P70" s="144"/>
      <c r="Q70" s="153">
        <v>5.4999999999999997E-3</v>
      </c>
      <c r="R70" s="159"/>
      <c r="S70" s="149"/>
    </row>
    <row r="71" spans="2:19" ht="16.5" x14ac:dyDescent="0.3">
      <c r="B71" s="627" t="s">
        <v>411</v>
      </c>
      <c r="C71" s="627"/>
      <c r="D71" s="420">
        <f>'[1]HEURES SUPP. MOIS 2'!I146</f>
        <v>0</v>
      </c>
      <c r="E71" s="387">
        <f>E68</f>
        <v>6.8000000000000005E-2</v>
      </c>
      <c r="F71" s="370"/>
      <c r="G71" s="372">
        <f t="shared" si="1"/>
        <v>0</v>
      </c>
      <c r="H71" s="370"/>
      <c r="I71" s="288"/>
      <c r="J71" s="288"/>
      <c r="K71" s="314"/>
      <c r="L71" s="314"/>
      <c r="M71" s="288"/>
      <c r="N71" s="556" t="s">
        <v>274</v>
      </c>
      <c r="O71" s="557"/>
      <c r="P71" s="144"/>
      <c r="Q71" s="153">
        <v>4.4999999999999997E-3</v>
      </c>
      <c r="R71" s="160"/>
      <c r="S71" s="149"/>
    </row>
    <row r="72" spans="2:19" ht="16.5" x14ac:dyDescent="0.3">
      <c r="B72" s="627" t="s">
        <v>412</v>
      </c>
      <c r="C72" s="627"/>
      <c r="D72" s="419">
        <f>'[1]HEURES SUPP. MOIS 2'!I148</f>
        <v>0</v>
      </c>
      <c r="E72" s="387">
        <f>E69</f>
        <v>2.9000000000000001E-2</v>
      </c>
      <c r="F72" s="370"/>
      <c r="G72" s="372">
        <f t="shared" si="1"/>
        <v>0</v>
      </c>
      <c r="H72" s="370"/>
      <c r="I72" s="288"/>
      <c r="J72" s="288"/>
      <c r="K72" s="314"/>
      <c r="L72" s="314"/>
      <c r="M72" s="288"/>
      <c r="N72" s="558"/>
      <c r="O72" s="559"/>
      <c r="P72" s="174"/>
      <c r="Q72" s="156"/>
      <c r="R72" s="160"/>
      <c r="S72" s="149"/>
    </row>
    <row r="73" spans="2:19" ht="16.5" x14ac:dyDescent="0.3">
      <c r="B73" s="622" t="s">
        <v>413</v>
      </c>
      <c r="C73" s="623"/>
      <c r="D73" s="388"/>
      <c r="E73" s="388"/>
      <c r="F73" s="389"/>
      <c r="G73" s="372">
        <f t="shared" si="1"/>
        <v>0</v>
      </c>
      <c r="H73" s="431">
        <f>-'[1]SUIVI RED GEN DE COT'!F41+IF(C10&lt;20,-(H21+H23+H22)*1.5,IF(C10&lt;=250,-(H21+H22+H23)*0.5,0))</f>
        <v>0</v>
      </c>
      <c r="I73" s="288"/>
      <c r="J73" s="288"/>
      <c r="K73" s="314"/>
      <c r="L73" s="314"/>
      <c r="M73" s="288"/>
      <c r="N73" s="560" t="s">
        <v>275</v>
      </c>
      <c r="O73" s="561"/>
      <c r="P73" s="177">
        <v>6.8000000000000005E-2</v>
      </c>
      <c r="Q73" s="161"/>
      <c r="R73" s="204"/>
      <c r="S73" s="149"/>
    </row>
    <row r="74" spans="2:19" ht="16.5" x14ac:dyDescent="0.3">
      <c r="B74" s="615" t="s">
        <v>414</v>
      </c>
      <c r="C74" s="599"/>
      <c r="D74" s="419">
        <f>+'[1]HEURES SUPP. MOIS 2'!F59</f>
        <v>0</v>
      </c>
      <c r="E74" s="390"/>
      <c r="F74" s="391"/>
      <c r="G74" s="372">
        <f>-'[1]HEURES SUPP. MOIS 2'!G59</f>
        <v>0</v>
      </c>
      <c r="H74" s="392"/>
      <c r="I74" s="288"/>
      <c r="J74" s="288"/>
      <c r="K74" s="314"/>
      <c r="L74" s="314"/>
      <c r="M74" s="288"/>
      <c r="N74" s="562" t="s">
        <v>276</v>
      </c>
      <c r="O74" s="562"/>
      <c r="P74" s="177">
        <v>2.9000000000000001E-2</v>
      </c>
      <c r="Q74" s="161"/>
      <c r="R74" s="155"/>
      <c r="S74" s="149"/>
    </row>
    <row r="75" spans="2:19" ht="16.5" x14ac:dyDescent="0.3">
      <c r="B75" s="615" t="s">
        <v>415</v>
      </c>
      <c r="C75" s="599"/>
      <c r="D75" s="370"/>
      <c r="E75" s="370"/>
      <c r="F75" s="383"/>
      <c r="G75" s="393">
        <f>SUM(G38:G74)</f>
        <v>494.72999999999996</v>
      </c>
      <c r="H75" s="394" t="e">
        <f>SUM(H38:H74)</f>
        <v>#VALUE!</v>
      </c>
      <c r="I75" s="288"/>
      <c r="J75" s="288"/>
      <c r="K75" s="314"/>
      <c r="L75" s="288"/>
      <c r="M75" s="288"/>
      <c r="N75" s="560" t="s">
        <v>277</v>
      </c>
      <c r="O75" s="561"/>
      <c r="P75" s="177">
        <v>6.8000000000000005E-2</v>
      </c>
      <c r="Q75" s="161"/>
      <c r="R75" s="155"/>
      <c r="S75" s="149"/>
    </row>
    <row r="76" spans="2:19" ht="16.5" x14ac:dyDescent="0.3">
      <c r="B76" s="628" t="s">
        <v>416</v>
      </c>
      <c r="C76" s="629"/>
      <c r="D76" s="370"/>
      <c r="E76" s="370"/>
      <c r="F76" s="383"/>
      <c r="G76" s="383"/>
      <c r="H76" s="370"/>
      <c r="I76" s="314"/>
      <c r="J76" s="314"/>
      <c r="K76" s="288"/>
      <c r="L76" s="288"/>
      <c r="M76" s="288"/>
      <c r="N76" s="560" t="s">
        <v>278</v>
      </c>
      <c r="O76" s="561"/>
      <c r="P76" s="177">
        <v>6.8000000000000005E-2</v>
      </c>
      <c r="Q76" s="161"/>
      <c r="R76" s="149"/>
      <c r="S76" s="149"/>
    </row>
    <row r="77" spans="2:19" ht="16.5" x14ac:dyDescent="0.3">
      <c r="B77" s="599" t="s">
        <v>417</v>
      </c>
      <c r="C77" s="600"/>
      <c r="D77" s="378">
        <f>IF(J10=1,'[1]SUIVI RETRAITE '!H9+'[1]SUIVI RETRAITE '!L9,0)</f>
        <v>0</v>
      </c>
      <c r="E77" s="387">
        <f>'[1]Masque de Saisie'!H14</f>
        <v>0</v>
      </c>
      <c r="F77" s="387">
        <f>'[1]Masque de Saisie'!I14</f>
        <v>0</v>
      </c>
      <c r="G77" s="383">
        <f>ROUND(D77*E77,2)</f>
        <v>0</v>
      </c>
      <c r="H77" s="311">
        <f>ROUND(D77*F77,2)</f>
        <v>0</v>
      </c>
      <c r="I77" s="288"/>
      <c r="J77" s="314"/>
      <c r="K77" s="288"/>
      <c r="L77" s="288"/>
      <c r="M77" s="288"/>
      <c r="N77" s="560" t="s">
        <v>279</v>
      </c>
      <c r="O77" s="561"/>
      <c r="P77" s="177">
        <v>2.9000000000000001E-2</v>
      </c>
      <c r="Q77" s="161"/>
      <c r="R77" s="149"/>
      <c r="S77" s="149"/>
    </row>
    <row r="78" spans="2:19" ht="16.5" x14ac:dyDescent="0.3">
      <c r="B78" s="599" t="s">
        <v>281</v>
      </c>
      <c r="C78" s="600"/>
      <c r="D78" s="378">
        <f>IF(J10=2,K34,0)</f>
        <v>0</v>
      </c>
      <c r="E78" s="387">
        <f>'[1]Masque de Saisie'!H18</f>
        <v>0</v>
      </c>
      <c r="F78" s="387">
        <f>'[1]Masque de Saisie'!I18</f>
        <v>0</v>
      </c>
      <c r="G78" s="383">
        <f>ROUND(D78*E78,2)</f>
        <v>0</v>
      </c>
      <c r="H78" s="311">
        <f>ROUND(D78*F78,2)</f>
        <v>0</v>
      </c>
      <c r="I78" s="288"/>
      <c r="J78" s="321"/>
      <c r="K78" s="322"/>
      <c r="L78" s="321"/>
      <c r="M78" s="288"/>
      <c r="N78" s="532"/>
      <c r="O78" s="533"/>
      <c r="P78" s="533"/>
      <c r="Q78" s="534"/>
      <c r="R78" s="146"/>
      <c r="S78" s="149"/>
    </row>
    <row r="79" spans="2:19" ht="18.75" x14ac:dyDescent="0.3">
      <c r="B79" s="315"/>
      <c r="C79" s="315"/>
      <c r="D79" s="312"/>
      <c r="E79" s="313"/>
      <c r="F79" s="313"/>
      <c r="G79" s="312"/>
      <c r="H79" s="312"/>
      <c r="I79" s="288"/>
      <c r="J79" s="321"/>
      <c r="K79" s="322"/>
      <c r="L79" s="321"/>
      <c r="M79" s="288"/>
      <c r="N79" s="590" t="s">
        <v>280</v>
      </c>
      <c r="O79" s="591"/>
      <c r="P79" s="178"/>
      <c r="Q79" s="179"/>
      <c r="R79" s="155"/>
      <c r="S79" s="149"/>
    </row>
    <row r="80" spans="2:19" ht="16.5" x14ac:dyDescent="0.3">
      <c r="B80" s="612" t="s">
        <v>418</v>
      </c>
      <c r="C80" s="612"/>
      <c r="D80" s="370">
        <f>K34</f>
        <v>-576.04571428571444</v>
      </c>
      <c r="E80" s="387">
        <f>'[1]Masque de Saisie'!H20</f>
        <v>1.4999999999999999E-2</v>
      </c>
      <c r="F80" s="387">
        <f>'[1]Masque de Saisie'!I20</f>
        <v>0</v>
      </c>
      <c r="G80" s="383">
        <f t="shared" ref="G80" si="2">ROUND(D80*E80,2)</f>
        <v>-8.64</v>
      </c>
      <c r="H80" s="311">
        <f t="shared" ref="H80" si="3">ROUND(D80*F80,2)</f>
        <v>0</v>
      </c>
      <c r="I80" s="288"/>
      <c r="J80" s="288"/>
      <c r="K80" s="288"/>
      <c r="L80" s="314"/>
      <c r="M80" s="288"/>
      <c r="N80" s="581" t="s">
        <v>281</v>
      </c>
      <c r="O80" s="562"/>
      <c r="P80" s="177"/>
      <c r="Q80" s="177"/>
      <c r="R80" s="151"/>
      <c r="S80" s="149"/>
    </row>
    <row r="81" spans="2:19" ht="16.5" x14ac:dyDescent="0.3">
      <c r="B81" s="630" t="s">
        <v>419</v>
      </c>
      <c r="C81" s="631"/>
      <c r="D81" s="373"/>
      <c r="E81" s="380"/>
      <c r="F81" s="380"/>
      <c r="G81" s="430">
        <f>K34-G75-G77-G78+G86</f>
        <v>2344.6089010989008</v>
      </c>
      <c r="H81" s="373"/>
      <c r="I81" s="288"/>
      <c r="J81" s="288"/>
      <c r="K81" s="288"/>
      <c r="L81" s="314"/>
      <c r="M81" s="288"/>
      <c r="N81" s="581" t="s">
        <v>282</v>
      </c>
      <c r="O81" s="562"/>
      <c r="P81" s="177"/>
      <c r="Q81" s="177"/>
      <c r="R81" s="151"/>
      <c r="S81" s="149"/>
    </row>
    <row r="82" spans="2:19" ht="16.5" x14ac:dyDescent="0.3">
      <c r="B82" s="599" t="s">
        <v>420</v>
      </c>
      <c r="C82" s="600"/>
      <c r="D82" s="373"/>
      <c r="E82" s="380"/>
      <c r="F82" s="380"/>
      <c r="G82" s="444">
        <f>'[1]Masque de Saisie'!H50*'[1]Masque de Saisie'!H51</f>
        <v>0</v>
      </c>
      <c r="H82" s="373">
        <f>'[1]Masque de Saisie'!H50*'[1]Masque de Saisie'!H52</f>
        <v>0</v>
      </c>
      <c r="I82" s="288"/>
      <c r="J82" s="288"/>
      <c r="K82" s="288"/>
      <c r="L82" s="314"/>
      <c r="M82" s="288"/>
      <c r="N82" s="562" t="s">
        <v>283</v>
      </c>
      <c r="O82" s="562"/>
      <c r="P82" s="177"/>
      <c r="Q82" s="177">
        <v>1.4999999999999999E-2</v>
      </c>
      <c r="R82" s="151"/>
      <c r="S82" s="149"/>
    </row>
    <row r="83" spans="2:19" ht="16.5" customHeight="1" x14ac:dyDescent="0.3">
      <c r="B83" s="599" t="s">
        <v>421</v>
      </c>
      <c r="C83" s="600"/>
      <c r="D83" s="373"/>
      <c r="E83" s="380"/>
      <c r="F83" s="380"/>
      <c r="G83" s="410">
        <f>'[1]Masque de Saisie'!H53</f>
        <v>0</v>
      </c>
      <c r="H83" s="384"/>
      <c r="I83" s="288"/>
      <c r="J83" s="288"/>
      <c r="K83" s="288"/>
      <c r="L83" s="314"/>
      <c r="M83" s="288"/>
      <c r="N83" s="560" t="s">
        <v>284</v>
      </c>
      <c r="O83" s="561"/>
      <c r="P83" s="178"/>
      <c r="Q83" s="180"/>
      <c r="R83" s="155"/>
      <c r="S83" s="149"/>
    </row>
    <row r="84" spans="2:19" ht="16.5" x14ac:dyDescent="0.3">
      <c r="B84" s="599" t="s">
        <v>422</v>
      </c>
      <c r="C84" s="600"/>
      <c r="D84" s="373"/>
      <c r="E84" s="380"/>
      <c r="F84" s="380"/>
      <c r="G84" s="410">
        <f>-K15</f>
        <v>0</v>
      </c>
      <c r="H84" s="384"/>
      <c r="I84" s="288"/>
      <c r="J84" s="288"/>
      <c r="K84" s="288"/>
      <c r="L84" s="314"/>
      <c r="M84" s="288"/>
      <c r="N84" s="560" t="s">
        <v>285</v>
      </c>
      <c r="O84" s="561"/>
      <c r="P84" s="178"/>
      <c r="Q84" s="180"/>
      <c r="R84" s="155"/>
      <c r="S84" s="149"/>
    </row>
    <row r="85" spans="2:19" ht="16.5" customHeight="1" x14ac:dyDescent="0.3">
      <c r="B85" s="599" t="s">
        <v>423</v>
      </c>
      <c r="C85" s="600"/>
      <c r="D85" s="346"/>
      <c r="E85" s="347"/>
      <c r="F85" s="428"/>
      <c r="G85" s="311">
        <f>'[1]TR Matrice Net Imposable'!D30</f>
        <v>0</v>
      </c>
      <c r="H85" s="384"/>
      <c r="I85" s="288"/>
      <c r="J85" s="288"/>
      <c r="K85" s="288"/>
      <c r="L85" s="314"/>
      <c r="M85" s="288"/>
      <c r="N85" s="583"/>
      <c r="O85" s="584"/>
      <c r="P85" s="584"/>
      <c r="Q85" s="585"/>
      <c r="R85" s="155"/>
      <c r="S85" s="149"/>
    </row>
    <row r="86" spans="2:19" ht="16.5" customHeight="1" x14ac:dyDescent="0.3">
      <c r="B86" s="599" t="s">
        <v>424</v>
      </c>
      <c r="C86" s="600"/>
      <c r="D86" s="427"/>
      <c r="E86" s="427"/>
      <c r="F86" s="427"/>
      <c r="G86" s="311">
        <f>'[1]Correction Suite '!F98</f>
        <v>3415.3846153846152</v>
      </c>
      <c r="H86" s="348"/>
      <c r="I86" s="288"/>
      <c r="J86" s="288"/>
      <c r="K86" s="288"/>
      <c r="L86" s="314"/>
      <c r="M86" s="288"/>
      <c r="N86" s="592" t="s">
        <v>286</v>
      </c>
      <c r="O86" s="593"/>
      <c r="P86" s="208">
        <v>3864</v>
      </c>
      <c r="Q86" s="181"/>
      <c r="R86" s="155"/>
      <c r="S86" s="149"/>
    </row>
    <row r="87" spans="2:19" ht="30" customHeight="1" x14ac:dyDescent="0.25">
      <c r="B87" s="632" t="s">
        <v>425</v>
      </c>
      <c r="C87" s="632"/>
      <c r="D87" s="632"/>
      <c r="E87" s="632"/>
      <c r="F87" s="632"/>
      <c r="G87" s="632"/>
      <c r="H87" s="632"/>
      <c r="I87" s="632"/>
      <c r="J87" s="632"/>
      <c r="K87" s="633">
        <f>K34-G75-G77-G78-G48-G80-G82+G83+G84+G86</f>
        <v>2353.2489010989011</v>
      </c>
      <c r="L87" s="634"/>
      <c r="M87" s="634"/>
      <c r="N87" s="592" t="s">
        <v>287</v>
      </c>
      <c r="O87" s="593"/>
      <c r="P87" s="164">
        <v>11.27</v>
      </c>
      <c r="Q87" s="162"/>
      <c r="R87" s="155"/>
      <c r="S87" s="149"/>
    </row>
    <row r="88" spans="2:19" ht="15.75" x14ac:dyDescent="0.25">
      <c r="B88" s="632" t="s">
        <v>426</v>
      </c>
      <c r="C88" s="632"/>
      <c r="D88" s="632"/>
      <c r="E88" s="632"/>
      <c r="F88" s="632"/>
      <c r="G88" s="632"/>
      <c r="H88" s="632"/>
      <c r="I88" s="632"/>
      <c r="J88" s="632"/>
      <c r="K88" s="633">
        <f>'[1]HEURES SUPP. MOIS 2'!F103+G86</f>
        <v>3415.3846153846152</v>
      </c>
      <c r="L88" s="634"/>
      <c r="M88" s="634"/>
      <c r="N88" s="592" t="s">
        <v>288</v>
      </c>
      <c r="O88" s="593"/>
      <c r="P88" s="164">
        <v>11.52</v>
      </c>
      <c r="Q88" s="162"/>
      <c r="R88" s="155"/>
      <c r="S88" s="149"/>
    </row>
    <row r="89" spans="2:19" x14ac:dyDescent="0.25">
      <c r="B89" s="635" t="s">
        <v>427</v>
      </c>
      <c r="C89" s="635"/>
      <c r="D89" s="635"/>
      <c r="E89" s="635"/>
      <c r="F89" s="635"/>
      <c r="G89" s="635"/>
      <c r="H89" s="635"/>
      <c r="I89" s="635"/>
      <c r="J89" s="635"/>
      <c r="K89" s="636">
        <f>'[1]HEURES SUPP. MOIS 2'!F59-G70</f>
        <v>0</v>
      </c>
      <c r="L89" s="636"/>
      <c r="M89" s="351"/>
      <c r="N89" s="220" t="s">
        <v>289</v>
      </c>
      <c r="O89" s="221"/>
      <c r="P89" s="208">
        <v>11.65</v>
      </c>
      <c r="Q89" s="162"/>
      <c r="R89" s="155"/>
      <c r="S89" s="149"/>
    </row>
    <row r="90" spans="2:19" x14ac:dyDescent="0.25">
      <c r="B90" s="635" t="s">
        <v>428</v>
      </c>
      <c r="C90" s="635"/>
      <c r="D90" s="635"/>
      <c r="E90" s="635"/>
      <c r="F90" s="635"/>
      <c r="G90" s="635"/>
      <c r="H90" s="635"/>
      <c r="I90" s="635"/>
      <c r="J90" s="635"/>
      <c r="K90" s="407">
        <f>'[1]HEURES SUPP. MOIS 1 '!H59</f>
        <v>0</v>
      </c>
      <c r="L90" s="408"/>
      <c r="M90" s="409"/>
      <c r="N90" s="556" t="s">
        <v>290</v>
      </c>
      <c r="O90" s="557"/>
      <c r="P90" s="182">
        <f>P87*35*52/12</f>
        <v>1709.2833333333331</v>
      </c>
      <c r="Q90" s="162"/>
      <c r="R90" s="155"/>
      <c r="S90" s="149"/>
    </row>
    <row r="91" spans="2:19" x14ac:dyDescent="0.25">
      <c r="B91" s="637" t="s">
        <v>429</v>
      </c>
      <c r="C91" s="638"/>
      <c r="D91" s="639"/>
      <c r="E91" s="643" t="s">
        <v>430</v>
      </c>
      <c r="F91" s="643"/>
      <c r="G91" s="643" t="s">
        <v>431</v>
      </c>
      <c r="H91" s="643"/>
      <c r="I91" s="395" t="s">
        <v>22</v>
      </c>
      <c r="J91" s="302"/>
      <c r="K91" s="644" t="s">
        <v>432</v>
      </c>
      <c r="L91" s="644"/>
      <c r="M91" s="299"/>
      <c r="N91" s="556" t="s">
        <v>291</v>
      </c>
      <c r="O91" s="557"/>
      <c r="P91" s="182">
        <f>P88*35*52/12</f>
        <v>1747.1999999999998</v>
      </c>
      <c r="Q91" s="162"/>
      <c r="R91" s="155"/>
      <c r="S91" s="149"/>
    </row>
    <row r="92" spans="2:19" x14ac:dyDescent="0.25">
      <c r="B92" s="640"/>
      <c r="C92" s="641"/>
      <c r="D92" s="642"/>
      <c r="E92" s="645">
        <f>+K88</f>
        <v>3415.3846153846152</v>
      </c>
      <c r="F92" s="646"/>
      <c r="G92" s="647">
        <f>'[1]Taux Neutre'!I13</f>
        <v>0</v>
      </c>
      <c r="H92" s="648"/>
      <c r="I92" s="396">
        <f>ROUND(E92*G92,2)</f>
        <v>0</v>
      </c>
      <c r="J92" s="302"/>
      <c r="K92" s="299"/>
      <c r="L92" s="299"/>
      <c r="M92" s="299"/>
      <c r="N92" s="222" t="s">
        <v>292</v>
      </c>
      <c r="O92" s="223"/>
      <c r="P92" s="182">
        <f>P89*35*52/12</f>
        <v>1766.9166666666667</v>
      </c>
      <c r="Q92" s="162"/>
      <c r="R92" s="155"/>
      <c r="S92" s="149"/>
    </row>
    <row r="93" spans="2:19" x14ac:dyDescent="0.25">
      <c r="B93" s="649" t="s">
        <v>433</v>
      </c>
      <c r="C93" s="649"/>
      <c r="D93" s="649"/>
      <c r="E93" s="649"/>
      <c r="F93" s="649"/>
      <c r="G93" s="649"/>
      <c r="H93" s="649"/>
      <c r="I93" s="649"/>
      <c r="J93" s="649"/>
      <c r="K93" s="650">
        <f>K87-I92+G86</f>
        <v>5768.6335164835164</v>
      </c>
      <c r="L93" s="650"/>
      <c r="M93" s="650"/>
      <c r="N93" s="592" t="s">
        <v>293</v>
      </c>
      <c r="O93" s="593"/>
      <c r="P93" s="164">
        <f>1.6*P89*35*52/12</f>
        <v>2827.0666666666662</v>
      </c>
      <c r="Q93" s="162"/>
      <c r="R93" s="155"/>
      <c r="S93" s="149"/>
    </row>
    <row r="94" spans="2:19" x14ac:dyDescent="0.25">
      <c r="B94" s="651" t="s">
        <v>434</v>
      </c>
      <c r="C94" s="652"/>
      <c r="D94" s="652"/>
      <c r="E94" s="652"/>
      <c r="F94" s="652"/>
      <c r="G94" s="652"/>
      <c r="H94" s="652"/>
      <c r="I94" s="652"/>
      <c r="J94" s="653"/>
      <c r="K94" s="654">
        <f>IF(C10&lt;20,(H21+H23+H22)*1.5,IF(C10&lt;=250,(H21+H23+H22)*0.5))+'[1]SUIVI LIMITE 2,5 SMIC'!M11+'[1]SUIVI ALLOCATIONS FAMILIALES'!O11+'[1]SUIVI RED GEN DE COT'!I17</f>
        <v>0</v>
      </c>
      <c r="L94" s="655"/>
      <c r="M94" s="655"/>
      <c r="N94" s="560" t="s">
        <v>294</v>
      </c>
      <c r="O94" s="561"/>
      <c r="P94" s="209">
        <f>2.5*P88*35*52/12</f>
        <v>4367.9999999999991</v>
      </c>
      <c r="Q94" s="154"/>
      <c r="R94" s="155" t="s">
        <v>295</v>
      </c>
      <c r="S94" s="210">
        <f>ROUND(2.5*11.52*151.67,2)</f>
        <v>4368.1000000000004</v>
      </c>
    </row>
    <row r="95" spans="2:19" x14ac:dyDescent="0.25">
      <c r="B95" s="649" t="s">
        <v>435</v>
      </c>
      <c r="C95" s="649"/>
      <c r="D95" s="649"/>
      <c r="E95" s="649"/>
      <c r="F95" s="649"/>
      <c r="G95" s="649"/>
      <c r="H95" s="649"/>
      <c r="I95" s="649"/>
      <c r="J95" s="649"/>
      <c r="K95" s="650" t="e">
        <f>H75+K34+H77+H78+H48+H80</f>
        <v>#VALUE!</v>
      </c>
      <c r="L95" s="656"/>
      <c r="M95" s="656"/>
      <c r="N95" s="560" t="s">
        <v>296</v>
      </c>
      <c r="O95" s="561"/>
      <c r="P95" s="209">
        <f>3.5*P88*35*52/12</f>
        <v>6115.2000000000007</v>
      </c>
      <c r="Q95" s="154"/>
      <c r="R95" s="155"/>
      <c r="S95" s="210">
        <f>ROUND(3.5*11.52*151.67,2)</f>
        <v>6115.33</v>
      </c>
    </row>
    <row r="96" spans="2:19" x14ac:dyDescent="0.25">
      <c r="B96" s="300"/>
      <c r="C96" s="304" t="s">
        <v>436</v>
      </c>
      <c r="D96" s="304" t="s">
        <v>437</v>
      </c>
      <c r="E96" s="657" t="s">
        <v>438</v>
      </c>
      <c r="F96" s="658"/>
      <c r="G96" s="657" t="s">
        <v>439</v>
      </c>
      <c r="H96" s="658"/>
      <c r="I96" s="397"/>
      <c r="J96" s="397"/>
      <c r="K96" s="305"/>
      <c r="L96" s="398"/>
      <c r="M96" s="398"/>
      <c r="N96" s="560" t="s">
        <v>297</v>
      </c>
      <c r="O96" s="561"/>
      <c r="P96" s="211">
        <v>0.31940000000000002</v>
      </c>
      <c r="Q96" s="212">
        <v>0.32340000000000002</v>
      </c>
      <c r="R96" s="149"/>
      <c r="S96" s="149"/>
    </row>
    <row r="97" spans="2:19" ht="21" x14ac:dyDescent="0.25">
      <c r="B97" s="399" t="s">
        <v>440</v>
      </c>
      <c r="C97" s="303">
        <f>I92</f>
        <v>0</v>
      </c>
      <c r="D97" s="423" t="e">
        <f>C97+'[1]MOIS 1 '!D97</f>
        <v>#VALUE!</v>
      </c>
      <c r="E97" s="304" t="s">
        <v>441</v>
      </c>
      <c r="F97" s="423">
        <v>30</v>
      </c>
      <c r="G97" s="304" t="s">
        <v>442</v>
      </c>
      <c r="H97" s="423">
        <f>'[1]Correction Suite '!F125</f>
        <v>0</v>
      </c>
      <c r="I97" s="304"/>
      <c r="J97" s="397"/>
      <c r="K97" s="305"/>
      <c r="L97" s="398"/>
      <c r="M97" s="398"/>
      <c r="N97" s="594"/>
      <c r="O97" s="594"/>
      <c r="P97" s="594"/>
      <c r="Q97" s="595"/>
      <c r="R97" s="169"/>
      <c r="S97" s="149"/>
    </row>
    <row r="98" spans="2:19" ht="24" x14ac:dyDescent="0.25">
      <c r="B98" s="400" t="s">
        <v>443</v>
      </c>
      <c r="C98" s="402">
        <f>D74</f>
        <v>0</v>
      </c>
      <c r="D98" s="423">
        <f>C98+'[1]MOIS 1 '!D98</f>
        <v>0</v>
      </c>
      <c r="E98" s="304" t="s">
        <v>444</v>
      </c>
      <c r="F98" s="413">
        <v>30</v>
      </c>
      <c r="G98" s="304" t="s">
        <v>445</v>
      </c>
      <c r="H98" s="423">
        <f>'[1]Correction Suite '!F128</f>
        <v>0</v>
      </c>
      <c r="I98" s="397"/>
      <c r="J98" s="397"/>
      <c r="K98" s="305"/>
      <c r="L98" s="398"/>
      <c r="M98" s="398"/>
      <c r="N98" s="560" t="s">
        <v>298</v>
      </c>
      <c r="O98" s="561"/>
      <c r="P98" s="183"/>
      <c r="Q98" s="184" t="s">
        <v>299</v>
      </c>
      <c r="R98" s="163"/>
      <c r="S98" s="149"/>
    </row>
    <row r="99" spans="2:19" ht="24" x14ac:dyDescent="0.25">
      <c r="B99" s="401" t="s">
        <v>446</v>
      </c>
      <c r="C99" s="402">
        <f>K34</f>
        <v>-576.04571428571444</v>
      </c>
      <c r="D99" s="423">
        <f>C99+'[1]MOIS 1 '!D99</f>
        <v>-576.04571428571444</v>
      </c>
      <c r="E99" s="304" t="s">
        <v>447</v>
      </c>
      <c r="F99" s="303">
        <v>0</v>
      </c>
      <c r="G99" s="304" t="s">
        <v>447</v>
      </c>
      <c r="H99" s="423">
        <f>H97+H98</f>
        <v>0</v>
      </c>
      <c r="I99" s="397"/>
      <c r="J99" s="397"/>
      <c r="K99" s="305"/>
      <c r="L99" s="398"/>
      <c r="M99" s="398"/>
      <c r="N99" s="560" t="s">
        <v>300</v>
      </c>
      <c r="O99" s="561"/>
      <c r="P99" s="183"/>
      <c r="Q99" s="184" t="s">
        <v>301</v>
      </c>
      <c r="R99" s="163"/>
      <c r="S99" s="149"/>
    </row>
    <row r="100" spans="2:19" x14ac:dyDescent="0.25">
      <c r="B100" s="401" t="s">
        <v>448</v>
      </c>
      <c r="C100" s="402">
        <f>+K88</f>
        <v>3415.3846153846152</v>
      </c>
      <c r="D100" s="423">
        <f>C100+'[1]MOIS 1 '!D100</f>
        <v>3415.3846153846152</v>
      </c>
      <c r="E100" s="397"/>
      <c r="F100" s="397"/>
      <c r="G100" s="397"/>
      <c r="H100" s="397"/>
      <c r="I100" s="397"/>
      <c r="J100" s="397"/>
      <c r="K100" s="305"/>
      <c r="L100" s="398"/>
      <c r="M100" s="398"/>
      <c r="N100" s="556" t="s">
        <v>302</v>
      </c>
      <c r="O100" s="557"/>
      <c r="P100" s="213">
        <v>7.18</v>
      </c>
      <c r="Q100" s="185"/>
      <c r="R100" s="168"/>
      <c r="S100" s="149"/>
    </row>
    <row r="101" spans="2:19" x14ac:dyDescent="0.25">
      <c r="B101" s="659" t="s">
        <v>449</v>
      </c>
      <c r="C101" s="659"/>
      <c r="D101" s="659"/>
      <c r="E101" s="659"/>
      <c r="F101" s="659"/>
      <c r="G101" s="287"/>
      <c r="H101" s="287"/>
      <c r="I101" s="287"/>
      <c r="J101" s="287"/>
      <c r="K101" s="287"/>
      <c r="L101" s="287"/>
      <c r="M101" s="287"/>
      <c r="N101" s="556" t="s">
        <v>303</v>
      </c>
      <c r="O101" s="557"/>
      <c r="P101" s="213">
        <v>86.4</v>
      </c>
      <c r="Q101" s="185"/>
      <c r="R101" s="168"/>
      <c r="S101" s="149"/>
    </row>
    <row r="102" spans="2:19" ht="40.5" customHeight="1" x14ac:dyDescent="0.25">
      <c r="B102" s="295" t="s">
        <v>450</v>
      </c>
      <c r="C102" s="287"/>
      <c r="D102" s="287"/>
      <c r="E102" s="287"/>
      <c r="F102" s="287"/>
      <c r="G102" s="287"/>
      <c r="H102" s="287"/>
      <c r="I102" s="287"/>
      <c r="J102" s="287"/>
      <c r="K102" s="287"/>
      <c r="L102" s="287"/>
      <c r="M102" s="287"/>
      <c r="N102" s="165"/>
      <c r="O102" s="149"/>
      <c r="P102" s="186"/>
      <c r="Q102" s="166"/>
      <c r="R102" s="155"/>
      <c r="S102" s="149"/>
    </row>
    <row r="103" spans="2:19" ht="15.75" x14ac:dyDescent="0.25">
      <c r="B103" s="287" t="s">
        <v>451</v>
      </c>
      <c r="C103" s="287"/>
      <c r="D103" s="287"/>
      <c r="E103" s="287"/>
      <c r="F103" s="287"/>
      <c r="G103" s="287"/>
      <c r="H103" s="287"/>
      <c r="I103" s="287"/>
      <c r="J103" s="287"/>
      <c r="K103" s="287"/>
      <c r="L103" s="287"/>
      <c r="M103" s="287"/>
      <c r="N103" s="167"/>
      <c r="O103" s="523" t="s">
        <v>304</v>
      </c>
      <c r="P103" s="523"/>
      <c r="Q103" s="517" t="s">
        <v>305</v>
      </c>
      <c r="R103" s="517"/>
      <c r="S103" s="149"/>
    </row>
    <row r="104" spans="2:19" ht="27" customHeight="1" x14ac:dyDescent="0.25">
      <c r="B104" s="295"/>
      <c r="C104" s="287"/>
      <c r="D104" s="287"/>
      <c r="E104" s="287"/>
      <c r="F104" s="287"/>
      <c r="G104" s="287"/>
      <c r="H104" s="287"/>
      <c r="I104" s="287"/>
      <c r="J104" s="287"/>
      <c r="K104" s="287"/>
      <c r="L104" s="287"/>
      <c r="M104" s="287"/>
      <c r="N104" s="167"/>
      <c r="O104" s="193" t="s">
        <v>306</v>
      </c>
      <c r="P104" s="193" t="s">
        <v>307</v>
      </c>
      <c r="Q104" s="193" t="s">
        <v>306</v>
      </c>
      <c r="R104" s="193" t="s">
        <v>307</v>
      </c>
      <c r="S104" s="149"/>
    </row>
    <row r="105" spans="2:19" ht="16.5" x14ac:dyDescent="0.3">
      <c r="B105" s="445" t="s">
        <v>452</v>
      </c>
      <c r="C105" s="324"/>
      <c r="D105" s="325">
        <v>7.4999999999999997E-3</v>
      </c>
      <c r="E105" s="320">
        <f>ROUND(K34*D105,2)</f>
        <v>-4.32</v>
      </c>
      <c r="F105" s="313"/>
      <c r="G105" s="446"/>
      <c r="H105" s="312"/>
      <c r="I105" s="288"/>
      <c r="J105" s="288"/>
      <c r="K105" s="287"/>
      <c r="L105" s="287"/>
      <c r="M105" s="287"/>
      <c r="N105" s="202" t="s">
        <v>258</v>
      </c>
      <c r="O105" s="194">
        <v>3.15E-2</v>
      </c>
      <c r="P105" s="195">
        <v>4.7199999999999999E-2</v>
      </c>
      <c r="Q105" s="194">
        <v>3.15E-2</v>
      </c>
      <c r="R105" s="195">
        <v>4.7199999999999999E-2</v>
      </c>
      <c r="S105" s="149"/>
    </row>
    <row r="106" spans="2:19" ht="16.5" x14ac:dyDescent="0.3">
      <c r="B106" s="445" t="s">
        <v>453</v>
      </c>
      <c r="C106" s="324"/>
      <c r="D106" s="326">
        <f>(2.4-0.95)%</f>
        <v>1.4499999999999999E-2</v>
      </c>
      <c r="E106" s="320">
        <f>ROUND(D63*D106,2)</f>
        <v>208.9</v>
      </c>
      <c r="F106" s="313"/>
      <c r="G106" s="447"/>
      <c r="H106" s="312"/>
      <c r="I106" s="288"/>
      <c r="J106" s="288"/>
      <c r="K106" s="288"/>
      <c r="L106" s="288"/>
      <c r="M106" s="288"/>
      <c r="N106" s="202" t="s">
        <v>308</v>
      </c>
      <c r="O106" s="194">
        <v>8.6E-3</v>
      </c>
      <c r="P106" s="194">
        <v>1.29E-2</v>
      </c>
      <c r="Q106" s="194">
        <v>8.6E-3</v>
      </c>
      <c r="R106" s="194">
        <v>1.29E-2</v>
      </c>
      <c r="S106" s="149"/>
    </row>
    <row r="107" spans="2:19" ht="16.5" x14ac:dyDescent="0.3">
      <c r="B107" s="448" t="s">
        <v>454</v>
      </c>
      <c r="C107" s="324"/>
      <c r="D107" s="312"/>
      <c r="E107" s="313">
        <f>E105+E106</f>
        <v>204.58</v>
      </c>
      <c r="F107" s="313"/>
      <c r="G107" s="447"/>
      <c r="H107" s="312"/>
      <c r="I107" s="288"/>
      <c r="J107" s="288"/>
      <c r="K107" s="288"/>
      <c r="L107" s="288"/>
      <c r="M107" s="288"/>
      <c r="N107" s="202" t="s">
        <v>309</v>
      </c>
      <c r="O107" s="148"/>
      <c r="P107" s="201"/>
      <c r="Q107" s="194">
        <v>1.4E-3</v>
      </c>
      <c r="R107" s="194">
        <v>2.0999999999999999E-3</v>
      </c>
      <c r="S107" s="149"/>
    </row>
    <row r="108" spans="2:19" ht="16.5" x14ac:dyDescent="0.3">
      <c r="B108" s="445" t="s">
        <v>455</v>
      </c>
      <c r="C108" s="315"/>
      <c r="D108" s="313"/>
      <c r="E108" s="313"/>
      <c r="F108" s="313"/>
      <c r="G108" s="449"/>
      <c r="H108" s="312"/>
      <c r="I108" s="288"/>
      <c r="J108" s="288"/>
      <c r="K108" s="288"/>
      <c r="L108" s="288"/>
      <c r="M108" s="288"/>
      <c r="N108" s="197" t="s">
        <v>310</v>
      </c>
      <c r="O108" s="198">
        <f>+O105+O106</f>
        <v>4.0099999999999997E-2</v>
      </c>
      <c r="P108" s="198">
        <f>+P105+P106</f>
        <v>6.0100000000000001E-2</v>
      </c>
      <c r="Q108" s="198">
        <f>SUM(Q105:Q107)</f>
        <v>4.1499999999999995E-2</v>
      </c>
      <c r="R108" s="198">
        <f>SUM(R105:R107)</f>
        <v>6.2199999999999998E-2</v>
      </c>
      <c r="S108" s="149"/>
    </row>
    <row r="109" spans="2:19" ht="16.5" x14ac:dyDescent="0.3">
      <c r="B109" s="445"/>
      <c r="C109" s="315"/>
      <c r="D109" s="313"/>
      <c r="E109" s="313"/>
      <c r="F109" s="313"/>
      <c r="G109" s="449"/>
      <c r="H109" s="312"/>
      <c r="I109" s="288"/>
      <c r="J109" s="288"/>
      <c r="K109" s="288"/>
      <c r="L109" s="288"/>
      <c r="M109" s="288"/>
      <c r="N109" s="199"/>
      <c r="O109" s="200"/>
      <c r="P109" s="200"/>
      <c r="Q109" s="200"/>
      <c r="R109" s="200"/>
      <c r="S109" s="149"/>
    </row>
    <row r="110" spans="2:19" ht="16.5" x14ac:dyDescent="0.3">
      <c r="B110" s="445" t="s">
        <v>456</v>
      </c>
      <c r="C110" s="327"/>
      <c r="D110" s="320">
        <v>1.7000000000000001E-2</v>
      </c>
      <c r="E110" s="320">
        <f>ROUND(D68*D110,2)</f>
        <v>0</v>
      </c>
      <c r="F110" s="313"/>
      <c r="G110" s="449"/>
      <c r="H110" s="312"/>
      <c r="I110" s="288"/>
      <c r="J110" s="288"/>
      <c r="K110" s="288"/>
      <c r="L110" s="288"/>
      <c r="M110" s="288"/>
      <c r="N110" s="167"/>
      <c r="O110" s="167"/>
      <c r="P110" s="196"/>
      <c r="Q110" s="193" t="s">
        <v>311</v>
      </c>
      <c r="R110" s="197" t="s">
        <v>307</v>
      </c>
      <c r="S110" s="149"/>
    </row>
    <row r="111" spans="2:19" ht="16.5" x14ac:dyDescent="0.3">
      <c r="B111" s="328"/>
      <c r="C111" s="329"/>
      <c r="D111" s="330"/>
      <c r="E111" s="330"/>
      <c r="F111" s="330"/>
      <c r="G111" s="331"/>
      <c r="H111" s="312"/>
      <c r="I111" s="288"/>
      <c r="J111" s="288"/>
      <c r="K111" s="288"/>
      <c r="L111" s="288"/>
      <c r="M111" s="288"/>
      <c r="N111" s="202" t="s">
        <v>259</v>
      </c>
      <c r="O111" s="167"/>
      <c r="P111" s="196"/>
      <c r="Q111" s="194">
        <v>8.6400000000000005E-2</v>
      </c>
      <c r="R111" s="194">
        <v>0.1295</v>
      </c>
      <c r="S111" s="149"/>
    </row>
    <row r="112" spans="2:19" ht="16.5" x14ac:dyDescent="0.3">
      <c r="B112" s="332" t="s">
        <v>457</v>
      </c>
      <c r="C112" s="333"/>
      <c r="D112" s="334"/>
      <c r="E112" s="334"/>
      <c r="F112" s="334"/>
      <c r="G112" s="335"/>
      <c r="H112" s="312"/>
      <c r="I112" s="288"/>
      <c r="J112" s="288"/>
      <c r="K112" s="288"/>
      <c r="L112" s="288"/>
      <c r="M112" s="288"/>
      <c r="N112" s="202" t="s">
        <v>312</v>
      </c>
      <c r="O112" s="167"/>
      <c r="P112" s="196"/>
      <c r="Q112" s="194">
        <v>1.0800000000000001E-2</v>
      </c>
      <c r="R112" s="194">
        <v>1.6199999999999999E-2</v>
      </c>
      <c r="S112" s="149"/>
    </row>
    <row r="113" spans="2:19" ht="16.5" x14ac:dyDescent="0.3">
      <c r="B113" s="450"/>
      <c r="C113" s="323"/>
      <c r="D113" s="336"/>
      <c r="E113" s="313"/>
      <c r="F113" s="313"/>
      <c r="G113" s="451"/>
      <c r="H113" s="312"/>
      <c r="I113" s="288"/>
      <c r="J113" s="288"/>
      <c r="K113" s="288"/>
      <c r="L113" s="288"/>
      <c r="M113" s="288"/>
      <c r="N113" s="202" t="s">
        <v>313</v>
      </c>
      <c r="O113" s="167"/>
      <c r="P113" s="196"/>
      <c r="Q113" s="194">
        <v>1.4E-3</v>
      </c>
      <c r="R113" s="194">
        <v>2.0999999999999999E-3</v>
      </c>
      <c r="S113" s="149"/>
    </row>
    <row r="114" spans="2:19" ht="16.5" x14ac:dyDescent="0.3">
      <c r="B114" s="445" t="s">
        <v>452</v>
      </c>
      <c r="C114" s="324"/>
      <c r="D114" s="325">
        <v>7.4999999999999997E-3</v>
      </c>
      <c r="E114" s="320">
        <f>ROUND(K34*D114,2)</f>
        <v>-4.32</v>
      </c>
      <c r="F114" s="312"/>
      <c r="G114" s="447"/>
      <c r="H114" s="312"/>
      <c r="I114" s="288"/>
      <c r="J114" s="288"/>
      <c r="K114" s="288"/>
      <c r="L114" s="288"/>
      <c r="M114" s="288"/>
      <c r="N114" s="197" t="s">
        <v>314</v>
      </c>
      <c r="O114" s="167"/>
      <c r="P114" s="196"/>
      <c r="Q114" s="198">
        <f>SUM(Q111:Q113)</f>
        <v>9.8600000000000007E-2</v>
      </c>
      <c r="R114" s="198">
        <f>SUM(R111:R113)</f>
        <v>0.14779999999999999</v>
      </c>
      <c r="S114" s="149"/>
    </row>
    <row r="115" spans="2:19" ht="16.5" x14ac:dyDescent="0.3">
      <c r="B115" s="445" t="s">
        <v>453</v>
      </c>
      <c r="C115" s="324"/>
      <c r="D115" s="326">
        <f>(2.4)%</f>
        <v>2.4E-2</v>
      </c>
      <c r="E115" s="320">
        <f>ROUND(D63*D115,2)</f>
        <v>345.76</v>
      </c>
      <c r="F115" s="337"/>
      <c r="G115" s="447"/>
      <c r="H115" s="312"/>
      <c r="I115" s="288"/>
      <c r="J115" s="288"/>
      <c r="K115" s="288"/>
      <c r="L115" s="288"/>
      <c r="M115" s="288"/>
      <c r="N115" s="152"/>
      <c r="O115" s="149"/>
      <c r="P115" s="187"/>
      <c r="Q115" s="188"/>
      <c r="R115" s="152"/>
      <c r="S115" s="149"/>
    </row>
    <row r="116" spans="2:19" ht="16.5" x14ac:dyDescent="0.3">
      <c r="B116" s="448" t="s">
        <v>458</v>
      </c>
      <c r="C116" s="324"/>
      <c r="D116" s="312"/>
      <c r="E116" s="313"/>
      <c r="F116" s="337"/>
      <c r="G116" s="447"/>
      <c r="H116" s="312"/>
      <c r="I116" s="288"/>
      <c r="J116" s="288"/>
      <c r="K116" s="288"/>
      <c r="L116" s="288"/>
      <c r="M116" s="288"/>
      <c r="N116" s="149"/>
      <c r="O116" s="149"/>
      <c r="P116" s="189"/>
      <c r="Q116" s="166"/>
      <c r="R116" s="155"/>
      <c r="S116" s="149"/>
    </row>
    <row r="117" spans="2:19" ht="16.5" x14ac:dyDescent="0.3">
      <c r="B117" s="445" t="s">
        <v>455</v>
      </c>
      <c r="C117" s="315"/>
      <c r="D117" s="313"/>
      <c r="E117" s="313"/>
      <c r="F117" s="338">
        <f>E115+E114-E119</f>
        <v>341.44</v>
      </c>
      <c r="G117" s="447"/>
      <c r="H117" s="312"/>
      <c r="I117" s="288"/>
      <c r="J117" s="288"/>
      <c r="K117" s="288"/>
      <c r="L117" s="288"/>
      <c r="M117" s="288"/>
      <c r="N117" s="518" t="s">
        <v>324</v>
      </c>
      <c r="O117" s="519"/>
      <c r="P117" s="520"/>
      <c r="Q117" s="166"/>
      <c r="R117" s="155"/>
      <c r="S117" s="149"/>
    </row>
    <row r="118" spans="2:19" ht="57" x14ac:dyDescent="0.3">
      <c r="B118" s="445"/>
      <c r="C118" s="315"/>
      <c r="D118" s="313"/>
      <c r="E118" s="313"/>
      <c r="F118" s="337"/>
      <c r="G118" s="447"/>
      <c r="H118" s="312"/>
      <c r="I118" s="288"/>
      <c r="J118" s="288"/>
      <c r="K118" s="288"/>
      <c r="L118" s="288"/>
      <c r="M118" s="288"/>
      <c r="N118" s="521" t="s">
        <v>315</v>
      </c>
      <c r="O118" s="522"/>
      <c r="P118" s="190" t="s">
        <v>316</v>
      </c>
      <c r="Q118" s="190" t="s">
        <v>317</v>
      </c>
      <c r="R118" s="155"/>
      <c r="S118" s="149"/>
    </row>
    <row r="119" spans="2:19" ht="16.5" x14ac:dyDescent="0.3">
      <c r="B119" s="445" t="s">
        <v>456</v>
      </c>
      <c r="C119" s="327"/>
      <c r="D119" s="320">
        <v>1.7000000000000001E-2</v>
      </c>
      <c r="E119" s="320">
        <f>ROUND(D68*D119,2)</f>
        <v>0</v>
      </c>
      <c r="F119" s="313"/>
      <c r="G119" s="447"/>
      <c r="H119" s="312"/>
      <c r="I119" s="288"/>
      <c r="J119" s="288"/>
      <c r="K119" s="288"/>
      <c r="L119" s="288"/>
      <c r="M119" s="288"/>
      <c r="N119" s="518" t="s">
        <v>318</v>
      </c>
      <c r="O119" s="520"/>
      <c r="P119" s="191" t="s">
        <v>319</v>
      </c>
      <c r="Q119" s="214">
        <v>3.2000000000000001E-2</v>
      </c>
      <c r="R119" s="155"/>
      <c r="S119" s="149"/>
    </row>
    <row r="120" spans="2:19" ht="16.5" x14ac:dyDescent="0.3">
      <c r="B120" s="339"/>
      <c r="C120" s="340"/>
      <c r="D120" s="341"/>
      <c r="E120" s="341"/>
      <c r="F120" s="341"/>
      <c r="G120" s="342"/>
      <c r="H120" s="312"/>
      <c r="I120" s="288"/>
      <c r="J120" s="288"/>
      <c r="K120" s="288"/>
      <c r="L120" s="288"/>
      <c r="M120" s="288"/>
      <c r="N120" s="518" t="s">
        <v>320</v>
      </c>
      <c r="O120" s="520"/>
      <c r="P120" s="191" t="s">
        <v>319</v>
      </c>
      <c r="Q120" s="214">
        <v>3.2000000000000001E-2</v>
      </c>
      <c r="R120" s="155"/>
      <c r="S120" s="149"/>
    </row>
    <row r="121" spans="2:19" ht="30" x14ac:dyDescent="0.3">
      <c r="B121" s="315"/>
      <c r="C121" s="324"/>
      <c r="D121" s="312"/>
      <c r="E121" s="313"/>
      <c r="F121" s="313"/>
      <c r="G121" s="312"/>
      <c r="H121" s="312"/>
      <c r="I121" s="288"/>
      <c r="J121" s="288"/>
      <c r="K121" s="288"/>
      <c r="L121" s="288"/>
      <c r="M121" s="288"/>
      <c r="N121" s="515" t="s">
        <v>321</v>
      </c>
      <c r="O121" s="515"/>
      <c r="P121" s="191" t="s">
        <v>322</v>
      </c>
      <c r="Q121" s="145"/>
      <c r="R121" s="147"/>
      <c r="S121" s="143"/>
    </row>
    <row r="122" spans="2:19" ht="16.5" x14ac:dyDescent="0.3">
      <c r="B122" s="289" t="s">
        <v>459</v>
      </c>
      <c r="C122" s="315"/>
      <c r="D122" s="312"/>
      <c r="E122" s="313"/>
      <c r="F122" s="313"/>
      <c r="G122" s="312"/>
      <c r="H122" s="312"/>
      <c r="I122" s="288"/>
      <c r="J122" s="288"/>
      <c r="K122" s="288"/>
      <c r="L122" s="288"/>
      <c r="M122" s="288"/>
      <c r="N122" s="516"/>
      <c r="O122" s="516"/>
      <c r="P122" s="215"/>
      <c r="Q122" s="145"/>
      <c r="R122" s="147"/>
      <c r="S122" s="143"/>
    </row>
    <row r="123" spans="2:19" ht="16.5" x14ac:dyDescent="0.3">
      <c r="B123" s="293" t="s">
        <v>460</v>
      </c>
      <c r="C123" s="349" t="s">
        <v>461</v>
      </c>
      <c r="D123" s="349" t="s">
        <v>367</v>
      </c>
      <c r="E123" s="349" t="s">
        <v>462</v>
      </c>
      <c r="F123" s="349" t="s">
        <v>463</v>
      </c>
      <c r="G123" s="306"/>
      <c r="H123" s="289"/>
      <c r="I123" s="289"/>
      <c r="J123" s="289"/>
      <c r="K123" s="288"/>
      <c r="L123" s="288"/>
      <c r="M123" s="288"/>
      <c r="N123" s="143" t="s">
        <v>323</v>
      </c>
      <c r="O123" s="143"/>
      <c r="P123" s="192"/>
      <c r="Q123" s="145"/>
      <c r="R123" s="147"/>
      <c r="S123" s="143"/>
    </row>
    <row r="124" spans="2:19" ht="15.75" x14ac:dyDescent="0.25">
      <c r="B124" s="307"/>
      <c r="C124" s="299"/>
      <c r="D124" s="308" t="s">
        <v>29</v>
      </c>
      <c r="E124" s="308" t="s">
        <v>464</v>
      </c>
      <c r="F124" s="308" t="s">
        <v>465</v>
      </c>
      <c r="G124" s="286"/>
      <c r="H124" s="286"/>
      <c r="I124" s="289"/>
      <c r="J124" s="289"/>
      <c r="K124" s="289"/>
      <c r="L124" s="289"/>
      <c r="M124" s="289"/>
      <c r="N124" s="149" t="s">
        <v>325</v>
      </c>
      <c r="O124" s="143"/>
      <c r="P124" s="192"/>
      <c r="Q124" s="145"/>
      <c r="R124" s="147"/>
      <c r="S124" s="143"/>
    </row>
    <row r="125" spans="2:19" ht="16.5" x14ac:dyDescent="0.3">
      <c r="B125" s="315"/>
      <c r="C125" s="315"/>
      <c r="D125" s="312"/>
      <c r="E125" s="313"/>
      <c r="F125" s="296">
        <f t="shared" ref="F125:F137" si="4">ROUND(D125*E125,2)</f>
        <v>0</v>
      </c>
      <c r="G125" s="286"/>
      <c r="H125" s="286"/>
      <c r="I125" s="289"/>
      <c r="J125" s="289"/>
      <c r="K125" s="289"/>
      <c r="L125" s="289"/>
      <c r="M125" s="289"/>
    </row>
    <row r="126" spans="2:19" ht="15.75" x14ac:dyDescent="0.25">
      <c r="B126" s="662" t="s">
        <v>466</v>
      </c>
      <c r="C126" s="663"/>
      <c r="D126" s="296">
        <f>IF(C10&lt;50,IF(K34&gt;D34,D34,K34),0)</f>
        <v>-576.04571428571444</v>
      </c>
      <c r="E126" s="297">
        <f>'[1]Table des Taux 2024'!F27</f>
        <v>0</v>
      </c>
      <c r="F126" s="296">
        <f t="shared" si="4"/>
        <v>0</v>
      </c>
      <c r="G126" s="286"/>
      <c r="H126" s="286"/>
      <c r="I126" s="289"/>
      <c r="J126" s="289"/>
      <c r="K126" s="289"/>
      <c r="L126" s="289"/>
      <c r="M126" s="289"/>
    </row>
    <row r="127" spans="2:19" ht="16.5" x14ac:dyDescent="0.3">
      <c r="B127" s="662" t="s">
        <v>467</v>
      </c>
      <c r="C127" s="663"/>
      <c r="D127" s="296">
        <f>IF(C10&gt;=50,K34,0)</f>
        <v>0</v>
      </c>
      <c r="E127" s="297" t="str">
        <f>'[1]Table des Taux 2024'!F28</f>
        <v>Tx applicable  Paris et Petite couronne à pa</v>
      </c>
      <c r="F127" s="296" t="e">
        <f t="shared" si="4"/>
        <v>#VALUE!</v>
      </c>
      <c r="G127" s="286"/>
      <c r="H127" s="312"/>
      <c r="I127" s="289"/>
      <c r="J127" s="289"/>
      <c r="K127" s="289"/>
      <c r="L127" s="289"/>
      <c r="M127" s="289"/>
    </row>
    <row r="128" spans="2:19" ht="16.5" x14ac:dyDescent="0.3">
      <c r="B128" s="662" t="s">
        <v>468</v>
      </c>
      <c r="C128" s="663"/>
      <c r="D128" s="296">
        <f>IF(C10&gt;=11,K34,0)</f>
        <v>0</v>
      </c>
      <c r="E128" s="429">
        <v>3.2000000000000001E-2</v>
      </c>
      <c r="F128" s="296">
        <f t="shared" si="4"/>
        <v>0</v>
      </c>
      <c r="G128" s="312"/>
      <c r="H128" s="286"/>
      <c r="I128" s="289"/>
      <c r="J128" s="289"/>
      <c r="K128" s="289"/>
      <c r="L128" s="289"/>
      <c r="M128" s="289"/>
    </row>
    <row r="129" spans="2:13" ht="15.75" x14ac:dyDescent="0.25">
      <c r="B129" s="660" t="s">
        <v>268</v>
      </c>
      <c r="C129" s="661"/>
      <c r="D129" s="296">
        <f>K34</f>
        <v>-576.04571428571444</v>
      </c>
      <c r="E129" s="297">
        <f>'[1]Table des Taux 2024'!F30</f>
        <v>0</v>
      </c>
      <c r="F129" s="296">
        <f t="shared" si="4"/>
        <v>0</v>
      </c>
      <c r="G129" s="286"/>
      <c r="H129" s="286"/>
      <c r="I129" s="289"/>
      <c r="J129" s="289"/>
      <c r="K129" s="289"/>
      <c r="L129" s="289"/>
      <c r="M129" s="289"/>
    </row>
    <row r="130" spans="2:13" ht="15.75" x14ac:dyDescent="0.25">
      <c r="B130" s="662" t="s">
        <v>469</v>
      </c>
      <c r="C130" s="663"/>
      <c r="D130" s="425">
        <f>IF(C10&gt;=11, IF(J10=2,H78+H44+H45+H48,H41+H42+H77),0)</f>
        <v>0</v>
      </c>
      <c r="E130" s="297">
        <f>'[1]Table des Taux 2024'!F31</f>
        <v>0</v>
      </c>
      <c r="F130" s="296">
        <f t="shared" si="4"/>
        <v>0</v>
      </c>
      <c r="G130" s="286"/>
      <c r="H130" s="286"/>
      <c r="I130" s="290"/>
      <c r="J130" s="290"/>
      <c r="K130" s="289"/>
      <c r="L130" s="289"/>
      <c r="M130" s="289"/>
    </row>
    <row r="131" spans="2:13" ht="15.75" x14ac:dyDescent="0.25">
      <c r="B131" s="661" t="s">
        <v>469</v>
      </c>
      <c r="C131" s="664"/>
      <c r="D131" s="425">
        <f>G86</f>
        <v>3415.3846153846152</v>
      </c>
      <c r="E131" s="429">
        <v>0.3</v>
      </c>
      <c r="F131" s="425">
        <f t="shared" si="4"/>
        <v>1024.6199999999999</v>
      </c>
      <c r="G131" s="286"/>
      <c r="H131" s="286"/>
      <c r="I131" s="290"/>
      <c r="J131" s="290"/>
      <c r="K131" s="290"/>
      <c r="L131" s="290"/>
      <c r="M131" s="290"/>
    </row>
    <row r="132" spans="2:13" ht="15.75" x14ac:dyDescent="0.25">
      <c r="B132" s="660" t="s">
        <v>271</v>
      </c>
      <c r="C132" s="661"/>
      <c r="D132" s="296">
        <f>+K34</f>
        <v>-576.04571428571444</v>
      </c>
      <c r="E132" s="297">
        <f>'[1]Table des Taux 2024'!F33</f>
        <v>0</v>
      </c>
      <c r="F132" s="296">
        <f t="shared" si="4"/>
        <v>0</v>
      </c>
      <c r="G132" s="286"/>
      <c r="H132" s="286"/>
      <c r="I132" s="290"/>
      <c r="J132" s="290"/>
      <c r="K132" s="290"/>
      <c r="L132" s="290"/>
      <c r="M132" s="290"/>
    </row>
    <row r="133" spans="2:13" ht="15.75" x14ac:dyDescent="0.25">
      <c r="B133" s="660" t="s">
        <v>272</v>
      </c>
      <c r="C133" s="661"/>
      <c r="D133" s="296">
        <f>D132</f>
        <v>-576.04571428571444</v>
      </c>
      <c r="E133" s="297">
        <f>'[1]Table des Taux 2024'!F34</f>
        <v>0</v>
      </c>
      <c r="F133" s="296">
        <f t="shared" si="4"/>
        <v>0</v>
      </c>
      <c r="G133" s="286"/>
      <c r="H133" s="286"/>
      <c r="I133" s="290"/>
      <c r="J133" s="290"/>
      <c r="K133" s="290"/>
      <c r="L133" s="290"/>
      <c r="M133" s="290"/>
    </row>
    <row r="134" spans="2:13" ht="15.75" x14ac:dyDescent="0.25">
      <c r="B134" s="661" t="s">
        <v>470</v>
      </c>
      <c r="C134" s="664"/>
      <c r="D134" s="424"/>
      <c r="E134" s="297">
        <v>0.01</v>
      </c>
      <c r="F134" s="296">
        <f t="shared" si="4"/>
        <v>0</v>
      </c>
      <c r="G134" s="286"/>
      <c r="H134" s="286"/>
      <c r="I134" s="290"/>
      <c r="J134" s="290"/>
      <c r="K134" s="290"/>
      <c r="L134" s="290"/>
      <c r="M134" s="290"/>
    </row>
    <row r="135" spans="2:13" ht="15.75" x14ac:dyDescent="0.25">
      <c r="B135" s="660" t="s">
        <v>471</v>
      </c>
      <c r="C135" s="661"/>
      <c r="D135" s="296">
        <f>IF(C10&lt;11,0,K34)</f>
        <v>0</v>
      </c>
      <c r="E135" s="297">
        <f>'[1]Table des Taux 2024'!F35</f>
        <v>0</v>
      </c>
      <c r="F135" s="296">
        <f t="shared" si="4"/>
        <v>0</v>
      </c>
      <c r="G135" s="286"/>
      <c r="H135" s="286"/>
      <c r="I135" s="290"/>
      <c r="J135" s="290"/>
      <c r="K135" s="290"/>
      <c r="L135" s="290"/>
      <c r="M135" s="290"/>
    </row>
    <row r="136" spans="2:13" ht="15.75" x14ac:dyDescent="0.25">
      <c r="B136" s="660" t="s">
        <v>471</v>
      </c>
      <c r="C136" s="661"/>
      <c r="D136" s="296">
        <f>IF(C10&gt;=11,0,K34)</f>
        <v>-576.04571428571444</v>
      </c>
      <c r="E136" s="297">
        <f>'[1]Table des Taux 2024'!F36</f>
        <v>0</v>
      </c>
      <c r="F136" s="296">
        <f t="shared" si="4"/>
        <v>0</v>
      </c>
      <c r="G136" s="286"/>
      <c r="H136" s="286"/>
      <c r="I136" s="290"/>
      <c r="J136" s="290"/>
      <c r="K136" s="290"/>
      <c r="L136" s="290"/>
      <c r="M136" s="290"/>
    </row>
    <row r="137" spans="2:13" ht="15.75" x14ac:dyDescent="0.25">
      <c r="B137" s="660" t="s">
        <v>274</v>
      </c>
      <c r="C137" s="661"/>
      <c r="D137" s="296">
        <f>IF(C10&lt;50,0,K34)</f>
        <v>0</v>
      </c>
      <c r="E137" s="297">
        <f>'[1]Table des Taux 2024'!F37</f>
        <v>0</v>
      </c>
      <c r="F137" s="296">
        <f t="shared" si="4"/>
        <v>0</v>
      </c>
      <c r="G137" s="286"/>
      <c r="H137" s="286"/>
      <c r="I137" s="290"/>
      <c r="J137" s="290"/>
      <c r="K137" s="290"/>
      <c r="L137" s="290"/>
      <c r="M137" s="290"/>
    </row>
    <row r="138" spans="2:13" ht="15.75" x14ac:dyDescent="0.25">
      <c r="B138" s="290"/>
      <c r="C138" s="290"/>
      <c r="D138" s="286"/>
      <c r="E138" s="290"/>
      <c r="F138" s="296" t="e">
        <f>SUM(F126:F137)</f>
        <v>#VALUE!</v>
      </c>
      <c r="G138" s="286"/>
      <c r="H138" s="290"/>
      <c r="I138" s="290"/>
      <c r="J138" s="290"/>
      <c r="K138" s="290"/>
      <c r="L138" s="290"/>
      <c r="M138" s="290"/>
    </row>
    <row r="139" spans="2:13" ht="16.5" x14ac:dyDescent="0.3">
      <c r="B139" s="315"/>
      <c r="C139" s="315"/>
      <c r="D139" s="312"/>
      <c r="E139" s="313"/>
      <c r="F139" s="313"/>
      <c r="G139" s="312"/>
      <c r="H139" s="312"/>
      <c r="I139" s="288"/>
      <c r="J139" s="288"/>
      <c r="K139" s="290"/>
      <c r="L139" s="290"/>
      <c r="M139" s="290"/>
    </row>
    <row r="140" spans="2:13" ht="16.5" x14ac:dyDescent="0.3">
      <c r="B140" s="315"/>
      <c r="C140" s="315"/>
      <c r="D140" s="312"/>
      <c r="E140" s="313"/>
      <c r="F140" s="313"/>
      <c r="G140" s="312"/>
      <c r="H140" s="312"/>
      <c r="I140" s="288"/>
      <c r="J140" s="288"/>
      <c r="K140" s="288"/>
      <c r="L140" s="288"/>
      <c r="M140" s="288"/>
    </row>
  </sheetData>
  <mergeCells count="199">
    <mergeCell ref="B135:C135"/>
    <mergeCell ref="B136:C136"/>
    <mergeCell ref="B137:C137"/>
    <mergeCell ref="B126:C126"/>
    <mergeCell ref="B127:C127"/>
    <mergeCell ref="B128:C128"/>
    <mergeCell ref="B129:C129"/>
    <mergeCell ref="B130:C130"/>
    <mergeCell ref="B131:C131"/>
    <mergeCell ref="B132:C132"/>
    <mergeCell ref="B133:C133"/>
    <mergeCell ref="B134:C134"/>
    <mergeCell ref="B93:J93"/>
    <mergeCell ref="K93:M93"/>
    <mergeCell ref="B94:J94"/>
    <mergeCell ref="K94:M94"/>
    <mergeCell ref="B95:J95"/>
    <mergeCell ref="K95:M95"/>
    <mergeCell ref="E96:F96"/>
    <mergeCell ref="G96:H96"/>
    <mergeCell ref="B101:F101"/>
    <mergeCell ref="B89:J89"/>
    <mergeCell ref="K89:L89"/>
    <mergeCell ref="B90:J90"/>
    <mergeCell ref="B91:D92"/>
    <mergeCell ref="E91:F91"/>
    <mergeCell ref="G91:H91"/>
    <mergeCell ref="K91:L91"/>
    <mergeCell ref="E92:F92"/>
    <mergeCell ref="G92:H92"/>
    <mergeCell ref="B81:C81"/>
    <mergeCell ref="B82:C82"/>
    <mergeCell ref="B83:C83"/>
    <mergeCell ref="B84:C84"/>
    <mergeCell ref="B85:C85"/>
    <mergeCell ref="B86:C86"/>
    <mergeCell ref="B87:J87"/>
    <mergeCell ref="K87:M87"/>
    <mergeCell ref="B88:J88"/>
    <mergeCell ref="K88:M88"/>
    <mergeCell ref="B71:C71"/>
    <mergeCell ref="B72:C72"/>
    <mergeCell ref="B73:C73"/>
    <mergeCell ref="B74:C74"/>
    <mergeCell ref="B75:C75"/>
    <mergeCell ref="B76:C76"/>
    <mergeCell ref="B77:C77"/>
    <mergeCell ref="B78:C78"/>
    <mergeCell ref="B80:C80"/>
    <mergeCell ref="B62:C62"/>
    <mergeCell ref="B63:C63"/>
    <mergeCell ref="B64:C64"/>
    <mergeCell ref="B65:C65"/>
    <mergeCell ref="B66:C66"/>
    <mergeCell ref="B67:C67"/>
    <mergeCell ref="B68:C68"/>
    <mergeCell ref="B69:C69"/>
    <mergeCell ref="B70:C70"/>
    <mergeCell ref="B54:C54"/>
    <mergeCell ref="B55:C55"/>
    <mergeCell ref="B56:C56"/>
    <mergeCell ref="B57:C57"/>
    <mergeCell ref="B58:C58"/>
    <mergeCell ref="B59:C59"/>
    <mergeCell ref="J59:K59"/>
    <mergeCell ref="B60:C60"/>
    <mergeCell ref="B61:C61"/>
    <mergeCell ref="B45:C45"/>
    <mergeCell ref="B46:C46"/>
    <mergeCell ref="B47:C47"/>
    <mergeCell ref="B48:C48"/>
    <mergeCell ref="B50:C50"/>
    <mergeCell ref="B51:C51"/>
    <mergeCell ref="B52:C52"/>
    <mergeCell ref="B53:C53"/>
    <mergeCell ref="B37:C37"/>
    <mergeCell ref="D37:H37"/>
    <mergeCell ref="B38:C38"/>
    <mergeCell ref="B39:C39"/>
    <mergeCell ref="B40:C40"/>
    <mergeCell ref="B41:C41"/>
    <mergeCell ref="B42:C42"/>
    <mergeCell ref="B43:C43"/>
    <mergeCell ref="B44:C44"/>
    <mergeCell ref="B28:G28"/>
    <mergeCell ref="B29:G29"/>
    <mergeCell ref="B30:G30"/>
    <mergeCell ref="B31:G31"/>
    <mergeCell ref="B33:G33"/>
    <mergeCell ref="B34:C34"/>
    <mergeCell ref="E34:J34"/>
    <mergeCell ref="B35:K35"/>
    <mergeCell ref="B36:C36"/>
    <mergeCell ref="N99:O99"/>
    <mergeCell ref="N100:O100"/>
    <mergeCell ref="N101:O101"/>
    <mergeCell ref="N98:O98"/>
    <mergeCell ref="N79:O79"/>
    <mergeCell ref="N80:O80"/>
    <mergeCell ref="N81:O81"/>
    <mergeCell ref="N82:O82"/>
    <mergeCell ref="N83:O83"/>
    <mergeCell ref="N84:O84"/>
    <mergeCell ref="N85:Q85"/>
    <mergeCell ref="N86:O86"/>
    <mergeCell ref="N87:O87"/>
    <mergeCell ref="N88:O88"/>
    <mergeCell ref="N90:O90"/>
    <mergeCell ref="N93:O93"/>
    <mergeCell ref="N94:O94"/>
    <mergeCell ref="N95:O95"/>
    <mergeCell ref="N96:O96"/>
    <mergeCell ref="N97:Q97"/>
    <mergeCell ref="N91:O91"/>
    <mergeCell ref="N48:O48"/>
    <mergeCell ref="N49:O49"/>
    <mergeCell ref="N50:O50"/>
    <mergeCell ref="R40:R41"/>
    <mergeCell ref="N41:O41"/>
    <mergeCell ref="N42:Q42"/>
    <mergeCell ref="N43:O43"/>
    <mergeCell ref="N44:O44"/>
    <mergeCell ref="N55:O55"/>
    <mergeCell ref="N56:O56"/>
    <mergeCell ref="N57:O57"/>
    <mergeCell ref="N58:O58"/>
    <mergeCell ref="N59:O59"/>
    <mergeCell ref="N61:O61"/>
    <mergeCell ref="N63:O63"/>
    <mergeCell ref="N64:O64"/>
    <mergeCell ref="N65:O65"/>
    <mergeCell ref="N67:O67"/>
    <mergeCell ref="N68:O68"/>
    <mergeCell ref="N73:O73"/>
    <mergeCell ref="N74:O74"/>
    <mergeCell ref="N75:O75"/>
    <mergeCell ref="N76:O76"/>
    <mergeCell ref="N77:O77"/>
    <mergeCell ref="N36:O36"/>
    <mergeCell ref="N37:O37"/>
    <mergeCell ref="N38:O38"/>
    <mergeCell ref="N39:O39"/>
    <mergeCell ref="N40:O40"/>
    <mergeCell ref="N51:Q51"/>
    <mergeCell ref="N52:O52"/>
    <mergeCell ref="N53:O53"/>
    <mergeCell ref="N54:O54"/>
    <mergeCell ref="N45:O45"/>
    <mergeCell ref="N46:O46"/>
    <mergeCell ref="N47:O47"/>
    <mergeCell ref="N62:O62"/>
    <mergeCell ref="N78:Q78"/>
    <mergeCell ref="B32:G32"/>
    <mergeCell ref="B2:K2"/>
    <mergeCell ref="B3:E3"/>
    <mergeCell ref="G3:K3"/>
    <mergeCell ref="C4:E4"/>
    <mergeCell ref="H4:K4"/>
    <mergeCell ref="C5:E5"/>
    <mergeCell ref="H5:K5"/>
    <mergeCell ref="C6:E6"/>
    <mergeCell ref="H6:K6"/>
    <mergeCell ref="C7:E7"/>
    <mergeCell ref="H7:K7"/>
    <mergeCell ref="C8:E8"/>
    <mergeCell ref="H8:K8"/>
    <mergeCell ref="C9:E9"/>
    <mergeCell ref="H9:K9"/>
    <mergeCell ref="D10:E10"/>
    <mergeCell ref="G10:H10"/>
    <mergeCell ref="G11:H11"/>
    <mergeCell ref="N69:O69"/>
    <mergeCell ref="N70:O70"/>
    <mergeCell ref="N71:O71"/>
    <mergeCell ref="N72:O72"/>
    <mergeCell ref="N121:O121"/>
    <mergeCell ref="N122:O122"/>
    <mergeCell ref="Q103:R103"/>
    <mergeCell ref="N117:P117"/>
    <mergeCell ref="N118:O118"/>
    <mergeCell ref="N119:O119"/>
    <mergeCell ref="N120:O120"/>
    <mergeCell ref="O103:P103"/>
    <mergeCell ref="C12:E12"/>
    <mergeCell ref="B13:K13"/>
    <mergeCell ref="B14:G14"/>
    <mergeCell ref="B15:G15"/>
    <mergeCell ref="B16:G16"/>
    <mergeCell ref="B17:G17"/>
    <mergeCell ref="B18:G18"/>
    <mergeCell ref="B19:G19"/>
    <mergeCell ref="B20:G20"/>
    <mergeCell ref="B21:G21"/>
    <mergeCell ref="B22:G22"/>
    <mergeCell ref="B23:G23"/>
    <mergeCell ref="B24:G24"/>
    <mergeCell ref="B25:G25"/>
    <mergeCell ref="B26:G26"/>
    <mergeCell ref="B27:G27"/>
  </mergeCells>
  <dataValidations count="1">
    <dataValidation operator="equal" allowBlank="1" showErrorMessage="1" errorTitle="Smic minimum" error="attention tatal brut au minimum égal au smic pour 151,67 h" sqref="K34:M34">
      <formula1>0</formula1>
      <formula2>0</formula2>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93"/>
  <sheetViews>
    <sheetView zoomScale="55" zoomScaleNormal="55" workbookViewId="0">
      <selection activeCell="G34" sqref="G34"/>
    </sheetView>
  </sheetViews>
  <sheetFormatPr defaultColWidth="11.42578125" defaultRowHeight="15" x14ac:dyDescent="0.25"/>
  <cols>
    <col min="1" max="1" width="19.85546875" style="31" customWidth="1"/>
    <col min="2" max="2" width="11.85546875" style="31" customWidth="1"/>
    <col min="3" max="3" width="11.7109375" style="31" customWidth="1"/>
    <col min="4" max="4" width="27" style="31" customWidth="1"/>
    <col min="5" max="5" width="29" style="31" customWidth="1"/>
    <col min="6" max="6" width="26.28515625" style="31" customWidth="1"/>
    <col min="7" max="7" width="28" style="31" customWidth="1"/>
    <col min="8" max="8" width="27.85546875" style="31" customWidth="1"/>
    <col min="9" max="9" width="24.85546875" style="31" customWidth="1"/>
    <col min="10" max="10" width="23.28515625" style="31" customWidth="1"/>
    <col min="11" max="11" width="20.7109375" style="31" customWidth="1"/>
    <col min="12" max="12" width="28.5703125" style="31" customWidth="1"/>
    <col min="13" max="13" width="18.5703125" style="31" customWidth="1"/>
    <col min="14" max="14" width="14" style="31" customWidth="1"/>
    <col min="15" max="16384" width="11.42578125" style="31"/>
  </cols>
  <sheetData>
    <row r="1" spans="1:14" x14ac:dyDescent="0.25">
      <c r="A1" s="240" t="s">
        <v>200</v>
      </c>
    </row>
    <row r="2" spans="1:14" x14ac:dyDescent="0.25">
      <c r="A2" s="284" t="s">
        <v>169</v>
      </c>
      <c r="E2" s="241" t="s">
        <v>168</v>
      </c>
      <c r="G2" s="241" t="s">
        <v>89</v>
      </c>
      <c r="I2" s="117"/>
      <c r="J2" s="117"/>
      <c r="K2" s="117" t="s">
        <v>196</v>
      </c>
      <c r="L2" s="117" t="s">
        <v>197</v>
      </c>
      <c r="M2" s="117" t="s">
        <v>192</v>
      </c>
      <c r="N2" s="124" t="s">
        <v>213</v>
      </c>
    </row>
    <row r="3" spans="1:14" ht="15.75" x14ac:dyDescent="0.25">
      <c r="A3" s="284" t="s">
        <v>169</v>
      </c>
      <c r="B3" s="242" t="s">
        <v>107</v>
      </c>
      <c r="C3" s="117" t="s">
        <v>108</v>
      </c>
      <c r="D3" s="243">
        <f>IF(B27&lt;18,27%,IF(AND(B27&gt;=18,B27&lt;21),43%,IF(AND(B27&gt;=21,B27&lt;26),53%,100%)))</f>
        <v>0.27</v>
      </c>
      <c r="E3" s="31" t="s">
        <v>120</v>
      </c>
      <c r="F3" s="31" t="s">
        <v>122</v>
      </c>
      <c r="G3" s="31" t="s">
        <v>149</v>
      </c>
      <c r="I3" s="31" t="s">
        <v>188</v>
      </c>
      <c r="J3" s="117" t="s">
        <v>193</v>
      </c>
      <c r="K3" s="119" t="str">
        <f>IF(I22="Oui",IF((K23="Oui"),(((((((0.2*I25)+I28+I29)*K30)/K29)+IF(I31="",I31=0,I31))/12)-K22),((((((0.2*I25)+I28+I29)*K30)/K29)/12)-K22)),"")</f>
        <v/>
      </c>
      <c r="L3" s="119" t="str">
        <f>IF(I22="Oui",IF((K23="Oui"),(((((((0.1*I25)+I28+I29)*K30)/K29)+IF(I31="",I31=0,I31))/12)-K22),((((((0.1*I25)+I28+I29)*K30)/K29)/12)-K22)),"")</f>
        <v/>
      </c>
      <c r="M3" s="119" t="str">
        <f>IF(I22="Oui",IF((K23="Oui"),((((((I25+I28+I29)*K30)/K29)+IF(I31="",I31=0,I31))/12)-K22),(((((I25+I28+I29)*K30)/K29)/12)-K22)),"")</f>
        <v/>
      </c>
      <c r="N3" s="119" t="str">
        <f ca="1" xml:space="preserve"> IF(I5&lt;5,(IF(M3&gt;K3,K3,M3)),(IF(M3&gt;L3,L3,M3)))</f>
        <v/>
      </c>
    </row>
    <row r="4" spans="1:14" x14ac:dyDescent="0.25">
      <c r="A4" s="284" t="s">
        <v>169</v>
      </c>
      <c r="B4" s="117"/>
      <c r="C4" s="117" t="s">
        <v>109</v>
      </c>
      <c r="D4" s="243">
        <f>IF(B27&lt;18,39%,IF(AND(B27&gt;=18,B27&lt;21),51%,IF(AND(B27&gt;=21,B27&lt;26),61%,100%)))</f>
        <v>0.39</v>
      </c>
      <c r="E4" s="31" t="s">
        <v>119</v>
      </c>
      <c r="F4" s="31" t="s">
        <v>121</v>
      </c>
      <c r="G4" s="31" t="s">
        <v>150</v>
      </c>
      <c r="I4" s="31" t="s">
        <v>187</v>
      </c>
      <c r="J4" s="31" t="s">
        <v>195</v>
      </c>
      <c r="K4" s="119" t="str">
        <f>(IF(I22="Oui",(IF((((0.2*I25)+I28+I29)*K30)/K29&lt;1964.9,(((0.5*((0.2*I25)+I28+I29))*K30)/K29)/12,(((((0.2*I25)+I28+I29)-1964.9)*K30)/K29)/12)),""))</f>
        <v/>
      </c>
      <c r="L4" s="119" t="str">
        <f>(IF(I22="Oui",(IF(((0.1*I25)+I28+I29)&lt;1964.9,(((0.5*((0.1*I25)+I28+I29))*K30)/K29)/12,(((((0.1*I25)+I28+I29)-1964.9)*K30)/K29)/12)),""))</f>
        <v/>
      </c>
      <c r="M4" s="119" t="str">
        <f>(IF(I22="Oui",(IF((I25+I28+I29)&lt;1964.9,(((0.5*(I25+I28+I29))*K30)/K29)/12,((((I25+I28+I29)-1964.9)*K30)/K29)/12)),""))</f>
        <v/>
      </c>
      <c r="N4" s="68" t="str">
        <f ca="1" xml:space="preserve"> IF(I5&lt;5,(IF(M4&gt;K4,K4,M4)),(IF(M4&gt;L4,L4,M4)))</f>
        <v/>
      </c>
    </row>
    <row r="5" spans="1:14" x14ac:dyDescent="0.25">
      <c r="A5" s="284" t="s">
        <v>169</v>
      </c>
      <c r="B5" s="117"/>
      <c r="C5" s="117" t="s">
        <v>110</v>
      </c>
      <c r="D5" s="243">
        <f>IF(B27&lt;18,55%,IF(AND(B27&gt;=18,B27&lt;21),67%,IF(AND(B27&gt;=21,B27&lt;26),78%,100%)))</f>
        <v>0.55000000000000004</v>
      </c>
      <c r="E5" s="31" t="s">
        <v>118</v>
      </c>
      <c r="G5" s="31" t="s">
        <v>159</v>
      </c>
      <c r="I5" s="225">
        <f ca="1">IF(I26="","",YEARFRAC(I26,TODAY()))</f>
        <v>2.7777777777777779E-3</v>
      </c>
      <c r="J5" s="117"/>
      <c r="K5" s="117"/>
      <c r="L5" s="117"/>
      <c r="M5" s="137"/>
      <c r="N5" s="119"/>
    </row>
    <row r="6" spans="1:14" x14ac:dyDescent="0.25">
      <c r="A6" s="284" t="s">
        <v>169</v>
      </c>
      <c r="E6" s="31" t="s">
        <v>151</v>
      </c>
      <c r="F6" s="31" t="s">
        <v>328</v>
      </c>
      <c r="G6" s="31" t="s">
        <v>151</v>
      </c>
      <c r="I6" s="117"/>
      <c r="J6" s="117" t="s">
        <v>194</v>
      </c>
      <c r="K6" s="118" t="str">
        <f>IF(I22="Oui",(IF(K23="Oui",(IF(OR(K31=0,K31=""),((0.12*I25)/12),((0.09*I25)+K31)/12)),(0.09*I25)/12)),"")</f>
        <v/>
      </c>
      <c r="L6" s="118" t="str">
        <f>IF(I22="Oui",(IF(K23="Oui",(IF(OR(K31=0,K31=""),((0.09*I25)/12),((0.06*I25)+K31)/12)),(0.06*I25)/12)),"")</f>
        <v/>
      </c>
      <c r="M6" s="119" t="str">
        <f>IF(I22="Oui",(IF(K23="Oui",(IF(OR(K31=0,K31=""),(0.4*(I25+I28+I29+I30))/12,((0.3*(I25+I28+I29+I30))+K31)/12)),(0.3*(I25+I28+I29+I30))/12)),"")</f>
        <v/>
      </c>
      <c r="N6" s="119" t="str">
        <f ca="1" xml:space="preserve"> IF(I5&lt;5,(IF(M6&gt;K6,K6,M6)),(IF(M6&gt;L6,L6,M6)))</f>
        <v/>
      </c>
    </row>
    <row r="7" spans="1:14" x14ac:dyDescent="0.25">
      <c r="A7" s="284" t="s">
        <v>169</v>
      </c>
      <c r="E7" s="31" t="s">
        <v>170</v>
      </c>
      <c r="F7" s="31" t="s">
        <v>329</v>
      </c>
      <c r="G7" s="31" t="s">
        <v>152</v>
      </c>
      <c r="I7" s="117"/>
      <c r="J7" s="124" t="s">
        <v>195</v>
      </c>
      <c r="K7" s="119" t="str">
        <f>IF(I22="Oui",(IF((0.09*I25)&lt;1964.9,((0.09*I25)*0.5)/12,((0.09*I25)-1964.9)/12)),"")</f>
        <v/>
      </c>
      <c r="L7" s="119" t="str">
        <f>IF(I22="Oui",(IF((0.06*I25)&lt;1964.9,((0.06*I25)*0.5)/12,((0.06*I25)-1964.9)/12)),"")</f>
        <v/>
      </c>
      <c r="M7" s="119" t="str">
        <f>IF(I22="Oui",(IF((0.3*I25)&lt;1964.9,((0.3*I25)*0.5)/12,((0.3*I25)-1964.9)/12)),"")</f>
        <v/>
      </c>
      <c r="N7" s="119" t="str">
        <f ca="1" xml:space="preserve"> IF(I5&lt;5,(IF(M7&gt;K7,K7,M7)),(IF(M7&gt;L7,L7,M7)))</f>
        <v/>
      </c>
    </row>
    <row r="8" spans="1:14" x14ac:dyDescent="0.25">
      <c r="A8" s="284" t="s">
        <v>169</v>
      </c>
      <c r="I8" s="117"/>
      <c r="J8" s="124"/>
      <c r="K8" s="119"/>
      <c r="L8" s="119"/>
      <c r="M8" s="119"/>
      <c r="N8" s="119"/>
    </row>
    <row r="9" spans="1:14" ht="15.75" x14ac:dyDescent="0.25">
      <c r="A9" s="284" t="s">
        <v>169</v>
      </c>
      <c r="E9" s="242" t="s">
        <v>101</v>
      </c>
      <c r="F9" s="117"/>
      <c r="G9" s="117"/>
      <c r="H9" s="31" t="s">
        <v>139</v>
      </c>
      <c r="I9" s="117" t="s">
        <v>140</v>
      </c>
      <c r="J9" s="117" t="s">
        <v>22</v>
      </c>
      <c r="K9" s="119"/>
      <c r="L9" s="119"/>
      <c r="M9" s="119"/>
      <c r="N9" s="119"/>
    </row>
    <row r="10" spans="1:14" x14ac:dyDescent="0.25">
      <c r="A10" s="284" t="s">
        <v>169</v>
      </c>
      <c r="E10" s="244" t="s">
        <v>116</v>
      </c>
      <c r="F10" s="125">
        <f>IF(OR(E29="Cadre",E29="Cadre dirigeant"),0,                 IF(OR(E31=0,E31=""),151.67,E31*151.67))</f>
        <v>86.668571428571411</v>
      </c>
      <c r="G10" s="117" t="s">
        <v>333</v>
      </c>
      <c r="H10" s="31">
        <f>G30</f>
        <v>0</v>
      </c>
      <c r="I10" s="122">
        <f>IF(OR(F11="",F11=0),"",F11)</f>
        <v>6.657155416012559</v>
      </c>
      <c r="J10" s="122">
        <f>IF(OR(I10=0,I10=""),"",((H10*7)*I10))</f>
        <v>0</v>
      </c>
      <c r="K10" s="119"/>
    </row>
    <row r="11" spans="1:14" x14ac:dyDescent="0.25">
      <c r="A11" s="284" t="s">
        <v>169</v>
      </c>
      <c r="E11" s="117" t="s">
        <v>113</v>
      </c>
      <c r="F11" s="464">
        <f>(G28*(IF(OR(E31=0,E31=""),100%,E31)))+(G29*(IF(OR(E31=0,E31=""),100%,E31)))</f>
        <v>6.657155416012559</v>
      </c>
      <c r="G11" s="117" t="s">
        <v>334</v>
      </c>
      <c r="H11" s="34">
        <f>IF(E30="35h",0,(17.33*((21.67-G30)/21.67)))</f>
        <v>0</v>
      </c>
      <c r="I11" s="122">
        <f>IF(OR(F11="",F11=0),"",F11*1.25)</f>
        <v>8.3214442700156983</v>
      </c>
      <c r="J11" s="122">
        <f>IF(I11="","",I11*H11)</f>
        <v>0</v>
      </c>
      <c r="K11" s="119"/>
    </row>
    <row r="12" spans="1:14" x14ac:dyDescent="0.25">
      <c r="A12" s="284" t="s">
        <v>169</v>
      </c>
      <c r="E12" s="117" t="s">
        <v>154</v>
      </c>
      <c r="F12" s="119">
        <f>(IF(E29="Apprenti",    ((IF(B31&lt;1,D3,IF(AND(B31&gt;1,B31&lt;2),D4,D5)))*C13),               (IF(OR(E29="Cadre",E29="Cadre dirigeant"),(IF(G34="Oui",(G36/21.67)*F14,G36)), F11*((IF(E30="35h",35,39)*52)/12)                    ))))</f>
        <v>1009.6685714285713</v>
      </c>
      <c r="G12" s="117" t="s">
        <v>335</v>
      </c>
      <c r="H12" s="31">
        <f>IF(G31&gt;8,8,G31)</f>
        <v>0</v>
      </c>
      <c r="I12" s="122">
        <f>IF(OR(F11="",F11=0),"",F11*1.25)</f>
        <v>8.3214442700156983</v>
      </c>
      <c r="J12" s="122">
        <f>IF(I12="","",I12*H12)</f>
        <v>0</v>
      </c>
      <c r="K12" s="119"/>
    </row>
    <row r="13" spans="1:14" x14ac:dyDescent="0.25">
      <c r="A13" s="284" t="s">
        <v>169</v>
      </c>
      <c r="B13" s="117"/>
      <c r="C13" s="119"/>
      <c r="G13" s="124" t="s">
        <v>336</v>
      </c>
      <c r="H13" s="31">
        <f>IF(G31&gt;8,G31-8,0)</f>
        <v>0</v>
      </c>
      <c r="I13" s="122">
        <f>IF(OR(F11="",F11=0),"",F11*1.5)</f>
        <v>9.9857331240188394</v>
      </c>
      <c r="J13" s="122">
        <f t="shared" ref="J13:J15" si="0">IF(I13="","",I13*H13)</f>
        <v>0</v>
      </c>
      <c r="K13" s="119"/>
    </row>
    <row r="14" spans="1:14" x14ac:dyDescent="0.25">
      <c r="A14" s="284" t="s">
        <v>169</v>
      </c>
      <c r="B14" s="124"/>
      <c r="C14" s="463"/>
      <c r="D14" s="117"/>
      <c r="E14" s="117" t="s">
        <v>342</v>
      </c>
      <c r="F14" s="230">
        <f>21.67-H10</f>
        <v>21.67</v>
      </c>
      <c r="G14" s="31" t="s">
        <v>478</v>
      </c>
      <c r="H14" s="34">
        <f>IF(G32&gt;=(0.1*F10),(0.1*F10),G32)</f>
        <v>0</v>
      </c>
      <c r="I14" s="122">
        <f>IF(OR(F11="",F11=0),"",F11*1.25)</f>
        <v>8.3214442700156983</v>
      </c>
      <c r="J14" s="122">
        <f t="shared" si="0"/>
        <v>0</v>
      </c>
      <c r="K14" s="119"/>
    </row>
    <row r="15" spans="1:14" x14ac:dyDescent="0.25">
      <c r="A15" s="284" t="s">
        <v>169</v>
      </c>
      <c r="B15" s="117"/>
      <c r="C15" s="117"/>
      <c r="G15" s="298" t="s">
        <v>479</v>
      </c>
      <c r="H15" s="34">
        <f>G32-H14</f>
        <v>0</v>
      </c>
      <c r="I15" s="122">
        <f>IF(OR(F11="",F11=0),"",F11*1.5)</f>
        <v>9.9857331240188394</v>
      </c>
      <c r="J15" s="122">
        <f t="shared" si="0"/>
        <v>0</v>
      </c>
      <c r="K15" s="119"/>
    </row>
    <row r="16" spans="1:14" x14ac:dyDescent="0.25">
      <c r="A16" s="284" t="s">
        <v>169</v>
      </c>
    </row>
    <row r="17" spans="1:11" x14ac:dyDescent="0.25">
      <c r="A17" s="284" t="s">
        <v>169</v>
      </c>
    </row>
    <row r="18" spans="1:11" x14ac:dyDescent="0.25">
      <c r="A18" s="284" t="s">
        <v>169</v>
      </c>
    </row>
    <row r="19" spans="1:11" x14ac:dyDescent="0.25">
      <c r="A19" s="284" t="s">
        <v>169</v>
      </c>
    </row>
    <row r="20" spans="1:11" x14ac:dyDescent="0.25">
      <c r="A20" s="245" t="s">
        <v>349</v>
      </c>
      <c r="F20" s="246" t="s">
        <v>344</v>
      </c>
      <c r="G20" s="247">
        <f>F12</f>
        <v>1009.6685714285713</v>
      </c>
    </row>
    <row r="21" spans="1:11" ht="15.75" x14ac:dyDescent="0.25">
      <c r="A21" s="248"/>
      <c r="B21" s="249"/>
      <c r="C21" s="249"/>
      <c r="D21" s="249"/>
      <c r="E21" s="249"/>
      <c r="F21" s="249"/>
      <c r="G21" s="250"/>
      <c r="H21" s="251" t="s">
        <v>176</v>
      </c>
      <c r="I21" s="249"/>
      <c r="J21" s="249"/>
      <c r="K21" s="250"/>
    </row>
    <row r="22" spans="1:11" x14ac:dyDescent="0.25">
      <c r="A22" s="252" t="s">
        <v>331</v>
      </c>
      <c r="B22" s="120">
        <v>3864</v>
      </c>
      <c r="C22" s="117"/>
      <c r="D22" s="117" t="s">
        <v>1</v>
      </c>
      <c r="E22" s="117" t="str">
        <f>" 0 à " &amp; B22</f>
        <v xml:space="preserve"> 0 à 3864</v>
      </c>
      <c r="F22" s="117" t="s">
        <v>2</v>
      </c>
      <c r="G22" s="32" t="str">
        <f>" 0 à " &amp; B22</f>
        <v xml:space="preserve"> 0 à 3864</v>
      </c>
      <c r="H22" s="252" t="s">
        <v>205</v>
      </c>
      <c r="I22" s="233" t="s">
        <v>121</v>
      </c>
      <c r="J22" s="124" t="s">
        <v>208</v>
      </c>
      <c r="K22" s="135"/>
    </row>
    <row r="23" spans="1:11" x14ac:dyDescent="0.25">
      <c r="A23" s="252" t="s">
        <v>7</v>
      </c>
      <c r="B23" s="127">
        <v>1766.92</v>
      </c>
      <c r="C23" s="122">
        <f>B23*12</f>
        <v>21203.040000000001</v>
      </c>
      <c r="D23" s="117" t="s">
        <v>4</v>
      </c>
      <c r="E23" s="117" t="str">
        <f xml:space="preserve"> "3 plafonds de " &amp; B22 &amp; " à " &amp; SUM(B22*4)</f>
        <v>3 plafonds de 3864 à 15456</v>
      </c>
      <c r="F23" s="117" t="s">
        <v>5</v>
      </c>
      <c r="G23" s="32" t="str">
        <f xml:space="preserve"> "7 plafonds de " &amp; B22 &amp; " à " &amp; SUM(B22*8)</f>
        <v>7 plafonds de 3864 à 30912</v>
      </c>
      <c r="H23" s="252" t="s">
        <v>190</v>
      </c>
      <c r="I23" s="233" t="s">
        <v>121</v>
      </c>
      <c r="J23" s="117" t="s">
        <v>191</v>
      </c>
      <c r="K23" s="235" t="s">
        <v>122</v>
      </c>
    </row>
    <row r="24" spans="1:11" ht="18" customHeight="1" x14ac:dyDescent="0.25">
      <c r="A24" s="252" t="s">
        <v>106</v>
      </c>
      <c r="B24" s="128">
        <f>B23/151.67</f>
        <v>11.649765939210129</v>
      </c>
      <c r="C24" s="117"/>
      <c r="D24" s="285" t="s">
        <v>343</v>
      </c>
      <c r="E24" s="117"/>
      <c r="F24" s="117"/>
      <c r="G24" s="32"/>
      <c r="H24" s="252" t="s">
        <v>189</v>
      </c>
      <c r="I24" s="233" t="s">
        <v>188</v>
      </c>
      <c r="J24" s="117"/>
      <c r="K24" s="32"/>
    </row>
    <row r="25" spans="1:11" ht="30" customHeight="1" x14ac:dyDescent="0.25">
      <c r="A25" s="252" t="s">
        <v>8</v>
      </c>
      <c r="B25" s="129">
        <f>B23*0.79</f>
        <v>1395.8668</v>
      </c>
      <c r="C25" s="117"/>
      <c r="D25" s="117"/>
      <c r="E25" s="117"/>
      <c r="F25" s="117"/>
      <c r="G25" s="32"/>
      <c r="H25" s="253" t="s">
        <v>181</v>
      </c>
      <c r="I25" s="120">
        <v>0</v>
      </c>
      <c r="J25" s="117" t="s">
        <v>199</v>
      </c>
      <c r="K25" s="32"/>
    </row>
    <row r="26" spans="1:11" ht="15.75" customHeight="1" x14ac:dyDescent="0.25">
      <c r="A26" s="252" t="s">
        <v>102</v>
      </c>
      <c r="B26" s="238">
        <v>39610</v>
      </c>
      <c r="C26" s="117"/>
      <c r="D26" s="117" t="s">
        <v>348</v>
      </c>
      <c r="E26" s="123" t="s">
        <v>350</v>
      </c>
      <c r="F26" s="117"/>
      <c r="G26" s="32"/>
      <c r="H26" s="252" t="s">
        <v>211</v>
      </c>
      <c r="I26" s="121">
        <v>45510</v>
      </c>
      <c r="K26" s="32"/>
    </row>
    <row r="27" spans="1:11" ht="30" x14ac:dyDescent="0.25">
      <c r="A27" s="252" t="s">
        <v>103</v>
      </c>
      <c r="B27" s="117">
        <f xml:space="preserve"> TRUNC( YEARFRAC( B26,B30), 0 )</f>
        <v>15</v>
      </c>
      <c r="C27" s="117"/>
      <c r="D27" s="31" t="s">
        <v>472</v>
      </c>
      <c r="E27" s="134"/>
      <c r="F27" s="229" t="s">
        <v>339</v>
      </c>
      <c r="G27" s="224">
        <v>1766.92</v>
      </c>
      <c r="H27" s="254" t="s">
        <v>186</v>
      </c>
      <c r="I27" s="117"/>
      <c r="J27" s="117"/>
      <c r="K27" s="32"/>
    </row>
    <row r="28" spans="1:11" ht="29.25" customHeight="1" x14ac:dyDescent="0.25">
      <c r="A28" s="252" t="s">
        <v>104</v>
      </c>
      <c r="B28" s="238">
        <v>45200</v>
      </c>
      <c r="C28" s="117"/>
      <c r="D28" s="117" t="s">
        <v>15</v>
      </c>
      <c r="E28" s="123" t="s">
        <v>351</v>
      </c>
      <c r="F28" s="255" t="s">
        <v>332</v>
      </c>
      <c r="G28" s="237">
        <f>G27/(35*52/12)</f>
        <v>11.650021978021979</v>
      </c>
      <c r="H28" s="252" t="s">
        <v>179</v>
      </c>
      <c r="I28" s="120">
        <v>0</v>
      </c>
      <c r="J28" s="117"/>
      <c r="K28" s="32"/>
    </row>
    <row r="29" spans="1:11" ht="30" x14ac:dyDescent="0.25">
      <c r="A29" s="31" t="s">
        <v>474</v>
      </c>
      <c r="B29" s="457">
        <v>45292</v>
      </c>
      <c r="C29" s="117"/>
      <c r="D29" s="117" t="s">
        <v>89</v>
      </c>
      <c r="E29" s="233" t="s">
        <v>149</v>
      </c>
      <c r="F29" s="244" t="s">
        <v>126</v>
      </c>
      <c r="G29" s="256"/>
      <c r="H29" s="252" t="s">
        <v>178</v>
      </c>
      <c r="I29" s="120">
        <v>0</v>
      </c>
      <c r="J29" s="117" t="s">
        <v>182</v>
      </c>
      <c r="K29" s="135">
        <v>0</v>
      </c>
    </row>
    <row r="30" spans="1:11" x14ac:dyDescent="0.25">
      <c r="A30" s="252" t="s">
        <v>475</v>
      </c>
      <c r="B30" s="457">
        <v>45322</v>
      </c>
      <c r="C30" s="117"/>
      <c r="D30" s="124" t="s">
        <v>327</v>
      </c>
      <c r="E30" s="233" t="s">
        <v>328</v>
      </c>
      <c r="F30" s="252" t="s">
        <v>337</v>
      </c>
      <c r="G30" s="135"/>
      <c r="H30" s="257" t="s">
        <v>201</v>
      </c>
      <c r="I30" s="134">
        <v>0</v>
      </c>
      <c r="J30" s="117" t="s">
        <v>180</v>
      </c>
      <c r="K30" s="135">
        <v>0</v>
      </c>
    </row>
    <row r="31" spans="1:11" x14ac:dyDescent="0.25">
      <c r="A31" s="460" t="s">
        <v>105</v>
      </c>
      <c r="B31" s="459">
        <f>YEARFRAC(B28,B30)</f>
        <v>0.33333333333333331</v>
      </c>
      <c r="C31" s="117"/>
      <c r="D31" s="124" t="s">
        <v>330</v>
      </c>
      <c r="E31" s="462">
        <f>E32/35</f>
        <v>0.5714285714285714</v>
      </c>
      <c r="F31" s="117" t="s">
        <v>338</v>
      </c>
      <c r="G31" s="461"/>
      <c r="H31" s="244" t="s">
        <v>209</v>
      </c>
      <c r="I31" s="133" t="str">
        <f>IF(OR(I30=0,I30=""),"",(K30*I30)/K29)</f>
        <v/>
      </c>
      <c r="J31" s="117" t="s">
        <v>210</v>
      </c>
      <c r="K31" s="136">
        <v>0</v>
      </c>
    </row>
    <row r="32" spans="1:11" s="298" customFormat="1" x14ac:dyDescent="0.25">
      <c r="A32" s="117"/>
      <c r="B32" s="125"/>
      <c r="C32" s="117"/>
      <c r="D32" s="124" t="s">
        <v>480</v>
      </c>
      <c r="E32" s="459">
        <v>20</v>
      </c>
      <c r="F32" s="117" t="s">
        <v>477</v>
      </c>
      <c r="G32" s="461">
        <v>0</v>
      </c>
      <c r="H32" s="244"/>
      <c r="I32" s="133"/>
      <c r="J32" s="117"/>
      <c r="K32" s="123"/>
    </row>
    <row r="33" spans="1:14" ht="15.75" x14ac:dyDescent="0.25">
      <c r="D33" s="117"/>
      <c r="E33" s="117"/>
      <c r="F33" s="260" t="s">
        <v>160</v>
      </c>
      <c r="G33" s="261"/>
      <c r="H33" s="251" t="s">
        <v>163</v>
      </c>
      <c r="I33" s="249"/>
      <c r="J33" s="249" t="s">
        <v>134</v>
      </c>
      <c r="K33" s="249"/>
      <c r="L33" s="249"/>
      <c r="M33" s="249"/>
      <c r="N33" s="250"/>
    </row>
    <row r="34" spans="1:14" ht="21" x14ac:dyDescent="0.35">
      <c r="A34" s="262" t="s">
        <v>137</v>
      </c>
      <c r="B34" s="263"/>
      <c r="D34" s="117"/>
      <c r="E34" s="242"/>
      <c r="F34" s="252" t="s">
        <v>161</v>
      </c>
      <c r="G34" s="234" t="s">
        <v>121</v>
      </c>
      <c r="H34" s="252"/>
      <c r="I34" s="117" t="s">
        <v>139</v>
      </c>
      <c r="J34" s="117" t="s">
        <v>140</v>
      </c>
      <c r="K34" s="117"/>
      <c r="L34" s="117" t="s">
        <v>22</v>
      </c>
      <c r="M34" s="117"/>
      <c r="N34" s="32"/>
    </row>
    <row r="35" spans="1:14" ht="15.75" x14ac:dyDescent="0.25">
      <c r="A35" s="252" t="s">
        <v>18</v>
      </c>
      <c r="B35" s="65">
        <v>18</v>
      </c>
      <c r="D35" s="117"/>
      <c r="E35" s="242"/>
      <c r="F35" s="460" t="s">
        <v>340</v>
      </c>
      <c r="G35" s="135">
        <v>218</v>
      </c>
      <c r="H35" s="252" t="s">
        <v>175</v>
      </c>
      <c r="I35" s="123">
        <v>0</v>
      </c>
      <c r="J35" s="123">
        <v>5.35</v>
      </c>
      <c r="K35" s="117"/>
      <c r="L35" s="119">
        <f>I35*J35</f>
        <v>0</v>
      </c>
      <c r="M35" s="117"/>
      <c r="N35" s="32"/>
    </row>
    <row r="36" spans="1:14" ht="15.75" customHeight="1" x14ac:dyDescent="0.25">
      <c r="A36" s="252" t="s">
        <v>87</v>
      </c>
      <c r="B36" s="236" t="s">
        <v>122</v>
      </c>
      <c r="D36" s="117"/>
      <c r="E36" s="117"/>
      <c r="F36" s="258" t="s">
        <v>341</v>
      </c>
      <c r="G36" s="239"/>
      <c r="H36" s="252" t="s">
        <v>174</v>
      </c>
      <c r="I36" s="123"/>
      <c r="J36" s="123"/>
      <c r="K36" s="117"/>
      <c r="L36" s="117"/>
      <c r="M36" s="117"/>
      <c r="N36" s="32"/>
    </row>
    <row r="37" spans="1:14" ht="31.5" customHeight="1" x14ac:dyDescent="0.25">
      <c r="A37" s="258" t="s">
        <v>144</v>
      </c>
      <c r="B37" s="97">
        <v>0.02</v>
      </c>
      <c r="D37" s="251" t="s">
        <v>164</v>
      </c>
      <c r="E37" s="249"/>
      <c r="F37" s="249"/>
      <c r="G37" s="261"/>
      <c r="H37" s="252" t="s">
        <v>198</v>
      </c>
      <c r="I37" s="233" t="s">
        <v>121</v>
      </c>
      <c r="J37" s="117"/>
      <c r="K37" s="117"/>
      <c r="L37" s="119" t="str">
        <f>IF(I22="Non","",IF(I24="Véhicule électrique Non",IF(I37="Oui",IF(I23="Non",IF(I5&lt;=5,K3,L3),N3),IF(I23="Non",IF(I5&lt;=5,K6,L6),N6)),IF(I37="Oui",IF(I23="Non",IF(I5&lt;=5,K4,L4),N4),IF(I23="Non",IF(I5&lt;=5,K7,L7),N7))))</f>
        <v/>
      </c>
      <c r="M37" s="117"/>
      <c r="N37" s="100"/>
    </row>
    <row r="38" spans="1:14" x14ac:dyDescent="0.25">
      <c r="D38" s="252"/>
      <c r="E38" s="117" t="s">
        <v>177</v>
      </c>
      <c r="F38" s="117" t="s">
        <v>129</v>
      </c>
      <c r="G38" s="32" t="s">
        <v>130</v>
      </c>
      <c r="H38" s="252" t="s">
        <v>202</v>
      </c>
      <c r="I38" s="117"/>
      <c r="J38" s="117"/>
      <c r="K38" s="117"/>
      <c r="L38" s="117"/>
      <c r="M38" s="117"/>
      <c r="N38" s="32"/>
    </row>
    <row r="39" spans="1:14" ht="30.75" customHeight="1" x14ac:dyDescent="0.25">
      <c r="D39" s="252" t="s">
        <v>128</v>
      </c>
      <c r="E39" s="264">
        <v>35</v>
      </c>
      <c r="F39" s="265">
        <v>0.4</v>
      </c>
      <c r="G39" s="266">
        <v>0.6</v>
      </c>
      <c r="H39" s="252" t="s">
        <v>71</v>
      </c>
      <c r="I39" s="267"/>
      <c r="J39" s="117"/>
      <c r="K39" s="124"/>
      <c r="L39" s="125"/>
      <c r="M39" s="124"/>
      <c r="N39" s="32"/>
    </row>
    <row r="40" spans="1:14" x14ac:dyDescent="0.25">
      <c r="D40" s="252" t="s">
        <v>143</v>
      </c>
      <c r="E40" s="119"/>
      <c r="F40" s="268">
        <v>0.02</v>
      </c>
      <c r="G40" s="256">
        <v>2.4E-2</v>
      </c>
      <c r="H40" s="252" t="s">
        <v>72</v>
      </c>
      <c r="I40" s="267"/>
      <c r="J40" s="117"/>
      <c r="K40" s="124"/>
      <c r="L40" s="125"/>
      <c r="M40" s="124"/>
      <c r="N40" s="32"/>
    </row>
    <row r="41" spans="1:14" x14ac:dyDescent="0.25">
      <c r="B41" s="48"/>
      <c r="D41" s="252" t="s">
        <v>131</v>
      </c>
      <c r="E41" s="268">
        <v>0.02</v>
      </c>
      <c r="F41" s="117"/>
      <c r="G41" s="32"/>
      <c r="H41" s="252" t="s">
        <v>73</v>
      </c>
      <c r="I41" s="267"/>
      <c r="J41" s="117"/>
      <c r="K41" s="124"/>
      <c r="L41" s="125"/>
      <c r="M41" s="124"/>
      <c r="N41" s="32"/>
    </row>
    <row r="42" spans="1:14" x14ac:dyDescent="0.25">
      <c r="D42" s="252" t="s">
        <v>39</v>
      </c>
      <c r="E42" s="268">
        <v>0</v>
      </c>
      <c r="F42" s="269" t="s">
        <v>117</v>
      </c>
      <c r="G42" s="32"/>
      <c r="H42" s="252" t="s">
        <v>132</v>
      </c>
      <c r="I42" s="124"/>
      <c r="J42" s="117"/>
      <c r="K42" s="117"/>
      <c r="L42" s="270"/>
      <c r="M42" s="117"/>
      <c r="N42" s="32"/>
    </row>
    <row r="43" spans="1:14" x14ac:dyDescent="0.25">
      <c r="D43" s="252" t="s">
        <v>40</v>
      </c>
      <c r="E43" s="268">
        <v>0</v>
      </c>
      <c r="F43" s="117"/>
      <c r="G43" s="32"/>
      <c r="H43" s="252" t="s">
        <v>133</v>
      </c>
      <c r="I43" s="267"/>
      <c r="J43" s="117"/>
      <c r="K43" s="117"/>
      <c r="L43" s="270"/>
      <c r="M43" s="117"/>
      <c r="N43" s="32"/>
    </row>
    <row r="44" spans="1:14" x14ac:dyDescent="0.25">
      <c r="A44" s="271"/>
      <c r="B44" s="271"/>
      <c r="D44" s="252"/>
      <c r="E44" s="117"/>
      <c r="F44" s="117"/>
      <c r="G44" s="32"/>
      <c r="H44" s="252" t="s">
        <v>64</v>
      </c>
      <c r="I44" s="267"/>
      <c r="J44" s="117"/>
      <c r="K44" s="270"/>
      <c r="L44" s="270"/>
      <c r="M44" s="117"/>
      <c r="N44" s="32"/>
    </row>
    <row r="45" spans="1:14" ht="27" customHeight="1" x14ac:dyDescent="0.25">
      <c r="D45" s="272" t="s">
        <v>212</v>
      </c>
      <c r="E45" s="232">
        <v>0</v>
      </c>
      <c r="F45" s="259"/>
      <c r="G45" s="273"/>
      <c r="H45" s="252" t="s">
        <v>65</v>
      </c>
      <c r="I45" s="267"/>
      <c r="J45" s="117"/>
      <c r="K45" s="270"/>
      <c r="L45" s="270"/>
      <c r="M45" s="117"/>
      <c r="N45" s="32"/>
    </row>
    <row r="46" spans="1:14" x14ac:dyDescent="0.25">
      <c r="H46" s="274" t="s">
        <v>91</v>
      </c>
      <c r="I46" s="275"/>
      <c r="J46" s="275"/>
      <c r="K46" s="117"/>
      <c r="L46" s="270"/>
      <c r="M46" s="117"/>
      <c r="N46" s="32"/>
    </row>
    <row r="47" spans="1:14" x14ac:dyDescent="0.25">
      <c r="H47" s="276" t="s">
        <v>97</v>
      </c>
      <c r="I47" s="275"/>
      <c r="J47" s="275"/>
      <c r="K47" s="277"/>
      <c r="L47" s="270"/>
      <c r="M47" s="117"/>
      <c r="N47" s="32"/>
    </row>
    <row r="48" spans="1:14" x14ac:dyDescent="0.25">
      <c r="H48" s="276" t="s">
        <v>98</v>
      </c>
      <c r="I48" s="275"/>
      <c r="J48" s="275"/>
      <c r="K48" s="277"/>
      <c r="L48" s="270"/>
      <c r="M48" s="117"/>
      <c r="N48" s="32"/>
    </row>
    <row r="49" spans="1:18" x14ac:dyDescent="0.25">
      <c r="H49" s="276" t="s">
        <v>99</v>
      </c>
      <c r="I49" s="275"/>
      <c r="J49" s="275"/>
      <c r="K49" s="277"/>
      <c r="L49" s="270"/>
      <c r="M49" s="117"/>
      <c r="N49" s="32"/>
    </row>
    <row r="50" spans="1:18" x14ac:dyDescent="0.25">
      <c r="F50" s="278"/>
      <c r="H50" s="279" t="s">
        <v>92</v>
      </c>
      <c r="I50" s="106">
        <v>0</v>
      </c>
      <c r="J50" s="280" t="s">
        <v>136</v>
      </c>
      <c r="K50" s="277"/>
      <c r="L50" s="270"/>
      <c r="M50" s="117"/>
      <c r="N50" s="32"/>
    </row>
    <row r="51" spans="1:18" x14ac:dyDescent="0.25">
      <c r="E51" s="281"/>
      <c r="F51" s="281"/>
      <c r="H51" s="279" t="s">
        <v>93</v>
      </c>
      <c r="I51" s="132">
        <f>I50*K51</f>
        <v>0</v>
      </c>
      <c r="J51" s="117" t="s">
        <v>135</v>
      </c>
      <c r="K51" s="268">
        <v>0</v>
      </c>
      <c r="L51" s="67" t="s">
        <v>138</v>
      </c>
      <c r="M51" s="117"/>
      <c r="N51" s="32"/>
    </row>
    <row r="52" spans="1:18" x14ac:dyDescent="0.25">
      <c r="E52" s="281"/>
      <c r="F52" s="281"/>
      <c r="H52" s="279" t="s">
        <v>94</v>
      </c>
      <c r="I52" s="106">
        <v>7.18</v>
      </c>
      <c r="J52" s="117"/>
      <c r="K52" s="117"/>
      <c r="L52" s="67"/>
      <c r="M52" s="117"/>
      <c r="N52" s="32"/>
    </row>
    <row r="53" spans="1:18" x14ac:dyDescent="0.25">
      <c r="B53" s="2"/>
      <c r="E53" s="281"/>
      <c r="F53" s="281"/>
      <c r="G53" s="281"/>
      <c r="H53" s="279" t="s">
        <v>95</v>
      </c>
      <c r="I53" s="106">
        <v>0</v>
      </c>
      <c r="J53" s="259"/>
      <c r="K53" s="259"/>
      <c r="L53" s="126"/>
      <c r="M53" s="259"/>
      <c r="N53" s="273"/>
      <c r="O53" s="281"/>
      <c r="P53" s="281"/>
      <c r="Q53" s="281"/>
      <c r="R53" s="281"/>
    </row>
    <row r="54" spans="1:18" x14ac:dyDescent="0.25">
      <c r="A54" s="282" t="s">
        <v>96</v>
      </c>
      <c r="B54" s="2"/>
      <c r="E54" s="281"/>
      <c r="F54" s="281"/>
      <c r="G54" s="281"/>
      <c r="H54" s="281"/>
      <c r="N54" s="281"/>
      <c r="O54" s="281"/>
      <c r="P54" s="281"/>
      <c r="Q54" s="281"/>
    </row>
    <row r="55" spans="1:18" x14ac:dyDescent="0.25">
      <c r="A55" s="131" t="s">
        <v>90</v>
      </c>
      <c r="B55" s="2"/>
      <c r="E55" s="281"/>
      <c r="F55" s="281"/>
      <c r="G55" s="281"/>
      <c r="H55" s="281"/>
      <c r="N55" s="281"/>
      <c r="O55" s="281"/>
      <c r="P55" s="281"/>
      <c r="Q55" s="281"/>
    </row>
    <row r="56" spans="1:18" x14ac:dyDescent="0.25">
      <c r="E56" s="281"/>
      <c r="F56" s="281"/>
      <c r="G56" s="281"/>
      <c r="H56" s="281"/>
      <c r="N56" s="281"/>
      <c r="O56" s="281"/>
      <c r="P56" s="281"/>
      <c r="Q56" s="281"/>
    </row>
    <row r="57" spans="1:18" x14ac:dyDescent="0.25">
      <c r="A57" s="282" t="s">
        <v>100</v>
      </c>
      <c r="E57" s="281"/>
      <c r="F57" s="281"/>
      <c r="G57" s="281"/>
      <c r="H57" s="281"/>
      <c r="N57" s="281"/>
      <c r="O57" s="281"/>
      <c r="P57" s="281"/>
      <c r="Q57" s="281"/>
    </row>
    <row r="58" spans="1:18" x14ac:dyDescent="0.25">
      <c r="E58" s="281"/>
      <c r="F58" s="281"/>
      <c r="G58" s="281"/>
      <c r="H58" s="281"/>
      <c r="N58" s="281"/>
      <c r="O58" s="281"/>
      <c r="P58" s="281"/>
      <c r="Q58" s="281"/>
    </row>
    <row r="59" spans="1:18" x14ac:dyDescent="0.25">
      <c r="E59" s="281"/>
      <c r="F59" s="281"/>
      <c r="G59" s="281"/>
      <c r="H59" s="281"/>
      <c r="N59" s="281"/>
      <c r="O59" s="281"/>
      <c r="P59" s="281"/>
      <c r="Q59" s="281"/>
    </row>
    <row r="60" spans="1:18" x14ac:dyDescent="0.25">
      <c r="E60" s="281"/>
      <c r="F60" s="281"/>
      <c r="G60" s="281"/>
      <c r="H60" s="281"/>
      <c r="N60" s="281"/>
      <c r="O60" s="281"/>
      <c r="P60" s="281"/>
      <c r="Q60" s="281"/>
    </row>
    <row r="61" spans="1:18" x14ac:dyDescent="0.25">
      <c r="E61" s="281"/>
      <c r="F61" s="281"/>
      <c r="G61" s="281"/>
      <c r="H61" s="281"/>
      <c r="N61" s="281"/>
      <c r="O61" s="281"/>
      <c r="P61" s="281"/>
      <c r="Q61" s="281"/>
    </row>
    <row r="62" spans="1:18" x14ac:dyDescent="0.25">
      <c r="F62" s="271"/>
      <c r="G62" s="271"/>
      <c r="H62" s="271"/>
      <c r="N62" s="64"/>
    </row>
    <row r="63" spans="1:18" x14ac:dyDescent="0.25">
      <c r="N63" s="64"/>
    </row>
    <row r="64" spans="1:18" x14ac:dyDescent="0.25">
      <c r="F64" s="271"/>
      <c r="G64" s="271"/>
      <c r="H64" s="271"/>
      <c r="N64" s="64"/>
    </row>
    <row r="65" spans="1:14" x14ac:dyDescent="0.25">
      <c r="F65" s="271"/>
      <c r="G65" s="271"/>
      <c r="H65" s="271"/>
      <c r="I65" s="271"/>
      <c r="J65" s="64"/>
      <c r="K65" s="67"/>
      <c r="L65" s="64"/>
      <c r="M65" s="67"/>
      <c r="N65" s="64"/>
    </row>
    <row r="70" spans="1:14" x14ac:dyDescent="0.25">
      <c r="A70" s="283"/>
    </row>
    <row r="71" spans="1:14" ht="15" customHeight="1" x14ac:dyDescent="0.25"/>
    <row r="72" spans="1:14" x14ac:dyDescent="0.25">
      <c r="A72" s="31" t="s">
        <v>88</v>
      </c>
    </row>
    <row r="73" spans="1:14" ht="61.5" customHeight="1" x14ac:dyDescent="0.25"/>
    <row r="77" spans="1:14" ht="15" customHeight="1" x14ac:dyDescent="0.25"/>
    <row r="78" spans="1:14" ht="18.75" customHeight="1" x14ac:dyDescent="0.25"/>
    <row r="87" ht="15" customHeight="1" x14ac:dyDescent="0.25"/>
    <row r="88" ht="15" customHeight="1" x14ac:dyDescent="0.25"/>
    <row r="90" ht="15" customHeight="1" x14ac:dyDescent="0.25"/>
    <row r="93" ht="15" customHeight="1" x14ac:dyDescent="0.25"/>
  </sheetData>
  <dataConsolidate/>
  <conditionalFormatting sqref="H15">
    <cfRule type="expression" dxfId="12" priority="1">
      <formula>(G32-H14)+H14&gt;(F10/3)</formula>
    </cfRule>
  </conditionalFormatting>
  <dataValidations count="5">
    <dataValidation allowBlank="1" showInputMessage="1" showErrorMessage="1" promptTitle="Type de contrat" sqref="E3"/>
    <dataValidation type="list" allowBlank="1" showInputMessage="1" showErrorMessage="1" sqref="B36 G34 I37 K23 I22:I23">
      <formula1>$F$3:$F$4</formula1>
    </dataValidation>
    <dataValidation type="list" allowBlank="1" showInputMessage="1" showErrorMessage="1" sqref="E29">
      <formula1>$G$3:$G$7</formula1>
    </dataValidation>
    <dataValidation type="list" allowBlank="1" showInputMessage="1" showErrorMessage="1" sqref="E30">
      <formula1>$F$6:$F$8</formula1>
    </dataValidation>
    <dataValidation type="list" allowBlank="1" showInputMessage="1" showErrorMessage="1" sqref="I24">
      <formula1>$I$3:$I$4</formula1>
    </dataValidation>
  </dataValidations>
  <hyperlinks>
    <hyperlink ref="A57" r:id="rId1"/>
    <hyperlink ref="A54" r:id="rId2"/>
    <hyperlink ref="F42" r:id="rId3"/>
  </hyperlinks>
  <pageMargins left="0.7" right="0.7" top="0.75" bottom="0.75" header="0.3" footer="0.3"/>
  <pageSetup paperSize="9" orientation="portrait" r:id="rId4"/>
  <legacyDrawing r:id="rId5"/>
  <tableParts count="2">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7"/>
  <sheetViews>
    <sheetView tabSelected="1" zoomScale="55" zoomScaleNormal="55" workbookViewId="0">
      <selection activeCell="M11" sqref="M11"/>
    </sheetView>
  </sheetViews>
  <sheetFormatPr defaultColWidth="11.42578125" defaultRowHeight="15" x14ac:dyDescent="0.25"/>
  <cols>
    <col min="1" max="1" width="3.5703125" customWidth="1"/>
    <col min="3" max="3" width="12.42578125" bestFit="1" customWidth="1"/>
    <col min="4" max="4" width="14.42578125" customWidth="1"/>
    <col min="6" max="7" width="14.5703125" customWidth="1"/>
    <col min="8" max="8" width="16.42578125" customWidth="1"/>
    <col min="14" max="14" width="16.5703125" customWidth="1"/>
  </cols>
  <sheetData>
    <row r="1" spans="1:14" x14ac:dyDescent="0.25">
      <c r="A1" s="111" t="s">
        <v>238</v>
      </c>
    </row>
    <row r="2" spans="1:14" x14ac:dyDescent="0.25">
      <c r="B2" s="139"/>
    </row>
    <row r="3" spans="1:14" x14ac:dyDescent="0.25">
      <c r="B3" s="139" t="s">
        <v>221</v>
      </c>
      <c r="C3" s="139" t="s">
        <v>162</v>
      </c>
      <c r="D3" s="139" t="s">
        <v>214</v>
      </c>
      <c r="E3" s="139" t="s">
        <v>215</v>
      </c>
      <c r="F3" s="139" t="s">
        <v>216</v>
      </c>
      <c r="G3" s="139"/>
      <c r="H3" s="139" t="s">
        <v>217</v>
      </c>
      <c r="I3" s="139" t="s">
        <v>218</v>
      </c>
      <c r="J3" s="139"/>
      <c r="K3" s="139" t="s">
        <v>219</v>
      </c>
      <c r="L3" s="139" t="s">
        <v>220</v>
      </c>
      <c r="N3" s="684"/>
    </row>
    <row r="4" spans="1:14" x14ac:dyDescent="0.25">
      <c r="B4" s="139"/>
      <c r="C4" s="139"/>
      <c r="D4" s="139"/>
      <c r="E4" s="139"/>
      <c r="F4" s="139"/>
      <c r="G4" s="139"/>
      <c r="H4" s="139"/>
      <c r="I4" s="139"/>
      <c r="J4" s="139"/>
      <c r="K4" s="139"/>
      <c r="L4" s="139"/>
      <c r="N4" s="684"/>
    </row>
    <row r="5" spans="1:14" ht="15.75" x14ac:dyDescent="0.25">
      <c r="A5" s="685">
        <v>1</v>
      </c>
      <c r="B5" s="139" t="s">
        <v>222</v>
      </c>
      <c r="C5" s="226">
        <v>1766.92</v>
      </c>
      <c r="D5" s="228">
        <f>C5</f>
        <v>1766.92</v>
      </c>
      <c r="E5" s="140">
        <v>3428</v>
      </c>
      <c r="F5" s="140">
        <f>E5</f>
        <v>3428</v>
      </c>
      <c r="G5" s="139"/>
      <c r="H5" s="227">
        <f t="shared" ref="H5:H16" si="0">IF(D5&lt;F5,D5,F5)</f>
        <v>1766.92</v>
      </c>
      <c r="I5" s="227">
        <f>IF(D5&lt;F5,D5,F5)</f>
        <v>1766.92</v>
      </c>
      <c r="J5" s="139"/>
      <c r="K5" s="139">
        <f>IF(D5&lt;F5,0,D5-F5)</f>
        <v>0</v>
      </c>
      <c r="L5" s="139">
        <f>K5</f>
        <v>0</v>
      </c>
      <c r="N5" s="684"/>
    </row>
    <row r="6" spans="1:14" ht="15.75" x14ac:dyDescent="0.25">
      <c r="A6" s="685">
        <v>2</v>
      </c>
      <c r="B6" s="139" t="s">
        <v>223</v>
      </c>
      <c r="C6" s="226">
        <v>1766.92</v>
      </c>
      <c r="D6" s="228">
        <f t="shared" ref="D6:D16" si="1">C6+D5</f>
        <v>3533.84</v>
      </c>
      <c r="E6" s="140">
        <v>3428</v>
      </c>
      <c r="F6" s="140">
        <f t="shared" ref="F6:F16" si="2">E6+F5</f>
        <v>6856</v>
      </c>
      <c r="G6" s="139"/>
      <c r="H6" s="227">
        <f t="shared" si="0"/>
        <v>3533.84</v>
      </c>
      <c r="I6" s="227">
        <f t="shared" ref="I6:I15" si="3">H6-H5</f>
        <v>1766.92</v>
      </c>
      <c r="J6" s="139"/>
      <c r="K6" s="139">
        <f t="shared" ref="K6:K16" si="4">IF(D6&lt;F6,0,D6-F6)</f>
        <v>0</v>
      </c>
      <c r="L6" s="139">
        <f t="shared" ref="L6:L10" si="5">K6-K5</f>
        <v>0</v>
      </c>
    </row>
    <row r="7" spans="1:14" ht="15.75" x14ac:dyDescent="0.25">
      <c r="A7" s="685">
        <v>3</v>
      </c>
      <c r="B7" s="139" t="s">
        <v>224</v>
      </c>
      <c r="C7" s="226">
        <v>1766.92</v>
      </c>
      <c r="D7" s="228">
        <f t="shared" si="1"/>
        <v>5300.76</v>
      </c>
      <c r="E7" s="140">
        <v>3428</v>
      </c>
      <c r="F7" s="140">
        <f t="shared" si="2"/>
        <v>10284</v>
      </c>
      <c r="G7" s="139"/>
      <c r="H7" s="227">
        <f t="shared" si="0"/>
        <v>5300.76</v>
      </c>
      <c r="I7" s="227">
        <f t="shared" si="3"/>
        <v>1766.92</v>
      </c>
      <c r="J7" s="139"/>
      <c r="K7" s="139">
        <f t="shared" si="4"/>
        <v>0</v>
      </c>
      <c r="L7" s="139">
        <f t="shared" si="5"/>
        <v>0</v>
      </c>
    </row>
    <row r="8" spans="1:14" ht="15.75" x14ac:dyDescent="0.25">
      <c r="A8" s="685">
        <v>4</v>
      </c>
      <c r="B8" s="139" t="s">
        <v>225</v>
      </c>
      <c r="C8" s="226">
        <v>1766.92</v>
      </c>
      <c r="D8" s="228">
        <f t="shared" si="1"/>
        <v>7067.68</v>
      </c>
      <c r="E8" s="140">
        <v>3428</v>
      </c>
      <c r="F8" s="140">
        <f t="shared" si="2"/>
        <v>13712</v>
      </c>
      <c r="G8" s="140"/>
      <c r="H8" s="227">
        <f t="shared" si="0"/>
        <v>7067.68</v>
      </c>
      <c r="I8" s="227">
        <f t="shared" si="3"/>
        <v>1766.92</v>
      </c>
      <c r="J8" s="139"/>
      <c r="K8" s="139">
        <f t="shared" si="4"/>
        <v>0</v>
      </c>
      <c r="L8" s="139">
        <f t="shared" si="5"/>
        <v>0</v>
      </c>
    </row>
    <row r="9" spans="1:14" ht="15.75" x14ac:dyDescent="0.25">
      <c r="A9" s="685">
        <v>5</v>
      </c>
      <c r="B9" s="139" t="s">
        <v>226</v>
      </c>
      <c r="C9" s="226">
        <v>1766.92</v>
      </c>
      <c r="D9" s="228">
        <f t="shared" si="1"/>
        <v>8834.6</v>
      </c>
      <c r="E9" s="140">
        <v>3428</v>
      </c>
      <c r="F9" s="140">
        <f t="shared" si="2"/>
        <v>17140</v>
      </c>
      <c r="G9" s="140"/>
      <c r="H9" s="227">
        <f t="shared" si="0"/>
        <v>8834.6</v>
      </c>
      <c r="I9" s="227">
        <f t="shared" si="3"/>
        <v>1766.92</v>
      </c>
      <c r="J9" s="139"/>
      <c r="K9" s="139">
        <f t="shared" si="4"/>
        <v>0</v>
      </c>
      <c r="L9" s="139">
        <f t="shared" si="5"/>
        <v>0</v>
      </c>
    </row>
    <row r="10" spans="1:14" ht="15.75" x14ac:dyDescent="0.25">
      <c r="A10" s="685">
        <v>6</v>
      </c>
      <c r="B10" s="139" t="s">
        <v>227</v>
      </c>
      <c r="C10" s="226">
        <v>1766.92</v>
      </c>
      <c r="D10" s="228">
        <f t="shared" si="1"/>
        <v>10601.52</v>
      </c>
      <c r="E10" s="140">
        <v>3428</v>
      </c>
      <c r="F10" s="140">
        <f t="shared" si="2"/>
        <v>20568</v>
      </c>
      <c r="G10" s="140"/>
      <c r="H10" s="227">
        <f t="shared" si="0"/>
        <v>10601.52</v>
      </c>
      <c r="I10" s="227">
        <f t="shared" si="3"/>
        <v>1766.92</v>
      </c>
      <c r="J10" s="139"/>
      <c r="K10" s="139">
        <f t="shared" si="4"/>
        <v>0</v>
      </c>
      <c r="L10" s="139">
        <f t="shared" si="5"/>
        <v>0</v>
      </c>
    </row>
    <row r="11" spans="1:14" ht="15.75" x14ac:dyDescent="0.25">
      <c r="A11" s="685">
        <v>7</v>
      </c>
      <c r="B11" s="139" t="s">
        <v>228</v>
      </c>
      <c r="C11" s="226">
        <v>1766.92</v>
      </c>
      <c r="D11" s="228">
        <f t="shared" si="1"/>
        <v>12368.44</v>
      </c>
      <c r="E11" s="140">
        <v>3428</v>
      </c>
      <c r="F11" s="140">
        <f t="shared" si="2"/>
        <v>23996</v>
      </c>
      <c r="G11" s="140"/>
      <c r="H11" s="227">
        <f t="shared" si="0"/>
        <v>12368.44</v>
      </c>
      <c r="I11" s="227">
        <f t="shared" si="3"/>
        <v>1766.92</v>
      </c>
      <c r="J11" s="139"/>
      <c r="K11" s="139">
        <f t="shared" si="4"/>
        <v>0</v>
      </c>
      <c r="L11" s="139">
        <f>K11-K10</f>
        <v>0</v>
      </c>
    </row>
    <row r="12" spans="1:14" ht="15.75" x14ac:dyDescent="0.25">
      <c r="A12" s="685">
        <v>8</v>
      </c>
      <c r="B12" s="139" t="s">
        <v>229</v>
      </c>
      <c r="C12" s="226">
        <v>1766.92</v>
      </c>
      <c r="D12" s="228">
        <f t="shared" si="1"/>
        <v>14135.36</v>
      </c>
      <c r="E12" s="140">
        <v>3428</v>
      </c>
      <c r="F12" s="140">
        <f t="shared" si="2"/>
        <v>27424</v>
      </c>
      <c r="G12" s="140"/>
      <c r="H12" s="227">
        <f t="shared" si="0"/>
        <v>14135.36</v>
      </c>
      <c r="I12" s="227">
        <f t="shared" si="3"/>
        <v>1766.92</v>
      </c>
      <c r="J12" s="139"/>
      <c r="K12" s="139">
        <f t="shared" si="4"/>
        <v>0</v>
      </c>
      <c r="L12" s="139">
        <f t="shared" ref="L12:L15" si="6">K12-K11</f>
        <v>0</v>
      </c>
    </row>
    <row r="13" spans="1:14" ht="15.75" x14ac:dyDescent="0.25">
      <c r="A13" s="685">
        <v>9</v>
      </c>
      <c r="B13" s="139" t="s">
        <v>230</v>
      </c>
      <c r="C13" s="226">
        <v>1766.92</v>
      </c>
      <c r="D13" s="228">
        <f t="shared" si="1"/>
        <v>15902.28</v>
      </c>
      <c r="E13" s="140">
        <v>3428</v>
      </c>
      <c r="F13" s="140">
        <f t="shared" si="2"/>
        <v>30852</v>
      </c>
      <c r="G13" s="140"/>
      <c r="H13" s="227">
        <f t="shared" si="0"/>
        <v>15902.28</v>
      </c>
      <c r="I13" s="227">
        <f t="shared" si="3"/>
        <v>1766.92</v>
      </c>
      <c r="J13" s="139"/>
      <c r="K13" s="139">
        <f t="shared" si="4"/>
        <v>0</v>
      </c>
      <c r="L13" s="139">
        <f t="shared" si="6"/>
        <v>0</v>
      </c>
    </row>
    <row r="14" spans="1:14" s="143" customFormat="1" ht="15.75" x14ac:dyDescent="0.25">
      <c r="A14" s="685">
        <v>10</v>
      </c>
      <c r="B14" s="139" t="s">
        <v>231</v>
      </c>
      <c r="C14" s="226">
        <v>1766.92</v>
      </c>
      <c r="D14" s="228">
        <f t="shared" si="1"/>
        <v>17669.2</v>
      </c>
      <c r="E14" s="140">
        <v>3428</v>
      </c>
      <c r="F14" s="140">
        <f t="shared" si="2"/>
        <v>34280</v>
      </c>
      <c r="G14" s="139"/>
      <c r="H14" s="227">
        <f t="shared" si="0"/>
        <v>17669.2</v>
      </c>
      <c r="I14" s="227">
        <f t="shared" si="3"/>
        <v>1766.92</v>
      </c>
      <c r="J14" s="139"/>
      <c r="K14" s="139">
        <f t="shared" si="4"/>
        <v>0</v>
      </c>
      <c r="L14" s="139">
        <f t="shared" si="6"/>
        <v>0</v>
      </c>
    </row>
    <row r="15" spans="1:14" s="143" customFormat="1" ht="15.75" x14ac:dyDescent="0.25">
      <c r="A15" s="685">
        <v>11</v>
      </c>
      <c r="B15" s="139" t="s">
        <v>232</v>
      </c>
      <c r="C15" s="226">
        <v>1766.92</v>
      </c>
      <c r="D15" s="228">
        <f t="shared" si="1"/>
        <v>19436.120000000003</v>
      </c>
      <c r="E15" s="140">
        <v>3428</v>
      </c>
      <c r="F15" s="140">
        <f t="shared" si="2"/>
        <v>37708</v>
      </c>
      <c r="G15" s="139"/>
      <c r="H15" s="227">
        <f t="shared" si="0"/>
        <v>19436.120000000003</v>
      </c>
      <c r="I15" s="227">
        <f t="shared" si="3"/>
        <v>1766.9200000000019</v>
      </c>
      <c r="J15" s="139"/>
      <c r="K15" s="139">
        <f t="shared" si="4"/>
        <v>0</v>
      </c>
      <c r="L15" s="139">
        <f t="shared" si="6"/>
        <v>0</v>
      </c>
    </row>
    <row r="16" spans="1:14" s="143" customFormat="1" ht="15.75" x14ac:dyDescent="0.25">
      <c r="A16" s="685">
        <v>12</v>
      </c>
      <c r="B16" s="139" t="s">
        <v>233</v>
      </c>
      <c r="C16" s="226">
        <v>1766.92</v>
      </c>
      <c r="D16" s="228">
        <f t="shared" si="1"/>
        <v>21203.040000000001</v>
      </c>
      <c r="E16" s="140">
        <v>3428</v>
      </c>
      <c r="F16" s="140">
        <f t="shared" si="2"/>
        <v>41136</v>
      </c>
      <c r="G16" s="139"/>
      <c r="H16" s="227">
        <f t="shared" si="0"/>
        <v>21203.040000000001</v>
      </c>
      <c r="I16" s="227">
        <f>H16-H15</f>
        <v>1766.9199999999983</v>
      </c>
      <c r="J16" s="139"/>
      <c r="K16" s="139">
        <f t="shared" si="4"/>
        <v>0</v>
      </c>
      <c r="L16" s="139">
        <f>K16-K15</f>
        <v>0</v>
      </c>
    </row>
    <row r="17" spans="1:16" s="143" customFormat="1" ht="15.75" x14ac:dyDescent="0.25">
      <c r="B17" s="139"/>
      <c r="C17" s="141"/>
      <c r="D17" s="228"/>
      <c r="E17" s="139"/>
      <c r="F17" s="139"/>
      <c r="G17" s="139"/>
      <c r="H17" s="139"/>
      <c r="I17" s="139"/>
      <c r="J17" s="139"/>
      <c r="K17" s="139"/>
      <c r="L17" s="139"/>
    </row>
    <row r="18" spans="1:16" s="143" customFormat="1" x14ac:dyDescent="0.25">
      <c r="B18" s="139"/>
      <c r="C18" s="139"/>
      <c r="D18" s="227">
        <f>D16</f>
        <v>21203.040000000001</v>
      </c>
      <c r="E18" s="142">
        <f>SUM(E5:E16)</f>
        <v>41136</v>
      </c>
      <c r="F18" s="139">
        <f>F16</f>
        <v>41136</v>
      </c>
      <c r="G18" s="139"/>
      <c r="H18" s="227">
        <f>H16</f>
        <v>21203.040000000001</v>
      </c>
      <c r="I18" s="227">
        <f>SUM(I5:I16)</f>
        <v>21203.040000000001</v>
      </c>
      <c r="J18" s="139"/>
      <c r="K18" s="139">
        <f>SUM(K5:K16)</f>
        <v>0</v>
      </c>
      <c r="L18" s="139">
        <f>SUM(L5:L16)</f>
        <v>0</v>
      </c>
    </row>
    <row r="19" spans="1:16" s="143" customFormat="1" x14ac:dyDescent="0.25">
      <c r="B19" s="139"/>
    </row>
    <row r="22" spans="1:16" x14ac:dyDescent="0.25">
      <c r="O22" t="s">
        <v>29</v>
      </c>
      <c r="P22" t="s">
        <v>346</v>
      </c>
    </row>
    <row r="23" spans="1:16" x14ac:dyDescent="0.25">
      <c r="A23" s="138"/>
      <c r="B23" s="139" t="s">
        <v>221</v>
      </c>
      <c r="C23" s="139" t="s">
        <v>162</v>
      </c>
      <c r="D23" s="139" t="s">
        <v>214</v>
      </c>
      <c r="E23" s="139" t="s">
        <v>215</v>
      </c>
      <c r="F23" s="139" t="s">
        <v>216</v>
      </c>
      <c r="G23" s="139"/>
      <c r="H23" s="139" t="s">
        <v>217</v>
      </c>
      <c r="I23" s="139" t="s">
        <v>218</v>
      </c>
      <c r="J23" s="139"/>
      <c r="K23" s="139" t="s">
        <v>219</v>
      </c>
      <c r="L23" s="139" t="s">
        <v>220</v>
      </c>
      <c r="M23" s="139"/>
      <c r="N23" s="139" t="s">
        <v>161</v>
      </c>
      <c r="O23" s="138">
        <f>Données!G35</f>
        <v>218</v>
      </c>
      <c r="P23">
        <v>210</v>
      </c>
    </row>
    <row r="24" spans="1:16" x14ac:dyDescent="0.25">
      <c r="A24" s="138"/>
      <c r="B24" s="139"/>
      <c r="C24" s="139"/>
      <c r="D24" s="139"/>
      <c r="E24" s="139"/>
      <c r="F24" s="139"/>
      <c r="G24" s="139"/>
      <c r="H24" s="139"/>
      <c r="I24" s="139"/>
      <c r="J24" s="139"/>
      <c r="K24" s="139"/>
      <c r="L24" s="139"/>
      <c r="M24" s="139"/>
    </row>
    <row r="25" spans="1:16" ht="15.75" x14ac:dyDescent="0.25">
      <c r="A25" s="685">
        <v>1</v>
      </c>
      <c r="B25" s="139" t="s">
        <v>222</v>
      </c>
      <c r="C25" s="226">
        <v>1766.92</v>
      </c>
      <c r="D25" s="228">
        <f>C25</f>
        <v>1766.92</v>
      </c>
      <c r="E25" s="140">
        <v>3428</v>
      </c>
      <c r="F25" s="140">
        <f>E25</f>
        <v>3428</v>
      </c>
      <c r="G25" s="139"/>
      <c r="H25" s="227">
        <f t="shared" ref="H25:H36" si="7">IF(D25&lt;F25,D25,F25)</f>
        <v>1766.92</v>
      </c>
      <c r="I25" s="227">
        <f>IF(D25&lt;F25,D25,F25)</f>
        <v>1766.92</v>
      </c>
      <c r="J25" s="139"/>
      <c r="K25" s="139">
        <f>IF(D25&lt;F25,0,D25-F25)</f>
        <v>0</v>
      </c>
      <c r="L25" s="139">
        <f>K25</f>
        <v>0</v>
      </c>
      <c r="M25" s="139"/>
      <c r="N25" s="139" t="s">
        <v>345</v>
      </c>
      <c r="O25" s="33">
        <f>Données!E31</f>
        <v>0.5714285714285714</v>
      </c>
    </row>
    <row r="26" spans="1:16" ht="15.75" x14ac:dyDescent="0.25">
      <c r="A26" s="685">
        <v>2</v>
      </c>
      <c r="B26" s="139" t="s">
        <v>223</v>
      </c>
      <c r="C26" s="226">
        <v>1766.92</v>
      </c>
      <c r="D26" s="228">
        <f t="shared" ref="D26:D32" si="8">C26+D25</f>
        <v>3533.84</v>
      </c>
      <c r="E26" s="140">
        <v>3428</v>
      </c>
      <c r="F26" s="140">
        <f t="shared" ref="F26:F36" si="9">E26+F25</f>
        <v>6856</v>
      </c>
      <c r="G26" s="139"/>
      <c r="H26" s="227">
        <f t="shared" si="7"/>
        <v>3533.84</v>
      </c>
      <c r="I26" s="227">
        <f t="shared" ref="I26:I35" si="10">H26-H25</f>
        <v>1766.92</v>
      </c>
      <c r="J26" s="139"/>
      <c r="K26" s="139">
        <f t="shared" ref="K26:K36" si="11">IF(D26&lt;F26,0,D26-F26)</f>
        <v>0</v>
      </c>
      <c r="L26" s="139">
        <f t="shared" ref="L26:L30" si="12">K26-K25</f>
        <v>0</v>
      </c>
      <c r="M26" s="139"/>
      <c r="N26" s="139" t="s">
        <v>326</v>
      </c>
      <c r="O26" s="231">
        <f>Données!F10</f>
        <v>86.668571428571411</v>
      </c>
    </row>
    <row r="27" spans="1:16" ht="15.75" x14ac:dyDescent="0.25">
      <c r="A27" s="685">
        <v>3</v>
      </c>
      <c r="B27" s="139" t="s">
        <v>224</v>
      </c>
      <c r="C27" s="226">
        <v>1766.92</v>
      </c>
      <c r="D27" s="228">
        <f t="shared" si="8"/>
        <v>5300.76</v>
      </c>
      <c r="E27" s="140">
        <v>3428</v>
      </c>
      <c r="F27" s="140">
        <f t="shared" si="9"/>
        <v>10284</v>
      </c>
      <c r="G27" s="139"/>
      <c r="H27" s="227">
        <f t="shared" si="7"/>
        <v>5300.76</v>
      </c>
      <c r="I27" s="227">
        <f t="shared" si="10"/>
        <v>1766.92</v>
      </c>
      <c r="J27" s="139"/>
      <c r="K27" s="139">
        <f t="shared" si="11"/>
        <v>0</v>
      </c>
      <c r="L27" s="139">
        <f t="shared" si="12"/>
        <v>0</v>
      </c>
      <c r="M27" s="139"/>
      <c r="N27" s="139" t="s">
        <v>23</v>
      </c>
      <c r="O27" s="139">
        <f>Données!C14</f>
        <v>0</v>
      </c>
    </row>
    <row r="28" spans="1:16" ht="15.75" x14ac:dyDescent="0.25">
      <c r="A28" s="685">
        <v>4</v>
      </c>
      <c r="B28" s="139" t="s">
        <v>225</v>
      </c>
      <c r="C28" s="226">
        <v>1766.92</v>
      </c>
      <c r="D28" s="228">
        <f t="shared" si="8"/>
        <v>7067.68</v>
      </c>
      <c r="E28" s="140">
        <v>3428</v>
      </c>
      <c r="F28" s="140">
        <f t="shared" si="9"/>
        <v>13712</v>
      </c>
      <c r="G28" s="140"/>
      <c r="H28" s="227">
        <f t="shared" si="7"/>
        <v>7067.68</v>
      </c>
      <c r="I28" s="227">
        <f t="shared" si="10"/>
        <v>1766.92</v>
      </c>
      <c r="J28" s="139"/>
      <c r="K28" s="139">
        <f t="shared" si="11"/>
        <v>0</v>
      </c>
      <c r="L28" s="139">
        <f t="shared" si="12"/>
        <v>0</v>
      </c>
      <c r="M28" s="139"/>
      <c r="N28" s="139" t="s">
        <v>347</v>
      </c>
      <c r="O28" s="139">
        <f>Données!F12</f>
        <v>1009.6685714285713</v>
      </c>
    </row>
    <row r="29" spans="1:16" ht="15.75" x14ac:dyDescent="0.25">
      <c r="A29" s="685">
        <v>5</v>
      </c>
      <c r="B29" s="139" t="s">
        <v>226</v>
      </c>
      <c r="C29" s="226">
        <v>1766.92</v>
      </c>
      <c r="D29" s="228">
        <f t="shared" si="8"/>
        <v>8834.6</v>
      </c>
      <c r="E29" s="140">
        <v>3428</v>
      </c>
      <c r="F29" s="140">
        <f t="shared" si="9"/>
        <v>17140</v>
      </c>
      <c r="G29" s="140"/>
      <c r="H29" s="227">
        <f t="shared" si="7"/>
        <v>8834.6</v>
      </c>
      <c r="I29" s="227">
        <f t="shared" si="10"/>
        <v>1766.92</v>
      </c>
      <c r="J29" s="139"/>
      <c r="K29" s="139">
        <f t="shared" si="11"/>
        <v>0</v>
      </c>
      <c r="L29" s="139">
        <f t="shared" si="12"/>
        <v>0</v>
      </c>
      <c r="M29" s="139"/>
      <c r="N29" s="139"/>
      <c r="O29" s="139"/>
    </row>
    <row r="30" spans="1:16" ht="15.75" x14ac:dyDescent="0.25">
      <c r="A30" s="685">
        <v>6</v>
      </c>
      <c r="B30" s="139" t="s">
        <v>227</v>
      </c>
      <c r="C30" s="226">
        <v>1766.92</v>
      </c>
      <c r="D30" s="228">
        <f t="shared" si="8"/>
        <v>10601.52</v>
      </c>
      <c r="E30" s="140">
        <v>3428</v>
      </c>
      <c r="F30" s="140">
        <f t="shared" si="9"/>
        <v>20568</v>
      </c>
      <c r="G30" s="140"/>
      <c r="H30" s="227">
        <f t="shared" si="7"/>
        <v>10601.52</v>
      </c>
      <c r="I30" s="227">
        <f t="shared" si="10"/>
        <v>1766.92</v>
      </c>
      <c r="J30" s="139"/>
      <c r="K30" s="139">
        <f t="shared" si="11"/>
        <v>0</v>
      </c>
      <c r="L30" s="139">
        <f t="shared" si="12"/>
        <v>0</v>
      </c>
      <c r="M30" s="139"/>
      <c r="N30" s="686" t="s">
        <v>481</v>
      </c>
      <c r="O30" s="686">
        <f ca="1">INDEX(I25:I36,MATCH(MONTH(TODAY()),A25:A36,0))</f>
        <v>1766.92</v>
      </c>
    </row>
    <row r="31" spans="1:16" ht="15.75" x14ac:dyDescent="0.25">
      <c r="A31" s="685">
        <v>7</v>
      </c>
      <c r="B31" s="139" t="s">
        <v>228</v>
      </c>
      <c r="C31" s="226">
        <v>1766.92</v>
      </c>
      <c r="D31" s="228">
        <f t="shared" si="8"/>
        <v>12368.44</v>
      </c>
      <c r="E31" s="140">
        <v>3428</v>
      </c>
      <c r="F31" s="140">
        <f t="shared" si="9"/>
        <v>23996</v>
      </c>
      <c r="G31" s="140"/>
      <c r="H31" s="227">
        <f t="shared" si="7"/>
        <v>12368.44</v>
      </c>
      <c r="I31" s="227">
        <f t="shared" si="10"/>
        <v>1766.92</v>
      </c>
      <c r="J31" s="139"/>
      <c r="K31" s="139">
        <f t="shared" si="11"/>
        <v>0</v>
      </c>
      <c r="L31" s="139">
        <f>K31-K30</f>
        <v>0</v>
      </c>
      <c r="M31" s="139"/>
      <c r="N31" s="139"/>
      <c r="O31" s="139"/>
    </row>
    <row r="32" spans="1:16" ht="15.75" x14ac:dyDescent="0.25">
      <c r="A32" s="685">
        <v>8</v>
      </c>
      <c r="B32" s="139" t="s">
        <v>229</v>
      </c>
      <c r="C32" s="226">
        <v>1766.92</v>
      </c>
      <c r="D32" s="228">
        <f t="shared" si="8"/>
        <v>14135.36</v>
      </c>
      <c r="E32" s="140">
        <v>3428</v>
      </c>
      <c r="F32" s="140">
        <f t="shared" si="9"/>
        <v>27424</v>
      </c>
      <c r="G32" s="140"/>
      <c r="H32" s="227">
        <f t="shared" si="7"/>
        <v>14135.36</v>
      </c>
      <c r="I32" s="227">
        <f t="shared" si="10"/>
        <v>1766.92</v>
      </c>
      <c r="J32" s="139"/>
      <c r="K32" s="139">
        <f t="shared" si="11"/>
        <v>0</v>
      </c>
      <c r="L32" s="139">
        <f t="shared" ref="L32:L35" si="13">K32-K31</f>
        <v>0</v>
      </c>
      <c r="M32" s="139"/>
      <c r="N32" s="139"/>
      <c r="O32" s="139"/>
    </row>
    <row r="33" spans="1:15" ht="15.75" x14ac:dyDescent="0.25">
      <c r="A33" s="685">
        <v>9</v>
      </c>
      <c r="B33" s="139" t="s">
        <v>230</v>
      </c>
      <c r="C33" s="226">
        <v>1766.92</v>
      </c>
      <c r="D33" s="228">
        <f t="shared" ref="D33:D36" si="14">C33+D32</f>
        <v>15902.28</v>
      </c>
      <c r="E33" s="140">
        <v>3428</v>
      </c>
      <c r="F33" s="140">
        <f t="shared" si="9"/>
        <v>30852</v>
      </c>
      <c r="G33" s="140"/>
      <c r="H33" s="227">
        <f t="shared" si="7"/>
        <v>15902.28</v>
      </c>
      <c r="I33" s="227">
        <f t="shared" si="10"/>
        <v>1766.92</v>
      </c>
      <c r="J33" s="139"/>
      <c r="K33" s="139">
        <f t="shared" si="11"/>
        <v>0</v>
      </c>
      <c r="L33" s="139">
        <f t="shared" si="13"/>
        <v>0</v>
      </c>
      <c r="M33" s="139"/>
      <c r="N33" s="139"/>
      <c r="O33" s="139"/>
    </row>
    <row r="34" spans="1:15" ht="15.75" x14ac:dyDescent="0.25">
      <c r="A34" s="685">
        <v>10</v>
      </c>
      <c r="B34" s="139" t="s">
        <v>231</v>
      </c>
      <c r="C34" s="226">
        <v>1766.92</v>
      </c>
      <c r="D34" s="228">
        <f t="shared" si="14"/>
        <v>17669.2</v>
      </c>
      <c r="E34" s="140">
        <v>3428</v>
      </c>
      <c r="F34" s="140">
        <f t="shared" si="9"/>
        <v>34280</v>
      </c>
      <c r="G34" s="139"/>
      <c r="H34" s="227">
        <f t="shared" si="7"/>
        <v>17669.2</v>
      </c>
      <c r="I34" s="227">
        <f t="shared" si="10"/>
        <v>1766.92</v>
      </c>
      <c r="J34" s="139"/>
      <c r="K34" s="139">
        <f t="shared" si="11"/>
        <v>0</v>
      </c>
      <c r="L34" s="139">
        <f t="shared" si="13"/>
        <v>0</v>
      </c>
      <c r="M34" s="139"/>
      <c r="N34" s="139"/>
      <c r="O34" s="139"/>
    </row>
    <row r="35" spans="1:15" ht="15.75" x14ac:dyDescent="0.25">
      <c r="A35" s="685">
        <v>11</v>
      </c>
      <c r="B35" s="139" t="s">
        <v>232</v>
      </c>
      <c r="C35" s="226">
        <v>1766.92</v>
      </c>
      <c r="D35" s="228">
        <f t="shared" si="14"/>
        <v>19436.120000000003</v>
      </c>
      <c r="E35" s="140">
        <v>3428</v>
      </c>
      <c r="F35" s="140">
        <f t="shared" si="9"/>
        <v>37708</v>
      </c>
      <c r="G35" s="139"/>
      <c r="H35" s="227">
        <f t="shared" si="7"/>
        <v>19436.120000000003</v>
      </c>
      <c r="I35" s="227">
        <f t="shared" si="10"/>
        <v>1766.9200000000019</v>
      </c>
      <c r="J35" s="139"/>
      <c r="K35" s="139">
        <f t="shared" si="11"/>
        <v>0</v>
      </c>
      <c r="L35" s="139">
        <f t="shared" si="13"/>
        <v>0</v>
      </c>
      <c r="M35" s="139"/>
      <c r="N35" s="139"/>
      <c r="O35" s="139"/>
    </row>
    <row r="36" spans="1:15" ht="15.75" x14ac:dyDescent="0.25">
      <c r="A36" s="685">
        <v>12</v>
      </c>
      <c r="B36" s="139" t="s">
        <v>233</v>
      </c>
      <c r="C36" s="226">
        <v>1766.92</v>
      </c>
      <c r="D36" s="228">
        <f t="shared" si="14"/>
        <v>21203.040000000001</v>
      </c>
      <c r="E36" s="140">
        <v>3428</v>
      </c>
      <c r="F36" s="140">
        <f t="shared" si="9"/>
        <v>41136</v>
      </c>
      <c r="G36" s="139"/>
      <c r="H36" s="227">
        <f t="shared" si="7"/>
        <v>21203.040000000001</v>
      </c>
      <c r="I36" s="227">
        <f>H36-H35</f>
        <v>1766.9199999999983</v>
      </c>
      <c r="J36" s="139"/>
      <c r="K36" s="139">
        <f t="shared" si="11"/>
        <v>0</v>
      </c>
      <c r="L36" s="139">
        <f>K36-K35</f>
        <v>0</v>
      </c>
      <c r="M36" s="139"/>
      <c r="N36" s="139"/>
      <c r="O36" s="139"/>
    </row>
    <row r="37" spans="1:15" ht="15.75" x14ac:dyDescent="0.25">
      <c r="A37" s="138"/>
      <c r="B37" s="139"/>
      <c r="C37" s="141"/>
      <c r="D37" s="228"/>
      <c r="E37" s="139"/>
      <c r="F37" s="139"/>
      <c r="G37" s="139"/>
      <c r="H37" s="139"/>
      <c r="I37" s="139"/>
      <c r="J37" s="139"/>
      <c r="K37" s="139"/>
      <c r="L37" s="139"/>
      <c r="M37" s="139"/>
      <c r="N37" s="139"/>
    </row>
    <row r="38" spans="1:15" x14ac:dyDescent="0.25">
      <c r="A38" s="138"/>
      <c r="B38" s="139"/>
      <c r="C38" s="139"/>
      <c r="D38" s="227">
        <f>D36</f>
        <v>21203.040000000001</v>
      </c>
      <c r="E38" s="142">
        <f>SUM(E25:E36)</f>
        <v>41136</v>
      </c>
      <c r="F38" s="139">
        <f>F36</f>
        <v>41136</v>
      </c>
      <c r="G38" s="139"/>
      <c r="H38" s="227">
        <f>H36</f>
        <v>21203.040000000001</v>
      </c>
      <c r="I38" s="227">
        <f>SUM(I25:I36)</f>
        <v>21203.040000000001</v>
      </c>
      <c r="J38" s="139"/>
      <c r="K38" s="139">
        <f>SUM(K25:K36)</f>
        <v>0</v>
      </c>
      <c r="L38" s="139">
        <f>SUM(L25:L36)</f>
        <v>0</v>
      </c>
      <c r="M38" s="139"/>
      <c r="N38" s="139"/>
      <c r="O38" s="138"/>
    </row>
    <row r="39" spans="1:15" x14ac:dyDescent="0.25">
      <c r="A39" s="138"/>
      <c r="B39" s="139"/>
      <c r="C39" s="139"/>
      <c r="D39" s="139"/>
      <c r="E39" s="139"/>
      <c r="F39" s="139"/>
      <c r="G39" s="139"/>
      <c r="H39" s="139"/>
      <c r="I39" s="139"/>
      <c r="J39" s="139"/>
      <c r="K39" s="139"/>
      <c r="L39" s="139"/>
      <c r="M39" s="139"/>
      <c r="N39" s="139"/>
      <c r="O39" s="138"/>
    </row>
    <row r="40" spans="1:15" x14ac:dyDescent="0.25">
      <c r="A40" s="138"/>
      <c r="B40" s="139"/>
      <c r="C40" s="139"/>
      <c r="D40" s="139"/>
      <c r="E40" s="139"/>
      <c r="F40" s="139"/>
      <c r="J40" s="139"/>
      <c r="K40" s="139"/>
      <c r="L40" s="139"/>
      <c r="M40" s="139"/>
      <c r="N40" s="139"/>
      <c r="O40" s="138"/>
    </row>
    <row r="41" spans="1:15" x14ac:dyDescent="0.25">
      <c r="A41" s="138"/>
      <c r="B41" s="139"/>
      <c r="C41" s="139"/>
      <c r="E41" s="139"/>
      <c r="J41" s="139"/>
      <c r="K41" s="139"/>
      <c r="L41" s="139"/>
      <c r="M41" s="139"/>
      <c r="N41" s="139"/>
      <c r="O41" s="138"/>
    </row>
    <row r="42" spans="1:15" x14ac:dyDescent="0.25">
      <c r="A42" s="138"/>
      <c r="B42" s="138"/>
      <c r="C42" s="138"/>
      <c r="D42" s="138"/>
      <c r="E42" s="138"/>
      <c r="F42" s="138" t="s">
        <v>235</v>
      </c>
      <c r="G42" s="31">
        <v>3864</v>
      </c>
      <c r="J42" s="138"/>
      <c r="K42" s="138"/>
      <c r="L42" s="138"/>
      <c r="M42" s="138"/>
      <c r="N42" s="138"/>
      <c r="O42" s="138"/>
    </row>
    <row r="43" spans="1:15" x14ac:dyDescent="0.25">
      <c r="A43" s="138"/>
      <c r="C43" s="138"/>
      <c r="D43" s="138"/>
      <c r="E43" s="138"/>
      <c r="F43" s="138" t="s">
        <v>236</v>
      </c>
      <c r="G43" s="31">
        <f>3864*12</f>
        <v>46368</v>
      </c>
      <c r="J43" s="138"/>
      <c r="K43" s="138"/>
      <c r="L43" s="138"/>
      <c r="M43" s="138"/>
      <c r="N43" s="138"/>
      <c r="O43" s="138"/>
    </row>
    <row r="44" spans="1:15" x14ac:dyDescent="0.25">
      <c r="E44" s="139"/>
      <c r="F44" s="139"/>
      <c r="G44" s="139"/>
      <c r="O44" t="s">
        <v>237</v>
      </c>
    </row>
    <row r="45" spans="1:15" x14ac:dyDescent="0.25">
      <c r="E45" s="139"/>
      <c r="F45" t="s">
        <v>214</v>
      </c>
      <c r="G45" s="139">
        <f>D36</f>
        <v>21203.040000000001</v>
      </c>
    </row>
    <row r="46" spans="1:15" x14ac:dyDescent="0.25">
      <c r="E46" s="138"/>
      <c r="F46" s="139" t="s">
        <v>234</v>
      </c>
      <c r="G46" s="139">
        <f>SUM(I25:I36)+SUM(L25:L36)</f>
        <v>21203.040000000001</v>
      </c>
    </row>
    <row r="47" spans="1:15" x14ac:dyDescent="0.25">
      <c r="E47" s="138"/>
    </row>
  </sheetData>
  <conditionalFormatting sqref="D25:D32">
    <cfRule type="expression" dxfId="5" priority="8">
      <formula>AND(D25&lt;&gt;"",D25&lt;MIN(F25:F36))</formula>
    </cfRule>
  </conditionalFormatting>
  <conditionalFormatting sqref="F25:F36">
    <cfRule type="expression" dxfId="4" priority="7">
      <formula>AND(F25&lt;&gt;"",F25&lt;MIN(D25:D36))</formula>
    </cfRule>
  </conditionalFormatting>
  <conditionalFormatting sqref="D33:D36">
    <cfRule type="expression" dxfId="3" priority="10">
      <formula>AND(D33&lt;&gt;"",D33&lt;MIN(F33:F43))</formula>
    </cfRule>
  </conditionalFormatting>
  <conditionalFormatting sqref="F5:F16">
    <cfRule type="expression" dxfId="2" priority="1">
      <formula>AND(F5&lt;&gt;"",F5&lt;MIN(D5:D16))</formula>
    </cfRule>
  </conditionalFormatting>
  <conditionalFormatting sqref="D5:D12">
    <cfRule type="expression" dxfId="1" priority="2">
      <formula>AND(D5&lt;&gt;"",D5&lt;MIN(F5:F16))</formula>
    </cfRule>
  </conditionalFormatting>
  <conditionalFormatting sqref="D13:D16">
    <cfRule type="expression" dxfId="0" priority="3">
      <formula>AND(D13&lt;&gt;"",D13&lt;MIN(F13:F23))</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T80"/>
  <sheetViews>
    <sheetView topLeftCell="D4" workbookViewId="0">
      <selection activeCell="J20" sqref="J20"/>
    </sheetView>
  </sheetViews>
  <sheetFormatPr defaultColWidth="11.42578125" defaultRowHeight="15" x14ac:dyDescent="0.25"/>
  <cols>
    <col min="1" max="1" width="26" customWidth="1"/>
    <col min="2" max="2" width="11.5703125" customWidth="1"/>
    <col min="5" max="5" width="19" customWidth="1"/>
    <col min="6" max="6" width="17.85546875" customWidth="1"/>
    <col min="7" max="7" width="30.140625" customWidth="1"/>
    <col min="8" max="8" width="18.140625" customWidth="1"/>
    <col min="9" max="9" width="15.42578125" customWidth="1"/>
    <col min="10" max="10" width="16.42578125" customWidth="1"/>
    <col min="11" max="11" width="16" customWidth="1"/>
    <col min="12" max="12" width="19" customWidth="1"/>
  </cols>
  <sheetData>
    <row r="2" spans="1:12" ht="103.5" customHeight="1" x14ac:dyDescent="0.25">
      <c r="A2" s="46" t="s">
        <v>51</v>
      </c>
      <c r="C2" s="46" t="s">
        <v>54</v>
      </c>
      <c r="E2" s="46" t="s">
        <v>57</v>
      </c>
      <c r="F2" s="43"/>
      <c r="G2" s="80" t="s">
        <v>86</v>
      </c>
    </row>
    <row r="3" spans="1:12" ht="13.5" customHeight="1" x14ac:dyDescent="0.25">
      <c r="A3" s="46"/>
      <c r="C3" s="46"/>
      <c r="E3" s="46"/>
      <c r="F3" s="43"/>
      <c r="G3" s="80"/>
    </row>
    <row r="4" spans="1:12" ht="15" customHeight="1" x14ac:dyDescent="0.25">
      <c r="A4" s="46"/>
      <c r="C4" s="46"/>
      <c r="E4" s="46"/>
      <c r="F4" s="499" t="s">
        <v>0</v>
      </c>
      <c r="G4" s="500"/>
      <c r="H4" s="500"/>
      <c r="I4" s="500"/>
      <c r="J4" s="500"/>
      <c r="K4" s="500"/>
      <c r="L4" s="501"/>
    </row>
    <row r="5" spans="1:12" ht="15" customHeight="1" x14ac:dyDescent="0.25">
      <c r="F5" s="502"/>
      <c r="G5" s="503"/>
      <c r="H5" s="503"/>
      <c r="I5" s="503"/>
      <c r="J5" s="503"/>
      <c r="K5" s="503"/>
      <c r="L5" s="504"/>
    </row>
    <row r="6" spans="1:12" x14ac:dyDescent="0.25">
      <c r="F6" s="3" t="s">
        <v>3</v>
      </c>
      <c r="G6" s="5"/>
      <c r="H6" s="4"/>
      <c r="I6" s="3" t="s">
        <v>147</v>
      </c>
      <c r="J6" s="103"/>
      <c r="K6" s="6" t="s">
        <v>148</v>
      </c>
      <c r="L6" s="4"/>
    </row>
    <row r="7" spans="1:12" x14ac:dyDescent="0.25">
      <c r="F7" s="7" t="s">
        <v>6</v>
      </c>
      <c r="G7" s="9"/>
      <c r="H7" s="8"/>
      <c r="I7" s="7"/>
      <c r="J7" s="9"/>
      <c r="K7" s="10"/>
      <c r="L7" s="8"/>
    </row>
    <row r="8" spans="1:12" x14ac:dyDescent="0.25">
      <c r="A8" s="45" t="s">
        <v>117</v>
      </c>
      <c r="F8" s="7"/>
      <c r="G8" s="9"/>
      <c r="H8" s="8"/>
      <c r="I8" s="7"/>
      <c r="J8" s="9"/>
      <c r="K8" s="9"/>
      <c r="L8" s="8"/>
    </row>
    <row r="9" spans="1:12" x14ac:dyDescent="0.25">
      <c r="F9" s="7" t="s">
        <v>9</v>
      </c>
      <c r="G9" s="9"/>
      <c r="H9" s="8"/>
      <c r="I9" s="7"/>
      <c r="J9" s="9" t="s">
        <v>10</v>
      </c>
      <c r="K9" s="9"/>
      <c r="L9" s="8"/>
    </row>
    <row r="10" spans="1:12" x14ac:dyDescent="0.25">
      <c r="A10" s="45" t="s">
        <v>125</v>
      </c>
      <c r="B10" s="46"/>
      <c r="C10" s="46"/>
      <c r="D10" s="46"/>
      <c r="E10" s="46"/>
      <c r="F10" s="7" t="s">
        <v>11</v>
      </c>
      <c r="G10" s="9"/>
      <c r="H10" s="8"/>
      <c r="I10" s="7"/>
      <c r="J10" s="9"/>
      <c r="K10" s="9"/>
      <c r="L10" s="8"/>
    </row>
    <row r="11" spans="1:12" x14ac:dyDescent="0.25">
      <c r="A11" s="46"/>
      <c r="B11" s="46"/>
      <c r="C11" s="46"/>
      <c r="D11" s="46"/>
      <c r="E11" s="46"/>
      <c r="F11" s="7" t="s">
        <v>12</v>
      </c>
      <c r="G11" s="9"/>
      <c r="H11" s="8"/>
      <c r="I11" s="7"/>
      <c r="J11" s="9"/>
      <c r="K11" s="9"/>
      <c r="L11" s="8"/>
    </row>
    <row r="12" spans="1:12" x14ac:dyDescent="0.25">
      <c r="F12" s="11" t="s">
        <v>13</v>
      </c>
      <c r="G12" s="13"/>
      <c r="H12" s="12"/>
      <c r="I12" s="11"/>
      <c r="J12" s="13"/>
      <c r="K12" s="13"/>
      <c r="L12" s="14"/>
    </row>
    <row r="13" spans="1:12" x14ac:dyDescent="0.25">
      <c r="B13" s="46"/>
      <c r="C13" s="46"/>
      <c r="D13" s="46"/>
      <c r="E13" s="46"/>
      <c r="F13" s="7" t="str">
        <f>"Emploi : " &amp; Données!E28</f>
        <v>Emploi : Chef comptable</v>
      </c>
      <c r="G13" s="9"/>
      <c r="H13" s="9"/>
      <c r="I13" s="104" t="str">
        <f>"Salarié : " &amp; Données!E26</f>
        <v>Salarié : Madame SUZY</v>
      </c>
      <c r="J13" s="9"/>
      <c r="K13" s="9"/>
      <c r="L13" s="8"/>
    </row>
    <row r="14" spans="1:12" x14ac:dyDescent="0.25">
      <c r="A14" s="46"/>
      <c r="B14" s="46"/>
      <c r="C14" s="46"/>
      <c r="D14" s="46"/>
      <c r="E14" s="46"/>
      <c r="F14" s="7" t="str">
        <f>"Statut : " &amp; Données!E29</f>
        <v>Statut : Ouvrier</v>
      </c>
      <c r="G14" s="9"/>
      <c r="H14" s="9"/>
      <c r="I14" s="9" t="s">
        <v>6</v>
      </c>
      <c r="J14" s="9"/>
      <c r="K14" s="9"/>
      <c r="L14" s="8"/>
    </row>
    <row r="15" spans="1:12" x14ac:dyDescent="0.25">
      <c r="F15" s="7" t="s">
        <v>17</v>
      </c>
      <c r="G15" s="9"/>
      <c r="H15" s="54"/>
      <c r="I15" s="9"/>
      <c r="J15" s="505"/>
      <c r="K15" s="505"/>
      <c r="L15" s="506"/>
    </row>
    <row r="16" spans="1:12" x14ac:dyDescent="0.25">
      <c r="B16" s="46"/>
      <c r="C16" s="46"/>
      <c r="D16" s="46"/>
      <c r="E16" s="46"/>
      <c r="F16" s="7" t="s">
        <v>153</v>
      </c>
      <c r="G16" s="9"/>
      <c r="H16" s="49"/>
      <c r="I16" s="9"/>
      <c r="J16" s="507"/>
      <c r="K16" s="507"/>
      <c r="L16" s="508"/>
    </row>
    <row r="17" spans="1:12" x14ac:dyDescent="0.25">
      <c r="A17" s="46"/>
      <c r="B17" s="46"/>
      <c r="C17" s="46"/>
      <c r="D17" s="46"/>
      <c r="E17" s="46"/>
      <c r="F17" s="105"/>
      <c r="G17" s="9"/>
      <c r="H17" s="54"/>
      <c r="I17" s="9"/>
      <c r="J17" s="507"/>
      <c r="K17" s="507"/>
      <c r="L17" s="508"/>
    </row>
    <row r="18" spans="1:12" x14ac:dyDescent="0.25">
      <c r="F18" s="102" t="s">
        <v>114</v>
      </c>
      <c r="G18" s="55">
        <f>Données!B28</f>
        <v>45200</v>
      </c>
      <c r="H18" s="50" t="s">
        <v>111</v>
      </c>
      <c r="I18" s="13"/>
      <c r="J18" s="509"/>
      <c r="K18" s="509"/>
      <c r="L18" s="510"/>
    </row>
    <row r="19" spans="1:12" x14ac:dyDescent="0.25">
      <c r="B19" s="80"/>
      <c r="C19" s="80"/>
      <c r="D19" s="80"/>
      <c r="E19" s="80"/>
      <c r="F19" s="41"/>
      <c r="H19" s="31" t="s">
        <v>20</v>
      </c>
      <c r="I19" s="31" t="s">
        <v>21</v>
      </c>
      <c r="J19" s="31" t="s">
        <v>22</v>
      </c>
      <c r="L19" s="15"/>
    </row>
    <row r="20" spans="1:12" x14ac:dyDescent="0.25">
      <c r="A20" s="80"/>
      <c r="B20" s="80"/>
      <c r="C20" s="80"/>
      <c r="D20" s="80"/>
      <c r="E20" s="80"/>
      <c r="F20" s="41" t="s">
        <v>23</v>
      </c>
      <c r="H20" s="31">
        <f>Données!F10</f>
        <v>86.668571428571411</v>
      </c>
      <c r="I20" s="34">
        <f>Données!F11</f>
        <v>6.657155416012559</v>
      </c>
      <c r="J20" s="34">
        <f>IF(Données!E29="Apprenti",Données!C13,0)</f>
        <v>0</v>
      </c>
      <c r="L20" s="16"/>
    </row>
    <row r="21" spans="1:12" ht="18" x14ac:dyDescent="0.25">
      <c r="A21" s="24"/>
      <c r="F21" s="41" t="e">
        <f>IF(Données!#REF!=0,"","Heure supplémentaire mensualisé")</f>
        <v>#REF!</v>
      </c>
      <c r="H21" s="34" t="e">
        <f>IF(Données!#REF!=0,"",Données!#REF!)</f>
        <v>#REF!</v>
      </c>
      <c r="I21" s="34" t="e">
        <f>IF(H21="","",Données!I11)</f>
        <v>#REF!</v>
      </c>
      <c r="J21" s="34" t="str">
        <f>IF(Données!J11=0,"",Données!J11)</f>
        <v/>
      </c>
      <c r="L21" s="16"/>
    </row>
    <row r="22" spans="1:12" x14ac:dyDescent="0.25">
      <c r="F22" s="41" t="s">
        <v>24</v>
      </c>
      <c r="H22" s="34" t="str">
        <f>IF(Données!G31=0,"",Données!G31)</f>
        <v/>
      </c>
      <c r="I22" s="34" t="str">
        <f>IF(H22="","",Données!I12)</f>
        <v/>
      </c>
      <c r="J22" s="34" t="str">
        <f>IF(H22="","",Données!J12)</f>
        <v/>
      </c>
      <c r="K22" s="34"/>
      <c r="L22" s="16"/>
    </row>
    <row r="23" spans="1:12" x14ac:dyDescent="0.25">
      <c r="F23" s="41" t="s">
        <v>25</v>
      </c>
      <c r="H23" s="34" t="e">
        <f>IF(Données!#REF!=0,"",Données!#REF!)</f>
        <v>#REF!</v>
      </c>
      <c r="I23" s="34" t="e">
        <f>IF(H23="","",Données!I13)</f>
        <v>#REF!</v>
      </c>
      <c r="J23" s="34" t="e">
        <f>IF(H23="","",Données!J13)</f>
        <v>#REF!</v>
      </c>
      <c r="L23" s="16"/>
    </row>
    <row r="24" spans="1:12" x14ac:dyDescent="0.25">
      <c r="A24" s="23"/>
      <c r="F24" s="41"/>
      <c r="H24" s="31"/>
      <c r="I24" s="34"/>
      <c r="J24" s="34"/>
      <c r="L24" s="16"/>
    </row>
    <row r="25" spans="1:12" ht="24.75" customHeight="1" x14ac:dyDescent="0.25">
      <c r="F25" s="41" t="s">
        <v>26</v>
      </c>
      <c r="H25" s="31" t="str">
        <f>IF(Données!G30=0,"",Données!G30)</f>
        <v/>
      </c>
      <c r="I25" s="34" t="str">
        <f>IF(H25="","",Données!F11)</f>
        <v/>
      </c>
      <c r="J25" s="34">
        <f>IF(Données!J10="","",Données!J10)</f>
        <v>0</v>
      </c>
      <c r="L25" s="16"/>
    </row>
    <row r="26" spans="1:12" x14ac:dyDescent="0.25">
      <c r="F26" s="77" t="s">
        <v>27</v>
      </c>
      <c r="G26" s="78"/>
      <c r="H26" s="78"/>
      <c r="I26" s="78"/>
      <c r="J26" s="79" t="e">
        <f>SUM(J20:J23)-IF(J25="",0,J25)</f>
        <v>#REF!</v>
      </c>
      <c r="K26" s="17"/>
      <c r="L26" s="18"/>
    </row>
    <row r="27" spans="1:12" ht="27" customHeight="1" x14ac:dyDescent="0.25">
      <c r="F27" s="71" t="s">
        <v>28</v>
      </c>
      <c r="G27" s="72"/>
      <c r="H27" s="81" t="s">
        <v>29</v>
      </c>
      <c r="I27" s="81" t="s">
        <v>30</v>
      </c>
      <c r="J27" s="81" t="s">
        <v>31</v>
      </c>
      <c r="K27" s="81" t="s">
        <v>32</v>
      </c>
      <c r="L27" s="81" t="s">
        <v>22</v>
      </c>
    </row>
    <row r="28" spans="1:12" x14ac:dyDescent="0.25">
      <c r="F28" s="73" t="s">
        <v>33</v>
      </c>
      <c r="G28" s="25"/>
      <c r="H28" s="60" t="e">
        <f>J26</f>
        <v>#REF!</v>
      </c>
      <c r="I28" s="89"/>
      <c r="J28" s="90"/>
      <c r="K28" s="91">
        <f>IF(Données!C13&lt;=(2.5*Données!B23),7%,13%)</f>
        <v>7.0000000000000007E-2</v>
      </c>
      <c r="L28" s="60" t="e">
        <f>H28*K28</f>
        <v>#REF!</v>
      </c>
    </row>
    <row r="29" spans="1:12" x14ac:dyDescent="0.25">
      <c r="F29" s="73" t="s">
        <v>143</v>
      </c>
      <c r="G29" s="25"/>
      <c r="H29" s="82" t="e">
        <f>IF(Données!F40=0,"",J26)</f>
        <v>#REF!</v>
      </c>
      <c r="I29" s="67">
        <f>IF(Données!F40=0,"",Données!F40)</f>
        <v>0.02</v>
      </c>
      <c r="J29" s="83" t="e">
        <f>IF(H29="","",H29*I29)</f>
        <v>#REF!</v>
      </c>
      <c r="K29" s="85">
        <f>IF(Données!G40=0,"",Données!G40)</f>
        <v>2.4E-2</v>
      </c>
      <c r="L29" s="82" t="e">
        <f>IF(H29="","",K29*H29)</f>
        <v>#REF!</v>
      </c>
    </row>
    <row r="30" spans="1:12" x14ac:dyDescent="0.25">
      <c r="F30" s="73" t="s">
        <v>127</v>
      </c>
      <c r="G30" s="25"/>
      <c r="H30" s="82">
        <f>IF(Données!E39=0,"",Données!E39)</f>
        <v>35</v>
      </c>
      <c r="I30" s="67">
        <f>IF(Données!E39=0,"",Données!F39)</f>
        <v>0.4</v>
      </c>
      <c r="J30" s="83">
        <f>IF(H30="","",H30*I30)</f>
        <v>14</v>
      </c>
      <c r="K30" s="85">
        <f>IF(Données!E39=0,"",Données!G39)</f>
        <v>0.6</v>
      </c>
      <c r="L30" s="82">
        <f>IF(H30="","",H30*K30)</f>
        <v>21</v>
      </c>
    </row>
    <row r="31" spans="1:12" x14ac:dyDescent="0.25">
      <c r="F31" s="71" t="s">
        <v>35</v>
      </c>
      <c r="G31" s="72"/>
      <c r="H31" s="82" t="e">
        <f>J26</f>
        <v>#REF!</v>
      </c>
      <c r="I31" s="67"/>
      <c r="J31" s="83"/>
      <c r="K31" s="85">
        <f>Données!E41</f>
        <v>0.02</v>
      </c>
      <c r="L31" s="82" t="e">
        <f>H31*K31</f>
        <v>#REF!</v>
      </c>
    </row>
    <row r="32" spans="1:12" x14ac:dyDescent="0.25">
      <c r="F32" s="41"/>
      <c r="H32" s="82"/>
      <c r="I32" s="67"/>
      <c r="J32" s="83"/>
      <c r="K32" s="85"/>
      <c r="L32" s="82"/>
    </row>
    <row r="33" spans="6:12" x14ac:dyDescent="0.25">
      <c r="F33" s="71" t="s">
        <v>36</v>
      </c>
      <c r="G33" s="72"/>
      <c r="H33" s="82"/>
      <c r="I33" s="67"/>
      <c r="J33" s="83"/>
      <c r="K33" s="85"/>
      <c r="L33" s="82"/>
    </row>
    <row r="34" spans="6:12" x14ac:dyDescent="0.25">
      <c r="F34" s="73" t="s">
        <v>37</v>
      </c>
      <c r="G34" s="25"/>
      <c r="H34" s="82" t="e">
        <f>J26</f>
        <v>#REF!</v>
      </c>
      <c r="I34" s="67"/>
      <c r="J34" s="83"/>
      <c r="K34" s="92">
        <f>IF(Données!C13&lt;=(3.5*Données!B23),3.45%,5.25%)</f>
        <v>3.4500000000000003E-2</v>
      </c>
      <c r="L34" s="82" t="e">
        <f>H34*K34</f>
        <v>#REF!</v>
      </c>
    </row>
    <row r="35" spans="6:12" x14ac:dyDescent="0.25">
      <c r="F35" s="71" t="s">
        <v>38</v>
      </c>
      <c r="G35" s="72"/>
      <c r="H35" s="82"/>
      <c r="I35" s="67"/>
      <c r="J35" s="84"/>
      <c r="K35" s="85"/>
      <c r="L35" s="82"/>
    </row>
    <row r="36" spans="6:12" x14ac:dyDescent="0.25">
      <c r="F36" s="73" t="s">
        <v>39</v>
      </c>
      <c r="G36" s="25"/>
      <c r="H36" s="82" t="e">
        <f>J26</f>
        <v>#REF!</v>
      </c>
      <c r="I36" s="67"/>
      <c r="J36" s="84"/>
      <c r="K36" s="85">
        <f>Données!E42</f>
        <v>0</v>
      </c>
      <c r="L36" s="82" t="e">
        <f>H36*K36</f>
        <v>#REF!</v>
      </c>
    </row>
    <row r="37" spans="6:12" x14ac:dyDescent="0.25">
      <c r="F37" s="73" t="s">
        <v>40</v>
      </c>
      <c r="G37" s="25"/>
      <c r="H37" s="82" t="e">
        <f>J26</f>
        <v>#REF!</v>
      </c>
      <c r="I37" s="67">
        <v>2.5000000000000001E-3</v>
      </c>
      <c r="J37" s="84"/>
      <c r="K37" s="85">
        <v>2.5000000000000001E-3</v>
      </c>
      <c r="L37" s="82" t="e">
        <f>H37*K37</f>
        <v>#REF!</v>
      </c>
    </row>
    <row r="38" spans="6:12" x14ac:dyDescent="0.25">
      <c r="F38" s="71" t="s">
        <v>41</v>
      </c>
      <c r="G38" s="72"/>
      <c r="H38" s="82"/>
      <c r="I38" s="67"/>
      <c r="J38" s="84"/>
      <c r="K38" s="85"/>
      <c r="L38" s="82"/>
    </row>
    <row r="39" spans="6:12" x14ac:dyDescent="0.25">
      <c r="F39" s="73" t="s">
        <v>42</v>
      </c>
      <c r="G39" s="25"/>
      <c r="H39" s="82" t="e">
        <f>J26</f>
        <v>#REF!</v>
      </c>
      <c r="I39" s="67" t="e">
        <f>IF(Données!#REF!="Exonération de cotisation","",6.9%)</f>
        <v>#REF!</v>
      </c>
      <c r="J39" s="83" t="e">
        <f>IF(Données!#REF!="Exonération de cotisation","",H39*I39)</f>
        <v>#REF!</v>
      </c>
      <c r="K39" s="85">
        <v>8.5500000000000007E-2</v>
      </c>
      <c r="L39" s="82">
        <f>Données!C13*K39</f>
        <v>0</v>
      </c>
    </row>
    <row r="40" spans="6:12" x14ac:dyDescent="0.25">
      <c r="F40" s="73" t="s">
        <v>43</v>
      </c>
      <c r="G40" s="25"/>
      <c r="H40" s="82" t="e">
        <f>J26</f>
        <v>#REF!</v>
      </c>
      <c r="I40" s="67" t="e">
        <f>IF(Données!#REF!="Exonération de cotisation","",0.4%)</f>
        <v>#REF!</v>
      </c>
      <c r="J40" s="83" t="e">
        <f>IF(Données!#REF!="Exonération de cotisation","",H40*I40)</f>
        <v>#REF!</v>
      </c>
      <c r="K40" s="85">
        <v>2.0199999999999999E-2</v>
      </c>
      <c r="L40" s="82">
        <f>Données!C13*K40</f>
        <v>0</v>
      </c>
    </row>
    <row r="41" spans="6:12" x14ac:dyDescent="0.25">
      <c r="F41" s="73" t="s">
        <v>44</v>
      </c>
      <c r="G41" s="25"/>
      <c r="H41" s="82" t="e">
        <f>J26</f>
        <v>#REF!</v>
      </c>
      <c r="I41" s="67" t="e">
        <f>IF(Données!#REF!="Exonération de cotisation","",3.56%)</f>
        <v>#REF!</v>
      </c>
      <c r="J41" s="83" t="e">
        <f>IF(Données!#REF!="Exonération de cotisation","",H41*I41)</f>
        <v>#REF!</v>
      </c>
      <c r="K41" s="85">
        <v>5.33E-2</v>
      </c>
      <c r="L41" s="82">
        <f>Données!C13*K41</f>
        <v>0</v>
      </c>
    </row>
    <row r="42" spans="6:12" x14ac:dyDescent="0.25">
      <c r="F42" s="73" t="s">
        <v>45</v>
      </c>
      <c r="G42" s="25"/>
      <c r="H42" s="82" t="e">
        <f>J26</f>
        <v>#REF!</v>
      </c>
      <c r="I42" s="67" t="e">
        <f>IF(Données!#REF!="Exonération de cotisation","",0.86%)</f>
        <v>#REF!</v>
      </c>
      <c r="J42" s="83" t="e">
        <f>IF(Données!#REF!="Exonération de cotisation","",H42*I42)</f>
        <v>#REF!</v>
      </c>
      <c r="K42" s="85">
        <v>1.29E-2</v>
      </c>
      <c r="L42" s="82">
        <f>Données!C13*K42</f>
        <v>0</v>
      </c>
    </row>
    <row r="43" spans="6:12" x14ac:dyDescent="0.25">
      <c r="F43" s="71" t="s">
        <v>46</v>
      </c>
      <c r="G43" s="72"/>
      <c r="H43" s="82"/>
      <c r="I43" s="67"/>
      <c r="J43" s="84"/>
      <c r="K43" s="85"/>
      <c r="L43" s="82"/>
    </row>
    <row r="44" spans="6:12" x14ac:dyDescent="0.25">
      <c r="F44" s="74" t="str">
        <f>IF(Données!B35&lt;50,"FNAL (aide au logement)  &lt; 50 salariés","FNAL (aide au logement)  ≥  50 salariés")</f>
        <v>FNAL (aide au logement)  &lt; 50 salariés</v>
      </c>
      <c r="G44" s="75"/>
      <c r="H44" s="82" t="e">
        <f>J26</f>
        <v>#REF!</v>
      </c>
      <c r="I44" s="67" t="e">
        <f>IF(Données!#REF!="Exonération de cotisation","",IF(Données!B35&lt;50,0.1%,0.5%))</f>
        <v>#REF!</v>
      </c>
      <c r="J44" s="84" t="e">
        <f>IF(Données!#REF!="Exonération de cotisation","",H44*I44)</f>
        <v>#REF!</v>
      </c>
      <c r="K44" s="85">
        <f>IF(Données!B35&lt;50,0.1%,0.5%)</f>
        <v>1E-3</v>
      </c>
      <c r="L44" s="82" t="e">
        <f>IF(H44="","",K44*H44)</f>
        <v>#REF!</v>
      </c>
    </row>
    <row r="45" spans="6:12" x14ac:dyDescent="0.25">
      <c r="F45" s="74" t="s">
        <v>49</v>
      </c>
      <c r="G45" s="75"/>
      <c r="H45" s="82" t="e">
        <f>J26</f>
        <v>#REF!</v>
      </c>
      <c r="I45" s="67"/>
      <c r="J45" s="84"/>
      <c r="K45" s="86">
        <v>1.6000000000000001E-4</v>
      </c>
      <c r="L45" s="82" t="e">
        <f>H45*K45</f>
        <v>#REF!</v>
      </c>
    </row>
    <row r="46" spans="6:12" x14ac:dyDescent="0.25">
      <c r="F46" s="74" t="s">
        <v>50</v>
      </c>
      <c r="G46" s="75"/>
      <c r="H46" s="82" t="e">
        <f>J26</f>
        <v>#REF!</v>
      </c>
      <c r="I46" s="67"/>
      <c r="J46" s="84"/>
      <c r="K46" s="85">
        <v>3.0000000000000001E-3</v>
      </c>
      <c r="L46" s="82" t="e">
        <f>H46*K46</f>
        <v>#REF!</v>
      </c>
    </row>
    <row r="47" spans="6:12" ht="15" customHeight="1" x14ac:dyDescent="0.25">
      <c r="F47" s="513" t="s">
        <v>123</v>
      </c>
      <c r="G47" s="514"/>
      <c r="H47" s="82" t="e">
        <f>J26</f>
        <v>#REF!</v>
      </c>
      <c r="I47" s="67"/>
      <c r="J47" s="84"/>
      <c r="K47" s="85">
        <v>0.08</v>
      </c>
      <c r="L47" s="82" t="e">
        <f>IF(Données!B35&gt;=11,H47*K47,0)</f>
        <v>#REF!</v>
      </c>
    </row>
    <row r="48" spans="6:12" x14ac:dyDescent="0.25">
      <c r="F48" s="74" t="str">
        <f>IF(Données!B36="Non","Taxe d'apprentissage hors Alsace Moselle","Taxe d'apprentissage Alsace Moselle")</f>
        <v>Taxe d'apprentissage Alsace Moselle</v>
      </c>
      <c r="G48" s="75"/>
      <c r="H48" s="82" t="e">
        <f>J26</f>
        <v>#REF!</v>
      </c>
      <c r="I48" s="67"/>
      <c r="J48" s="84"/>
      <c r="K48" s="85">
        <f>IF(Données!B36="Non",0.68%,0.44%)</f>
        <v>4.4000000000000003E-3</v>
      </c>
      <c r="L48" s="82" t="e">
        <f>H48*K48</f>
        <v>#REF!</v>
      </c>
    </row>
    <row r="49" spans="6:16" ht="26.25" customHeight="1" x14ac:dyDescent="0.25">
      <c r="F49" s="513" t="str">
        <f>IF(Données!B35&lt;11,"Contribution unique à la formation professionnelle entreprise &lt; 11 salariés","Contribution unique à la formation professionnelle entreprise &gt; 11 salariés")</f>
        <v>Contribution unique à la formation professionnelle entreprise &gt; 11 salariés</v>
      </c>
      <c r="G49" s="514"/>
      <c r="H49" s="82" t="e">
        <f>J26</f>
        <v>#REF!</v>
      </c>
      <c r="I49" s="67"/>
      <c r="J49" s="84"/>
      <c r="K49" s="85">
        <f>IF(Données!B35&lt;11,0.55%,1%)</f>
        <v>0.01</v>
      </c>
      <c r="L49" s="82" t="e">
        <f>H49*K49</f>
        <v>#REF!</v>
      </c>
    </row>
    <row r="50" spans="6:16" x14ac:dyDescent="0.25">
      <c r="F50" s="74" t="s">
        <v>141</v>
      </c>
      <c r="G50" s="75"/>
      <c r="H50" s="82" t="e">
        <f>J26</f>
        <v>#REF!</v>
      </c>
      <c r="I50" s="67"/>
      <c r="J50" s="84"/>
      <c r="K50" s="85">
        <v>0.01</v>
      </c>
      <c r="L50" s="82" t="e">
        <f>IF(Données!B35&gt;=50,H50*K50,0*H50)</f>
        <v>#REF!</v>
      </c>
      <c r="N50" s="34"/>
      <c r="P50" s="47"/>
    </row>
    <row r="51" spans="6:16" ht="26.25" customHeight="1" x14ac:dyDescent="0.25">
      <c r="F51" s="74" t="s">
        <v>142</v>
      </c>
      <c r="G51" s="75"/>
      <c r="H51" s="82" t="e">
        <f>J26</f>
        <v>#REF!</v>
      </c>
      <c r="I51" s="67" t="e">
        <f>IF(Données!#REF!="Exonération de cotisation","",2.6%)</f>
        <v>#REF!</v>
      </c>
      <c r="J51" s="84" t="e">
        <f>IF(Données!#REF!="Exonération de cotisation","",H51*I51)</f>
        <v>#REF!</v>
      </c>
      <c r="K51" s="85">
        <f>Données!B37</f>
        <v>0.02</v>
      </c>
      <c r="L51" s="82" t="e">
        <f>H51*K51</f>
        <v>#REF!</v>
      </c>
      <c r="N51" s="64"/>
    </row>
    <row r="52" spans="6:16" x14ac:dyDescent="0.25">
      <c r="F52" s="93" t="s">
        <v>55</v>
      </c>
      <c r="G52" s="94"/>
      <c r="H52" s="82"/>
      <c r="I52" s="67"/>
      <c r="J52" s="84"/>
      <c r="K52" s="85"/>
      <c r="L52" s="82"/>
    </row>
    <row r="53" spans="6:16" ht="15.75" x14ac:dyDescent="0.25">
      <c r="F53" s="73" t="s">
        <v>146</v>
      </c>
      <c r="G53" s="25"/>
      <c r="H53" s="82" t="e">
        <f>J26</f>
        <v>#REF!</v>
      </c>
      <c r="I53" s="67"/>
      <c r="J53" s="101"/>
      <c r="K53" s="100" t="e">
        <f>(IF(Données!B35&lt;50,0.3194,0.3234)/0.6)*(((1.6*(Données!B23*12))/(H53*12)-1))</f>
        <v>#REF!</v>
      </c>
      <c r="L53" s="99" t="e">
        <f>-(H53*12)*K53%</f>
        <v>#REF!</v>
      </c>
      <c r="M53" s="98"/>
    </row>
    <row r="54" spans="6:16" x14ac:dyDescent="0.25">
      <c r="F54" s="73" t="s">
        <v>145</v>
      </c>
      <c r="G54" s="25"/>
      <c r="H54" s="82"/>
      <c r="I54" s="67"/>
      <c r="J54" s="84"/>
      <c r="K54" s="87">
        <f>IF(Données!B35&lt;20,1.5,0.5)</f>
        <v>1.5</v>
      </c>
      <c r="L54" s="82">
        <f>IF(Données!B35&lt;20,-SUM(Données!J11:J13)*K54,0)</f>
        <v>0</v>
      </c>
    </row>
    <row r="55" spans="6:16" x14ac:dyDescent="0.25">
      <c r="F55" s="73" t="s">
        <v>58</v>
      </c>
      <c r="G55" s="25"/>
      <c r="H55" s="82">
        <f>SUM(Données!J11:J12)</f>
        <v>0</v>
      </c>
      <c r="I55" s="67">
        <v>0.11310000000000001</v>
      </c>
      <c r="J55" s="83">
        <f>-H55*I55</f>
        <v>0</v>
      </c>
      <c r="K55" s="87"/>
      <c r="L55" s="82"/>
    </row>
    <row r="56" spans="6:16" x14ac:dyDescent="0.25">
      <c r="F56" s="73" t="s">
        <v>59</v>
      </c>
      <c r="G56" s="25"/>
      <c r="H56" s="82">
        <v>0</v>
      </c>
      <c r="I56" s="67">
        <v>0.11310000000000001</v>
      </c>
      <c r="J56" s="83">
        <f>H56*I56</f>
        <v>0</v>
      </c>
      <c r="K56" s="87"/>
      <c r="L56" s="82"/>
    </row>
    <row r="57" spans="6:16" x14ac:dyDescent="0.25">
      <c r="F57" s="26" t="s">
        <v>60</v>
      </c>
      <c r="G57" s="53"/>
      <c r="H57" s="69"/>
      <c r="I57" s="17"/>
      <c r="J57" s="96" t="e">
        <f>SUM(J28:J56)</f>
        <v>#REF!</v>
      </c>
      <c r="K57" s="88"/>
      <c r="L57" s="95" t="e">
        <f>SUM(L28:L56)</f>
        <v>#REF!</v>
      </c>
    </row>
    <row r="58" spans="6:16" x14ac:dyDescent="0.25">
      <c r="F58" s="76" t="s">
        <v>61</v>
      </c>
      <c r="G58" s="30"/>
      <c r="L58" s="16"/>
    </row>
    <row r="59" spans="6:16" x14ac:dyDescent="0.25">
      <c r="F59" s="73" t="s">
        <v>62</v>
      </c>
      <c r="G59" s="25"/>
      <c r="H59" s="31" t="str">
        <f>IF(Données!I42=0,"",Données!I42)</f>
        <v/>
      </c>
      <c r="I59" s="66" t="str">
        <f>IF(H59="","",Données!#REF!)</f>
        <v/>
      </c>
      <c r="J59" s="31" t="str">
        <f>IF(H59="","",H59*I59)</f>
        <v/>
      </c>
      <c r="K59" s="31"/>
      <c r="L59" s="32"/>
    </row>
    <row r="60" spans="6:16" x14ac:dyDescent="0.25">
      <c r="F60" s="73" t="s">
        <v>63</v>
      </c>
      <c r="G60" s="25"/>
      <c r="H60" s="31"/>
      <c r="I60" s="31"/>
      <c r="J60" s="31"/>
      <c r="K60" s="31"/>
      <c r="L60" s="32"/>
    </row>
    <row r="61" spans="6:16" x14ac:dyDescent="0.25">
      <c r="F61" s="73" t="s">
        <v>64</v>
      </c>
      <c r="G61" s="25"/>
      <c r="H61" s="31"/>
      <c r="I61" s="31"/>
      <c r="J61" s="31"/>
      <c r="K61" s="31"/>
      <c r="L61" s="32"/>
    </row>
    <row r="62" spans="6:16" x14ac:dyDescent="0.25">
      <c r="F62" s="73" t="s">
        <v>65</v>
      </c>
      <c r="G62" s="25"/>
      <c r="H62" s="31"/>
      <c r="I62" s="31"/>
      <c r="J62" s="31"/>
      <c r="K62" s="31"/>
      <c r="L62" s="32"/>
    </row>
    <row r="63" spans="6:16" ht="15" customHeight="1" x14ac:dyDescent="0.25">
      <c r="F63" s="73" t="s">
        <v>66</v>
      </c>
      <c r="G63" s="25"/>
      <c r="H63" s="31"/>
      <c r="I63" s="31"/>
      <c r="J63" s="31"/>
      <c r="K63" s="31"/>
      <c r="L63" s="32"/>
    </row>
    <row r="64" spans="6:16" ht="15" customHeight="1" x14ac:dyDescent="0.25">
      <c r="F64" s="76" t="s">
        <v>67</v>
      </c>
      <c r="G64" s="30"/>
      <c r="H64" s="31"/>
      <c r="I64" s="31"/>
      <c r="J64" s="31"/>
      <c r="K64" s="31"/>
      <c r="L64" s="32"/>
    </row>
    <row r="65" spans="6:20" x14ac:dyDescent="0.25">
      <c r="F65" s="73" t="s">
        <v>68</v>
      </c>
      <c r="G65" s="25"/>
      <c r="H65" s="31" t="str">
        <f>IF(Données!I53=0,"",Données!I50*Données!I53)</f>
        <v/>
      </c>
      <c r="I65" s="33" t="str">
        <f>IF(H65="","",Données!I51)</f>
        <v/>
      </c>
      <c r="J65" s="31" t="str">
        <f>IF(H65="","",H65*I65)</f>
        <v/>
      </c>
      <c r="K65" s="33"/>
      <c r="L65" s="32"/>
    </row>
    <row r="66" spans="6:20" ht="15" customHeight="1" x14ac:dyDescent="0.25">
      <c r="F66" s="73" t="s">
        <v>69</v>
      </c>
      <c r="G66" s="25"/>
      <c r="H66" s="31"/>
      <c r="I66" s="33"/>
      <c r="J66" s="34"/>
      <c r="K66" s="33"/>
      <c r="L66" s="16"/>
    </row>
    <row r="67" spans="6:20" x14ac:dyDescent="0.25">
      <c r="F67" s="73" t="s">
        <v>70</v>
      </c>
      <c r="G67" s="25"/>
      <c r="H67" s="31" t="str">
        <f>IF(Données!I35=0,"",Données!I35)</f>
        <v/>
      </c>
      <c r="I67" s="68">
        <f>IF(Données!J35=0,"",Données!J35)</f>
        <v>5.35</v>
      </c>
      <c r="J67" s="34" t="str">
        <f>IF(Données!L35=0,"",Données!L35)</f>
        <v/>
      </c>
      <c r="K67" s="31"/>
      <c r="L67" s="32"/>
    </row>
    <row r="68" spans="6:20" x14ac:dyDescent="0.25">
      <c r="F68" s="73" t="s">
        <v>73</v>
      </c>
      <c r="G68" s="25"/>
      <c r="H68" s="31"/>
      <c r="I68" s="31"/>
      <c r="J68" s="34" t="str">
        <f>IF(Données!L41=0,"",Données!L41)</f>
        <v/>
      </c>
      <c r="K68" s="31"/>
      <c r="L68" s="32"/>
    </row>
    <row r="69" spans="6:20" ht="15" customHeight="1" x14ac:dyDescent="0.25">
      <c r="F69" s="73" t="str">
        <f>IF(R70="","","Saisie sur salaire")</f>
        <v/>
      </c>
      <c r="K69" s="31"/>
      <c r="L69" s="32"/>
    </row>
    <row r="70" spans="6:20" x14ac:dyDescent="0.25">
      <c r="F70" s="73" t="str">
        <f>IF(R71="","","Saisie pension alimentaire")</f>
        <v/>
      </c>
      <c r="K70" s="31"/>
      <c r="L70" s="32"/>
      <c r="Q70" s="25"/>
      <c r="R70" s="31"/>
      <c r="S70" s="31"/>
      <c r="T70" s="34"/>
    </row>
    <row r="71" spans="6:20" ht="18.75" x14ac:dyDescent="0.3">
      <c r="F71" s="497" t="s">
        <v>74</v>
      </c>
      <c r="G71" s="498"/>
      <c r="H71" s="498"/>
      <c r="I71" s="498"/>
      <c r="J71" s="498"/>
      <c r="K71" s="498"/>
      <c r="L71" s="35" t="e">
        <f>J26-J57+SUM(J59:J63)-SUM(J65:J69)</f>
        <v>#REF!</v>
      </c>
      <c r="Q71" s="25"/>
      <c r="R71" s="31"/>
      <c r="S71" s="31"/>
      <c r="T71" s="34"/>
    </row>
    <row r="72" spans="6:20" x14ac:dyDescent="0.25">
      <c r="F72" s="73" t="s">
        <v>75</v>
      </c>
      <c r="G72" s="25"/>
      <c r="L72" s="36" t="e">
        <f>(H36*3.15%)</f>
        <v>#REF!</v>
      </c>
    </row>
    <row r="73" spans="6:20" ht="15" customHeight="1" x14ac:dyDescent="0.25">
      <c r="F73" s="494" t="s">
        <v>76</v>
      </c>
      <c r="G73" s="495"/>
      <c r="H73" s="496"/>
      <c r="I73" s="37" t="s">
        <v>29</v>
      </c>
      <c r="J73" s="482" t="s">
        <v>77</v>
      </c>
      <c r="K73" s="483"/>
      <c r="L73" s="37" t="s">
        <v>22</v>
      </c>
    </row>
    <row r="74" spans="6:20" x14ac:dyDescent="0.25">
      <c r="F74" s="484" t="s">
        <v>78</v>
      </c>
      <c r="G74" s="485"/>
      <c r="H74" s="486"/>
      <c r="I74" s="44" t="e">
        <f>H75</f>
        <v>#REF!</v>
      </c>
      <c r="J74" s="487">
        <v>0</v>
      </c>
      <c r="K74" s="488"/>
      <c r="L74" s="28" t="e">
        <f>I74*J74</f>
        <v>#REF!</v>
      </c>
    </row>
    <row r="75" spans="6:20" x14ac:dyDescent="0.25">
      <c r="F75" s="484" t="s">
        <v>79</v>
      </c>
      <c r="G75" s="486"/>
      <c r="H75" s="489" t="e">
        <f>J26-(SUM(J21:J23))-J57+IF(L30="",0,L30)</f>
        <v>#REF!</v>
      </c>
      <c r="I75" s="486"/>
      <c r="J75" s="491" t="s">
        <v>80</v>
      </c>
      <c r="K75" s="492"/>
      <c r="L75" s="493"/>
    </row>
    <row r="76" spans="6:20" ht="15.75" x14ac:dyDescent="0.25">
      <c r="F76" s="41"/>
      <c r="J76" s="468" t="e">
        <f>L71-L74</f>
        <v>#REF!</v>
      </c>
      <c r="K76" s="469"/>
      <c r="L76" s="470"/>
    </row>
    <row r="77" spans="6:20" x14ac:dyDescent="0.25">
      <c r="F77" s="38"/>
      <c r="G77" s="39"/>
      <c r="H77" s="39"/>
      <c r="I77" s="471" t="s">
        <v>81</v>
      </c>
      <c r="J77" s="472"/>
      <c r="K77" s="473"/>
      <c r="L77" s="40" t="e">
        <f>-(L54+L53)+(H34*1.8%)+(J26*6%)</f>
        <v>#REF!</v>
      </c>
      <c r="M77" t="e">
        <f>IF(J26&lt;(1.6*Données!B23),0,0)</f>
        <v>#REF!</v>
      </c>
    </row>
    <row r="78" spans="6:20" x14ac:dyDescent="0.25">
      <c r="F78" s="41"/>
      <c r="I78" s="474" t="s">
        <v>82</v>
      </c>
      <c r="J78" s="475"/>
      <c r="K78" s="476"/>
      <c r="L78" s="42" t="e">
        <f>J26+L57+SUM(J59:J63)</f>
        <v>#REF!</v>
      </c>
    </row>
    <row r="79" spans="6:20" ht="15" customHeight="1" x14ac:dyDescent="0.25">
      <c r="F79" s="477" t="s">
        <v>83</v>
      </c>
      <c r="G79" s="478"/>
      <c r="H79" s="478"/>
      <c r="I79" s="478"/>
      <c r="J79" s="479"/>
      <c r="K79" s="480" t="s">
        <v>84</v>
      </c>
      <c r="L79" s="481"/>
    </row>
    <row r="80" spans="6:20" ht="45.75" customHeight="1" x14ac:dyDescent="0.25">
      <c r="F80" s="465" t="s">
        <v>85</v>
      </c>
      <c r="G80" s="466"/>
      <c r="H80" s="466"/>
      <c r="I80" s="466"/>
      <c r="J80" s="466"/>
      <c r="K80" s="466"/>
      <c r="L80" s="467"/>
    </row>
  </sheetData>
  <mergeCells count="21">
    <mergeCell ref="J18:L18"/>
    <mergeCell ref="F80:L80"/>
    <mergeCell ref="F49:G49"/>
    <mergeCell ref="F4:L5"/>
    <mergeCell ref="J15:L15"/>
    <mergeCell ref="J16:L16"/>
    <mergeCell ref="J17:L17"/>
    <mergeCell ref="H75:I75"/>
    <mergeCell ref="J75:L75"/>
    <mergeCell ref="J76:L76"/>
    <mergeCell ref="I77:K77"/>
    <mergeCell ref="I78:K78"/>
    <mergeCell ref="F79:J79"/>
    <mergeCell ref="K79:L79"/>
    <mergeCell ref="F75:G75"/>
    <mergeCell ref="F47:G47"/>
    <mergeCell ref="F71:K71"/>
    <mergeCell ref="F73:H73"/>
    <mergeCell ref="J73:K73"/>
    <mergeCell ref="F74:H74"/>
    <mergeCell ref="J74:K74"/>
  </mergeCells>
  <hyperlinks>
    <hyperlink ref="A8" r:id="rId1"/>
    <hyperlink ref="K79" r:id="rId2"/>
    <hyperlink ref="A10" r:id="rId3"/>
  </hyperlinks>
  <pageMargins left="0.7" right="0.7" top="0.75" bottom="0.75" header="0.3" footer="0.3"/>
  <pageSetup paperSize="9" scale="40" orientation="portrait" r:id="rId4"/>
  <legacyDrawing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F4:L90"/>
  <sheetViews>
    <sheetView topLeftCell="D4" workbookViewId="0">
      <selection activeCell="I13" sqref="I13"/>
    </sheetView>
  </sheetViews>
  <sheetFormatPr defaultColWidth="11.42578125" defaultRowHeight="15" x14ac:dyDescent="0.25"/>
  <cols>
    <col min="1" max="3" width="0" hidden="1" customWidth="1"/>
    <col min="6" max="6" width="18.140625" customWidth="1"/>
    <col min="7" max="7" width="26.5703125" customWidth="1"/>
    <col min="10" max="10" width="18.7109375" customWidth="1"/>
    <col min="11" max="11" width="0" hidden="1" customWidth="1"/>
    <col min="12" max="12" width="15.28515625" customWidth="1"/>
  </cols>
  <sheetData>
    <row r="4" spans="6:12" ht="15" customHeight="1" x14ac:dyDescent="0.25">
      <c r="F4" s="499" t="s">
        <v>0</v>
      </c>
      <c r="G4" s="500"/>
      <c r="H4" s="500"/>
      <c r="I4" s="500"/>
      <c r="J4" s="500"/>
      <c r="K4" s="500"/>
      <c r="L4" s="501"/>
    </row>
    <row r="5" spans="6:12" ht="15" customHeight="1" x14ac:dyDescent="0.25">
      <c r="F5" s="502"/>
      <c r="G5" s="503"/>
      <c r="H5" s="503"/>
      <c r="I5" s="503"/>
      <c r="J5" s="503"/>
      <c r="K5" s="503"/>
      <c r="L5" s="504"/>
    </row>
    <row r="6" spans="6:12" ht="15" customHeight="1" x14ac:dyDescent="0.25">
      <c r="F6" s="3" t="s">
        <v>3</v>
      </c>
      <c r="G6" s="5"/>
      <c r="H6" s="4"/>
      <c r="I6" s="3" t="s">
        <v>147</v>
      </c>
      <c r="J6" s="103"/>
      <c r="K6" s="6" t="s">
        <v>148</v>
      </c>
      <c r="L6" s="4"/>
    </row>
    <row r="7" spans="6:12" ht="15" customHeight="1" x14ac:dyDescent="0.25">
      <c r="F7" s="7" t="s">
        <v>6</v>
      </c>
      <c r="G7" s="9"/>
      <c r="H7" s="8"/>
      <c r="I7" s="7"/>
      <c r="J7" s="9"/>
      <c r="K7" s="10"/>
      <c r="L7" s="8"/>
    </row>
    <row r="8" spans="6:12" ht="15" customHeight="1" x14ac:dyDescent="0.25">
      <c r="F8" s="7"/>
      <c r="G8" s="9"/>
      <c r="H8" s="8"/>
      <c r="I8" s="7"/>
      <c r="J8" s="9"/>
      <c r="K8" s="9"/>
      <c r="L8" s="8"/>
    </row>
    <row r="9" spans="6:12" ht="15" customHeight="1" x14ac:dyDescent="0.25">
      <c r="F9" s="7" t="s">
        <v>9</v>
      </c>
      <c r="G9" s="9"/>
      <c r="H9" s="8"/>
      <c r="I9" s="7"/>
      <c r="J9" s="9" t="s">
        <v>10</v>
      </c>
      <c r="K9" s="9"/>
      <c r="L9" s="8"/>
    </row>
    <row r="10" spans="6:12" ht="15" customHeight="1" x14ac:dyDescent="0.25">
      <c r="F10" s="7" t="s">
        <v>11</v>
      </c>
      <c r="G10" s="9"/>
      <c r="H10" s="8"/>
      <c r="I10" s="7"/>
      <c r="J10" s="9"/>
      <c r="K10" s="9"/>
      <c r="L10" s="8"/>
    </row>
    <row r="11" spans="6:12" ht="15" customHeight="1" x14ac:dyDescent="0.25">
      <c r="F11" s="7" t="s">
        <v>12</v>
      </c>
      <c r="G11" s="9"/>
      <c r="H11" s="8"/>
      <c r="I11" s="7"/>
      <c r="J11" s="9"/>
      <c r="K11" s="9"/>
      <c r="L11" s="8"/>
    </row>
    <row r="12" spans="6:12" ht="15" customHeight="1" x14ac:dyDescent="0.25">
      <c r="F12" s="11" t="s">
        <v>13</v>
      </c>
      <c r="G12" s="13"/>
      <c r="H12" s="12"/>
      <c r="I12" s="11"/>
      <c r="J12" s="13"/>
      <c r="K12" s="13"/>
      <c r="L12" s="14"/>
    </row>
    <row r="13" spans="6:12" ht="15" customHeight="1" x14ac:dyDescent="0.25">
      <c r="F13" s="7" t="str">
        <f>"Emploi : " &amp; Données!E28</f>
        <v>Emploi : Chef comptable</v>
      </c>
      <c r="G13" s="9"/>
      <c r="H13" s="9"/>
      <c r="I13" s="104" t="str">
        <f>"Salarié : " &amp; Données!E26</f>
        <v>Salarié : Madame SUZY</v>
      </c>
      <c r="J13" s="9"/>
      <c r="K13" s="9"/>
      <c r="L13" s="8"/>
    </row>
    <row r="14" spans="6:12" ht="15" customHeight="1" x14ac:dyDescent="0.25">
      <c r="F14" s="7" t="str">
        <f>"Statut : " &amp; Données!E29</f>
        <v>Statut : Ouvrier</v>
      </c>
      <c r="G14" s="9"/>
      <c r="H14" s="9"/>
      <c r="I14" s="9" t="s">
        <v>6</v>
      </c>
      <c r="J14" s="9"/>
      <c r="K14" s="9"/>
      <c r="L14" s="8"/>
    </row>
    <row r="15" spans="6:12" ht="15" customHeight="1" x14ac:dyDescent="0.25">
      <c r="F15" s="7" t="s">
        <v>17</v>
      </c>
      <c r="G15" s="9"/>
      <c r="H15" s="54"/>
      <c r="I15" s="9"/>
      <c r="J15" s="505"/>
      <c r="K15" s="505"/>
      <c r="L15" s="506"/>
    </row>
    <row r="16" spans="6:12" ht="15" customHeight="1" x14ac:dyDescent="0.25">
      <c r="F16" s="7" t="s">
        <v>153</v>
      </c>
      <c r="G16" s="9"/>
      <c r="H16" s="49"/>
      <c r="I16" s="9"/>
      <c r="J16" s="507"/>
      <c r="K16" s="507"/>
      <c r="L16" s="508"/>
    </row>
    <row r="17" spans="6:12" ht="15" customHeight="1" x14ac:dyDescent="0.25">
      <c r="F17" s="105"/>
      <c r="G17" s="9"/>
      <c r="H17" s="54"/>
      <c r="I17" s="9"/>
      <c r="J17" s="507"/>
      <c r="K17" s="507"/>
      <c r="L17" s="508"/>
    </row>
    <row r="18" spans="6:12" ht="15" customHeight="1" x14ac:dyDescent="0.25">
      <c r="F18" s="52" t="s">
        <v>114</v>
      </c>
      <c r="G18" s="55">
        <f>Données!B28</f>
        <v>45200</v>
      </c>
      <c r="H18" s="50" t="s">
        <v>111</v>
      </c>
      <c r="I18" s="13"/>
      <c r="J18" s="509"/>
      <c r="K18" s="509"/>
      <c r="L18" s="510"/>
    </row>
    <row r="19" spans="6:12" ht="15" customHeight="1" x14ac:dyDescent="0.25">
      <c r="F19" s="41"/>
      <c r="H19" s="31" t="s">
        <v>20</v>
      </c>
      <c r="I19" s="31" t="s">
        <v>21</v>
      </c>
      <c r="J19" s="31" t="s">
        <v>22</v>
      </c>
      <c r="L19" s="15"/>
    </row>
    <row r="20" spans="6:12" ht="15" customHeight="1" x14ac:dyDescent="0.25">
      <c r="F20" s="41" t="s">
        <v>23</v>
      </c>
      <c r="H20" s="31">
        <f>Données!F10</f>
        <v>86.668571428571411</v>
      </c>
      <c r="I20" s="34">
        <f>Données!F11</f>
        <v>6.657155416012559</v>
      </c>
      <c r="J20" s="34">
        <f>Données!C13</f>
        <v>0</v>
      </c>
      <c r="L20" s="16"/>
    </row>
    <row r="21" spans="6:12" ht="15" customHeight="1" x14ac:dyDescent="0.25">
      <c r="F21" s="41" t="e">
        <f>IF(Données!#REF!=0,"","Heure supplémentaire mensualisé")</f>
        <v>#REF!</v>
      </c>
      <c r="H21" s="34" t="e">
        <f>IF(Données!#REF!=0,"",Données!#REF!)</f>
        <v>#REF!</v>
      </c>
      <c r="I21" s="34" t="e">
        <f>IF(H21="","",Données!I11)</f>
        <v>#REF!</v>
      </c>
      <c r="J21" s="34" t="str">
        <f>IF(Données!J11=0,"",Données!J11)</f>
        <v/>
      </c>
      <c r="L21" s="16"/>
    </row>
    <row r="22" spans="6:12" ht="15" customHeight="1" x14ac:dyDescent="0.25">
      <c r="F22" s="41" t="str">
        <f>IF(OR(Données!G30=0,Données!G30=""),"","Heures supplémentaires 25%")</f>
        <v/>
      </c>
      <c r="H22" s="34" t="str">
        <f>IF(Données!G31=0,"",Données!G31)</f>
        <v/>
      </c>
      <c r="I22" s="34" t="str">
        <f>IF(H22="","",Données!I12)</f>
        <v/>
      </c>
      <c r="J22" s="34" t="str">
        <f>IF(H22="","",Données!J12)</f>
        <v/>
      </c>
      <c r="K22" s="34"/>
      <c r="L22" s="16"/>
    </row>
    <row r="23" spans="6:12" ht="15" customHeight="1" x14ac:dyDescent="0.25">
      <c r="F23" s="41" t="str">
        <f>IF(Données!G34="Oui","","Heures supplémentaires 50%")</f>
        <v>Heures supplémentaires 50%</v>
      </c>
      <c r="H23" s="34" t="e">
        <f>IF(Données!#REF!=0,"",Données!#REF!)</f>
        <v>#REF!</v>
      </c>
      <c r="I23" s="34" t="e">
        <f>IF(H23="","",Données!I13)</f>
        <v>#REF!</v>
      </c>
      <c r="J23" s="34" t="e">
        <f>IF(H23="","",Données!J13)</f>
        <v>#REF!</v>
      </c>
      <c r="L23" s="16"/>
    </row>
    <row r="24" spans="6:12" ht="15" customHeight="1" x14ac:dyDescent="0.25">
      <c r="F24" s="41" t="s">
        <v>204</v>
      </c>
      <c r="H24" s="31"/>
      <c r="I24" s="34"/>
      <c r="J24" s="34">
        <v>170</v>
      </c>
      <c r="L24" s="16"/>
    </row>
    <row r="25" spans="6:12" ht="15" customHeight="1" x14ac:dyDescent="0.25">
      <c r="F25" s="41" t="s">
        <v>203</v>
      </c>
      <c r="H25" s="31"/>
      <c r="I25" s="34"/>
      <c r="J25" s="34">
        <v>50</v>
      </c>
      <c r="L25" s="16"/>
    </row>
    <row r="26" spans="6:12" ht="15" customHeight="1" x14ac:dyDescent="0.25">
      <c r="F26" s="41" t="str">
        <f>IF(OR(Données!G30=0,Données!G30=""),"",Absences jours ouvrables/non ouvrables)</f>
        <v/>
      </c>
      <c r="H26" s="31" t="str">
        <f>IF(Données!G30=0,"",Données!G30)</f>
        <v/>
      </c>
      <c r="I26" s="34" t="str">
        <f>IF(H26="","",Données!F11)</f>
        <v/>
      </c>
      <c r="J26" s="34">
        <f>IF(Données!J10="","",Données!J10)</f>
        <v>0</v>
      </c>
      <c r="L26" s="16"/>
    </row>
    <row r="27" spans="6:12" ht="15" customHeight="1" x14ac:dyDescent="0.25">
      <c r="F27" s="77" t="s">
        <v>27</v>
      </c>
      <c r="G27" s="78"/>
      <c r="H27" s="78"/>
      <c r="I27" s="78"/>
      <c r="J27" s="79" t="e">
        <f>SUM(J20:J25)-IF(J26="",0,J26)</f>
        <v>#REF!</v>
      </c>
      <c r="K27" s="17"/>
      <c r="L27" s="18"/>
    </row>
    <row r="28" spans="6:12" ht="15" customHeight="1" x14ac:dyDescent="0.25">
      <c r="F28" s="71" t="s">
        <v>28</v>
      </c>
      <c r="G28" s="72"/>
      <c r="H28" s="116" t="s">
        <v>29</v>
      </c>
      <c r="I28" s="81" t="s">
        <v>30</v>
      </c>
      <c r="J28" s="116" t="s">
        <v>31</v>
      </c>
      <c r="K28" s="81" t="s">
        <v>32</v>
      </c>
      <c r="L28" s="81" t="s">
        <v>173</v>
      </c>
    </row>
    <row r="29" spans="6:12" ht="15" customHeight="1" x14ac:dyDescent="0.25">
      <c r="F29" s="73" t="s">
        <v>33</v>
      </c>
      <c r="G29" s="25"/>
      <c r="H29" s="60" t="e">
        <f>J27</f>
        <v>#REF!</v>
      </c>
      <c r="I29" s="89" t="e">
        <f>IF(J27&lt;(2.5*Données!B23),7%,13%)</f>
        <v>#REF!</v>
      </c>
      <c r="J29" s="108" t="e">
        <f>I29*H29</f>
        <v>#REF!</v>
      </c>
      <c r="K29" s="91">
        <f>IF(Données!C13&lt;=(2.5*Données!B23),7%,13%)</f>
        <v>7.0000000000000007E-2</v>
      </c>
      <c r="L29" s="60" t="e">
        <f>H29*K29</f>
        <v>#REF!</v>
      </c>
    </row>
    <row r="30" spans="6:12" ht="15" customHeight="1" x14ac:dyDescent="0.25">
      <c r="F30" s="73" t="s">
        <v>143</v>
      </c>
      <c r="G30" s="25"/>
      <c r="H30" s="82" t="e">
        <f>IF(Données!F40=0,"",J27)</f>
        <v>#REF!</v>
      </c>
      <c r="I30" s="67">
        <f>IF(Données!F40=0,"",Données!F40)</f>
        <v>0.02</v>
      </c>
      <c r="J30" s="83" t="e">
        <f>IF(H30="","",H30*I30)</f>
        <v>#REF!</v>
      </c>
      <c r="K30" s="85">
        <f>IF(Données!G40=0,"",Données!G40)</f>
        <v>2.4E-2</v>
      </c>
      <c r="L30" s="82" t="e">
        <f>IF(H30="","",K30*H30)</f>
        <v>#REF!</v>
      </c>
    </row>
    <row r="31" spans="6:12" ht="15" customHeight="1" x14ac:dyDescent="0.25">
      <c r="F31" s="73" t="s">
        <v>127</v>
      </c>
      <c r="G31" s="25"/>
      <c r="H31" s="82">
        <f>IF(Données!E39=0,"",Données!E39)</f>
        <v>35</v>
      </c>
      <c r="I31" s="67">
        <f>IF(Données!E39=0,"",Données!F39)</f>
        <v>0.4</v>
      </c>
      <c r="J31" s="83">
        <f>IF(H31="","",H31*I31)</f>
        <v>14</v>
      </c>
      <c r="K31" s="85">
        <f>IF(Données!E39=0,"",Données!G39)</f>
        <v>0.6</v>
      </c>
      <c r="L31" s="82">
        <f>IF(H31="","",H31*K31)</f>
        <v>21</v>
      </c>
    </row>
    <row r="32" spans="6:12" ht="23.25" customHeight="1" x14ac:dyDescent="0.25">
      <c r="F32" s="511" t="s">
        <v>35</v>
      </c>
      <c r="G32" s="512"/>
      <c r="H32" s="16"/>
      <c r="I32" s="16"/>
      <c r="J32" s="16"/>
      <c r="L32" s="16"/>
    </row>
    <row r="33" spans="6:12" ht="15" customHeight="1" x14ac:dyDescent="0.25">
      <c r="F33" s="41"/>
      <c r="H33" s="82" t="e">
        <f>J27</f>
        <v>#REF!</v>
      </c>
      <c r="I33" s="67"/>
      <c r="J33" s="83"/>
      <c r="K33" s="85">
        <f>Données!E41</f>
        <v>0.02</v>
      </c>
      <c r="L33" s="82" t="e">
        <f>H33*K33</f>
        <v>#REF!</v>
      </c>
    </row>
    <row r="34" spans="6:12" ht="15" customHeight="1" x14ac:dyDescent="0.25">
      <c r="F34" s="71" t="s">
        <v>36</v>
      </c>
      <c r="G34" s="72"/>
      <c r="H34" s="82"/>
      <c r="I34" s="67"/>
      <c r="J34" s="83"/>
      <c r="K34" s="85"/>
      <c r="L34" s="82"/>
    </row>
    <row r="35" spans="6:12" ht="15" customHeight="1" x14ac:dyDescent="0.25">
      <c r="F35" s="73" t="s">
        <v>37</v>
      </c>
      <c r="G35" s="25"/>
      <c r="H35" s="82" t="e">
        <f>J27</f>
        <v>#REF!</v>
      </c>
      <c r="I35" s="67"/>
      <c r="J35" s="83"/>
      <c r="K35" s="92">
        <f>IF(Données!C13&lt;=(3.5*Données!B23),3.45%,5.25%)</f>
        <v>3.4500000000000003E-2</v>
      </c>
      <c r="L35" s="82" t="e">
        <f>H35*K35</f>
        <v>#REF!</v>
      </c>
    </row>
    <row r="36" spans="6:12" ht="15" customHeight="1" x14ac:dyDescent="0.25">
      <c r="F36" s="71" t="s">
        <v>38</v>
      </c>
      <c r="G36" s="72"/>
      <c r="H36" s="82"/>
      <c r="I36" s="67"/>
      <c r="J36" s="84"/>
      <c r="K36" s="85"/>
      <c r="L36" s="82"/>
    </row>
    <row r="37" spans="6:12" ht="15" customHeight="1" x14ac:dyDescent="0.25">
      <c r="F37" s="73" t="s">
        <v>166</v>
      </c>
      <c r="G37" s="25"/>
      <c r="H37" s="82" t="e">
        <f>IF(J27&lt;=Données!B22,J27,Données!B22)</f>
        <v>#REF!</v>
      </c>
      <c r="I37" s="67">
        <v>4.0500000000000001E-2</v>
      </c>
      <c r="J37" s="84" t="e">
        <f>I37*H37</f>
        <v>#REF!</v>
      </c>
      <c r="K37" s="85">
        <v>4.0500000000000001E-2</v>
      </c>
      <c r="L37" s="82" t="e">
        <f>H37*K37</f>
        <v>#REF!</v>
      </c>
    </row>
    <row r="38" spans="6:12" ht="15" customHeight="1" x14ac:dyDescent="0.25">
      <c r="F38" s="73" t="s">
        <v>167</v>
      </c>
      <c r="G38" s="25"/>
      <c r="H38" s="82" t="e">
        <f>IF(J27&lt;=(4*Données!B22),Données!C13-Données!B22,(4*Données!B22))</f>
        <v>#REF!</v>
      </c>
      <c r="I38" s="67">
        <v>4.0500000000000001E-2</v>
      </c>
      <c r="J38" s="84" t="e">
        <f>I38*H38</f>
        <v>#REF!</v>
      </c>
      <c r="K38" s="85">
        <v>4.0500000000000001E-2</v>
      </c>
      <c r="L38" s="82" t="e">
        <f>K38*H38</f>
        <v>#REF!</v>
      </c>
    </row>
    <row r="39" spans="6:12" ht="15" customHeight="1" x14ac:dyDescent="0.25">
      <c r="F39" s="73" t="s">
        <v>40</v>
      </c>
      <c r="G39" s="25"/>
      <c r="H39" s="82" t="e">
        <f>IF(J27&lt;=(4*Données!B22),J27,(4*Données!B22))</f>
        <v>#REF!</v>
      </c>
      <c r="I39" s="67">
        <v>2.5000000000000001E-3</v>
      </c>
      <c r="J39" s="83" t="e">
        <f>I39*H39</f>
        <v>#REF!</v>
      </c>
      <c r="K39" s="85">
        <v>2.5000000000000001E-3</v>
      </c>
      <c r="L39" s="82" t="e">
        <f>H39*K39</f>
        <v>#REF!</v>
      </c>
    </row>
    <row r="40" spans="6:12" ht="15" customHeight="1" x14ac:dyDescent="0.25">
      <c r="F40" s="71" t="s">
        <v>41</v>
      </c>
      <c r="G40" s="72"/>
      <c r="H40" s="82"/>
      <c r="I40" s="67"/>
      <c r="J40" s="84"/>
      <c r="K40" s="85"/>
      <c r="L40" s="82"/>
    </row>
    <row r="41" spans="6:12" ht="15" customHeight="1" x14ac:dyDescent="0.25">
      <c r="F41" s="73" t="s">
        <v>45</v>
      </c>
      <c r="G41" s="25"/>
      <c r="H41" s="82" t="e">
        <f>IF(J27&lt;=Données!B22,J27,Données!B22)</f>
        <v>#REF!</v>
      </c>
      <c r="I41" s="67" t="e">
        <f>IF(Données!#REF!="Exonération de cotisation","",0.86%)</f>
        <v>#REF!</v>
      </c>
      <c r="J41" s="83" t="e">
        <f>IF(Données!#REF!="Exonération de cotisation","",H41*I41)</f>
        <v>#REF!</v>
      </c>
      <c r="K41" s="85">
        <v>1.29E-2</v>
      </c>
      <c r="L41" s="82">
        <f>Données!C13*K41</f>
        <v>0</v>
      </c>
    </row>
    <row r="42" spans="6:12" ht="15" customHeight="1" x14ac:dyDescent="0.25">
      <c r="F42" s="73" t="s">
        <v>158</v>
      </c>
      <c r="G42" s="25"/>
      <c r="H42" s="82" t="e">
        <f>IF(J27&lt;=(8*Données!B22),Données!C13-Données!B22,(8*Données!B22))</f>
        <v>#REF!</v>
      </c>
      <c r="I42" s="67">
        <v>1.0800000000000001E-2</v>
      </c>
      <c r="J42" s="83" t="e">
        <f>I42*H42</f>
        <v>#REF!</v>
      </c>
      <c r="K42" s="85">
        <v>1.6199999999999999E-2</v>
      </c>
      <c r="L42" s="82" t="e">
        <f>K42*H42</f>
        <v>#REF!</v>
      </c>
    </row>
    <row r="43" spans="6:12" ht="15" customHeight="1" x14ac:dyDescent="0.25">
      <c r="F43" s="73" t="s">
        <v>44</v>
      </c>
      <c r="G43" s="25"/>
      <c r="H43" s="82" t="e">
        <f>IF(J27&lt;=Données!B22,J27,Données!B22)</f>
        <v>#REF!</v>
      </c>
      <c r="I43" s="67" t="e">
        <f>IF(Données!#REF!="Exonération de cotisation","",3.56%)</f>
        <v>#REF!</v>
      </c>
      <c r="J43" s="83" t="e">
        <f>IF(Données!#REF!="Exonération de cotisation","",H43*I43)</f>
        <v>#REF!</v>
      </c>
      <c r="K43" s="85">
        <v>5.33E-2</v>
      </c>
      <c r="L43" s="82">
        <f>Données!C13*K43</f>
        <v>0</v>
      </c>
    </row>
    <row r="44" spans="6:12" ht="15" customHeight="1" x14ac:dyDescent="0.25">
      <c r="F44" s="73" t="s">
        <v>155</v>
      </c>
      <c r="G44" s="25"/>
      <c r="H44" s="82" t="e">
        <f>IF(J27&lt;=(8*Données!B22),Données!C13-Données!B22,(8*Données!B22))</f>
        <v>#REF!</v>
      </c>
      <c r="I44" s="67">
        <v>8.6400000000000005E-2</v>
      </c>
      <c r="J44" s="83" t="e">
        <f>I44*H44</f>
        <v>#REF!</v>
      </c>
      <c r="K44" s="85">
        <v>0.1295</v>
      </c>
      <c r="L44" s="82" t="e">
        <f>K44*H44</f>
        <v>#REF!</v>
      </c>
    </row>
    <row r="45" spans="6:12" ht="15" customHeight="1" x14ac:dyDescent="0.25">
      <c r="F45" s="73" t="s">
        <v>156</v>
      </c>
      <c r="G45" s="25"/>
      <c r="H45" s="82" t="e">
        <f>IF(J27&lt;=Données!B22,J27,Données!B22)</f>
        <v>#REF!</v>
      </c>
      <c r="I45" s="107">
        <v>2.4000000000000001E-4</v>
      </c>
      <c r="J45" s="83" t="e">
        <f>I45*H45</f>
        <v>#REF!</v>
      </c>
      <c r="K45" s="86">
        <v>3.6000000000000002E-4</v>
      </c>
      <c r="L45" s="82" t="e">
        <f>K45*H45</f>
        <v>#REF!</v>
      </c>
    </row>
    <row r="46" spans="6:12" ht="15" customHeight="1" x14ac:dyDescent="0.25">
      <c r="F46" s="73" t="s">
        <v>157</v>
      </c>
      <c r="G46" s="25"/>
      <c r="H46" s="82" t="e">
        <f>IF(J27&lt;=(8*Données!B22),Données!C13-Données!B22,(8*Données!B22))</f>
        <v>#REF!</v>
      </c>
      <c r="I46" s="107">
        <v>2.4000000000000001E-4</v>
      </c>
      <c r="J46" s="83" t="e">
        <f>I46*H46</f>
        <v>#REF!</v>
      </c>
      <c r="K46" s="86">
        <v>3.6000000000000002E-4</v>
      </c>
      <c r="L46" s="82" t="e">
        <f>K46*H46</f>
        <v>#REF!</v>
      </c>
    </row>
    <row r="47" spans="6:12" ht="15" customHeight="1" x14ac:dyDescent="0.25">
      <c r="F47" s="73" t="s">
        <v>165</v>
      </c>
      <c r="G47" s="25"/>
      <c r="H47" s="82" t="e">
        <f>IF(J27&lt;=Données!B22,J27,Données!B22)</f>
        <v>#REF!</v>
      </c>
      <c r="I47" s="67">
        <v>0.02</v>
      </c>
      <c r="J47" s="83" t="e">
        <f>I47*H47</f>
        <v>#REF!</v>
      </c>
      <c r="K47" s="85">
        <v>2.4E-2</v>
      </c>
      <c r="L47" s="82" t="e">
        <f>K47*H47</f>
        <v>#REF!</v>
      </c>
    </row>
    <row r="48" spans="6:12" ht="15" customHeight="1" x14ac:dyDescent="0.25">
      <c r="F48" s="73" t="str">
        <f>IF(Données!C13&gt;Données!B22,"Contribution d'équilibre Technique CET","")</f>
        <v/>
      </c>
      <c r="G48" s="25"/>
      <c r="H48" s="82" t="e">
        <f>IF(J27&lt;=(8*Données!B22),IF(F48="","",SUM(H43:H44)),8*Données!B22)</f>
        <v>#REF!</v>
      </c>
      <c r="I48" s="67" t="e">
        <f>IF(H48="","",0.14%)</f>
        <v>#REF!</v>
      </c>
      <c r="J48" s="83" t="e">
        <f>IF(H48="","",I48*H48)</f>
        <v>#REF!</v>
      </c>
      <c r="K48" s="85" t="e">
        <f>IF(H48="","",0.21%)</f>
        <v>#REF!</v>
      </c>
      <c r="L48" s="82" t="e">
        <f>IF(H48="","",K48*H48)</f>
        <v>#REF!</v>
      </c>
    </row>
    <row r="49" spans="6:12" ht="15" customHeight="1" x14ac:dyDescent="0.25">
      <c r="F49" s="71" t="s">
        <v>46</v>
      </c>
      <c r="G49" s="72"/>
      <c r="H49" s="82"/>
      <c r="I49" s="67"/>
      <c r="J49" s="84"/>
      <c r="K49" s="85"/>
      <c r="L49" s="82"/>
    </row>
    <row r="50" spans="6:12" ht="15" customHeight="1" x14ac:dyDescent="0.25">
      <c r="F50" s="114" t="s">
        <v>171</v>
      </c>
      <c r="G50" s="115"/>
      <c r="H50" s="82"/>
      <c r="I50" s="67">
        <v>2.4E-2</v>
      </c>
      <c r="J50" s="84"/>
      <c r="K50" s="85"/>
      <c r="L50" s="82"/>
    </row>
    <row r="51" spans="6:12" ht="15" customHeight="1" x14ac:dyDescent="0.25">
      <c r="F51" s="114" t="s">
        <v>172</v>
      </c>
      <c r="G51" s="115"/>
      <c r="H51" s="82"/>
      <c r="I51" s="67">
        <v>6.8000000000000005E-2</v>
      </c>
      <c r="J51" s="84"/>
      <c r="K51" s="85"/>
      <c r="L51" s="82"/>
    </row>
    <row r="52" spans="6:12" ht="15" customHeight="1" x14ac:dyDescent="0.25">
      <c r="F52" s="74" t="str">
        <f>IF(Données!B35&lt;50,"FNAL (aide au logement)  &lt; 50 salariés","FNAL (aide au logement)  ≥  50 salariés")</f>
        <v>FNAL (aide au logement)  &lt; 50 salariés</v>
      </c>
      <c r="G52" s="75"/>
      <c r="H52" s="82" t="e">
        <f>J27</f>
        <v>#REF!</v>
      </c>
      <c r="I52" s="67" t="e">
        <f>IF(Données!#REF!="Exonération de cotisation","",IF(Données!B35&lt;50,0.1%,0.5%))</f>
        <v>#REF!</v>
      </c>
      <c r="J52" s="84" t="e">
        <f>IF(Données!#REF!="Exonération de cotisation","",H52*I52)</f>
        <v>#REF!</v>
      </c>
      <c r="K52" s="85">
        <f>IF(Données!B35&lt;50,0.1%,0.5%)</f>
        <v>1E-3</v>
      </c>
      <c r="L52" s="82" t="e">
        <f>IF(H52="","",K52*H52)</f>
        <v>#REF!</v>
      </c>
    </row>
    <row r="53" spans="6:12" ht="15" customHeight="1" x14ac:dyDescent="0.25">
      <c r="F53" s="73" t="s">
        <v>42</v>
      </c>
      <c r="G53" s="25"/>
      <c r="H53" s="82" t="e">
        <f>IF(J27&lt;=Données!B22,J27,Données!B22)</f>
        <v>#REF!</v>
      </c>
      <c r="I53" s="67" t="e">
        <f>IF(Données!#REF!="Exonération de cotisation","",6.9%)</f>
        <v>#REF!</v>
      </c>
      <c r="J53" s="83" t="e">
        <f>IF(Données!#REF!="Exonération de cotisation","",H53*I53)</f>
        <v>#REF!</v>
      </c>
      <c r="K53" s="85">
        <v>8.5500000000000007E-2</v>
      </c>
      <c r="L53" s="82">
        <f>Données!C13*K53</f>
        <v>0</v>
      </c>
    </row>
    <row r="54" spans="6:12" ht="15" customHeight="1" x14ac:dyDescent="0.25">
      <c r="F54" s="73" t="s">
        <v>43</v>
      </c>
      <c r="G54" s="25"/>
      <c r="H54" s="82" t="e">
        <f>J27</f>
        <v>#REF!</v>
      </c>
      <c r="I54" s="67" t="e">
        <f>IF(Données!#REF!="Exonération de cotisation","",0.4%)</f>
        <v>#REF!</v>
      </c>
      <c r="J54" s="83" t="e">
        <f>IF(Données!#REF!="Exonération de cotisation","",H54*I54)</f>
        <v>#REF!</v>
      </c>
      <c r="K54" s="85">
        <v>2.0199999999999999E-2</v>
      </c>
      <c r="L54" s="82">
        <f>Données!C13*K54</f>
        <v>0</v>
      </c>
    </row>
    <row r="55" spans="6:12" ht="15" customHeight="1" x14ac:dyDescent="0.25">
      <c r="F55" s="74" t="s">
        <v>49</v>
      </c>
      <c r="G55" s="75"/>
      <c r="H55" s="82" t="e">
        <f>J27</f>
        <v>#REF!</v>
      </c>
      <c r="I55" s="107"/>
      <c r="J55" s="83" t="e">
        <f>I55*H55</f>
        <v>#REF!</v>
      </c>
      <c r="K55" s="86">
        <v>1.6000000000000001E-4</v>
      </c>
      <c r="L55" s="82" t="e">
        <f>H55*K55</f>
        <v>#REF!</v>
      </c>
    </row>
    <row r="56" spans="6:12" ht="15" customHeight="1" x14ac:dyDescent="0.25">
      <c r="F56" s="74" t="s">
        <v>50</v>
      </c>
      <c r="G56" s="75"/>
      <c r="H56" s="82" t="e">
        <f>J27</f>
        <v>#REF!</v>
      </c>
      <c r="I56" s="67"/>
      <c r="J56" s="84" t="e">
        <f>I56*H56</f>
        <v>#REF!</v>
      </c>
      <c r="K56" s="85">
        <v>3.0000000000000001E-3</v>
      </c>
      <c r="L56" s="82" t="e">
        <f>H56*K56</f>
        <v>#REF!</v>
      </c>
    </row>
    <row r="57" spans="6:12" ht="27" customHeight="1" x14ac:dyDescent="0.25">
      <c r="F57" s="513" t="s">
        <v>123</v>
      </c>
      <c r="G57" s="514"/>
      <c r="H57" s="82" t="e">
        <f>L30</f>
        <v>#REF!</v>
      </c>
      <c r="I57" s="67"/>
      <c r="J57" s="84"/>
      <c r="K57" s="85">
        <v>0.08</v>
      </c>
      <c r="L57" s="82" t="e">
        <f>IF(Données!B35&gt;=11,H57*K57,0)</f>
        <v>#REF!</v>
      </c>
    </row>
    <row r="58" spans="6:12" ht="15" customHeight="1" x14ac:dyDescent="0.25">
      <c r="F58" s="74" t="str">
        <f>IF(Données!B36="Non","Taxe d'apprentissage hors Alsace Moselle","Taxe d'apprentissage Alsace Moselle")</f>
        <v>Taxe d'apprentissage Alsace Moselle</v>
      </c>
      <c r="G58" s="75"/>
      <c r="H58" s="82" t="e">
        <f>J27</f>
        <v>#REF!</v>
      </c>
      <c r="I58" s="67"/>
      <c r="J58" s="84"/>
      <c r="K58" s="85">
        <f>IF(Données!B36="Non",0.68%,0.44%)</f>
        <v>4.4000000000000003E-3</v>
      </c>
      <c r="L58" s="82" t="e">
        <f>H58*K58</f>
        <v>#REF!</v>
      </c>
    </row>
    <row r="59" spans="6:12" ht="15" customHeight="1" x14ac:dyDescent="0.25">
      <c r="F59" s="513" t="str">
        <f>IF(Données!B35&lt;11,"Contribution unique à la formation professionnelle entreprise &lt; 11 salariés","Contribution unique à la formation professionnelle entreprise &gt; 11 salariés")</f>
        <v>Contribution unique à la formation professionnelle entreprise &gt; 11 salariés</v>
      </c>
      <c r="G59" s="514"/>
      <c r="H59" s="82" t="e">
        <f>J27</f>
        <v>#REF!</v>
      </c>
      <c r="I59" s="67"/>
      <c r="J59" s="84"/>
      <c r="K59" s="85">
        <f>IF(Données!B35&lt;11,0.55%,1%)</f>
        <v>0.01</v>
      </c>
      <c r="L59" s="82" t="e">
        <f>H59*K59</f>
        <v>#REF!</v>
      </c>
    </row>
    <row r="60" spans="6:12" ht="15" customHeight="1" x14ac:dyDescent="0.25">
      <c r="F60" s="74" t="s">
        <v>141</v>
      </c>
      <c r="G60" s="75"/>
      <c r="H60" s="82" t="e">
        <f>J27</f>
        <v>#REF!</v>
      </c>
      <c r="I60" s="67"/>
      <c r="J60" s="84"/>
      <c r="K60" s="85">
        <v>0.01</v>
      </c>
      <c r="L60" s="82" t="e">
        <f>IF(Données!B35&gt;=50,H60*K60,0*H60)</f>
        <v>#REF!</v>
      </c>
    </row>
    <row r="61" spans="6:12" ht="15" customHeight="1" x14ac:dyDescent="0.25">
      <c r="F61" s="74" t="s">
        <v>142</v>
      </c>
      <c r="G61" s="75"/>
      <c r="H61" s="82" t="e">
        <f>J27</f>
        <v>#REF!</v>
      </c>
      <c r="I61" s="67" t="e">
        <f>IF(Données!#REF!="Exonération de cotisation","",2.6%)</f>
        <v>#REF!</v>
      </c>
      <c r="J61" s="84" t="e">
        <f>IF(Données!#REF!="Exonération de cotisation","",H61*I61)</f>
        <v>#REF!</v>
      </c>
      <c r="K61" s="85">
        <f>Données!B37</f>
        <v>0.02</v>
      </c>
      <c r="L61" s="82" t="e">
        <f>H61*K61</f>
        <v>#REF!</v>
      </c>
    </row>
    <row r="62" spans="6:12" ht="27.75" customHeight="1" x14ac:dyDescent="0.25">
      <c r="F62" s="513" t="str">
        <f>IF(Données!B35&gt;=250,"contribution supplémentaire à l'apprentissage &gt;= 250 salarié","")</f>
        <v/>
      </c>
      <c r="G62" s="514"/>
      <c r="H62" s="82"/>
      <c r="I62" s="67"/>
      <c r="J62" s="84"/>
      <c r="K62" s="85"/>
      <c r="L62" s="82"/>
    </row>
    <row r="63" spans="6:12" ht="15" customHeight="1" x14ac:dyDescent="0.25">
      <c r="F63" s="93" t="s">
        <v>55</v>
      </c>
      <c r="G63" s="94"/>
      <c r="H63" s="82"/>
      <c r="I63" s="67"/>
      <c r="J63" s="84"/>
      <c r="K63" s="85"/>
      <c r="L63" s="82"/>
    </row>
    <row r="64" spans="6:12" ht="15" customHeight="1" x14ac:dyDescent="0.25">
      <c r="F64" s="73" t="s">
        <v>146</v>
      </c>
      <c r="G64" s="25"/>
      <c r="H64" s="82" t="e">
        <f>IF(J27&lt;(1.6*Données!B23),J27,"")</f>
        <v>#REF!</v>
      </c>
      <c r="I64" s="67"/>
      <c r="J64" s="101"/>
      <c r="K64" s="100" t="e">
        <f>IF(J27&lt;(1.6*Données!B23),((IF(Données!B35&lt;50,0.3194,0.3234))/0.6)*(((1.6*(Données!B23*12))/(J27*12)-1)),0)</f>
        <v>#REF!</v>
      </c>
      <c r="L64" s="99" t="e">
        <f>IF(J27&lt;(1.6*Données!B23),-(H64*12)*K64%,0)</f>
        <v>#REF!</v>
      </c>
    </row>
    <row r="65" spans="6:12" ht="15" customHeight="1" x14ac:dyDescent="0.25">
      <c r="F65" s="73" t="s">
        <v>145</v>
      </c>
      <c r="G65" s="25"/>
      <c r="H65" s="82"/>
      <c r="I65" s="67"/>
      <c r="J65" s="84"/>
      <c r="K65" s="87">
        <f>IF(Données!B35&lt;20,1.5,0.5)</f>
        <v>1.5</v>
      </c>
      <c r="L65" s="82">
        <f>IF(Données!B35&lt;20,-SUM(Données!J11:J13)*K65,0)</f>
        <v>0</v>
      </c>
    </row>
    <row r="66" spans="6:12" ht="15" customHeight="1" x14ac:dyDescent="0.25">
      <c r="F66" s="73" t="str">
        <f>IF(Données!G34="Oui","","Réduction cotisation salariale sur HS 1,25")</f>
        <v>Réduction cotisation salariale sur HS 1,25</v>
      </c>
      <c r="G66" s="25"/>
      <c r="H66" s="82">
        <f>IF(F67="","",SUM(Données!J11:J12))</f>
        <v>0</v>
      </c>
      <c r="I66" s="67">
        <f>IF(H66="","",11.31%)</f>
        <v>0.11310000000000001</v>
      </c>
      <c r="J66" s="83">
        <f>IF(H66="","",-H66*I66)</f>
        <v>0</v>
      </c>
      <c r="K66" s="87"/>
      <c r="L66" s="82"/>
    </row>
    <row r="67" spans="6:12" ht="15" customHeight="1" x14ac:dyDescent="0.25">
      <c r="F67" s="73" t="str">
        <f>IF(Données!G34="Oui","","Réduction cotisation salariale sur HS 1,50")</f>
        <v>Réduction cotisation salariale sur HS 1,50</v>
      </c>
      <c r="G67" s="25"/>
      <c r="H67" s="82" t="str">
        <f>IF(F67="","",H22)</f>
        <v/>
      </c>
      <c r="I67" s="67" t="str">
        <f>IF(H67="","",11.31%)</f>
        <v/>
      </c>
      <c r="J67" s="83" t="str">
        <f>IF(H67="","",-H67*I67)</f>
        <v/>
      </c>
      <c r="K67" s="87"/>
      <c r="L67" s="82"/>
    </row>
    <row r="68" spans="6:12" ht="15" customHeight="1" x14ac:dyDescent="0.25">
      <c r="F68" s="26" t="s">
        <v>60</v>
      </c>
      <c r="G68" s="53"/>
      <c r="H68" s="69"/>
      <c r="I68" s="17"/>
      <c r="J68" s="110" t="e">
        <f>SUM(J29:J67)</f>
        <v>#REF!</v>
      </c>
      <c r="K68" s="88"/>
      <c r="L68" s="109" t="e">
        <f>SUM(L29:L67)</f>
        <v>#REF!</v>
      </c>
    </row>
    <row r="69" spans="6:12" ht="15" customHeight="1" x14ac:dyDescent="0.25">
      <c r="F69" s="76" t="s">
        <v>61</v>
      </c>
      <c r="G69" s="30"/>
      <c r="L69" s="16"/>
    </row>
    <row r="70" spans="6:12" ht="15" customHeight="1" x14ac:dyDescent="0.25">
      <c r="F70" s="73" t="s">
        <v>62</v>
      </c>
      <c r="G70" s="25"/>
      <c r="H70" s="31" t="str">
        <f>IF(Données!I42=0,"",Données!I42)</f>
        <v/>
      </c>
      <c r="I70" s="66" t="str">
        <f>IF(H70="","",Données!#REF!)</f>
        <v/>
      </c>
      <c r="J70" s="31" t="str">
        <f>IF(H70="","",-H70*I70)</f>
        <v/>
      </c>
      <c r="K70" s="31"/>
      <c r="L70" s="32"/>
    </row>
    <row r="71" spans="6:12" ht="15" customHeight="1" x14ac:dyDescent="0.25">
      <c r="F71" s="73" t="s">
        <v>64</v>
      </c>
      <c r="G71" s="25"/>
      <c r="H71" s="31"/>
      <c r="I71" s="31"/>
      <c r="J71" s="31"/>
      <c r="K71" s="31"/>
      <c r="L71" s="32"/>
    </row>
    <row r="72" spans="6:12" ht="15" customHeight="1" x14ac:dyDescent="0.25">
      <c r="F72" s="73" t="s">
        <v>65</v>
      </c>
      <c r="G72" s="25"/>
      <c r="H72" s="31"/>
      <c r="I72" s="31"/>
      <c r="J72" s="31"/>
      <c r="K72" s="31"/>
      <c r="L72" s="32"/>
    </row>
    <row r="73" spans="6:12" ht="15" customHeight="1" x14ac:dyDescent="0.25">
      <c r="F73" s="73" t="s">
        <v>66</v>
      </c>
      <c r="G73" s="25"/>
      <c r="H73" s="31"/>
      <c r="I73" s="31"/>
      <c r="J73" s="31"/>
      <c r="K73" s="31"/>
      <c r="L73" s="32"/>
    </row>
    <row r="74" spans="6:12" ht="15" customHeight="1" x14ac:dyDescent="0.25">
      <c r="F74" s="76" t="s">
        <v>67</v>
      </c>
      <c r="G74" s="30"/>
      <c r="H74" s="31"/>
      <c r="I74" s="31"/>
      <c r="J74" s="31"/>
      <c r="K74" s="31"/>
      <c r="L74" s="32"/>
    </row>
    <row r="75" spans="6:12" ht="15" customHeight="1" x14ac:dyDescent="0.25">
      <c r="F75" s="73" t="s">
        <v>68</v>
      </c>
      <c r="G75" s="25"/>
      <c r="H75" s="31" t="str">
        <f>IF(Données!I53=0,"",Données!I50*Données!I53)</f>
        <v/>
      </c>
      <c r="I75" s="33" t="str">
        <f>IF(H75="","",Données!I51)</f>
        <v/>
      </c>
      <c r="J75" s="31" t="str">
        <f>IF(H75="","",H75*I75)</f>
        <v/>
      </c>
      <c r="K75" s="33"/>
      <c r="L75" s="32"/>
    </row>
    <row r="76" spans="6:12" ht="15" customHeight="1" x14ac:dyDescent="0.25">
      <c r="F76" s="73" t="s">
        <v>69</v>
      </c>
      <c r="G76" s="25"/>
      <c r="H76" s="31"/>
      <c r="I76" s="33"/>
      <c r="J76" s="34"/>
      <c r="K76" s="33"/>
      <c r="L76" s="16"/>
    </row>
    <row r="77" spans="6:12" ht="15" customHeight="1" x14ac:dyDescent="0.25">
      <c r="F77" s="73" t="s">
        <v>70</v>
      </c>
      <c r="G77" s="25"/>
      <c r="H77" s="31" t="str">
        <f>IF(Données!I35=0,"",Données!I35)</f>
        <v/>
      </c>
      <c r="I77" s="68">
        <f>IF(Données!J35=0,"",Données!J35)</f>
        <v>5.35</v>
      </c>
      <c r="J77" s="34" t="str">
        <f>IF(Données!L35=0,"",Données!L35)</f>
        <v/>
      </c>
      <c r="K77" s="31"/>
      <c r="L77" s="32"/>
    </row>
    <row r="78" spans="6:12" ht="15" customHeight="1" x14ac:dyDescent="0.25">
      <c r="F78" s="73" t="s">
        <v>73</v>
      </c>
      <c r="G78" s="25"/>
      <c r="H78" s="31"/>
      <c r="I78" s="31"/>
      <c r="J78" s="34" t="str">
        <f>IF(Données!L41=0,"",Données!L41)</f>
        <v/>
      </c>
      <c r="K78" s="31"/>
      <c r="L78" s="32"/>
    </row>
    <row r="79" spans="6:12" ht="15" customHeight="1" x14ac:dyDescent="0.25">
      <c r="F79" s="73" t="str">
        <f>IF(R80="","","Saisie sur salaire")</f>
        <v/>
      </c>
      <c r="K79" s="31"/>
      <c r="L79" s="32"/>
    </row>
    <row r="80" spans="6:12" ht="15" customHeight="1" x14ac:dyDescent="0.25">
      <c r="F80" s="73" t="str">
        <f>IF(R81="","","Saisie pension alimentaire")</f>
        <v/>
      </c>
      <c r="K80" s="31"/>
      <c r="L80" s="32"/>
    </row>
    <row r="81" spans="6:12" ht="18.75" x14ac:dyDescent="0.3">
      <c r="F81" s="497" t="s">
        <v>74</v>
      </c>
      <c r="G81" s="498"/>
      <c r="H81" s="498"/>
      <c r="I81" s="498"/>
      <c r="J81" s="498"/>
      <c r="K81" s="498"/>
      <c r="L81" s="35" t="e">
        <f>J27-J68+SUM(J70:J73)-SUM(J75:J79)</f>
        <v>#REF!</v>
      </c>
    </row>
    <row r="82" spans="6:12" ht="15" customHeight="1" x14ac:dyDescent="0.25">
      <c r="F82" s="73" t="s">
        <v>75</v>
      </c>
      <c r="G82" s="25"/>
      <c r="L82" s="36" t="e">
        <f>(H37*3.15%)</f>
        <v>#REF!</v>
      </c>
    </row>
    <row r="83" spans="6:12" ht="15" customHeight="1" x14ac:dyDescent="0.25">
      <c r="F83" s="494" t="s">
        <v>76</v>
      </c>
      <c r="G83" s="495"/>
      <c r="H83" s="496"/>
      <c r="I83" s="37" t="s">
        <v>29</v>
      </c>
      <c r="J83" s="482" t="s">
        <v>77</v>
      </c>
      <c r="K83" s="483"/>
      <c r="L83" s="37" t="s">
        <v>22</v>
      </c>
    </row>
    <row r="84" spans="6:12" ht="15" customHeight="1" x14ac:dyDescent="0.25">
      <c r="F84" s="484" t="s">
        <v>78</v>
      </c>
      <c r="G84" s="485"/>
      <c r="H84" s="486"/>
      <c r="I84" s="44" t="e">
        <f>H85</f>
        <v>#REF!</v>
      </c>
      <c r="J84" s="487">
        <f>Données!E45</f>
        <v>0</v>
      </c>
      <c r="K84" s="488"/>
      <c r="L84" s="28" t="e">
        <f>I84*J84</f>
        <v>#REF!</v>
      </c>
    </row>
    <row r="85" spans="6:12" ht="15" customHeight="1" x14ac:dyDescent="0.25">
      <c r="F85" s="484" t="s">
        <v>79</v>
      </c>
      <c r="G85" s="486"/>
      <c r="H85" s="489" t="e">
        <f>J27-(SUM(J21:J23))-J68+IF(L31="",0,L31)</f>
        <v>#REF!</v>
      </c>
      <c r="I85" s="490"/>
      <c r="J85" s="491" t="s">
        <v>80</v>
      </c>
      <c r="K85" s="492"/>
      <c r="L85" s="493"/>
    </row>
    <row r="86" spans="6:12" ht="15.75" customHeight="1" x14ac:dyDescent="0.25">
      <c r="F86" s="41"/>
      <c r="J86" s="468" t="e">
        <f>L81-L84</f>
        <v>#REF!</v>
      </c>
      <c r="K86" s="469"/>
      <c r="L86" s="470"/>
    </row>
    <row r="87" spans="6:12" ht="15" customHeight="1" x14ac:dyDescent="0.25">
      <c r="F87" s="38"/>
      <c r="G87" s="39"/>
      <c r="H87" s="39"/>
      <c r="I87" s="471" t="s">
        <v>81</v>
      </c>
      <c r="J87" s="472"/>
      <c r="K87" s="473"/>
      <c r="L87" s="40" t="e">
        <f>-(L65+L64)+(H35*1.8%)+(J27*6%)</f>
        <v>#REF!</v>
      </c>
    </row>
    <row r="88" spans="6:12" ht="15" customHeight="1" x14ac:dyDescent="0.25">
      <c r="F88" s="41"/>
      <c r="I88" s="474" t="s">
        <v>82</v>
      </c>
      <c r="J88" s="475"/>
      <c r="K88" s="476"/>
      <c r="L88" s="42" t="e">
        <f>J27+L68+SUM(J70:J73)</f>
        <v>#REF!</v>
      </c>
    </row>
    <row r="89" spans="6:12" ht="15" customHeight="1" x14ac:dyDescent="0.25">
      <c r="F89" s="477" t="s">
        <v>83</v>
      </c>
      <c r="G89" s="478"/>
      <c r="H89" s="478"/>
      <c r="I89" s="478"/>
      <c r="J89" s="479"/>
      <c r="K89" s="480" t="s">
        <v>84</v>
      </c>
      <c r="L89" s="481"/>
    </row>
    <row r="90" spans="6:12" ht="18.75" customHeight="1" x14ac:dyDescent="0.25">
      <c r="F90" s="465" t="s">
        <v>85</v>
      </c>
      <c r="G90" s="466"/>
      <c r="H90" s="466"/>
      <c r="I90" s="466"/>
      <c r="J90" s="466"/>
      <c r="K90" s="466"/>
      <c r="L90" s="467"/>
    </row>
  </sheetData>
  <mergeCells count="23">
    <mergeCell ref="F57:G57"/>
    <mergeCell ref="F4:L5"/>
    <mergeCell ref="J15:L15"/>
    <mergeCell ref="J16:L16"/>
    <mergeCell ref="J17:L17"/>
    <mergeCell ref="J18:L18"/>
    <mergeCell ref="F32:G32"/>
    <mergeCell ref="F59:G59"/>
    <mergeCell ref="F81:K81"/>
    <mergeCell ref="F83:H83"/>
    <mergeCell ref="J83:K83"/>
    <mergeCell ref="F84:H84"/>
    <mergeCell ref="J84:K84"/>
    <mergeCell ref="F62:G62"/>
    <mergeCell ref="F89:J89"/>
    <mergeCell ref="K89:L89"/>
    <mergeCell ref="F90:L90"/>
    <mergeCell ref="F85:G85"/>
    <mergeCell ref="H85:I85"/>
    <mergeCell ref="J85:L85"/>
    <mergeCell ref="J86:L86"/>
    <mergeCell ref="I87:K87"/>
    <mergeCell ref="I88:K88"/>
  </mergeCells>
  <hyperlinks>
    <hyperlink ref="K89" r:id="rId1"/>
  </hyperlinks>
  <pageMargins left="0.7" right="0.7" top="0.75" bottom="0.75" header="0.3" footer="0.3"/>
  <pageSetup paperSize="9" orientation="portrait"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4:L86"/>
  <sheetViews>
    <sheetView workbookViewId="0">
      <selection activeCell="C30" sqref="C30"/>
    </sheetView>
  </sheetViews>
  <sheetFormatPr defaultColWidth="11.42578125" defaultRowHeight="15" x14ac:dyDescent="0.25"/>
  <sheetData>
    <row r="4" spans="6:12" x14ac:dyDescent="0.25">
      <c r="F4" s="499" t="s">
        <v>0</v>
      </c>
      <c r="G4" s="500"/>
      <c r="H4" s="500"/>
      <c r="I4" s="500"/>
      <c r="J4" s="500"/>
      <c r="K4" s="500"/>
      <c r="L4" s="501"/>
    </row>
    <row r="5" spans="6:12" x14ac:dyDescent="0.25">
      <c r="F5" s="502"/>
      <c r="G5" s="503"/>
      <c r="H5" s="503"/>
      <c r="I5" s="503"/>
      <c r="J5" s="503"/>
      <c r="K5" s="503"/>
      <c r="L5" s="504"/>
    </row>
    <row r="6" spans="6:12" x14ac:dyDescent="0.25">
      <c r="F6" s="3" t="s">
        <v>3</v>
      </c>
      <c r="G6" s="5"/>
      <c r="H6" s="4"/>
      <c r="I6" s="3" t="s">
        <v>115</v>
      </c>
      <c r="J6" s="51" t="s">
        <v>112</v>
      </c>
      <c r="K6" s="6"/>
      <c r="L6" s="4"/>
    </row>
    <row r="7" spans="6:12" x14ac:dyDescent="0.25">
      <c r="F7" s="7" t="s">
        <v>6</v>
      </c>
      <c r="G7" s="9"/>
      <c r="H7" s="8"/>
      <c r="I7" s="7"/>
      <c r="J7" s="9"/>
      <c r="K7" s="10"/>
      <c r="L7" s="8"/>
    </row>
    <row r="8" spans="6:12" x14ac:dyDescent="0.25">
      <c r="F8" s="7"/>
      <c r="G8" s="9"/>
      <c r="H8" s="8"/>
      <c r="I8" s="7"/>
      <c r="J8" s="9"/>
      <c r="K8" s="9"/>
      <c r="L8" s="8"/>
    </row>
    <row r="9" spans="6:12" x14ac:dyDescent="0.25">
      <c r="F9" s="7" t="s">
        <v>9</v>
      </c>
      <c r="G9" s="9"/>
      <c r="H9" s="8"/>
      <c r="I9" s="7"/>
      <c r="J9" s="9" t="s">
        <v>10</v>
      </c>
      <c r="K9" s="9"/>
      <c r="L9" s="8"/>
    </row>
    <row r="10" spans="6:12" x14ac:dyDescent="0.25">
      <c r="F10" s="7" t="s">
        <v>11</v>
      </c>
      <c r="G10" s="9"/>
      <c r="H10" s="8"/>
      <c r="I10" s="7"/>
      <c r="J10" s="9"/>
      <c r="K10" s="9"/>
      <c r="L10" s="8"/>
    </row>
    <row r="11" spans="6:12" x14ac:dyDescent="0.25">
      <c r="F11" s="7" t="s">
        <v>12</v>
      </c>
      <c r="G11" s="9"/>
      <c r="H11" s="8"/>
      <c r="I11" s="7"/>
      <c r="J11" s="9"/>
      <c r="K11" s="9"/>
      <c r="L11" s="8"/>
    </row>
    <row r="12" spans="6:12" x14ac:dyDescent="0.25">
      <c r="F12" s="11" t="s">
        <v>13</v>
      </c>
      <c r="G12" s="13"/>
      <c r="H12" s="12"/>
      <c r="I12" s="11"/>
      <c r="J12" s="13"/>
      <c r="K12" s="13"/>
      <c r="L12" s="14"/>
    </row>
    <row r="13" spans="6:12" x14ac:dyDescent="0.25">
      <c r="F13" s="7" t="s">
        <v>15</v>
      </c>
      <c r="G13" s="9"/>
      <c r="H13" s="9"/>
      <c r="I13" s="9" t="s">
        <v>14</v>
      </c>
      <c r="J13" s="505"/>
      <c r="K13" s="505"/>
      <c r="L13" s="506"/>
    </row>
    <row r="14" spans="6:12" x14ac:dyDescent="0.25">
      <c r="F14" s="7" t="s">
        <v>89</v>
      </c>
      <c r="G14" s="9"/>
      <c r="H14" s="9"/>
      <c r="I14" s="9" t="s">
        <v>6</v>
      </c>
      <c r="J14" s="505"/>
      <c r="K14" s="505"/>
      <c r="L14" s="506"/>
    </row>
    <row r="15" spans="6:12" x14ac:dyDescent="0.25">
      <c r="F15" s="7" t="s">
        <v>16</v>
      </c>
      <c r="G15" s="9"/>
      <c r="H15" s="54"/>
      <c r="I15" s="9"/>
      <c r="J15" s="505"/>
      <c r="K15" s="505"/>
      <c r="L15" s="506"/>
    </row>
    <row r="16" spans="6:12" x14ac:dyDescent="0.25">
      <c r="F16" s="7" t="s">
        <v>17</v>
      </c>
      <c r="G16" s="9"/>
      <c r="H16" s="49"/>
      <c r="I16" s="9"/>
      <c r="J16" s="507"/>
      <c r="K16" s="507"/>
      <c r="L16" s="508"/>
    </row>
    <row r="17" spans="6:12" x14ac:dyDescent="0.25">
      <c r="F17" s="7" t="s">
        <v>19</v>
      </c>
      <c r="G17" s="9"/>
      <c r="H17" s="54"/>
      <c r="I17" s="9"/>
      <c r="J17" s="507"/>
      <c r="K17" s="507"/>
      <c r="L17" s="508"/>
    </row>
    <row r="18" spans="6:12" x14ac:dyDescent="0.25">
      <c r="F18" s="52" t="s">
        <v>114</v>
      </c>
      <c r="G18" s="55">
        <f>Données!I11</f>
        <v>8.3214442700156983</v>
      </c>
      <c r="H18" s="50" t="s">
        <v>111</v>
      </c>
      <c r="I18" s="13"/>
      <c r="J18" s="509"/>
      <c r="K18" s="509"/>
      <c r="L18" s="510"/>
    </row>
    <row r="19" spans="6:12" x14ac:dyDescent="0.25">
      <c r="F19" s="41"/>
      <c r="H19" s="31" t="s">
        <v>20</v>
      </c>
      <c r="I19" s="31" t="s">
        <v>21</v>
      </c>
      <c r="J19" s="31" t="s">
        <v>22</v>
      </c>
      <c r="L19" s="15"/>
    </row>
    <row r="20" spans="6:12" x14ac:dyDescent="0.25">
      <c r="F20" s="41" t="s">
        <v>23</v>
      </c>
      <c r="H20" s="31" t="e">
        <f>Données!#REF!</f>
        <v>#REF!</v>
      </c>
      <c r="I20" s="34" t="e">
        <f>Données!#REF!</f>
        <v>#REF!</v>
      </c>
      <c r="J20" s="34" t="e">
        <f>Données!#REF!</f>
        <v>#REF!</v>
      </c>
      <c r="L20" s="16"/>
    </row>
    <row r="21" spans="6:12" x14ac:dyDescent="0.25">
      <c r="F21" s="41"/>
      <c r="H21" s="34"/>
      <c r="I21" s="34"/>
      <c r="J21" s="34"/>
      <c r="L21" s="16"/>
    </row>
    <row r="22" spans="6:12" x14ac:dyDescent="0.25">
      <c r="F22" s="41"/>
      <c r="H22" s="31"/>
      <c r="I22" s="34"/>
      <c r="J22" s="34"/>
      <c r="L22" s="16"/>
    </row>
    <row r="23" spans="6:12" x14ac:dyDescent="0.25">
      <c r="F23" s="41" t="s">
        <v>24</v>
      </c>
      <c r="H23" s="34" t="e">
        <f>Données!#REF!</f>
        <v>#REF!</v>
      </c>
      <c r="I23" s="34" t="e">
        <f>Données!#REF!</f>
        <v>#REF!</v>
      </c>
      <c r="J23" s="34" t="e">
        <f>H23*I23</f>
        <v>#REF!</v>
      </c>
      <c r="K23" s="34"/>
      <c r="L23" s="16"/>
    </row>
    <row r="24" spans="6:12" x14ac:dyDescent="0.25">
      <c r="F24" s="41" t="s">
        <v>25</v>
      </c>
      <c r="H24" s="34" t="e">
        <f>Données!#REF!</f>
        <v>#REF!</v>
      </c>
      <c r="I24" s="34" t="e">
        <f>Données!#REF!</f>
        <v>#REF!</v>
      </c>
      <c r="J24" s="34" t="e">
        <f>H24*I24</f>
        <v>#REF!</v>
      </c>
      <c r="L24" s="16"/>
    </row>
    <row r="25" spans="6:12" x14ac:dyDescent="0.25">
      <c r="F25" s="41"/>
      <c r="H25" s="31"/>
      <c r="I25" s="34"/>
      <c r="J25" s="34"/>
      <c r="L25" s="16"/>
    </row>
    <row r="26" spans="6:12" x14ac:dyDescent="0.25">
      <c r="F26" s="41" t="s">
        <v>26</v>
      </c>
      <c r="H26" s="31" t="e">
        <f>Données!#REF!</f>
        <v>#REF!</v>
      </c>
      <c r="I26" s="34" t="e">
        <f>Données!#REF!</f>
        <v>#REF!</v>
      </c>
      <c r="J26" s="34" t="e">
        <f>Données!#REF!</f>
        <v>#REF!</v>
      </c>
      <c r="L26" s="16"/>
    </row>
    <row r="27" spans="6:12" x14ac:dyDescent="0.25">
      <c r="F27" s="70" t="s">
        <v>27</v>
      </c>
      <c r="G27" s="17"/>
      <c r="H27" s="17"/>
      <c r="I27" s="17"/>
      <c r="J27" s="17"/>
      <c r="K27" s="17"/>
      <c r="L27" s="18"/>
    </row>
    <row r="28" spans="6:12" x14ac:dyDescent="0.25">
      <c r="F28" s="71" t="s">
        <v>28</v>
      </c>
      <c r="G28" s="72"/>
      <c r="H28" s="69" t="s">
        <v>29</v>
      </c>
      <c r="I28" s="69" t="s">
        <v>30</v>
      </c>
      <c r="J28" s="69" t="s">
        <v>31</v>
      </c>
      <c r="K28" s="69" t="s">
        <v>32</v>
      </c>
      <c r="L28" s="69" t="s">
        <v>22</v>
      </c>
    </row>
    <row r="29" spans="6:12" x14ac:dyDescent="0.25">
      <c r="F29" s="73" t="s">
        <v>33</v>
      </c>
      <c r="G29" s="25"/>
      <c r="H29" s="19" t="e">
        <f>Données!#REF!</f>
        <v>#REF!</v>
      </c>
      <c r="I29" s="56"/>
      <c r="J29" s="57"/>
      <c r="K29" s="56" t="e">
        <f>IF(Données!#REF!&lt;=(2.5*Données!B24),7%,13%)</f>
        <v>#REF!</v>
      </c>
      <c r="L29" s="19" t="e">
        <f>H29*K29</f>
        <v>#REF!</v>
      </c>
    </row>
    <row r="30" spans="6:12" x14ac:dyDescent="0.25">
      <c r="F30" s="73" t="s">
        <v>34</v>
      </c>
      <c r="G30" s="25"/>
      <c r="H30" s="19"/>
      <c r="I30" s="56"/>
      <c r="J30" s="58">
        <f>H30*I30</f>
        <v>0</v>
      </c>
      <c r="K30" s="56"/>
      <c r="L30" s="19">
        <f>H30*K30</f>
        <v>0</v>
      </c>
    </row>
    <row r="31" spans="6:12" x14ac:dyDescent="0.25">
      <c r="F31" s="73" t="s">
        <v>127</v>
      </c>
      <c r="G31" s="25"/>
      <c r="H31" s="19">
        <f>Données!E41</f>
        <v>0.02</v>
      </c>
      <c r="I31" s="56">
        <f>Données!F41</f>
        <v>0</v>
      </c>
      <c r="J31" s="58">
        <f>H31*I31</f>
        <v>0</v>
      </c>
      <c r="K31" s="56">
        <f>Données!G41</f>
        <v>0</v>
      </c>
      <c r="L31" s="19">
        <f>H31*K31</f>
        <v>0</v>
      </c>
    </row>
    <row r="32" spans="6:12" x14ac:dyDescent="0.25">
      <c r="F32" s="71" t="s">
        <v>35</v>
      </c>
      <c r="G32" s="72"/>
      <c r="H32" s="19" t="e">
        <f>Données!#REF!</f>
        <v>#REF!</v>
      </c>
      <c r="I32" s="20"/>
      <c r="J32" s="19"/>
      <c r="K32" s="20">
        <f>Données!E42</f>
        <v>0</v>
      </c>
      <c r="L32" s="19" t="e">
        <f>H32*K32</f>
        <v>#REF!</v>
      </c>
    </row>
    <row r="33" spans="6:12" x14ac:dyDescent="0.25">
      <c r="F33" s="41"/>
      <c r="H33" s="19"/>
      <c r="I33" s="20"/>
      <c r="J33" s="19"/>
      <c r="K33" s="20"/>
      <c r="L33" s="19"/>
    </row>
    <row r="34" spans="6:12" x14ac:dyDescent="0.25">
      <c r="F34" s="71" t="s">
        <v>36</v>
      </c>
      <c r="G34" s="72"/>
      <c r="H34" s="19"/>
      <c r="I34" s="20"/>
      <c r="J34" s="19"/>
      <c r="K34" s="20"/>
      <c r="L34" s="19"/>
    </row>
    <row r="35" spans="6:12" x14ac:dyDescent="0.25">
      <c r="F35" s="73" t="s">
        <v>37</v>
      </c>
      <c r="G35" s="25"/>
      <c r="H35" s="19" t="e">
        <f>Données!#REF!</f>
        <v>#REF!</v>
      </c>
      <c r="I35" s="20"/>
      <c r="J35" s="19"/>
      <c r="K35" s="59" t="e">
        <f>IF(Données!#REF!&lt;=(3.5*Données!B24),3.45%,5.25%)</f>
        <v>#REF!</v>
      </c>
      <c r="L35" s="19" t="e">
        <f>H35*K35</f>
        <v>#REF!</v>
      </c>
    </row>
    <row r="36" spans="6:12" x14ac:dyDescent="0.25">
      <c r="F36" s="71" t="s">
        <v>38</v>
      </c>
      <c r="G36" s="72"/>
      <c r="H36" s="19"/>
      <c r="I36" s="20"/>
      <c r="J36" s="21"/>
      <c r="K36" s="20"/>
      <c r="L36" s="19"/>
    </row>
    <row r="37" spans="6:12" x14ac:dyDescent="0.25">
      <c r="F37" s="73" t="s">
        <v>39</v>
      </c>
      <c r="G37" s="25"/>
      <c r="H37" s="19" t="e">
        <f>Données!#REF!</f>
        <v>#REF!</v>
      </c>
      <c r="I37" s="20"/>
      <c r="J37" s="21"/>
      <c r="K37" s="20">
        <f>Données!E43</f>
        <v>0</v>
      </c>
      <c r="L37" s="19" t="e">
        <f>H37*K37</f>
        <v>#REF!</v>
      </c>
    </row>
    <row r="38" spans="6:12" x14ac:dyDescent="0.25">
      <c r="F38" s="73" t="s">
        <v>40</v>
      </c>
      <c r="G38" s="25"/>
      <c r="H38" s="19" t="e">
        <f>Données!#REF!</f>
        <v>#REF!</v>
      </c>
      <c r="I38" s="20"/>
      <c r="J38" s="21"/>
      <c r="K38" s="20" t="e">
        <f>Données!#REF!</f>
        <v>#REF!</v>
      </c>
      <c r="L38" s="19" t="e">
        <f>H38*K38</f>
        <v>#REF!</v>
      </c>
    </row>
    <row r="39" spans="6:12" x14ac:dyDescent="0.25">
      <c r="F39" s="71" t="s">
        <v>41</v>
      </c>
      <c r="G39" s="72"/>
      <c r="H39" s="19"/>
      <c r="I39" s="56"/>
      <c r="J39" s="21"/>
      <c r="K39" s="20"/>
      <c r="L39" s="19"/>
    </row>
    <row r="40" spans="6:12" x14ac:dyDescent="0.25">
      <c r="F40" s="73" t="s">
        <v>42</v>
      </c>
      <c r="G40" s="25"/>
      <c r="H40" s="19" t="e">
        <f>Données!#REF!</f>
        <v>#REF!</v>
      </c>
      <c r="I40" s="56">
        <v>6.9000000000000006E-2</v>
      </c>
      <c r="J40" s="19" t="e">
        <f>IF(Données!D37="Exonération de cotisation",0,H40*I40)</f>
        <v>#REF!</v>
      </c>
      <c r="K40" s="20">
        <v>8.5500000000000007E-2</v>
      </c>
      <c r="L40" s="19" t="e">
        <f>Données!#REF!*K40</f>
        <v>#REF!</v>
      </c>
    </row>
    <row r="41" spans="6:12" x14ac:dyDescent="0.25">
      <c r="F41" s="73" t="s">
        <v>43</v>
      </c>
      <c r="G41" s="25"/>
      <c r="H41" s="19" t="e">
        <f>Données!#REF!</f>
        <v>#REF!</v>
      </c>
      <c r="I41" s="56">
        <v>4.0000000000000001E-3</v>
      </c>
      <c r="J41" s="19" t="e">
        <f>IF(Données!D37="Exonération de cotisation",0,H41*I41)</f>
        <v>#REF!</v>
      </c>
      <c r="K41" s="20">
        <v>2.0199999999999999E-2</v>
      </c>
      <c r="L41" s="19" t="e">
        <f>Données!#REF!*K41</f>
        <v>#REF!</v>
      </c>
    </row>
    <row r="42" spans="6:12" x14ac:dyDescent="0.25">
      <c r="F42" s="73" t="s">
        <v>44</v>
      </c>
      <c r="G42" s="25"/>
      <c r="H42" s="19" t="e">
        <f>Données!#REF!</f>
        <v>#REF!</v>
      </c>
      <c r="I42" s="56">
        <v>3.15E-2</v>
      </c>
      <c r="J42" s="19" t="e">
        <f>IF(Données!D37="Exonération de cotisation",0,H42*I42)</f>
        <v>#REF!</v>
      </c>
      <c r="K42" s="20">
        <v>4.7199999999999999E-2</v>
      </c>
      <c r="L42" s="19" t="e">
        <f>Données!#REF!*K42</f>
        <v>#REF!</v>
      </c>
    </row>
    <row r="43" spans="6:12" x14ac:dyDescent="0.25">
      <c r="F43" s="73" t="s">
        <v>45</v>
      </c>
      <c r="G43" s="25"/>
      <c r="H43" s="19" t="e">
        <f>Données!#REF!</f>
        <v>#REF!</v>
      </c>
      <c r="I43" s="56">
        <v>8.6E-3</v>
      </c>
      <c r="J43" s="19" t="e">
        <f>IF(Données!D37="Exonération de cotisation",0,H43*I43)</f>
        <v>#REF!</v>
      </c>
      <c r="K43" s="20">
        <v>1.29E-2</v>
      </c>
      <c r="L43" s="19" t="e">
        <f>Données!#REF!*K43</f>
        <v>#REF!</v>
      </c>
    </row>
    <row r="44" spans="6:12" x14ac:dyDescent="0.25">
      <c r="F44" s="71" t="s">
        <v>46</v>
      </c>
      <c r="G44" s="72"/>
      <c r="H44" s="19"/>
      <c r="I44" s="56"/>
      <c r="J44" s="21"/>
      <c r="K44" s="20"/>
      <c r="L44" s="19"/>
    </row>
    <row r="45" spans="6:12" x14ac:dyDescent="0.25">
      <c r="F45" s="74" t="s">
        <v>47</v>
      </c>
      <c r="G45" s="75"/>
      <c r="H45" s="19">
        <f>IF(Données!B36&lt;50,Données!#REF!,0)</f>
        <v>0</v>
      </c>
      <c r="I45" s="20"/>
      <c r="J45" s="21"/>
      <c r="K45" s="20">
        <v>1E-3</v>
      </c>
      <c r="L45" s="19">
        <f>K45*H45</f>
        <v>0</v>
      </c>
    </row>
    <row r="46" spans="6:12" x14ac:dyDescent="0.25">
      <c r="F46" s="74" t="s">
        <v>48</v>
      </c>
      <c r="G46" s="75"/>
      <c r="H46" s="19" t="e">
        <f>IF(Données!B36&gt;=50,Données!#REF!,0)</f>
        <v>#REF!</v>
      </c>
      <c r="I46" s="20"/>
      <c r="J46" s="21"/>
      <c r="K46" s="20">
        <v>5.0000000000000001E-3</v>
      </c>
      <c r="L46" s="19" t="e">
        <f>H46*K46</f>
        <v>#REF!</v>
      </c>
    </row>
    <row r="47" spans="6:12" x14ac:dyDescent="0.25">
      <c r="F47" s="74" t="s">
        <v>49</v>
      </c>
      <c r="G47" s="75"/>
      <c r="H47" s="19" t="e">
        <f>Données!#REF!</f>
        <v>#REF!</v>
      </c>
      <c r="I47" s="20"/>
      <c r="J47" s="21"/>
      <c r="K47" s="63">
        <v>1.6000000000000001E-4</v>
      </c>
      <c r="L47" s="19" t="e">
        <f>H47*K47</f>
        <v>#REF!</v>
      </c>
    </row>
    <row r="48" spans="6:12" x14ac:dyDescent="0.25">
      <c r="F48" s="74" t="s">
        <v>50</v>
      </c>
      <c r="G48" s="75"/>
      <c r="H48" s="19" t="e">
        <f>Données!#REF!</f>
        <v>#REF!</v>
      </c>
      <c r="I48" s="20"/>
      <c r="J48" s="21"/>
      <c r="K48" s="20">
        <v>3.0000000000000001E-3</v>
      </c>
      <c r="L48" s="19" t="e">
        <f>H48*K48</f>
        <v>#REF!</v>
      </c>
    </row>
    <row r="49" spans="6:12" x14ac:dyDescent="0.25">
      <c r="F49" s="513" t="s">
        <v>123</v>
      </c>
      <c r="G49" s="514"/>
      <c r="H49" s="19" t="e">
        <f>Données!#REF!</f>
        <v>#REF!</v>
      </c>
      <c r="I49" s="20"/>
      <c r="J49" s="21"/>
      <c r="K49" s="20">
        <v>0.08</v>
      </c>
      <c r="L49" s="19" t="e">
        <f>IF(Données!B36&gt;=11,H49*K49,0)</f>
        <v>#REF!</v>
      </c>
    </row>
    <row r="50" spans="6:12" x14ac:dyDescent="0.25">
      <c r="F50" s="74" t="str">
        <f>IF(Données!B37="Non","Taxe d'apprentissage hors Alsace Moselle","Taxe d'apprentissage Alsace Moselle")</f>
        <v>Taxe d'apprentissage Alsace Moselle</v>
      </c>
      <c r="G50" s="75"/>
      <c r="H50" s="19" t="e">
        <f>Données!#REF!</f>
        <v>#REF!</v>
      </c>
      <c r="I50" s="20"/>
      <c r="J50" s="21"/>
      <c r="K50" s="20">
        <f>IF(Données!B37="Non",0.68%,0.44%)</f>
        <v>4.4000000000000003E-3</v>
      </c>
      <c r="L50" s="19" t="e">
        <f>H50*K50</f>
        <v>#REF!</v>
      </c>
    </row>
    <row r="51" spans="6:12" x14ac:dyDescent="0.25">
      <c r="F51" s="665" t="str">
        <f>IF(Données!B36&lt;11,"Contribution unique à la formation professionnelle entreprise &lt;11 salariés","Contribution unique à la formation professionnelle entreprise &gt;11 salariés")</f>
        <v>Contribution unique à la formation professionnelle entreprise &gt;11 salariés</v>
      </c>
      <c r="G51" s="666"/>
      <c r="H51" s="19">
        <v>909.71</v>
      </c>
      <c r="I51" s="20"/>
      <c r="J51" s="21"/>
      <c r="K51" s="20">
        <f>IF(Données!B36&lt;11,0.55%,1%)</f>
        <v>0.01</v>
      </c>
      <c r="L51" s="19">
        <f>H51*K51</f>
        <v>9.0971000000000011</v>
      </c>
    </row>
    <row r="52" spans="6:12" x14ac:dyDescent="0.25">
      <c r="F52" s="74" t="s">
        <v>52</v>
      </c>
      <c r="G52" s="75"/>
      <c r="H52" s="19">
        <v>909.71</v>
      </c>
      <c r="I52" s="20"/>
      <c r="J52" s="21"/>
      <c r="K52" s="20">
        <v>0.01</v>
      </c>
      <c r="L52" s="19">
        <f>IF(Données!B36&gt;=50,H52*K52,0*H52)</f>
        <v>9.0971000000000011</v>
      </c>
    </row>
    <row r="53" spans="6:12" x14ac:dyDescent="0.25">
      <c r="F53" s="74" t="s">
        <v>53</v>
      </c>
      <c r="G53" s="75"/>
      <c r="H53" s="19">
        <v>909.71</v>
      </c>
      <c r="I53" s="20"/>
      <c r="J53" s="21"/>
      <c r="K53" s="20">
        <v>0.01</v>
      </c>
      <c r="L53" s="19">
        <f>H53*K53</f>
        <v>9.0971000000000011</v>
      </c>
    </row>
    <row r="54" spans="6:12" x14ac:dyDescent="0.25">
      <c r="F54" s="73"/>
      <c r="G54" s="25"/>
      <c r="H54" s="19"/>
      <c r="I54" s="20"/>
      <c r="J54" s="21"/>
      <c r="K54" s="20"/>
      <c r="L54" s="19"/>
    </row>
    <row r="55" spans="6:12" x14ac:dyDescent="0.25">
      <c r="F55" s="73"/>
      <c r="G55" s="25"/>
      <c r="H55" s="19"/>
      <c r="I55" s="20"/>
      <c r="J55" s="21"/>
      <c r="K55" s="20"/>
      <c r="L55" s="19"/>
    </row>
    <row r="56" spans="6:12" x14ac:dyDescent="0.25">
      <c r="F56" s="73"/>
      <c r="G56" s="25"/>
      <c r="H56" s="19"/>
      <c r="I56" s="20"/>
      <c r="J56" s="21"/>
      <c r="K56" s="20"/>
      <c r="L56" s="19"/>
    </row>
    <row r="57" spans="6:12" x14ac:dyDescent="0.25">
      <c r="F57" s="71" t="s">
        <v>55</v>
      </c>
      <c r="G57" s="72"/>
      <c r="H57" s="19"/>
      <c r="I57" s="20"/>
      <c r="J57" s="21"/>
      <c r="K57" s="20"/>
      <c r="L57" s="19"/>
    </row>
    <row r="58" spans="6:12" x14ac:dyDescent="0.25">
      <c r="F58" s="73" t="s">
        <v>56</v>
      </c>
      <c r="G58" s="25"/>
      <c r="H58" s="19"/>
      <c r="I58" s="20"/>
      <c r="J58" s="21"/>
      <c r="K58" s="48" t="e">
        <f>(IF(Données!#REF!&lt;50,0.3191,0.3231)/0.6)*((1.6*(Données!B24*12)/(Données!#REF!*12))-1)%</f>
        <v>#REF!</v>
      </c>
      <c r="L58" s="19" t="e">
        <f>-K58*(Données!#REF!*12)</f>
        <v>#REF!</v>
      </c>
    </row>
    <row r="59" spans="6:12" x14ac:dyDescent="0.25">
      <c r="F59" s="73" t="s">
        <v>124</v>
      </c>
      <c r="G59" s="25"/>
      <c r="H59" s="19"/>
      <c r="I59" s="20"/>
      <c r="J59" s="21"/>
      <c r="K59" s="20">
        <f>IF(Données!B36&lt;20,-1.5%,-0.5%)</f>
        <v>-5.0000000000000001E-3</v>
      </c>
      <c r="L59" s="19" t="e">
        <f>SUM(Données!#REF!)*K59</f>
        <v>#REF!</v>
      </c>
    </row>
    <row r="60" spans="6:12" x14ac:dyDescent="0.25">
      <c r="F60" s="73" t="s">
        <v>58</v>
      </c>
      <c r="G60" s="25"/>
      <c r="H60" s="19" t="e">
        <f>Bulletin!#REF!</f>
        <v>#REF!</v>
      </c>
      <c r="I60" s="20">
        <v>0.11310000000000001</v>
      </c>
      <c r="J60" s="19" t="e">
        <f>H60*I60</f>
        <v>#REF!</v>
      </c>
      <c r="K60" s="22"/>
      <c r="L60" s="19"/>
    </row>
    <row r="61" spans="6:12" x14ac:dyDescent="0.25">
      <c r="F61" s="73" t="s">
        <v>59</v>
      </c>
      <c r="G61" s="25"/>
      <c r="H61" s="19" t="e">
        <f>Bulletin!#REF!</f>
        <v>#REF!</v>
      </c>
      <c r="I61" s="61">
        <v>0.11310000000000001</v>
      </c>
      <c r="J61" s="60" t="e">
        <f>H61*I61</f>
        <v>#REF!</v>
      </c>
      <c r="K61" s="62"/>
      <c r="L61" s="60"/>
    </row>
    <row r="62" spans="6:12" x14ac:dyDescent="0.25">
      <c r="F62" s="26" t="s">
        <v>60</v>
      </c>
      <c r="G62" s="53"/>
      <c r="H62" s="27"/>
      <c r="I62" s="27"/>
      <c r="J62" s="28" t="e">
        <f>SUM(J28:J60)</f>
        <v>#REF!</v>
      </c>
      <c r="K62" s="29"/>
      <c r="L62" s="28" t="e">
        <f>SUM(L28:L58)</f>
        <v>#REF!</v>
      </c>
    </row>
    <row r="63" spans="6:12" x14ac:dyDescent="0.25">
      <c r="F63" s="41"/>
      <c r="L63" s="16"/>
    </row>
    <row r="64" spans="6:12" x14ac:dyDescent="0.25">
      <c r="F64" s="76" t="s">
        <v>61</v>
      </c>
      <c r="G64" s="30"/>
      <c r="L64" s="16"/>
    </row>
    <row r="65" spans="6:12" x14ac:dyDescent="0.25">
      <c r="F65" s="73" t="s">
        <v>62</v>
      </c>
      <c r="G65" s="25"/>
      <c r="H65" s="31">
        <f>Données!I43</f>
        <v>0</v>
      </c>
      <c r="I65" s="66">
        <f>Données!J43</f>
        <v>0</v>
      </c>
      <c r="J65" s="31">
        <f>H65*I65</f>
        <v>0</v>
      </c>
      <c r="K65" s="31"/>
      <c r="L65" s="32"/>
    </row>
    <row r="66" spans="6:12" x14ac:dyDescent="0.25">
      <c r="F66" s="73" t="s">
        <v>63</v>
      </c>
      <c r="G66" s="25"/>
      <c r="H66" s="31"/>
      <c r="I66" s="31"/>
      <c r="J66" s="31">
        <f>H66*I66</f>
        <v>0</v>
      </c>
      <c r="K66" s="31"/>
      <c r="L66" s="32"/>
    </row>
    <row r="67" spans="6:12" x14ac:dyDescent="0.25">
      <c r="F67" s="73" t="s">
        <v>64</v>
      </c>
      <c r="G67" s="25"/>
      <c r="H67" s="31"/>
      <c r="I67" s="31"/>
      <c r="J67" s="31">
        <f>H67*I67</f>
        <v>0</v>
      </c>
      <c r="K67" s="31"/>
      <c r="L67" s="32"/>
    </row>
    <row r="68" spans="6:12" x14ac:dyDescent="0.25">
      <c r="F68" s="73" t="s">
        <v>65</v>
      </c>
      <c r="G68" s="25"/>
      <c r="H68" s="31"/>
      <c r="I68" s="31"/>
      <c r="J68" s="31">
        <f>H68*I68</f>
        <v>0</v>
      </c>
      <c r="K68" s="31"/>
      <c r="L68" s="32"/>
    </row>
    <row r="69" spans="6:12" x14ac:dyDescent="0.25">
      <c r="F69" s="73" t="s">
        <v>66</v>
      </c>
      <c r="G69" s="25"/>
      <c r="H69" s="31"/>
      <c r="I69" s="31"/>
      <c r="J69" s="31"/>
      <c r="K69" s="31"/>
      <c r="L69" s="32"/>
    </row>
    <row r="70" spans="6:12" x14ac:dyDescent="0.25">
      <c r="F70" s="76" t="s">
        <v>67</v>
      </c>
      <c r="G70" s="30"/>
      <c r="H70" s="31"/>
      <c r="I70" s="31"/>
      <c r="J70" s="31"/>
      <c r="K70" s="31"/>
      <c r="L70" s="32"/>
    </row>
    <row r="71" spans="6:12" x14ac:dyDescent="0.25">
      <c r="F71" s="73" t="s">
        <v>68</v>
      </c>
      <c r="G71" s="25"/>
      <c r="H71" s="31">
        <f>Données!I51*Données!J65</f>
        <v>0</v>
      </c>
      <c r="I71" s="33">
        <v>0.5</v>
      </c>
      <c r="J71" s="31">
        <f>H71*I71</f>
        <v>0</v>
      </c>
      <c r="K71" s="33"/>
      <c r="L71" s="32"/>
    </row>
    <row r="72" spans="6:12" x14ac:dyDescent="0.25">
      <c r="F72" s="73" t="s">
        <v>69</v>
      </c>
      <c r="G72" s="25"/>
      <c r="H72" s="31"/>
      <c r="I72" s="33"/>
      <c r="J72" s="34"/>
      <c r="K72" s="33"/>
      <c r="L72" s="16"/>
    </row>
    <row r="73" spans="6:12" x14ac:dyDescent="0.25">
      <c r="F73" s="73" t="s">
        <v>70</v>
      </c>
      <c r="G73" s="25"/>
      <c r="H73" s="31">
        <f>Données!J39</f>
        <v>0</v>
      </c>
      <c r="I73" s="68">
        <f>Données!K39</f>
        <v>0</v>
      </c>
      <c r="J73" s="34">
        <f>IF(Données!L39&gt;0,Données!L39,0)</f>
        <v>0</v>
      </c>
      <c r="K73" s="31"/>
      <c r="L73" s="32"/>
    </row>
    <row r="74" spans="6:12" x14ac:dyDescent="0.25">
      <c r="F74" s="73" t="s">
        <v>71</v>
      </c>
      <c r="G74" s="25"/>
      <c r="H74" s="31"/>
      <c r="I74" s="31"/>
      <c r="J74" s="34">
        <f>Données!L40</f>
        <v>0</v>
      </c>
      <c r="K74" s="31"/>
      <c r="L74" s="32"/>
    </row>
    <row r="75" spans="6:12" x14ac:dyDescent="0.25">
      <c r="F75" s="73" t="s">
        <v>72</v>
      </c>
      <c r="G75" s="25"/>
      <c r="H75" s="31"/>
      <c r="I75" s="31"/>
      <c r="J75" s="34">
        <f>Données!L41</f>
        <v>0</v>
      </c>
      <c r="K75" s="31"/>
      <c r="L75" s="32"/>
    </row>
    <row r="76" spans="6:12" x14ac:dyDescent="0.25">
      <c r="F76" s="73" t="s">
        <v>73</v>
      </c>
      <c r="G76" s="25"/>
      <c r="H76" s="31"/>
      <c r="I76" s="31"/>
      <c r="J76" s="34" t="e">
        <f>Données!#REF!</f>
        <v>#REF!</v>
      </c>
      <c r="K76" s="31"/>
      <c r="L76" s="32"/>
    </row>
    <row r="77" spans="6:12" ht="18.75" x14ac:dyDescent="0.3">
      <c r="F77" s="497" t="s">
        <v>74</v>
      </c>
      <c r="G77" s="498"/>
      <c r="H77" s="498"/>
      <c r="I77" s="498"/>
      <c r="J77" s="498"/>
      <c r="K77" s="498"/>
      <c r="L77" s="35" t="e">
        <f>Données!#REF!-J62+SUM(J65:J69)-SUM(J71:J76)</f>
        <v>#REF!</v>
      </c>
    </row>
    <row r="78" spans="6:12" x14ac:dyDescent="0.25">
      <c r="F78" s="73" t="s">
        <v>75</v>
      </c>
      <c r="G78" s="25"/>
      <c r="L78" s="36" t="e">
        <f>(H37*3.15%)</f>
        <v>#REF!</v>
      </c>
    </row>
    <row r="79" spans="6:12" x14ac:dyDescent="0.25">
      <c r="F79" s="667" t="s">
        <v>76</v>
      </c>
      <c r="G79" s="667"/>
      <c r="H79" s="667"/>
      <c r="I79" s="37" t="s">
        <v>29</v>
      </c>
      <c r="J79" s="482" t="s">
        <v>77</v>
      </c>
      <c r="K79" s="483"/>
      <c r="L79" s="37" t="s">
        <v>22</v>
      </c>
    </row>
    <row r="80" spans="6:12" x14ac:dyDescent="0.25">
      <c r="F80" s="676" t="s">
        <v>78</v>
      </c>
      <c r="G80" s="676"/>
      <c r="H80" s="676"/>
      <c r="I80" s="44" t="e">
        <f>H81</f>
        <v>#REF!</v>
      </c>
      <c r="J80" s="677">
        <v>0</v>
      </c>
      <c r="K80" s="677"/>
      <c r="L80" s="28" t="e">
        <f>I80*J80</f>
        <v>#REF!</v>
      </c>
    </row>
    <row r="81" spans="6:12" x14ac:dyDescent="0.25">
      <c r="F81" s="1" t="s">
        <v>79</v>
      </c>
      <c r="G81" s="1"/>
      <c r="H81" s="678" t="e">
        <f>Données!#REF!-(SUM(Données!H13:H31))-J62+L31</f>
        <v>#REF!</v>
      </c>
      <c r="I81" s="676"/>
      <c r="J81" s="679" t="s">
        <v>80</v>
      </c>
      <c r="K81" s="679"/>
      <c r="L81" s="679"/>
    </row>
    <row r="82" spans="6:12" ht="15.75" x14ac:dyDescent="0.25">
      <c r="F82" s="41"/>
      <c r="J82" s="680" t="e">
        <f>L77-L80</f>
        <v>#REF!</v>
      </c>
      <c r="K82" s="681"/>
      <c r="L82" s="682"/>
    </row>
    <row r="83" spans="6:12" x14ac:dyDescent="0.25">
      <c r="F83" s="38"/>
      <c r="G83" s="39"/>
      <c r="H83" s="39"/>
      <c r="I83" s="683" t="s">
        <v>81</v>
      </c>
      <c r="J83" s="683"/>
      <c r="K83" s="683"/>
      <c r="L83" s="40" t="e">
        <f>-L58-L57+(H34*1.8%)+(H28*6%)</f>
        <v>#REF!</v>
      </c>
    </row>
    <row r="84" spans="6:12" x14ac:dyDescent="0.25">
      <c r="F84" s="41"/>
      <c r="I84" s="668" t="s">
        <v>82</v>
      </c>
      <c r="J84" s="668"/>
      <c r="K84" s="668"/>
      <c r="L84" s="42" t="e">
        <f>SALBRUT+L62+SUM(J65:J69)</f>
        <v>#REF!</v>
      </c>
    </row>
    <row r="85" spans="6:12" x14ac:dyDescent="0.25">
      <c r="F85" s="669" t="s">
        <v>83</v>
      </c>
      <c r="G85" s="670"/>
      <c r="H85" s="670"/>
      <c r="I85" s="670"/>
      <c r="J85" s="670"/>
      <c r="K85" s="671" t="s">
        <v>84</v>
      </c>
      <c r="L85" s="672"/>
    </row>
    <row r="86" spans="6:12" ht="18.75" x14ac:dyDescent="0.25">
      <c r="F86" s="673" t="s">
        <v>85</v>
      </c>
      <c r="G86" s="674"/>
      <c r="H86" s="674"/>
      <c r="I86" s="674"/>
      <c r="J86" s="674"/>
      <c r="K86" s="674"/>
      <c r="L86" s="675"/>
    </row>
  </sheetData>
  <mergeCells count="22">
    <mergeCell ref="I84:K84"/>
    <mergeCell ref="F85:J85"/>
    <mergeCell ref="K85:L85"/>
    <mergeCell ref="F86:L86"/>
    <mergeCell ref="F80:H80"/>
    <mergeCell ref="J80:K80"/>
    <mergeCell ref="H81:I81"/>
    <mergeCell ref="J81:L81"/>
    <mergeCell ref="J82:L82"/>
    <mergeCell ref="I83:K83"/>
    <mergeCell ref="J18:L18"/>
    <mergeCell ref="F49:G49"/>
    <mergeCell ref="F51:G51"/>
    <mergeCell ref="F77:K77"/>
    <mergeCell ref="F79:H79"/>
    <mergeCell ref="J79:K79"/>
    <mergeCell ref="J17:L17"/>
    <mergeCell ref="F4:L5"/>
    <mergeCell ref="J13:L13"/>
    <mergeCell ref="J14:L14"/>
    <mergeCell ref="J15:L15"/>
    <mergeCell ref="J16:L16"/>
  </mergeCells>
  <hyperlinks>
    <hyperlink ref="K85"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4:L86"/>
  <sheetViews>
    <sheetView workbookViewId="0">
      <selection activeCell="F4" sqref="F4:L86"/>
    </sheetView>
  </sheetViews>
  <sheetFormatPr defaultColWidth="11.42578125" defaultRowHeight="15" x14ac:dyDescent="0.25"/>
  <sheetData>
    <row r="4" spans="6:12" x14ac:dyDescent="0.25">
      <c r="F4" s="499" t="s">
        <v>0</v>
      </c>
      <c r="G4" s="500"/>
      <c r="H4" s="500"/>
      <c r="I4" s="500"/>
      <c r="J4" s="500"/>
      <c r="K4" s="500"/>
      <c r="L4" s="501"/>
    </row>
    <row r="5" spans="6:12" x14ac:dyDescent="0.25">
      <c r="F5" s="502"/>
      <c r="G5" s="503"/>
      <c r="H5" s="503"/>
      <c r="I5" s="503"/>
      <c r="J5" s="503"/>
      <c r="K5" s="503"/>
      <c r="L5" s="504"/>
    </row>
    <row r="6" spans="6:12" x14ac:dyDescent="0.25">
      <c r="F6" s="3" t="s">
        <v>3</v>
      </c>
      <c r="G6" s="5"/>
      <c r="H6" s="4"/>
      <c r="I6" s="3" t="s">
        <v>115</v>
      </c>
      <c r="J6" s="51" t="s">
        <v>112</v>
      </c>
      <c r="K6" s="6"/>
      <c r="L6" s="4"/>
    </row>
    <row r="7" spans="6:12" x14ac:dyDescent="0.25">
      <c r="F7" s="7" t="s">
        <v>6</v>
      </c>
      <c r="G7" s="9"/>
      <c r="H7" s="8"/>
      <c r="I7" s="7"/>
      <c r="J7" s="9"/>
      <c r="K7" s="10"/>
      <c r="L7" s="8"/>
    </row>
    <row r="8" spans="6:12" x14ac:dyDescent="0.25">
      <c r="F8" s="7"/>
      <c r="G8" s="9"/>
      <c r="H8" s="8"/>
      <c r="I8" s="7"/>
      <c r="J8" s="9"/>
      <c r="K8" s="9"/>
      <c r="L8" s="8"/>
    </row>
    <row r="9" spans="6:12" x14ac:dyDescent="0.25">
      <c r="F9" s="7" t="s">
        <v>9</v>
      </c>
      <c r="G9" s="9"/>
      <c r="H9" s="8"/>
      <c r="I9" s="7"/>
      <c r="J9" s="9" t="s">
        <v>10</v>
      </c>
      <c r="K9" s="9"/>
      <c r="L9" s="8"/>
    </row>
    <row r="10" spans="6:12" x14ac:dyDescent="0.25">
      <c r="F10" s="7" t="s">
        <v>11</v>
      </c>
      <c r="G10" s="9"/>
      <c r="H10" s="8"/>
      <c r="I10" s="7"/>
      <c r="J10" s="9"/>
      <c r="K10" s="9"/>
      <c r="L10" s="8"/>
    </row>
    <row r="11" spans="6:12" x14ac:dyDescent="0.25">
      <c r="F11" s="7" t="s">
        <v>12</v>
      </c>
      <c r="G11" s="9"/>
      <c r="H11" s="8"/>
      <c r="I11" s="7"/>
      <c r="J11" s="9"/>
      <c r="K11" s="9"/>
      <c r="L11" s="8"/>
    </row>
    <row r="12" spans="6:12" x14ac:dyDescent="0.25">
      <c r="F12" s="11" t="s">
        <v>13</v>
      </c>
      <c r="G12" s="13"/>
      <c r="H12" s="12"/>
      <c r="I12" s="11"/>
      <c r="J12" s="13"/>
      <c r="K12" s="13"/>
      <c r="L12" s="14"/>
    </row>
    <row r="13" spans="6:12" x14ac:dyDescent="0.25">
      <c r="F13" s="7" t="s">
        <v>15</v>
      </c>
      <c r="G13" s="9"/>
      <c r="H13" s="9"/>
      <c r="I13" s="9" t="s">
        <v>14</v>
      </c>
      <c r="J13" s="505"/>
      <c r="K13" s="505"/>
      <c r="L13" s="506"/>
    </row>
    <row r="14" spans="6:12" x14ac:dyDescent="0.25">
      <c r="F14" s="7" t="s">
        <v>89</v>
      </c>
      <c r="G14" s="9"/>
      <c r="H14" s="9"/>
      <c r="I14" s="9" t="s">
        <v>6</v>
      </c>
      <c r="J14" s="505"/>
      <c r="K14" s="505"/>
      <c r="L14" s="506"/>
    </row>
    <row r="15" spans="6:12" x14ac:dyDescent="0.25">
      <c r="F15" s="7" t="s">
        <v>16</v>
      </c>
      <c r="G15" s="9"/>
      <c r="H15" s="54"/>
      <c r="I15" s="9"/>
      <c r="J15" s="505"/>
      <c r="K15" s="505"/>
      <c r="L15" s="506"/>
    </row>
    <row r="16" spans="6:12" x14ac:dyDescent="0.25">
      <c r="F16" s="7" t="s">
        <v>17</v>
      </c>
      <c r="G16" s="9"/>
      <c r="H16" s="49"/>
      <c r="I16" s="9"/>
      <c r="J16" s="507"/>
      <c r="K16" s="507"/>
      <c r="L16" s="508"/>
    </row>
    <row r="17" spans="6:12" x14ac:dyDescent="0.25">
      <c r="F17" s="7" t="s">
        <v>19</v>
      </c>
      <c r="G17" s="9"/>
      <c r="H17" s="54"/>
      <c r="I17" s="9"/>
      <c r="J17" s="507"/>
      <c r="K17" s="507"/>
      <c r="L17" s="508"/>
    </row>
    <row r="18" spans="6:12" x14ac:dyDescent="0.25">
      <c r="F18" s="52" t="s">
        <v>114</v>
      </c>
      <c r="G18" s="55">
        <f>Données!I11</f>
        <v>8.3214442700156983</v>
      </c>
      <c r="H18" s="50" t="s">
        <v>111</v>
      </c>
      <c r="I18" s="13"/>
      <c r="J18" s="509"/>
      <c r="K18" s="509"/>
      <c r="L18" s="510"/>
    </row>
    <row r="19" spans="6:12" x14ac:dyDescent="0.25">
      <c r="F19" s="41"/>
      <c r="H19" s="31" t="s">
        <v>20</v>
      </c>
      <c r="I19" s="31" t="s">
        <v>21</v>
      </c>
      <c r="J19" s="31" t="s">
        <v>22</v>
      </c>
      <c r="L19" s="15"/>
    </row>
    <row r="20" spans="6:12" x14ac:dyDescent="0.25">
      <c r="F20" s="41" t="s">
        <v>23</v>
      </c>
      <c r="H20" s="31" t="e">
        <f>Données!#REF!</f>
        <v>#REF!</v>
      </c>
      <c r="I20" s="34" t="e">
        <f>Données!#REF!</f>
        <v>#REF!</v>
      </c>
      <c r="J20" s="34" t="e">
        <f>Données!#REF!</f>
        <v>#REF!</v>
      </c>
      <c r="L20" s="16"/>
    </row>
    <row r="21" spans="6:12" x14ac:dyDescent="0.25">
      <c r="F21" s="41"/>
      <c r="H21" s="34"/>
      <c r="I21" s="34"/>
      <c r="J21" s="34"/>
      <c r="L21" s="16"/>
    </row>
    <row r="22" spans="6:12" x14ac:dyDescent="0.25">
      <c r="F22" s="41"/>
      <c r="H22" s="31"/>
      <c r="I22" s="34"/>
      <c r="J22" s="34"/>
      <c r="L22" s="16"/>
    </row>
    <row r="23" spans="6:12" x14ac:dyDescent="0.25">
      <c r="F23" s="41" t="s">
        <v>24</v>
      </c>
      <c r="H23" s="34" t="e">
        <f>Données!#REF!</f>
        <v>#REF!</v>
      </c>
      <c r="I23" s="34" t="e">
        <f>Données!#REF!</f>
        <v>#REF!</v>
      </c>
      <c r="J23" s="34" t="e">
        <f>H23*I23</f>
        <v>#REF!</v>
      </c>
      <c r="K23" s="34"/>
      <c r="L23" s="16"/>
    </row>
    <row r="24" spans="6:12" x14ac:dyDescent="0.25">
      <c r="F24" s="41" t="s">
        <v>25</v>
      </c>
      <c r="H24" s="34" t="e">
        <f>Données!#REF!</f>
        <v>#REF!</v>
      </c>
      <c r="I24" s="34" t="e">
        <f>Données!#REF!</f>
        <v>#REF!</v>
      </c>
      <c r="J24" s="34" t="e">
        <f>H24*I24</f>
        <v>#REF!</v>
      </c>
      <c r="L24" s="16"/>
    </row>
    <row r="25" spans="6:12" x14ac:dyDescent="0.25">
      <c r="F25" s="41"/>
      <c r="H25" s="31"/>
      <c r="I25" s="34"/>
      <c r="J25" s="34"/>
      <c r="L25" s="16"/>
    </row>
    <row r="26" spans="6:12" x14ac:dyDescent="0.25">
      <c r="F26" s="41" t="s">
        <v>26</v>
      </c>
      <c r="H26" s="31" t="e">
        <f>Données!#REF!</f>
        <v>#REF!</v>
      </c>
      <c r="I26" s="34" t="e">
        <f>Données!#REF!</f>
        <v>#REF!</v>
      </c>
      <c r="J26" s="34" t="e">
        <f>Données!#REF!</f>
        <v>#REF!</v>
      </c>
      <c r="L26" s="16"/>
    </row>
    <row r="27" spans="6:12" x14ac:dyDescent="0.25">
      <c r="F27" s="70" t="s">
        <v>27</v>
      </c>
      <c r="G27" s="17"/>
      <c r="H27" s="17"/>
      <c r="I27" s="17"/>
      <c r="J27" s="17"/>
      <c r="K27" s="17"/>
      <c r="L27" s="18"/>
    </row>
    <row r="28" spans="6:12" x14ac:dyDescent="0.25">
      <c r="F28" s="71" t="s">
        <v>28</v>
      </c>
      <c r="G28" s="72"/>
      <c r="H28" s="69" t="s">
        <v>29</v>
      </c>
      <c r="I28" s="69" t="s">
        <v>30</v>
      </c>
      <c r="J28" s="69" t="s">
        <v>31</v>
      </c>
      <c r="K28" s="69" t="s">
        <v>32</v>
      </c>
      <c r="L28" s="69" t="s">
        <v>22</v>
      </c>
    </row>
    <row r="29" spans="6:12" x14ac:dyDescent="0.25">
      <c r="F29" s="73" t="s">
        <v>33</v>
      </c>
      <c r="G29" s="25"/>
      <c r="H29" s="19" t="e">
        <f>Données!#REF!</f>
        <v>#REF!</v>
      </c>
      <c r="I29" s="56"/>
      <c r="J29" s="57"/>
      <c r="K29" s="56" t="e">
        <f>IF(Données!#REF!&lt;=(2.5*Données!B24),7%,13%)</f>
        <v>#REF!</v>
      </c>
      <c r="L29" s="19" t="e">
        <f>H29*K29</f>
        <v>#REF!</v>
      </c>
    </row>
    <row r="30" spans="6:12" x14ac:dyDescent="0.25">
      <c r="F30" s="73" t="s">
        <v>34</v>
      </c>
      <c r="G30" s="25"/>
      <c r="H30" s="19"/>
      <c r="I30" s="56"/>
      <c r="J30" s="58">
        <f>H30*I30</f>
        <v>0</v>
      </c>
      <c r="K30" s="56"/>
      <c r="L30" s="19">
        <f>H30*K30</f>
        <v>0</v>
      </c>
    </row>
    <row r="31" spans="6:12" x14ac:dyDescent="0.25">
      <c r="F31" s="73" t="s">
        <v>127</v>
      </c>
      <c r="G31" s="25"/>
      <c r="H31" s="19">
        <f>Données!E41</f>
        <v>0.02</v>
      </c>
      <c r="I31" s="56">
        <f>Données!F41</f>
        <v>0</v>
      </c>
      <c r="J31" s="58">
        <f>H31*I31</f>
        <v>0</v>
      </c>
      <c r="K31" s="56">
        <f>Données!G41</f>
        <v>0</v>
      </c>
      <c r="L31" s="19">
        <f>H31*K31</f>
        <v>0</v>
      </c>
    </row>
    <row r="32" spans="6:12" x14ac:dyDescent="0.25">
      <c r="F32" s="71" t="s">
        <v>35</v>
      </c>
      <c r="G32" s="72"/>
      <c r="H32" s="19" t="e">
        <f>Données!#REF!</f>
        <v>#REF!</v>
      </c>
      <c r="I32" s="20"/>
      <c r="J32" s="19"/>
      <c r="K32" s="20">
        <f>Données!E42</f>
        <v>0</v>
      </c>
      <c r="L32" s="19" t="e">
        <f>H32*K32</f>
        <v>#REF!</v>
      </c>
    </row>
    <row r="33" spans="6:12" x14ac:dyDescent="0.25">
      <c r="F33" s="41"/>
      <c r="H33" s="19"/>
      <c r="I33" s="20"/>
      <c r="J33" s="19"/>
      <c r="K33" s="20"/>
      <c r="L33" s="19"/>
    </row>
    <row r="34" spans="6:12" x14ac:dyDescent="0.25">
      <c r="F34" s="71" t="s">
        <v>36</v>
      </c>
      <c r="G34" s="72"/>
      <c r="H34" s="19"/>
      <c r="I34" s="20"/>
      <c r="J34" s="19"/>
      <c r="K34" s="20"/>
      <c r="L34" s="19"/>
    </row>
    <row r="35" spans="6:12" x14ac:dyDescent="0.25">
      <c r="F35" s="73" t="s">
        <v>37</v>
      </c>
      <c r="G35" s="25"/>
      <c r="H35" s="19" t="e">
        <f>Données!#REF!</f>
        <v>#REF!</v>
      </c>
      <c r="I35" s="20"/>
      <c r="J35" s="19"/>
      <c r="K35" s="59" t="e">
        <f>IF(Données!#REF!&lt;=(3.5*Données!B24),3.45%,5.25%)</f>
        <v>#REF!</v>
      </c>
      <c r="L35" s="19" t="e">
        <f>H35*K35</f>
        <v>#REF!</v>
      </c>
    </row>
    <row r="36" spans="6:12" x14ac:dyDescent="0.25">
      <c r="F36" s="71" t="s">
        <v>38</v>
      </c>
      <c r="G36" s="72"/>
      <c r="H36" s="19"/>
      <c r="I36" s="20"/>
      <c r="J36" s="21"/>
      <c r="K36" s="20"/>
      <c r="L36" s="19"/>
    </row>
    <row r="37" spans="6:12" x14ac:dyDescent="0.25">
      <c r="F37" s="73" t="s">
        <v>39</v>
      </c>
      <c r="G37" s="25"/>
      <c r="H37" s="19" t="e">
        <f>Données!#REF!</f>
        <v>#REF!</v>
      </c>
      <c r="I37" s="20"/>
      <c r="J37" s="21"/>
      <c r="K37" s="20">
        <f>Données!E43</f>
        <v>0</v>
      </c>
      <c r="L37" s="19" t="e">
        <f>H37*K37</f>
        <v>#REF!</v>
      </c>
    </row>
    <row r="38" spans="6:12" x14ac:dyDescent="0.25">
      <c r="F38" s="73" t="s">
        <v>40</v>
      </c>
      <c r="G38" s="25"/>
      <c r="H38" s="19" t="e">
        <f>Données!#REF!</f>
        <v>#REF!</v>
      </c>
      <c r="I38" s="20"/>
      <c r="J38" s="21"/>
      <c r="K38" s="20" t="e">
        <f>Données!#REF!</f>
        <v>#REF!</v>
      </c>
      <c r="L38" s="19" t="e">
        <f>H38*K38</f>
        <v>#REF!</v>
      </c>
    </row>
    <row r="39" spans="6:12" x14ac:dyDescent="0.25">
      <c r="F39" s="71" t="s">
        <v>41</v>
      </c>
      <c r="G39" s="72"/>
      <c r="H39" s="19"/>
      <c r="I39" s="56"/>
      <c r="J39" s="21"/>
      <c r="K39" s="20"/>
      <c r="L39" s="19"/>
    </row>
    <row r="40" spans="6:12" x14ac:dyDescent="0.25">
      <c r="F40" s="73" t="s">
        <v>42</v>
      </c>
      <c r="G40" s="25"/>
      <c r="H40" s="19" t="e">
        <f>Données!#REF!</f>
        <v>#REF!</v>
      </c>
      <c r="I40" s="56">
        <v>6.9000000000000006E-2</v>
      </c>
      <c r="J40" s="19" t="e">
        <f>IF(Données!D37="Exonération de cotisation",0,H40*I40)</f>
        <v>#REF!</v>
      </c>
      <c r="K40" s="20">
        <v>8.5500000000000007E-2</v>
      </c>
      <c r="L40" s="19" t="e">
        <f>Données!#REF!*K40</f>
        <v>#REF!</v>
      </c>
    </row>
    <row r="41" spans="6:12" x14ac:dyDescent="0.25">
      <c r="F41" s="73" t="s">
        <v>43</v>
      </c>
      <c r="G41" s="25"/>
      <c r="H41" s="19" t="e">
        <f>Données!#REF!</f>
        <v>#REF!</v>
      </c>
      <c r="I41" s="56">
        <v>4.0000000000000001E-3</v>
      </c>
      <c r="J41" s="19" t="e">
        <f>IF(Données!D37="Exonération de cotisation",0,H41*I41)</f>
        <v>#REF!</v>
      </c>
      <c r="K41" s="20">
        <v>2.0199999999999999E-2</v>
      </c>
      <c r="L41" s="19" t="e">
        <f>Données!#REF!*K41</f>
        <v>#REF!</v>
      </c>
    </row>
    <row r="42" spans="6:12" x14ac:dyDescent="0.25">
      <c r="F42" s="73" t="s">
        <v>44</v>
      </c>
      <c r="G42" s="25"/>
      <c r="H42" s="19" t="e">
        <f>Données!#REF!</f>
        <v>#REF!</v>
      </c>
      <c r="I42" s="56">
        <v>3.15E-2</v>
      </c>
      <c r="J42" s="19" t="e">
        <f>IF(Données!D37="Exonération de cotisation",0,H42*I42)</f>
        <v>#REF!</v>
      </c>
      <c r="K42" s="20">
        <v>4.7199999999999999E-2</v>
      </c>
      <c r="L42" s="19" t="e">
        <f>Données!#REF!*K42</f>
        <v>#REF!</v>
      </c>
    </row>
    <row r="43" spans="6:12" x14ac:dyDescent="0.25">
      <c r="F43" s="73" t="s">
        <v>45</v>
      </c>
      <c r="G43" s="25"/>
      <c r="H43" s="19" t="e">
        <f>Données!#REF!</f>
        <v>#REF!</v>
      </c>
      <c r="I43" s="56">
        <v>8.6E-3</v>
      </c>
      <c r="J43" s="19" t="e">
        <f>IF(Données!D37="Exonération de cotisation",0,H43*I43)</f>
        <v>#REF!</v>
      </c>
      <c r="K43" s="20">
        <v>1.29E-2</v>
      </c>
      <c r="L43" s="19" t="e">
        <f>Données!#REF!*K43</f>
        <v>#REF!</v>
      </c>
    </row>
    <row r="44" spans="6:12" x14ac:dyDescent="0.25">
      <c r="F44" s="71" t="s">
        <v>46</v>
      </c>
      <c r="G44" s="72"/>
      <c r="H44" s="19"/>
      <c r="I44" s="56"/>
      <c r="J44" s="21"/>
      <c r="K44" s="20"/>
      <c r="L44" s="19"/>
    </row>
    <row r="45" spans="6:12" x14ac:dyDescent="0.25">
      <c r="F45" s="74" t="s">
        <v>47</v>
      </c>
      <c r="G45" s="75"/>
      <c r="H45" s="19">
        <f>IF(Données!B36&lt;50,Données!#REF!,0)</f>
        <v>0</v>
      </c>
      <c r="I45" s="20"/>
      <c r="J45" s="21"/>
      <c r="K45" s="20">
        <v>1E-3</v>
      </c>
      <c r="L45" s="19">
        <f>K45*H45</f>
        <v>0</v>
      </c>
    </row>
    <row r="46" spans="6:12" x14ac:dyDescent="0.25">
      <c r="F46" s="74" t="s">
        <v>48</v>
      </c>
      <c r="G46" s="75"/>
      <c r="H46" s="19" t="e">
        <f>IF(Données!B36&gt;=50,Données!#REF!,0)</f>
        <v>#REF!</v>
      </c>
      <c r="I46" s="20"/>
      <c r="J46" s="21"/>
      <c r="K46" s="20">
        <v>5.0000000000000001E-3</v>
      </c>
      <c r="L46" s="19" t="e">
        <f>H46*K46</f>
        <v>#REF!</v>
      </c>
    </row>
    <row r="47" spans="6:12" x14ac:dyDescent="0.25">
      <c r="F47" s="74" t="s">
        <v>49</v>
      </c>
      <c r="G47" s="75"/>
      <c r="H47" s="19" t="e">
        <f>Données!#REF!</f>
        <v>#REF!</v>
      </c>
      <c r="I47" s="20"/>
      <c r="J47" s="21"/>
      <c r="K47" s="63">
        <v>1.6000000000000001E-4</v>
      </c>
      <c r="L47" s="19" t="e">
        <f>H47*K47</f>
        <v>#REF!</v>
      </c>
    </row>
    <row r="48" spans="6:12" x14ac:dyDescent="0.25">
      <c r="F48" s="74" t="s">
        <v>50</v>
      </c>
      <c r="G48" s="75"/>
      <c r="H48" s="19" t="e">
        <f>Données!#REF!</f>
        <v>#REF!</v>
      </c>
      <c r="I48" s="20"/>
      <c r="J48" s="21"/>
      <c r="K48" s="20">
        <v>3.0000000000000001E-3</v>
      </c>
      <c r="L48" s="19" t="e">
        <f>H48*K48</f>
        <v>#REF!</v>
      </c>
    </row>
    <row r="49" spans="6:12" x14ac:dyDescent="0.25">
      <c r="F49" s="513" t="s">
        <v>123</v>
      </c>
      <c r="G49" s="514"/>
      <c r="H49" s="19" t="e">
        <f>Données!#REF!</f>
        <v>#REF!</v>
      </c>
      <c r="I49" s="20"/>
      <c r="J49" s="21"/>
      <c r="K49" s="20">
        <v>0.08</v>
      </c>
      <c r="L49" s="19" t="e">
        <f>IF(Données!B36&gt;=11,H49*K49,0)</f>
        <v>#REF!</v>
      </c>
    </row>
    <row r="50" spans="6:12" x14ac:dyDescent="0.25">
      <c r="F50" s="74" t="str">
        <f>IF(Données!B37="Non","Taxe d'apprentissage hors Alsace Moselle","Taxe d'apprentissage Alsace Moselle")</f>
        <v>Taxe d'apprentissage Alsace Moselle</v>
      </c>
      <c r="G50" s="75"/>
      <c r="H50" s="19" t="e">
        <f>Données!#REF!</f>
        <v>#REF!</v>
      </c>
      <c r="I50" s="20"/>
      <c r="J50" s="21"/>
      <c r="K50" s="20">
        <f>IF(Données!B37="Non",0.68%,0.44%)</f>
        <v>4.4000000000000003E-3</v>
      </c>
      <c r="L50" s="19" t="e">
        <f>H50*K50</f>
        <v>#REF!</v>
      </c>
    </row>
    <row r="51" spans="6:12" x14ac:dyDescent="0.25">
      <c r="F51" s="665" t="str">
        <f>IF(Données!B36&lt;11,"Contribution unique à la formation professionnelle entreprise &lt;11 salariés","Contribution unique à la formation professionnelle entreprise &gt;11 salariés")</f>
        <v>Contribution unique à la formation professionnelle entreprise &gt;11 salariés</v>
      </c>
      <c r="G51" s="666"/>
      <c r="H51" s="19">
        <v>909.71</v>
      </c>
      <c r="I51" s="20"/>
      <c r="J51" s="21"/>
      <c r="K51" s="20">
        <f>IF(Données!B36&lt;11,0.55%,1%)</f>
        <v>0.01</v>
      </c>
      <c r="L51" s="19">
        <f>H51*K51</f>
        <v>9.0971000000000011</v>
      </c>
    </row>
    <row r="52" spans="6:12" x14ac:dyDescent="0.25">
      <c r="F52" s="74" t="s">
        <v>52</v>
      </c>
      <c r="G52" s="75"/>
      <c r="H52" s="19">
        <v>909.71</v>
      </c>
      <c r="I52" s="20"/>
      <c r="J52" s="21"/>
      <c r="K52" s="20">
        <v>0.01</v>
      </c>
      <c r="L52" s="19">
        <f>IF(Données!B36&gt;=50,H52*K52,0*H52)</f>
        <v>9.0971000000000011</v>
      </c>
    </row>
    <row r="53" spans="6:12" x14ac:dyDescent="0.25">
      <c r="F53" s="74" t="s">
        <v>53</v>
      </c>
      <c r="G53" s="75"/>
      <c r="H53" s="19">
        <v>909.71</v>
      </c>
      <c r="I53" s="20"/>
      <c r="J53" s="21"/>
      <c r="K53" s="20">
        <v>0.01</v>
      </c>
      <c r="L53" s="19">
        <f>H53*K53</f>
        <v>9.0971000000000011</v>
      </c>
    </row>
    <row r="54" spans="6:12" x14ac:dyDescent="0.25">
      <c r="F54" s="73"/>
      <c r="G54" s="25"/>
      <c r="H54" s="19"/>
      <c r="I54" s="20"/>
      <c r="J54" s="21"/>
      <c r="K54" s="20"/>
      <c r="L54" s="19"/>
    </row>
    <row r="55" spans="6:12" x14ac:dyDescent="0.25">
      <c r="F55" s="73"/>
      <c r="G55" s="25"/>
      <c r="H55" s="19"/>
      <c r="I55" s="20"/>
      <c r="J55" s="21"/>
      <c r="K55" s="20"/>
      <c r="L55" s="19"/>
    </row>
    <row r="56" spans="6:12" x14ac:dyDescent="0.25">
      <c r="F56" s="73"/>
      <c r="G56" s="25"/>
      <c r="H56" s="19"/>
      <c r="I56" s="20"/>
      <c r="J56" s="21"/>
      <c r="K56" s="20"/>
      <c r="L56" s="19"/>
    </row>
    <row r="57" spans="6:12" x14ac:dyDescent="0.25">
      <c r="F57" s="71" t="s">
        <v>55</v>
      </c>
      <c r="G57" s="72"/>
      <c r="H57" s="19"/>
      <c r="I57" s="20"/>
      <c r="J57" s="21"/>
      <c r="K57" s="20"/>
      <c r="L57" s="19"/>
    </row>
    <row r="58" spans="6:12" x14ac:dyDescent="0.25">
      <c r="F58" s="73" t="s">
        <v>56</v>
      </c>
      <c r="G58" s="25"/>
      <c r="H58" s="19"/>
      <c r="I58" s="20"/>
      <c r="J58" s="21"/>
      <c r="K58" s="48" t="e">
        <f>(IF(Données!#REF!&lt;50,0.3191,0.3231)/0.6)*((1.6*(Données!B24*12)/(Données!#REF!*12))-1)%</f>
        <v>#REF!</v>
      </c>
      <c r="L58" s="19" t="e">
        <f>-K58*(Données!#REF!*12)</f>
        <v>#REF!</v>
      </c>
    </row>
    <row r="59" spans="6:12" x14ac:dyDescent="0.25">
      <c r="F59" s="73" t="s">
        <v>124</v>
      </c>
      <c r="G59" s="25"/>
      <c r="H59" s="19"/>
      <c r="I59" s="20"/>
      <c r="J59" s="21"/>
      <c r="K59" s="20">
        <f>IF(Données!B36&lt;20,-1.5%,-0.5%)</f>
        <v>-5.0000000000000001E-3</v>
      </c>
      <c r="L59" s="19" t="e">
        <f>SUM(Données!#REF!)*K59</f>
        <v>#REF!</v>
      </c>
    </row>
    <row r="60" spans="6:12" x14ac:dyDescent="0.25">
      <c r="F60" s="73" t="s">
        <v>58</v>
      </c>
      <c r="G60" s="25"/>
      <c r="H60" s="19" t="e">
        <f>Bulletin!#REF!</f>
        <v>#REF!</v>
      </c>
      <c r="I60" s="20">
        <v>0.11310000000000001</v>
      </c>
      <c r="J60" s="19" t="e">
        <f>H60*I60</f>
        <v>#REF!</v>
      </c>
      <c r="K60" s="22"/>
      <c r="L60" s="19"/>
    </row>
    <row r="61" spans="6:12" x14ac:dyDescent="0.25">
      <c r="F61" s="73" t="s">
        <v>59</v>
      </c>
      <c r="G61" s="25"/>
      <c r="H61" s="19" t="e">
        <f>Bulletin!#REF!</f>
        <v>#REF!</v>
      </c>
      <c r="I61" s="61">
        <v>0.11310000000000001</v>
      </c>
      <c r="J61" s="60" t="e">
        <f>H61*I61</f>
        <v>#REF!</v>
      </c>
      <c r="K61" s="62"/>
      <c r="L61" s="60"/>
    </row>
    <row r="62" spans="6:12" x14ac:dyDescent="0.25">
      <c r="F62" s="26" t="s">
        <v>60</v>
      </c>
      <c r="G62" s="53"/>
      <c r="H62" s="27"/>
      <c r="I62" s="27"/>
      <c r="J62" s="28" t="e">
        <f>SUM(J28:J60)</f>
        <v>#REF!</v>
      </c>
      <c r="K62" s="29"/>
      <c r="L62" s="28" t="e">
        <f>SUM(L28:L58)</f>
        <v>#REF!</v>
      </c>
    </row>
    <row r="63" spans="6:12" x14ac:dyDescent="0.25">
      <c r="F63" s="41"/>
      <c r="L63" s="16"/>
    </row>
    <row r="64" spans="6:12" x14ac:dyDescent="0.25">
      <c r="F64" s="76" t="s">
        <v>61</v>
      </c>
      <c r="G64" s="30"/>
      <c r="L64" s="16"/>
    </row>
    <row r="65" spans="6:12" x14ac:dyDescent="0.25">
      <c r="F65" s="73" t="s">
        <v>62</v>
      </c>
      <c r="G65" s="25"/>
      <c r="H65" s="31">
        <f>Données!I43</f>
        <v>0</v>
      </c>
      <c r="I65" s="66">
        <f>Données!J43</f>
        <v>0</v>
      </c>
      <c r="J65" s="31">
        <f>H65*I65</f>
        <v>0</v>
      </c>
      <c r="K65" s="31"/>
      <c r="L65" s="32"/>
    </row>
    <row r="66" spans="6:12" x14ac:dyDescent="0.25">
      <c r="F66" s="73" t="s">
        <v>63</v>
      </c>
      <c r="G66" s="25"/>
      <c r="H66" s="31"/>
      <c r="I66" s="31"/>
      <c r="J66" s="31">
        <f>H66*I66</f>
        <v>0</v>
      </c>
      <c r="K66" s="31"/>
      <c r="L66" s="32"/>
    </row>
    <row r="67" spans="6:12" x14ac:dyDescent="0.25">
      <c r="F67" s="73" t="s">
        <v>64</v>
      </c>
      <c r="G67" s="25"/>
      <c r="H67" s="31"/>
      <c r="I67" s="31"/>
      <c r="J67" s="31">
        <f>H67*I67</f>
        <v>0</v>
      </c>
      <c r="K67" s="31"/>
      <c r="L67" s="32"/>
    </row>
    <row r="68" spans="6:12" x14ac:dyDescent="0.25">
      <c r="F68" s="73" t="s">
        <v>65</v>
      </c>
      <c r="G68" s="25"/>
      <c r="H68" s="31"/>
      <c r="I68" s="31"/>
      <c r="J68" s="31">
        <f>H68*I68</f>
        <v>0</v>
      </c>
      <c r="K68" s="31"/>
      <c r="L68" s="32"/>
    </row>
    <row r="69" spans="6:12" x14ac:dyDescent="0.25">
      <c r="F69" s="73" t="s">
        <v>66</v>
      </c>
      <c r="G69" s="25"/>
      <c r="H69" s="31"/>
      <c r="I69" s="31"/>
      <c r="J69" s="31"/>
      <c r="K69" s="31"/>
      <c r="L69" s="32"/>
    </row>
    <row r="70" spans="6:12" x14ac:dyDescent="0.25">
      <c r="F70" s="76" t="s">
        <v>67</v>
      </c>
      <c r="G70" s="30"/>
      <c r="H70" s="31"/>
      <c r="I70" s="31"/>
      <c r="J70" s="31"/>
      <c r="K70" s="31"/>
      <c r="L70" s="32"/>
    </row>
    <row r="71" spans="6:12" x14ac:dyDescent="0.25">
      <c r="F71" s="73" t="s">
        <v>68</v>
      </c>
      <c r="G71" s="25"/>
      <c r="H71" s="31">
        <f>Données!I51*Données!J65</f>
        <v>0</v>
      </c>
      <c r="I71" s="33">
        <v>0.5</v>
      </c>
      <c r="J71" s="31">
        <f>H71*I71</f>
        <v>0</v>
      </c>
      <c r="K71" s="33"/>
      <c r="L71" s="32"/>
    </row>
    <row r="72" spans="6:12" x14ac:dyDescent="0.25">
      <c r="F72" s="73" t="s">
        <v>69</v>
      </c>
      <c r="G72" s="25"/>
      <c r="H72" s="31"/>
      <c r="I72" s="33"/>
      <c r="J72" s="34"/>
      <c r="K72" s="33"/>
      <c r="L72" s="16"/>
    </row>
    <row r="73" spans="6:12" x14ac:dyDescent="0.25">
      <c r="F73" s="73" t="s">
        <v>70</v>
      </c>
      <c r="G73" s="25"/>
      <c r="H73" s="31">
        <f>Données!J39</f>
        <v>0</v>
      </c>
      <c r="I73" s="68">
        <f>Données!K39</f>
        <v>0</v>
      </c>
      <c r="J73" s="34">
        <f>IF(Données!L39&gt;0,Données!L39,0)</f>
        <v>0</v>
      </c>
      <c r="K73" s="31"/>
      <c r="L73" s="32"/>
    </row>
    <row r="74" spans="6:12" x14ac:dyDescent="0.25">
      <c r="F74" s="73" t="s">
        <v>71</v>
      </c>
      <c r="G74" s="25"/>
      <c r="H74" s="31"/>
      <c r="I74" s="31"/>
      <c r="J74" s="34">
        <f>Données!L40</f>
        <v>0</v>
      </c>
      <c r="K74" s="31"/>
      <c r="L74" s="32"/>
    </row>
    <row r="75" spans="6:12" x14ac:dyDescent="0.25">
      <c r="F75" s="73" t="s">
        <v>72</v>
      </c>
      <c r="G75" s="25"/>
      <c r="H75" s="31"/>
      <c r="I75" s="31"/>
      <c r="J75" s="34">
        <f>Données!L41</f>
        <v>0</v>
      </c>
      <c r="K75" s="31"/>
      <c r="L75" s="32"/>
    </row>
    <row r="76" spans="6:12" x14ac:dyDescent="0.25">
      <c r="F76" s="73" t="s">
        <v>73</v>
      </c>
      <c r="G76" s="25"/>
      <c r="H76" s="31"/>
      <c r="I76" s="31"/>
      <c r="J76" s="34" t="e">
        <f>Données!#REF!</f>
        <v>#REF!</v>
      </c>
      <c r="K76" s="31"/>
      <c r="L76" s="32"/>
    </row>
    <row r="77" spans="6:12" ht="18.75" x14ac:dyDescent="0.3">
      <c r="F77" s="497" t="s">
        <v>74</v>
      </c>
      <c r="G77" s="498"/>
      <c r="H77" s="498"/>
      <c r="I77" s="498"/>
      <c r="J77" s="498"/>
      <c r="K77" s="498"/>
      <c r="L77" s="35" t="e">
        <f>Données!#REF!-J62+SUM(J65:J69)-SUM(J71:J76)</f>
        <v>#REF!</v>
      </c>
    </row>
    <row r="78" spans="6:12" x14ac:dyDescent="0.25">
      <c r="F78" s="73" t="s">
        <v>75</v>
      </c>
      <c r="G78" s="25"/>
      <c r="L78" s="36" t="e">
        <f>(H37*3.15%)</f>
        <v>#REF!</v>
      </c>
    </row>
    <row r="79" spans="6:12" x14ac:dyDescent="0.25">
      <c r="F79" s="667" t="s">
        <v>76</v>
      </c>
      <c r="G79" s="667"/>
      <c r="H79" s="667"/>
      <c r="I79" s="37" t="s">
        <v>29</v>
      </c>
      <c r="J79" s="482" t="s">
        <v>77</v>
      </c>
      <c r="K79" s="483"/>
      <c r="L79" s="37" t="s">
        <v>22</v>
      </c>
    </row>
    <row r="80" spans="6:12" x14ac:dyDescent="0.25">
      <c r="F80" s="676" t="s">
        <v>78</v>
      </c>
      <c r="G80" s="676"/>
      <c r="H80" s="676"/>
      <c r="I80" s="44" t="e">
        <f>H81</f>
        <v>#REF!</v>
      </c>
      <c r="J80" s="677">
        <v>0</v>
      </c>
      <c r="K80" s="677"/>
      <c r="L80" s="28" t="e">
        <f>I80*J80</f>
        <v>#REF!</v>
      </c>
    </row>
    <row r="81" spans="6:12" x14ac:dyDescent="0.25">
      <c r="F81" s="1" t="s">
        <v>79</v>
      </c>
      <c r="G81" s="1"/>
      <c r="H81" s="678" t="e">
        <f>Données!#REF!-(SUM(Données!H13:H31))-J62+L31</f>
        <v>#REF!</v>
      </c>
      <c r="I81" s="676"/>
      <c r="J81" s="679" t="s">
        <v>80</v>
      </c>
      <c r="K81" s="679"/>
      <c r="L81" s="679"/>
    </row>
    <row r="82" spans="6:12" ht="15.75" x14ac:dyDescent="0.25">
      <c r="F82" s="41"/>
      <c r="J82" s="680" t="e">
        <f>L77-L80</f>
        <v>#REF!</v>
      </c>
      <c r="K82" s="681"/>
      <c r="L82" s="682"/>
    </row>
    <row r="83" spans="6:12" x14ac:dyDescent="0.25">
      <c r="F83" s="38"/>
      <c r="G83" s="39"/>
      <c r="H83" s="39"/>
      <c r="I83" s="683" t="s">
        <v>81</v>
      </c>
      <c r="J83" s="683"/>
      <c r="K83" s="683"/>
      <c r="L83" s="40" t="e">
        <f>-L58-L57+(H34*1.8%)+(H28*6%)</f>
        <v>#REF!</v>
      </c>
    </row>
    <row r="84" spans="6:12" x14ac:dyDescent="0.25">
      <c r="F84" s="41"/>
      <c r="I84" s="668" t="s">
        <v>82</v>
      </c>
      <c r="J84" s="668"/>
      <c r="K84" s="668"/>
      <c r="L84" s="42" t="e">
        <f>SALBRUT+L62+SUM(J65:J69)</f>
        <v>#REF!</v>
      </c>
    </row>
    <row r="85" spans="6:12" x14ac:dyDescent="0.25">
      <c r="F85" s="669" t="s">
        <v>83</v>
      </c>
      <c r="G85" s="670"/>
      <c r="H85" s="670"/>
      <c r="I85" s="670"/>
      <c r="J85" s="670"/>
      <c r="K85" s="671" t="s">
        <v>84</v>
      </c>
      <c r="L85" s="672"/>
    </row>
    <row r="86" spans="6:12" ht="18.75" x14ac:dyDescent="0.25">
      <c r="F86" s="673" t="s">
        <v>85</v>
      </c>
      <c r="G86" s="674"/>
      <c r="H86" s="674"/>
      <c r="I86" s="674"/>
      <c r="J86" s="674"/>
      <c r="K86" s="674"/>
      <c r="L86" s="675"/>
    </row>
  </sheetData>
  <mergeCells count="22">
    <mergeCell ref="I84:K84"/>
    <mergeCell ref="F85:J85"/>
    <mergeCell ref="K85:L85"/>
    <mergeCell ref="F86:L86"/>
    <mergeCell ref="F80:H80"/>
    <mergeCell ref="J80:K80"/>
    <mergeCell ref="H81:I81"/>
    <mergeCell ref="J81:L81"/>
    <mergeCell ref="J82:L82"/>
    <mergeCell ref="I83:K83"/>
    <mergeCell ref="J18:L18"/>
    <mergeCell ref="F49:G49"/>
    <mergeCell ref="F51:G51"/>
    <mergeCell ref="F77:K77"/>
    <mergeCell ref="F79:H79"/>
    <mergeCell ref="J79:K79"/>
    <mergeCell ref="J17:L17"/>
    <mergeCell ref="F4:L5"/>
    <mergeCell ref="J13:L13"/>
    <mergeCell ref="J14:L14"/>
    <mergeCell ref="J15:L15"/>
    <mergeCell ref="J16:L16"/>
  </mergeCells>
  <hyperlinks>
    <hyperlink ref="K85" r:id="rId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4:L86"/>
  <sheetViews>
    <sheetView workbookViewId="0">
      <selection activeCell="F4" sqref="F4:L86"/>
    </sheetView>
  </sheetViews>
  <sheetFormatPr defaultColWidth="11.42578125" defaultRowHeight="15" x14ac:dyDescent="0.25"/>
  <sheetData>
    <row r="4" spans="6:12" x14ac:dyDescent="0.25">
      <c r="F4" s="499" t="s">
        <v>0</v>
      </c>
      <c r="G4" s="500"/>
      <c r="H4" s="500"/>
      <c r="I4" s="500"/>
      <c r="J4" s="500"/>
      <c r="K4" s="500"/>
      <c r="L4" s="501"/>
    </row>
    <row r="5" spans="6:12" x14ac:dyDescent="0.25">
      <c r="F5" s="502"/>
      <c r="G5" s="503"/>
      <c r="H5" s="503"/>
      <c r="I5" s="503"/>
      <c r="J5" s="503"/>
      <c r="K5" s="503"/>
      <c r="L5" s="504"/>
    </row>
    <row r="6" spans="6:12" x14ac:dyDescent="0.25">
      <c r="F6" s="3" t="s">
        <v>3</v>
      </c>
      <c r="G6" s="5"/>
      <c r="H6" s="4"/>
      <c r="I6" s="3" t="s">
        <v>115</v>
      </c>
      <c r="J6" s="51" t="s">
        <v>112</v>
      </c>
      <c r="K6" s="6"/>
      <c r="L6" s="4"/>
    </row>
    <row r="7" spans="6:12" x14ac:dyDescent="0.25">
      <c r="F7" s="7" t="s">
        <v>6</v>
      </c>
      <c r="G7" s="9"/>
      <c r="H7" s="8"/>
      <c r="I7" s="7"/>
      <c r="J7" s="9"/>
      <c r="K7" s="10"/>
      <c r="L7" s="8"/>
    </row>
    <row r="8" spans="6:12" x14ac:dyDescent="0.25">
      <c r="F8" s="7"/>
      <c r="G8" s="9"/>
      <c r="H8" s="8"/>
      <c r="I8" s="7"/>
      <c r="J8" s="9"/>
      <c r="K8" s="9"/>
      <c r="L8" s="8"/>
    </row>
    <row r="9" spans="6:12" x14ac:dyDescent="0.25">
      <c r="F9" s="7" t="s">
        <v>9</v>
      </c>
      <c r="G9" s="9"/>
      <c r="H9" s="8"/>
      <c r="I9" s="7"/>
      <c r="J9" s="9" t="s">
        <v>10</v>
      </c>
      <c r="K9" s="9"/>
      <c r="L9" s="8"/>
    </row>
    <row r="10" spans="6:12" x14ac:dyDescent="0.25">
      <c r="F10" s="7" t="s">
        <v>11</v>
      </c>
      <c r="G10" s="9"/>
      <c r="H10" s="8"/>
      <c r="I10" s="7"/>
      <c r="J10" s="9"/>
      <c r="K10" s="9"/>
      <c r="L10" s="8"/>
    </row>
    <row r="11" spans="6:12" x14ac:dyDescent="0.25">
      <c r="F11" s="7" t="s">
        <v>12</v>
      </c>
      <c r="G11" s="9"/>
      <c r="H11" s="8"/>
      <c r="I11" s="7"/>
      <c r="J11" s="9"/>
      <c r="K11" s="9"/>
      <c r="L11" s="8"/>
    </row>
    <row r="12" spans="6:12" x14ac:dyDescent="0.25">
      <c r="F12" s="11" t="s">
        <v>13</v>
      </c>
      <c r="G12" s="13"/>
      <c r="H12" s="12"/>
      <c r="I12" s="11"/>
      <c r="J12" s="13"/>
      <c r="K12" s="13"/>
      <c r="L12" s="14"/>
    </row>
    <row r="13" spans="6:12" x14ac:dyDescent="0.25">
      <c r="F13" s="7" t="s">
        <v>15</v>
      </c>
      <c r="G13" s="9"/>
      <c r="H13" s="9"/>
      <c r="I13" s="9" t="s">
        <v>14</v>
      </c>
      <c r="J13" s="505"/>
      <c r="K13" s="505"/>
      <c r="L13" s="506"/>
    </row>
    <row r="14" spans="6:12" x14ac:dyDescent="0.25">
      <c r="F14" s="7" t="s">
        <v>89</v>
      </c>
      <c r="G14" s="9"/>
      <c r="H14" s="9"/>
      <c r="I14" s="9" t="s">
        <v>6</v>
      </c>
      <c r="J14" s="505"/>
      <c r="K14" s="505"/>
      <c r="L14" s="506"/>
    </row>
    <row r="15" spans="6:12" x14ac:dyDescent="0.25">
      <c r="F15" s="7" t="s">
        <v>16</v>
      </c>
      <c r="G15" s="9"/>
      <c r="H15" s="54"/>
      <c r="I15" s="9"/>
      <c r="J15" s="505"/>
      <c r="K15" s="505"/>
      <c r="L15" s="506"/>
    </row>
    <row r="16" spans="6:12" x14ac:dyDescent="0.25">
      <c r="F16" s="7" t="s">
        <v>17</v>
      </c>
      <c r="G16" s="9"/>
      <c r="H16" s="49"/>
      <c r="I16" s="9"/>
      <c r="J16" s="507"/>
      <c r="K16" s="507"/>
      <c r="L16" s="508"/>
    </row>
    <row r="17" spans="6:12" x14ac:dyDescent="0.25">
      <c r="F17" s="7" t="s">
        <v>19</v>
      </c>
      <c r="G17" s="9"/>
      <c r="H17" s="54"/>
      <c r="I17" s="9"/>
      <c r="J17" s="507"/>
      <c r="K17" s="507"/>
      <c r="L17" s="508"/>
    </row>
    <row r="18" spans="6:12" x14ac:dyDescent="0.25">
      <c r="F18" s="52" t="s">
        <v>114</v>
      </c>
      <c r="G18" s="55">
        <f>Données!I11</f>
        <v>8.3214442700156983</v>
      </c>
      <c r="H18" s="50" t="s">
        <v>111</v>
      </c>
      <c r="I18" s="13"/>
      <c r="J18" s="509"/>
      <c r="K18" s="509"/>
      <c r="L18" s="510"/>
    </row>
    <row r="19" spans="6:12" x14ac:dyDescent="0.25">
      <c r="F19" s="41"/>
      <c r="H19" s="31" t="s">
        <v>20</v>
      </c>
      <c r="I19" s="31" t="s">
        <v>21</v>
      </c>
      <c r="J19" s="31" t="s">
        <v>22</v>
      </c>
      <c r="L19" s="15"/>
    </row>
    <row r="20" spans="6:12" x14ac:dyDescent="0.25">
      <c r="F20" s="41" t="s">
        <v>23</v>
      </c>
      <c r="H20" s="31" t="e">
        <f>Données!#REF!</f>
        <v>#REF!</v>
      </c>
      <c r="I20" s="34" t="e">
        <f>Données!#REF!</f>
        <v>#REF!</v>
      </c>
      <c r="J20" s="34" t="e">
        <f>Données!#REF!</f>
        <v>#REF!</v>
      </c>
      <c r="L20" s="16"/>
    </row>
    <row r="21" spans="6:12" x14ac:dyDescent="0.25">
      <c r="F21" s="41"/>
      <c r="H21" s="34"/>
      <c r="I21" s="34"/>
      <c r="J21" s="34"/>
      <c r="L21" s="16"/>
    </row>
    <row r="22" spans="6:12" x14ac:dyDescent="0.25">
      <c r="F22" s="41"/>
      <c r="H22" s="31"/>
      <c r="I22" s="34"/>
      <c r="J22" s="34"/>
      <c r="L22" s="16"/>
    </row>
    <row r="23" spans="6:12" x14ac:dyDescent="0.25">
      <c r="F23" s="41" t="s">
        <v>24</v>
      </c>
      <c r="H23" s="34" t="e">
        <f>Données!#REF!</f>
        <v>#REF!</v>
      </c>
      <c r="I23" s="34" t="e">
        <f>Données!#REF!</f>
        <v>#REF!</v>
      </c>
      <c r="J23" s="34" t="e">
        <f>H23*I23</f>
        <v>#REF!</v>
      </c>
      <c r="K23" s="34"/>
      <c r="L23" s="16"/>
    </row>
    <row r="24" spans="6:12" x14ac:dyDescent="0.25">
      <c r="F24" s="41" t="s">
        <v>25</v>
      </c>
      <c r="H24" s="34" t="e">
        <f>Données!#REF!</f>
        <v>#REF!</v>
      </c>
      <c r="I24" s="34" t="e">
        <f>Données!#REF!</f>
        <v>#REF!</v>
      </c>
      <c r="J24" s="34" t="e">
        <f>H24*I24</f>
        <v>#REF!</v>
      </c>
      <c r="L24" s="16"/>
    </row>
    <row r="25" spans="6:12" x14ac:dyDescent="0.25">
      <c r="F25" s="41"/>
      <c r="H25" s="31"/>
      <c r="I25" s="34"/>
      <c r="J25" s="34"/>
      <c r="L25" s="16"/>
    </row>
    <row r="26" spans="6:12" x14ac:dyDescent="0.25">
      <c r="F26" s="41" t="s">
        <v>26</v>
      </c>
      <c r="H26" s="31" t="e">
        <f>Données!#REF!</f>
        <v>#REF!</v>
      </c>
      <c r="I26" s="34" t="e">
        <f>Données!#REF!</f>
        <v>#REF!</v>
      </c>
      <c r="J26" s="34" t="e">
        <f>Données!#REF!</f>
        <v>#REF!</v>
      </c>
      <c r="L26" s="16"/>
    </row>
    <row r="27" spans="6:12" x14ac:dyDescent="0.25">
      <c r="F27" s="70" t="s">
        <v>27</v>
      </c>
      <c r="G27" s="17"/>
      <c r="H27" s="17"/>
      <c r="I27" s="17"/>
      <c r="J27" s="17"/>
      <c r="K27" s="17"/>
      <c r="L27" s="18"/>
    </row>
    <row r="28" spans="6:12" x14ac:dyDescent="0.25">
      <c r="F28" s="71" t="s">
        <v>28</v>
      </c>
      <c r="G28" s="72"/>
      <c r="H28" s="69" t="s">
        <v>29</v>
      </c>
      <c r="I28" s="69" t="s">
        <v>30</v>
      </c>
      <c r="J28" s="69" t="s">
        <v>31</v>
      </c>
      <c r="K28" s="69" t="s">
        <v>32</v>
      </c>
      <c r="L28" s="69" t="s">
        <v>22</v>
      </c>
    </row>
    <row r="29" spans="6:12" x14ac:dyDescent="0.25">
      <c r="F29" s="73" t="s">
        <v>33</v>
      </c>
      <c r="G29" s="25"/>
      <c r="H29" s="19" t="e">
        <f>Données!#REF!</f>
        <v>#REF!</v>
      </c>
      <c r="I29" s="56"/>
      <c r="J29" s="57"/>
      <c r="K29" s="56" t="e">
        <f>IF(Données!#REF!&lt;=(2.5*Données!B24),7%,13%)</f>
        <v>#REF!</v>
      </c>
      <c r="L29" s="19" t="e">
        <f>H29*K29</f>
        <v>#REF!</v>
      </c>
    </row>
    <row r="30" spans="6:12" x14ac:dyDescent="0.25">
      <c r="F30" s="73" t="s">
        <v>34</v>
      </c>
      <c r="G30" s="25"/>
      <c r="H30" s="19"/>
      <c r="I30" s="56"/>
      <c r="J30" s="58">
        <f>H30*I30</f>
        <v>0</v>
      </c>
      <c r="K30" s="56"/>
      <c r="L30" s="19">
        <f>H30*K30</f>
        <v>0</v>
      </c>
    </row>
    <row r="31" spans="6:12" x14ac:dyDescent="0.25">
      <c r="F31" s="73" t="s">
        <v>127</v>
      </c>
      <c r="G31" s="25"/>
      <c r="H31" s="19">
        <f>Données!E41</f>
        <v>0.02</v>
      </c>
      <c r="I31" s="56">
        <f>Données!F41</f>
        <v>0</v>
      </c>
      <c r="J31" s="58">
        <f>H31*I31</f>
        <v>0</v>
      </c>
      <c r="K31" s="56">
        <f>Données!G41</f>
        <v>0</v>
      </c>
      <c r="L31" s="19">
        <f>H31*K31</f>
        <v>0</v>
      </c>
    </row>
    <row r="32" spans="6:12" x14ac:dyDescent="0.25">
      <c r="F32" s="71" t="s">
        <v>35</v>
      </c>
      <c r="G32" s="72"/>
      <c r="H32" s="19" t="e">
        <f>Données!#REF!</f>
        <v>#REF!</v>
      </c>
      <c r="I32" s="20"/>
      <c r="J32" s="19"/>
      <c r="K32" s="20">
        <f>Données!E42</f>
        <v>0</v>
      </c>
      <c r="L32" s="19" t="e">
        <f>H32*K32</f>
        <v>#REF!</v>
      </c>
    </row>
    <row r="33" spans="6:12" x14ac:dyDescent="0.25">
      <c r="F33" s="41"/>
      <c r="H33" s="19"/>
      <c r="I33" s="20"/>
      <c r="J33" s="19"/>
      <c r="K33" s="20"/>
      <c r="L33" s="19"/>
    </row>
    <row r="34" spans="6:12" x14ac:dyDescent="0.25">
      <c r="F34" s="71" t="s">
        <v>36</v>
      </c>
      <c r="G34" s="72"/>
      <c r="H34" s="19"/>
      <c r="I34" s="20"/>
      <c r="J34" s="19"/>
      <c r="K34" s="20"/>
      <c r="L34" s="19"/>
    </row>
    <row r="35" spans="6:12" x14ac:dyDescent="0.25">
      <c r="F35" s="73" t="s">
        <v>37</v>
      </c>
      <c r="G35" s="25"/>
      <c r="H35" s="19" t="e">
        <f>Données!#REF!</f>
        <v>#REF!</v>
      </c>
      <c r="I35" s="20"/>
      <c r="J35" s="19"/>
      <c r="K35" s="59" t="e">
        <f>IF(Données!#REF!&lt;=(3.5*Données!B24),3.45%,5.25%)</f>
        <v>#REF!</v>
      </c>
      <c r="L35" s="19" t="e">
        <f>H35*K35</f>
        <v>#REF!</v>
      </c>
    </row>
    <row r="36" spans="6:12" x14ac:dyDescent="0.25">
      <c r="F36" s="71" t="s">
        <v>38</v>
      </c>
      <c r="G36" s="72"/>
      <c r="H36" s="19"/>
      <c r="I36" s="20"/>
      <c r="J36" s="21"/>
      <c r="K36" s="20"/>
      <c r="L36" s="19"/>
    </row>
    <row r="37" spans="6:12" x14ac:dyDescent="0.25">
      <c r="F37" s="73" t="s">
        <v>39</v>
      </c>
      <c r="G37" s="25"/>
      <c r="H37" s="19" t="e">
        <f>Données!#REF!</f>
        <v>#REF!</v>
      </c>
      <c r="I37" s="20"/>
      <c r="J37" s="21"/>
      <c r="K37" s="20">
        <f>Données!E43</f>
        <v>0</v>
      </c>
      <c r="L37" s="19" t="e">
        <f>H37*K37</f>
        <v>#REF!</v>
      </c>
    </row>
    <row r="38" spans="6:12" x14ac:dyDescent="0.25">
      <c r="F38" s="73" t="s">
        <v>40</v>
      </c>
      <c r="G38" s="25"/>
      <c r="H38" s="19" t="e">
        <f>Données!#REF!</f>
        <v>#REF!</v>
      </c>
      <c r="I38" s="20"/>
      <c r="J38" s="21"/>
      <c r="K38" s="20" t="e">
        <f>Données!#REF!</f>
        <v>#REF!</v>
      </c>
      <c r="L38" s="19" t="e">
        <f>H38*K38</f>
        <v>#REF!</v>
      </c>
    </row>
    <row r="39" spans="6:12" x14ac:dyDescent="0.25">
      <c r="F39" s="71" t="s">
        <v>41</v>
      </c>
      <c r="G39" s="72"/>
      <c r="H39" s="19"/>
      <c r="I39" s="56"/>
      <c r="J39" s="21"/>
      <c r="K39" s="20"/>
      <c r="L39" s="19"/>
    </row>
    <row r="40" spans="6:12" x14ac:dyDescent="0.25">
      <c r="F40" s="73" t="s">
        <v>42</v>
      </c>
      <c r="G40" s="25"/>
      <c r="H40" s="19" t="e">
        <f>Données!#REF!</f>
        <v>#REF!</v>
      </c>
      <c r="I40" s="56">
        <v>6.9000000000000006E-2</v>
      </c>
      <c r="J40" s="19" t="e">
        <f>IF(Données!D37="Exonération de cotisation",0,H40*I40)</f>
        <v>#REF!</v>
      </c>
      <c r="K40" s="20">
        <v>8.5500000000000007E-2</v>
      </c>
      <c r="L40" s="19" t="e">
        <f>Données!#REF!*K40</f>
        <v>#REF!</v>
      </c>
    </row>
    <row r="41" spans="6:12" x14ac:dyDescent="0.25">
      <c r="F41" s="73" t="s">
        <v>43</v>
      </c>
      <c r="G41" s="25"/>
      <c r="H41" s="19" t="e">
        <f>Données!#REF!</f>
        <v>#REF!</v>
      </c>
      <c r="I41" s="56">
        <v>4.0000000000000001E-3</v>
      </c>
      <c r="J41" s="19" t="e">
        <f>IF(Données!D37="Exonération de cotisation",0,H41*I41)</f>
        <v>#REF!</v>
      </c>
      <c r="K41" s="20">
        <v>2.0199999999999999E-2</v>
      </c>
      <c r="L41" s="19" t="e">
        <f>Données!#REF!*K41</f>
        <v>#REF!</v>
      </c>
    </row>
    <row r="42" spans="6:12" x14ac:dyDescent="0.25">
      <c r="F42" s="73" t="s">
        <v>44</v>
      </c>
      <c r="G42" s="25"/>
      <c r="H42" s="19" t="e">
        <f>Données!#REF!</f>
        <v>#REF!</v>
      </c>
      <c r="I42" s="56">
        <v>3.15E-2</v>
      </c>
      <c r="J42" s="19" t="e">
        <f>IF(Données!D37="Exonération de cotisation",0,H42*I42)</f>
        <v>#REF!</v>
      </c>
      <c r="K42" s="20">
        <v>4.7199999999999999E-2</v>
      </c>
      <c r="L42" s="19" t="e">
        <f>Données!#REF!*K42</f>
        <v>#REF!</v>
      </c>
    </row>
    <row r="43" spans="6:12" x14ac:dyDescent="0.25">
      <c r="F43" s="73" t="s">
        <v>45</v>
      </c>
      <c r="G43" s="25"/>
      <c r="H43" s="19" t="e">
        <f>Données!#REF!</f>
        <v>#REF!</v>
      </c>
      <c r="I43" s="56">
        <v>8.6E-3</v>
      </c>
      <c r="J43" s="19" t="e">
        <f>IF(Données!D37="Exonération de cotisation",0,H43*I43)</f>
        <v>#REF!</v>
      </c>
      <c r="K43" s="20">
        <v>1.29E-2</v>
      </c>
      <c r="L43" s="19" t="e">
        <f>Données!#REF!*K43</f>
        <v>#REF!</v>
      </c>
    </row>
    <row r="44" spans="6:12" x14ac:dyDescent="0.25">
      <c r="F44" s="71" t="s">
        <v>46</v>
      </c>
      <c r="G44" s="72"/>
      <c r="H44" s="19"/>
      <c r="I44" s="56"/>
      <c r="J44" s="21"/>
      <c r="K44" s="20"/>
      <c r="L44" s="19"/>
    </row>
    <row r="45" spans="6:12" x14ac:dyDescent="0.25">
      <c r="F45" s="74" t="s">
        <v>47</v>
      </c>
      <c r="G45" s="75"/>
      <c r="H45" s="19">
        <f>IF(Données!B36&lt;50,Données!#REF!,0)</f>
        <v>0</v>
      </c>
      <c r="I45" s="20"/>
      <c r="J45" s="21"/>
      <c r="K45" s="20">
        <v>1E-3</v>
      </c>
      <c r="L45" s="19">
        <f>K45*H45</f>
        <v>0</v>
      </c>
    </row>
    <row r="46" spans="6:12" x14ac:dyDescent="0.25">
      <c r="F46" s="74" t="s">
        <v>48</v>
      </c>
      <c r="G46" s="75"/>
      <c r="H46" s="19" t="e">
        <f>IF(Données!B36&gt;=50,Données!#REF!,0)</f>
        <v>#REF!</v>
      </c>
      <c r="I46" s="20"/>
      <c r="J46" s="21"/>
      <c r="K46" s="20">
        <v>5.0000000000000001E-3</v>
      </c>
      <c r="L46" s="19" t="e">
        <f>H46*K46</f>
        <v>#REF!</v>
      </c>
    </row>
    <row r="47" spans="6:12" x14ac:dyDescent="0.25">
      <c r="F47" s="74" t="s">
        <v>49</v>
      </c>
      <c r="G47" s="75"/>
      <c r="H47" s="19" t="e">
        <f>Données!#REF!</f>
        <v>#REF!</v>
      </c>
      <c r="I47" s="20"/>
      <c r="J47" s="21"/>
      <c r="K47" s="63">
        <v>1.6000000000000001E-4</v>
      </c>
      <c r="L47" s="19" t="e">
        <f>H47*K47</f>
        <v>#REF!</v>
      </c>
    </row>
    <row r="48" spans="6:12" x14ac:dyDescent="0.25">
      <c r="F48" s="74" t="s">
        <v>50</v>
      </c>
      <c r="G48" s="75"/>
      <c r="H48" s="19" t="e">
        <f>Données!#REF!</f>
        <v>#REF!</v>
      </c>
      <c r="I48" s="20"/>
      <c r="J48" s="21"/>
      <c r="K48" s="20">
        <v>3.0000000000000001E-3</v>
      </c>
      <c r="L48" s="19" t="e">
        <f>H48*K48</f>
        <v>#REF!</v>
      </c>
    </row>
    <row r="49" spans="6:12" x14ac:dyDescent="0.25">
      <c r="F49" s="513" t="s">
        <v>123</v>
      </c>
      <c r="G49" s="514"/>
      <c r="H49" s="19" t="e">
        <f>Données!#REF!</f>
        <v>#REF!</v>
      </c>
      <c r="I49" s="20"/>
      <c r="J49" s="21"/>
      <c r="K49" s="20">
        <v>0.08</v>
      </c>
      <c r="L49" s="19" t="e">
        <f>IF(Données!B36&gt;=11,H49*K49,0)</f>
        <v>#REF!</v>
      </c>
    </row>
    <row r="50" spans="6:12" x14ac:dyDescent="0.25">
      <c r="F50" s="74" t="str">
        <f>IF(Données!B37="Non","Taxe d'apprentissage hors Alsace Moselle","Taxe d'apprentissage Alsace Moselle")</f>
        <v>Taxe d'apprentissage Alsace Moselle</v>
      </c>
      <c r="G50" s="75"/>
      <c r="H50" s="19" t="e">
        <f>Données!#REF!</f>
        <v>#REF!</v>
      </c>
      <c r="I50" s="20"/>
      <c r="J50" s="21"/>
      <c r="K50" s="20">
        <f>IF(Données!B37="Non",0.68%,0.44%)</f>
        <v>4.4000000000000003E-3</v>
      </c>
      <c r="L50" s="19" t="e">
        <f>H50*K50</f>
        <v>#REF!</v>
      </c>
    </row>
    <row r="51" spans="6:12" x14ac:dyDescent="0.25">
      <c r="F51" s="665" t="str">
        <f>IF(Données!B36&lt;11,"Contribution unique à la formation professionnelle entreprise &lt;11 salariés","Contribution unique à la formation professionnelle entreprise &gt;11 salariés")</f>
        <v>Contribution unique à la formation professionnelle entreprise &gt;11 salariés</v>
      </c>
      <c r="G51" s="666"/>
      <c r="H51" s="19">
        <v>909.71</v>
      </c>
      <c r="I51" s="20"/>
      <c r="J51" s="21"/>
      <c r="K51" s="20">
        <f>IF(Données!B36&lt;11,0.55%,1%)</f>
        <v>0.01</v>
      </c>
      <c r="L51" s="19">
        <f>H51*K51</f>
        <v>9.0971000000000011</v>
      </c>
    </row>
    <row r="52" spans="6:12" x14ac:dyDescent="0.25">
      <c r="F52" s="74" t="s">
        <v>52</v>
      </c>
      <c r="G52" s="75"/>
      <c r="H52" s="19">
        <v>909.71</v>
      </c>
      <c r="I52" s="20"/>
      <c r="J52" s="21"/>
      <c r="K52" s="20">
        <v>0.01</v>
      </c>
      <c r="L52" s="19">
        <f>IF(Données!B36&gt;=50,H52*K52,0*H52)</f>
        <v>9.0971000000000011</v>
      </c>
    </row>
    <row r="53" spans="6:12" x14ac:dyDescent="0.25">
      <c r="F53" s="74" t="s">
        <v>53</v>
      </c>
      <c r="G53" s="75"/>
      <c r="H53" s="19">
        <v>909.71</v>
      </c>
      <c r="I53" s="20"/>
      <c r="J53" s="21"/>
      <c r="K53" s="20">
        <v>0.01</v>
      </c>
      <c r="L53" s="19">
        <f>H53*K53</f>
        <v>9.0971000000000011</v>
      </c>
    </row>
    <row r="54" spans="6:12" x14ac:dyDescent="0.25">
      <c r="F54" s="73"/>
      <c r="G54" s="25"/>
      <c r="H54" s="19"/>
      <c r="I54" s="20"/>
      <c r="J54" s="21"/>
      <c r="K54" s="20"/>
      <c r="L54" s="19"/>
    </row>
    <row r="55" spans="6:12" x14ac:dyDescent="0.25">
      <c r="F55" s="73"/>
      <c r="G55" s="25"/>
      <c r="H55" s="19"/>
      <c r="I55" s="20"/>
      <c r="J55" s="21"/>
      <c r="K55" s="20"/>
      <c r="L55" s="19"/>
    </row>
    <row r="56" spans="6:12" x14ac:dyDescent="0.25">
      <c r="F56" s="73"/>
      <c r="G56" s="25"/>
      <c r="H56" s="19"/>
      <c r="I56" s="20"/>
      <c r="J56" s="21"/>
      <c r="K56" s="20"/>
      <c r="L56" s="19"/>
    </row>
    <row r="57" spans="6:12" x14ac:dyDescent="0.25">
      <c r="F57" s="71" t="s">
        <v>55</v>
      </c>
      <c r="G57" s="72"/>
      <c r="H57" s="19"/>
      <c r="I57" s="20"/>
      <c r="J57" s="21"/>
      <c r="K57" s="20"/>
      <c r="L57" s="19"/>
    </row>
    <row r="58" spans="6:12" x14ac:dyDescent="0.25">
      <c r="F58" s="73" t="s">
        <v>56</v>
      </c>
      <c r="G58" s="25"/>
      <c r="H58" s="19"/>
      <c r="I58" s="20"/>
      <c r="J58" s="21"/>
      <c r="K58" s="48" t="e">
        <f>(IF(Données!#REF!&lt;50,0.3191,0.3231)/0.6)*((1.6*(Données!B24*12)/(Données!#REF!*12))-1)%</f>
        <v>#REF!</v>
      </c>
      <c r="L58" s="19" t="e">
        <f>-K58*(Données!#REF!*12)</f>
        <v>#REF!</v>
      </c>
    </row>
    <row r="59" spans="6:12" x14ac:dyDescent="0.25">
      <c r="F59" s="73" t="s">
        <v>124</v>
      </c>
      <c r="G59" s="25"/>
      <c r="H59" s="19"/>
      <c r="I59" s="20"/>
      <c r="J59" s="21"/>
      <c r="K59" s="20">
        <f>IF(Données!B36&lt;20,-1.5%,-0.5%)</f>
        <v>-5.0000000000000001E-3</v>
      </c>
      <c r="L59" s="19" t="e">
        <f>SUM(Données!#REF!)*K59</f>
        <v>#REF!</v>
      </c>
    </row>
    <row r="60" spans="6:12" x14ac:dyDescent="0.25">
      <c r="F60" s="73" t="s">
        <v>58</v>
      </c>
      <c r="G60" s="25"/>
      <c r="H60" s="19" t="e">
        <f>Bulletin!#REF!</f>
        <v>#REF!</v>
      </c>
      <c r="I60" s="20">
        <v>0.11310000000000001</v>
      </c>
      <c r="J60" s="19" t="e">
        <f>H60*I60</f>
        <v>#REF!</v>
      </c>
      <c r="K60" s="22"/>
      <c r="L60" s="19"/>
    </row>
    <row r="61" spans="6:12" x14ac:dyDescent="0.25">
      <c r="F61" s="73" t="s">
        <v>59</v>
      </c>
      <c r="G61" s="25"/>
      <c r="H61" s="19" t="e">
        <f>Bulletin!#REF!</f>
        <v>#REF!</v>
      </c>
      <c r="I61" s="61">
        <v>0.11310000000000001</v>
      </c>
      <c r="J61" s="60" t="e">
        <f>H61*I61</f>
        <v>#REF!</v>
      </c>
      <c r="K61" s="62"/>
      <c r="L61" s="60"/>
    </row>
    <row r="62" spans="6:12" x14ac:dyDescent="0.25">
      <c r="F62" s="26" t="s">
        <v>60</v>
      </c>
      <c r="G62" s="53"/>
      <c r="H62" s="27"/>
      <c r="I62" s="27"/>
      <c r="J62" s="28" t="e">
        <f>SUM(J28:J60)</f>
        <v>#REF!</v>
      </c>
      <c r="K62" s="29"/>
      <c r="L62" s="28" t="e">
        <f>SUM(L28:L58)</f>
        <v>#REF!</v>
      </c>
    </row>
    <row r="63" spans="6:12" x14ac:dyDescent="0.25">
      <c r="F63" s="41"/>
      <c r="L63" s="16"/>
    </row>
    <row r="64" spans="6:12" x14ac:dyDescent="0.25">
      <c r="F64" s="76" t="s">
        <v>61</v>
      </c>
      <c r="G64" s="30"/>
      <c r="L64" s="16"/>
    </row>
    <row r="65" spans="6:12" x14ac:dyDescent="0.25">
      <c r="F65" s="73" t="s">
        <v>62</v>
      </c>
      <c r="G65" s="25"/>
      <c r="H65" s="31">
        <f>Données!I43</f>
        <v>0</v>
      </c>
      <c r="I65" s="66">
        <f>Données!J43</f>
        <v>0</v>
      </c>
      <c r="J65" s="31">
        <f>H65*I65</f>
        <v>0</v>
      </c>
      <c r="K65" s="31"/>
      <c r="L65" s="32"/>
    </row>
    <row r="66" spans="6:12" x14ac:dyDescent="0.25">
      <c r="F66" s="73" t="s">
        <v>63</v>
      </c>
      <c r="G66" s="25"/>
      <c r="H66" s="31"/>
      <c r="I66" s="31"/>
      <c r="J66" s="31">
        <f>H66*I66</f>
        <v>0</v>
      </c>
      <c r="K66" s="31"/>
      <c r="L66" s="32"/>
    </row>
    <row r="67" spans="6:12" x14ac:dyDescent="0.25">
      <c r="F67" s="73" t="s">
        <v>64</v>
      </c>
      <c r="G67" s="25"/>
      <c r="H67" s="31"/>
      <c r="I67" s="31"/>
      <c r="J67" s="31">
        <f>H67*I67</f>
        <v>0</v>
      </c>
      <c r="K67" s="31"/>
      <c r="L67" s="32"/>
    </row>
    <row r="68" spans="6:12" x14ac:dyDescent="0.25">
      <c r="F68" s="73" t="s">
        <v>65</v>
      </c>
      <c r="G68" s="25"/>
      <c r="H68" s="31"/>
      <c r="I68" s="31"/>
      <c r="J68" s="31">
        <f>H68*I68</f>
        <v>0</v>
      </c>
      <c r="K68" s="31"/>
      <c r="L68" s="32"/>
    </row>
    <row r="69" spans="6:12" x14ac:dyDescent="0.25">
      <c r="F69" s="73" t="s">
        <v>66</v>
      </c>
      <c r="G69" s="25"/>
      <c r="H69" s="31"/>
      <c r="I69" s="31"/>
      <c r="J69" s="31"/>
      <c r="K69" s="31"/>
      <c r="L69" s="32"/>
    </row>
    <row r="70" spans="6:12" x14ac:dyDescent="0.25">
      <c r="F70" s="76" t="s">
        <v>67</v>
      </c>
      <c r="G70" s="30"/>
      <c r="H70" s="31"/>
      <c r="I70" s="31"/>
      <c r="J70" s="31"/>
      <c r="K70" s="31"/>
      <c r="L70" s="32"/>
    </row>
    <row r="71" spans="6:12" x14ac:dyDescent="0.25">
      <c r="F71" s="73" t="s">
        <v>68</v>
      </c>
      <c r="G71" s="25"/>
      <c r="H71" s="31">
        <f>Données!I51*Données!J65</f>
        <v>0</v>
      </c>
      <c r="I71" s="33">
        <v>0.5</v>
      </c>
      <c r="J71" s="31">
        <f>H71*I71</f>
        <v>0</v>
      </c>
      <c r="K71" s="33"/>
      <c r="L71" s="32"/>
    </row>
    <row r="72" spans="6:12" x14ac:dyDescent="0.25">
      <c r="F72" s="73" t="s">
        <v>69</v>
      </c>
      <c r="G72" s="25"/>
      <c r="H72" s="31"/>
      <c r="I72" s="33"/>
      <c r="J72" s="34"/>
      <c r="K72" s="33"/>
      <c r="L72" s="16"/>
    </row>
    <row r="73" spans="6:12" x14ac:dyDescent="0.25">
      <c r="F73" s="73" t="s">
        <v>70</v>
      </c>
      <c r="G73" s="25"/>
      <c r="H73" s="31">
        <f>Données!J39</f>
        <v>0</v>
      </c>
      <c r="I73" s="68">
        <f>Données!K39</f>
        <v>0</v>
      </c>
      <c r="J73" s="34">
        <f>IF(Données!L39&gt;0,Données!L39,0)</f>
        <v>0</v>
      </c>
      <c r="K73" s="31"/>
      <c r="L73" s="32"/>
    </row>
    <row r="74" spans="6:12" x14ac:dyDescent="0.25">
      <c r="F74" s="73" t="s">
        <v>71</v>
      </c>
      <c r="G74" s="25"/>
      <c r="H74" s="31"/>
      <c r="I74" s="31"/>
      <c r="J74" s="34">
        <f>Données!L40</f>
        <v>0</v>
      </c>
      <c r="K74" s="31"/>
      <c r="L74" s="32"/>
    </row>
    <row r="75" spans="6:12" x14ac:dyDescent="0.25">
      <c r="F75" s="73" t="s">
        <v>72</v>
      </c>
      <c r="G75" s="25"/>
      <c r="H75" s="31"/>
      <c r="I75" s="31"/>
      <c r="J75" s="34">
        <f>Données!L41</f>
        <v>0</v>
      </c>
      <c r="K75" s="31"/>
      <c r="L75" s="32"/>
    </row>
    <row r="76" spans="6:12" x14ac:dyDescent="0.25">
      <c r="F76" s="73" t="s">
        <v>73</v>
      </c>
      <c r="G76" s="25"/>
      <c r="H76" s="31"/>
      <c r="I76" s="31"/>
      <c r="J76" s="34" t="e">
        <f>Données!#REF!</f>
        <v>#REF!</v>
      </c>
      <c r="K76" s="31"/>
      <c r="L76" s="32"/>
    </row>
    <row r="77" spans="6:12" ht="18.75" x14ac:dyDescent="0.3">
      <c r="F77" s="497" t="s">
        <v>74</v>
      </c>
      <c r="G77" s="498"/>
      <c r="H77" s="498"/>
      <c r="I77" s="498"/>
      <c r="J77" s="498"/>
      <c r="K77" s="498"/>
      <c r="L77" s="35" t="e">
        <f>Données!#REF!-J62+SUM(J65:J69)-SUM(J71:J76)</f>
        <v>#REF!</v>
      </c>
    </row>
    <row r="78" spans="6:12" x14ac:dyDescent="0.25">
      <c r="F78" s="73" t="s">
        <v>75</v>
      </c>
      <c r="G78" s="25"/>
      <c r="L78" s="36" t="e">
        <f>(H37*3.15%)</f>
        <v>#REF!</v>
      </c>
    </row>
    <row r="79" spans="6:12" x14ac:dyDescent="0.25">
      <c r="F79" s="667" t="s">
        <v>76</v>
      </c>
      <c r="G79" s="667"/>
      <c r="H79" s="667"/>
      <c r="I79" s="37" t="s">
        <v>29</v>
      </c>
      <c r="J79" s="482" t="s">
        <v>77</v>
      </c>
      <c r="K79" s="483"/>
      <c r="L79" s="37" t="s">
        <v>22</v>
      </c>
    </row>
    <row r="80" spans="6:12" x14ac:dyDescent="0.25">
      <c r="F80" s="676" t="s">
        <v>78</v>
      </c>
      <c r="G80" s="676"/>
      <c r="H80" s="676"/>
      <c r="I80" s="44" t="e">
        <f>H81</f>
        <v>#REF!</v>
      </c>
      <c r="J80" s="677">
        <v>0</v>
      </c>
      <c r="K80" s="677"/>
      <c r="L80" s="28" t="e">
        <f>I80*J80</f>
        <v>#REF!</v>
      </c>
    </row>
    <row r="81" spans="6:12" x14ac:dyDescent="0.25">
      <c r="F81" s="1" t="s">
        <v>79</v>
      </c>
      <c r="G81" s="1"/>
      <c r="H81" s="678" t="e">
        <f>Données!#REF!-(SUM(Données!H13:H31))-J62+L31</f>
        <v>#REF!</v>
      </c>
      <c r="I81" s="676"/>
      <c r="J81" s="679" t="s">
        <v>80</v>
      </c>
      <c r="K81" s="679"/>
      <c r="L81" s="679"/>
    </row>
    <row r="82" spans="6:12" ht="15.75" x14ac:dyDescent="0.25">
      <c r="F82" s="41"/>
      <c r="J82" s="680" t="e">
        <f>L77-L80</f>
        <v>#REF!</v>
      </c>
      <c r="K82" s="681"/>
      <c r="L82" s="682"/>
    </row>
    <row r="83" spans="6:12" x14ac:dyDescent="0.25">
      <c r="F83" s="38"/>
      <c r="G83" s="39"/>
      <c r="H83" s="39"/>
      <c r="I83" s="683" t="s">
        <v>81</v>
      </c>
      <c r="J83" s="683"/>
      <c r="K83" s="683"/>
      <c r="L83" s="40" t="e">
        <f>-L58-L57+(H34*1.8%)+(H28*6%)</f>
        <v>#REF!</v>
      </c>
    </row>
    <row r="84" spans="6:12" x14ac:dyDescent="0.25">
      <c r="F84" s="41"/>
      <c r="I84" s="668" t="s">
        <v>82</v>
      </c>
      <c r="J84" s="668"/>
      <c r="K84" s="668"/>
      <c r="L84" s="42" t="e">
        <f>SALBRUT+L62+SUM(J65:J69)</f>
        <v>#REF!</v>
      </c>
    </row>
    <row r="85" spans="6:12" x14ac:dyDescent="0.25">
      <c r="F85" s="669" t="s">
        <v>83</v>
      </c>
      <c r="G85" s="670"/>
      <c r="H85" s="670"/>
      <c r="I85" s="670"/>
      <c r="J85" s="670"/>
      <c r="K85" s="671" t="s">
        <v>84</v>
      </c>
      <c r="L85" s="672"/>
    </row>
    <row r="86" spans="6:12" ht="18.75" x14ac:dyDescent="0.25">
      <c r="F86" s="673" t="s">
        <v>85</v>
      </c>
      <c r="G86" s="674"/>
      <c r="H86" s="674"/>
      <c r="I86" s="674"/>
      <c r="J86" s="674"/>
      <c r="K86" s="674"/>
      <c r="L86" s="675"/>
    </row>
  </sheetData>
  <mergeCells count="22">
    <mergeCell ref="I84:K84"/>
    <mergeCell ref="F85:J85"/>
    <mergeCell ref="K85:L85"/>
    <mergeCell ref="F86:L86"/>
    <mergeCell ref="F80:H80"/>
    <mergeCell ref="J80:K80"/>
    <mergeCell ref="H81:I81"/>
    <mergeCell ref="J81:L81"/>
    <mergeCell ref="J82:L82"/>
    <mergeCell ref="I83:K83"/>
    <mergeCell ref="J18:L18"/>
    <mergeCell ref="F49:G49"/>
    <mergeCell ref="F51:G51"/>
    <mergeCell ref="F77:K77"/>
    <mergeCell ref="F79:H79"/>
    <mergeCell ref="J79:K79"/>
    <mergeCell ref="J17:L17"/>
    <mergeCell ref="F4:L5"/>
    <mergeCell ref="J13:L13"/>
    <mergeCell ref="J14:L14"/>
    <mergeCell ref="J15:L15"/>
    <mergeCell ref="J16:L16"/>
  </mergeCells>
  <hyperlinks>
    <hyperlink ref="K85" r:id="rId1"/>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4:L86"/>
  <sheetViews>
    <sheetView workbookViewId="0">
      <selection activeCell="F4" sqref="F4:L86"/>
    </sheetView>
  </sheetViews>
  <sheetFormatPr defaultColWidth="11.42578125" defaultRowHeight="15" x14ac:dyDescent="0.25"/>
  <sheetData>
    <row r="4" spans="6:12" x14ac:dyDescent="0.25">
      <c r="F4" s="499" t="s">
        <v>0</v>
      </c>
      <c r="G4" s="500"/>
      <c r="H4" s="500"/>
      <c r="I4" s="500"/>
      <c r="J4" s="500"/>
      <c r="K4" s="500"/>
      <c r="L4" s="501"/>
    </row>
    <row r="5" spans="6:12" x14ac:dyDescent="0.25">
      <c r="F5" s="502"/>
      <c r="G5" s="503"/>
      <c r="H5" s="503"/>
      <c r="I5" s="503"/>
      <c r="J5" s="503"/>
      <c r="K5" s="503"/>
      <c r="L5" s="504"/>
    </row>
    <row r="6" spans="6:12" x14ac:dyDescent="0.25">
      <c r="F6" s="3" t="s">
        <v>3</v>
      </c>
      <c r="G6" s="5"/>
      <c r="H6" s="4"/>
      <c r="I6" s="3" t="s">
        <v>115</v>
      </c>
      <c r="J6" s="51" t="s">
        <v>112</v>
      </c>
      <c r="K6" s="6"/>
      <c r="L6" s="4"/>
    </row>
    <row r="7" spans="6:12" x14ac:dyDescent="0.25">
      <c r="F7" s="7" t="s">
        <v>6</v>
      </c>
      <c r="G7" s="9"/>
      <c r="H7" s="8"/>
      <c r="I7" s="7"/>
      <c r="J7" s="9"/>
      <c r="K7" s="10"/>
      <c r="L7" s="8"/>
    </row>
    <row r="8" spans="6:12" x14ac:dyDescent="0.25">
      <c r="F8" s="7"/>
      <c r="G8" s="9"/>
      <c r="H8" s="8"/>
      <c r="I8" s="7"/>
      <c r="J8" s="9"/>
      <c r="K8" s="9"/>
      <c r="L8" s="8"/>
    </row>
    <row r="9" spans="6:12" x14ac:dyDescent="0.25">
      <c r="F9" s="7" t="s">
        <v>9</v>
      </c>
      <c r="G9" s="9"/>
      <c r="H9" s="8"/>
      <c r="I9" s="7"/>
      <c r="J9" s="9" t="s">
        <v>10</v>
      </c>
      <c r="K9" s="9"/>
      <c r="L9" s="8"/>
    </row>
    <row r="10" spans="6:12" x14ac:dyDescent="0.25">
      <c r="F10" s="7" t="s">
        <v>11</v>
      </c>
      <c r="G10" s="9"/>
      <c r="H10" s="8"/>
      <c r="I10" s="7"/>
      <c r="J10" s="9"/>
      <c r="K10" s="9"/>
      <c r="L10" s="8"/>
    </row>
    <row r="11" spans="6:12" x14ac:dyDescent="0.25">
      <c r="F11" s="7" t="s">
        <v>12</v>
      </c>
      <c r="G11" s="9"/>
      <c r="H11" s="8"/>
      <c r="I11" s="7"/>
      <c r="J11" s="9"/>
      <c r="K11" s="9"/>
      <c r="L11" s="8"/>
    </row>
    <row r="12" spans="6:12" x14ac:dyDescent="0.25">
      <c r="F12" s="11" t="s">
        <v>13</v>
      </c>
      <c r="G12" s="13"/>
      <c r="H12" s="12"/>
      <c r="I12" s="11"/>
      <c r="J12" s="13"/>
      <c r="K12" s="13"/>
      <c r="L12" s="14"/>
    </row>
    <row r="13" spans="6:12" x14ac:dyDescent="0.25">
      <c r="F13" s="7" t="s">
        <v>15</v>
      </c>
      <c r="G13" s="9"/>
      <c r="H13" s="9"/>
      <c r="I13" s="9" t="s">
        <v>14</v>
      </c>
      <c r="J13" s="505"/>
      <c r="K13" s="505"/>
      <c r="L13" s="506"/>
    </row>
    <row r="14" spans="6:12" x14ac:dyDescent="0.25">
      <c r="F14" s="7" t="s">
        <v>89</v>
      </c>
      <c r="G14" s="9"/>
      <c r="H14" s="9"/>
      <c r="I14" s="9" t="s">
        <v>6</v>
      </c>
      <c r="J14" s="505"/>
      <c r="K14" s="505"/>
      <c r="L14" s="506"/>
    </row>
    <row r="15" spans="6:12" x14ac:dyDescent="0.25">
      <c r="F15" s="7" t="s">
        <v>16</v>
      </c>
      <c r="G15" s="9"/>
      <c r="H15" s="54"/>
      <c r="I15" s="9"/>
      <c r="J15" s="505"/>
      <c r="K15" s="505"/>
      <c r="L15" s="506"/>
    </row>
    <row r="16" spans="6:12" x14ac:dyDescent="0.25">
      <c r="F16" s="7" t="s">
        <v>17</v>
      </c>
      <c r="G16" s="9"/>
      <c r="H16" s="49"/>
      <c r="I16" s="9"/>
      <c r="J16" s="507"/>
      <c r="K16" s="507"/>
      <c r="L16" s="508"/>
    </row>
    <row r="17" spans="6:12" x14ac:dyDescent="0.25">
      <c r="F17" s="7" t="s">
        <v>19</v>
      </c>
      <c r="G17" s="9"/>
      <c r="H17" s="54"/>
      <c r="I17" s="9"/>
      <c r="J17" s="507"/>
      <c r="K17" s="507"/>
      <c r="L17" s="508"/>
    </row>
    <row r="18" spans="6:12" x14ac:dyDescent="0.25">
      <c r="F18" s="52" t="s">
        <v>114</v>
      </c>
      <c r="G18" s="55">
        <f>Données!I11</f>
        <v>8.3214442700156983</v>
      </c>
      <c r="H18" s="50" t="s">
        <v>111</v>
      </c>
      <c r="I18" s="13"/>
      <c r="J18" s="509"/>
      <c r="K18" s="509"/>
      <c r="L18" s="510"/>
    </row>
    <row r="19" spans="6:12" x14ac:dyDescent="0.25">
      <c r="F19" s="41"/>
      <c r="H19" s="31" t="s">
        <v>20</v>
      </c>
      <c r="I19" s="31" t="s">
        <v>21</v>
      </c>
      <c r="J19" s="31" t="s">
        <v>22</v>
      </c>
      <c r="L19" s="15"/>
    </row>
    <row r="20" spans="6:12" x14ac:dyDescent="0.25">
      <c r="F20" s="41" t="s">
        <v>23</v>
      </c>
      <c r="H20" s="31" t="e">
        <f>Données!#REF!</f>
        <v>#REF!</v>
      </c>
      <c r="I20" s="34" t="e">
        <f>Données!#REF!</f>
        <v>#REF!</v>
      </c>
      <c r="J20" s="34" t="e">
        <f>Données!#REF!</f>
        <v>#REF!</v>
      </c>
      <c r="L20" s="16"/>
    </row>
    <row r="21" spans="6:12" x14ac:dyDescent="0.25">
      <c r="F21" s="41"/>
      <c r="H21" s="34"/>
      <c r="I21" s="34"/>
      <c r="J21" s="34"/>
      <c r="L21" s="16"/>
    </row>
    <row r="22" spans="6:12" x14ac:dyDescent="0.25">
      <c r="F22" s="41"/>
      <c r="H22" s="31"/>
      <c r="I22" s="34"/>
      <c r="J22" s="34"/>
      <c r="L22" s="16"/>
    </row>
    <row r="23" spans="6:12" x14ac:dyDescent="0.25">
      <c r="F23" s="41" t="s">
        <v>24</v>
      </c>
      <c r="H23" s="34" t="e">
        <f>Données!#REF!</f>
        <v>#REF!</v>
      </c>
      <c r="I23" s="34" t="e">
        <f>Données!#REF!</f>
        <v>#REF!</v>
      </c>
      <c r="J23" s="34" t="e">
        <f>H23*I23</f>
        <v>#REF!</v>
      </c>
      <c r="K23" s="34"/>
      <c r="L23" s="16"/>
    </row>
    <row r="24" spans="6:12" x14ac:dyDescent="0.25">
      <c r="F24" s="41" t="s">
        <v>25</v>
      </c>
      <c r="H24" s="34" t="e">
        <f>Données!#REF!</f>
        <v>#REF!</v>
      </c>
      <c r="I24" s="34" t="e">
        <f>Données!#REF!</f>
        <v>#REF!</v>
      </c>
      <c r="J24" s="34" t="e">
        <f>H24*I24</f>
        <v>#REF!</v>
      </c>
      <c r="L24" s="16"/>
    </row>
    <row r="25" spans="6:12" x14ac:dyDescent="0.25">
      <c r="F25" s="41"/>
      <c r="H25" s="31"/>
      <c r="I25" s="34"/>
      <c r="J25" s="34"/>
      <c r="L25" s="16"/>
    </row>
    <row r="26" spans="6:12" x14ac:dyDescent="0.25">
      <c r="F26" s="41" t="s">
        <v>26</v>
      </c>
      <c r="H26" s="31" t="e">
        <f>Données!#REF!</f>
        <v>#REF!</v>
      </c>
      <c r="I26" s="34" t="e">
        <f>Données!#REF!</f>
        <v>#REF!</v>
      </c>
      <c r="J26" s="34" t="e">
        <f>Données!#REF!</f>
        <v>#REF!</v>
      </c>
      <c r="L26" s="16"/>
    </row>
    <row r="27" spans="6:12" x14ac:dyDescent="0.25">
      <c r="F27" s="70" t="s">
        <v>27</v>
      </c>
      <c r="G27" s="17"/>
      <c r="H27" s="17"/>
      <c r="I27" s="17"/>
      <c r="J27" s="17"/>
      <c r="K27" s="17"/>
      <c r="L27" s="18"/>
    </row>
    <row r="28" spans="6:12" x14ac:dyDescent="0.25">
      <c r="F28" s="71" t="s">
        <v>28</v>
      </c>
      <c r="G28" s="72"/>
      <c r="H28" s="69" t="s">
        <v>29</v>
      </c>
      <c r="I28" s="69" t="s">
        <v>30</v>
      </c>
      <c r="J28" s="69" t="s">
        <v>31</v>
      </c>
      <c r="K28" s="69" t="s">
        <v>32</v>
      </c>
      <c r="L28" s="69" t="s">
        <v>22</v>
      </c>
    </row>
    <row r="29" spans="6:12" x14ac:dyDescent="0.25">
      <c r="F29" s="73" t="s">
        <v>33</v>
      </c>
      <c r="G29" s="25"/>
      <c r="H29" s="19" t="e">
        <f>Données!#REF!</f>
        <v>#REF!</v>
      </c>
      <c r="I29" s="56"/>
      <c r="J29" s="57"/>
      <c r="K29" s="56" t="e">
        <f>IF(Données!#REF!&lt;=(2.5*Données!B24),7%,13%)</f>
        <v>#REF!</v>
      </c>
      <c r="L29" s="19" t="e">
        <f>H29*K29</f>
        <v>#REF!</v>
      </c>
    </row>
    <row r="30" spans="6:12" x14ac:dyDescent="0.25">
      <c r="F30" s="73" t="s">
        <v>34</v>
      </c>
      <c r="G30" s="25"/>
      <c r="H30" s="19"/>
      <c r="I30" s="56"/>
      <c r="J30" s="58">
        <f>H30*I30</f>
        <v>0</v>
      </c>
      <c r="K30" s="56"/>
      <c r="L30" s="19">
        <f>H30*K30</f>
        <v>0</v>
      </c>
    </row>
    <row r="31" spans="6:12" x14ac:dyDescent="0.25">
      <c r="F31" s="73" t="s">
        <v>127</v>
      </c>
      <c r="G31" s="25"/>
      <c r="H31" s="19">
        <f>Données!E41</f>
        <v>0.02</v>
      </c>
      <c r="I31" s="56">
        <f>Données!F41</f>
        <v>0</v>
      </c>
      <c r="J31" s="58">
        <f>H31*I31</f>
        <v>0</v>
      </c>
      <c r="K31" s="56">
        <f>Données!G41</f>
        <v>0</v>
      </c>
      <c r="L31" s="19">
        <f>H31*K31</f>
        <v>0</v>
      </c>
    </row>
    <row r="32" spans="6:12" x14ac:dyDescent="0.25">
      <c r="F32" s="71" t="s">
        <v>35</v>
      </c>
      <c r="G32" s="72"/>
      <c r="H32" s="19" t="e">
        <f>Données!#REF!</f>
        <v>#REF!</v>
      </c>
      <c r="I32" s="20"/>
      <c r="J32" s="19"/>
      <c r="K32" s="20">
        <f>Données!E42</f>
        <v>0</v>
      </c>
      <c r="L32" s="19" t="e">
        <f>H32*K32</f>
        <v>#REF!</v>
      </c>
    </row>
    <row r="33" spans="6:12" x14ac:dyDescent="0.25">
      <c r="F33" s="41"/>
      <c r="H33" s="19"/>
      <c r="I33" s="20"/>
      <c r="J33" s="19"/>
      <c r="K33" s="20"/>
      <c r="L33" s="19"/>
    </row>
    <row r="34" spans="6:12" x14ac:dyDescent="0.25">
      <c r="F34" s="71" t="s">
        <v>36</v>
      </c>
      <c r="G34" s="72"/>
      <c r="H34" s="19"/>
      <c r="I34" s="20"/>
      <c r="J34" s="19"/>
      <c r="K34" s="20"/>
      <c r="L34" s="19"/>
    </row>
    <row r="35" spans="6:12" x14ac:dyDescent="0.25">
      <c r="F35" s="73" t="s">
        <v>37</v>
      </c>
      <c r="G35" s="25"/>
      <c r="H35" s="19" t="e">
        <f>Données!#REF!</f>
        <v>#REF!</v>
      </c>
      <c r="I35" s="20"/>
      <c r="J35" s="19"/>
      <c r="K35" s="59" t="e">
        <f>IF(Données!#REF!&lt;=(3.5*Données!B24),3.45%,5.25%)</f>
        <v>#REF!</v>
      </c>
      <c r="L35" s="19" t="e">
        <f>H35*K35</f>
        <v>#REF!</v>
      </c>
    </row>
    <row r="36" spans="6:12" x14ac:dyDescent="0.25">
      <c r="F36" s="71" t="s">
        <v>38</v>
      </c>
      <c r="G36" s="72"/>
      <c r="H36" s="19"/>
      <c r="I36" s="20"/>
      <c r="J36" s="21"/>
      <c r="K36" s="20"/>
      <c r="L36" s="19"/>
    </row>
    <row r="37" spans="6:12" x14ac:dyDescent="0.25">
      <c r="F37" s="73" t="s">
        <v>39</v>
      </c>
      <c r="G37" s="25"/>
      <c r="H37" s="19" t="e">
        <f>Données!#REF!</f>
        <v>#REF!</v>
      </c>
      <c r="I37" s="20"/>
      <c r="J37" s="21"/>
      <c r="K37" s="20">
        <f>Données!E43</f>
        <v>0</v>
      </c>
      <c r="L37" s="19" t="e">
        <f>H37*K37</f>
        <v>#REF!</v>
      </c>
    </row>
    <row r="38" spans="6:12" x14ac:dyDescent="0.25">
      <c r="F38" s="73" t="s">
        <v>40</v>
      </c>
      <c r="G38" s="25"/>
      <c r="H38" s="19" t="e">
        <f>Données!#REF!</f>
        <v>#REF!</v>
      </c>
      <c r="I38" s="20"/>
      <c r="J38" s="21"/>
      <c r="K38" s="20" t="e">
        <f>Données!#REF!</f>
        <v>#REF!</v>
      </c>
      <c r="L38" s="19" t="e">
        <f>H38*K38</f>
        <v>#REF!</v>
      </c>
    </row>
    <row r="39" spans="6:12" x14ac:dyDescent="0.25">
      <c r="F39" s="71" t="s">
        <v>41</v>
      </c>
      <c r="G39" s="72"/>
      <c r="H39" s="19"/>
      <c r="I39" s="56"/>
      <c r="J39" s="21"/>
      <c r="K39" s="20"/>
      <c r="L39" s="19"/>
    </row>
    <row r="40" spans="6:12" x14ac:dyDescent="0.25">
      <c r="F40" s="73" t="s">
        <v>42</v>
      </c>
      <c r="G40" s="25"/>
      <c r="H40" s="19" t="e">
        <f>Données!#REF!</f>
        <v>#REF!</v>
      </c>
      <c r="I40" s="56">
        <v>6.9000000000000006E-2</v>
      </c>
      <c r="J40" s="19" t="e">
        <f>IF(Données!D37="Exonération de cotisation",0,H40*I40)</f>
        <v>#REF!</v>
      </c>
      <c r="K40" s="20">
        <v>8.5500000000000007E-2</v>
      </c>
      <c r="L40" s="19" t="e">
        <f>Données!#REF!*K40</f>
        <v>#REF!</v>
      </c>
    </row>
    <row r="41" spans="6:12" x14ac:dyDescent="0.25">
      <c r="F41" s="73" t="s">
        <v>43</v>
      </c>
      <c r="G41" s="25"/>
      <c r="H41" s="19" t="e">
        <f>Données!#REF!</f>
        <v>#REF!</v>
      </c>
      <c r="I41" s="56">
        <v>4.0000000000000001E-3</v>
      </c>
      <c r="J41" s="19" t="e">
        <f>IF(Données!D37="Exonération de cotisation",0,H41*I41)</f>
        <v>#REF!</v>
      </c>
      <c r="K41" s="20">
        <v>2.0199999999999999E-2</v>
      </c>
      <c r="L41" s="19" t="e">
        <f>Données!#REF!*K41</f>
        <v>#REF!</v>
      </c>
    </row>
    <row r="42" spans="6:12" x14ac:dyDescent="0.25">
      <c r="F42" s="73" t="s">
        <v>44</v>
      </c>
      <c r="G42" s="25"/>
      <c r="H42" s="19" t="e">
        <f>Données!#REF!</f>
        <v>#REF!</v>
      </c>
      <c r="I42" s="56">
        <v>3.15E-2</v>
      </c>
      <c r="J42" s="19" t="e">
        <f>IF(Données!D37="Exonération de cotisation",0,H42*I42)</f>
        <v>#REF!</v>
      </c>
      <c r="K42" s="20">
        <v>4.7199999999999999E-2</v>
      </c>
      <c r="L42" s="19" t="e">
        <f>Données!#REF!*K42</f>
        <v>#REF!</v>
      </c>
    </row>
    <row r="43" spans="6:12" x14ac:dyDescent="0.25">
      <c r="F43" s="73" t="s">
        <v>45</v>
      </c>
      <c r="G43" s="25"/>
      <c r="H43" s="19" t="e">
        <f>Données!#REF!</f>
        <v>#REF!</v>
      </c>
      <c r="I43" s="56">
        <v>8.6E-3</v>
      </c>
      <c r="J43" s="19" t="e">
        <f>IF(Données!D37="Exonération de cotisation",0,H43*I43)</f>
        <v>#REF!</v>
      </c>
      <c r="K43" s="20">
        <v>1.29E-2</v>
      </c>
      <c r="L43" s="19" t="e">
        <f>Données!#REF!*K43</f>
        <v>#REF!</v>
      </c>
    </row>
    <row r="44" spans="6:12" x14ac:dyDescent="0.25">
      <c r="F44" s="71" t="s">
        <v>46</v>
      </c>
      <c r="G44" s="72"/>
      <c r="H44" s="19"/>
      <c r="I44" s="56"/>
      <c r="J44" s="21"/>
      <c r="K44" s="20"/>
      <c r="L44" s="19"/>
    </row>
    <row r="45" spans="6:12" x14ac:dyDescent="0.25">
      <c r="F45" s="74" t="s">
        <v>47</v>
      </c>
      <c r="G45" s="75"/>
      <c r="H45" s="19">
        <f>IF(Données!B36&lt;50,Données!#REF!,0)</f>
        <v>0</v>
      </c>
      <c r="I45" s="20"/>
      <c r="J45" s="21"/>
      <c r="K45" s="20">
        <v>1E-3</v>
      </c>
      <c r="L45" s="19">
        <f>K45*H45</f>
        <v>0</v>
      </c>
    </row>
    <row r="46" spans="6:12" x14ac:dyDescent="0.25">
      <c r="F46" s="74" t="s">
        <v>48</v>
      </c>
      <c r="G46" s="75"/>
      <c r="H46" s="19" t="e">
        <f>IF(Données!B36&gt;=50,Données!#REF!,0)</f>
        <v>#REF!</v>
      </c>
      <c r="I46" s="20"/>
      <c r="J46" s="21"/>
      <c r="K46" s="20">
        <v>5.0000000000000001E-3</v>
      </c>
      <c r="L46" s="19" t="e">
        <f>H46*K46</f>
        <v>#REF!</v>
      </c>
    </row>
    <row r="47" spans="6:12" x14ac:dyDescent="0.25">
      <c r="F47" s="74" t="s">
        <v>49</v>
      </c>
      <c r="G47" s="75"/>
      <c r="H47" s="19" t="e">
        <f>Données!#REF!</f>
        <v>#REF!</v>
      </c>
      <c r="I47" s="20"/>
      <c r="J47" s="21"/>
      <c r="K47" s="63">
        <v>1.6000000000000001E-4</v>
      </c>
      <c r="L47" s="19" t="e">
        <f>H47*K47</f>
        <v>#REF!</v>
      </c>
    </row>
    <row r="48" spans="6:12" x14ac:dyDescent="0.25">
      <c r="F48" s="74" t="s">
        <v>50</v>
      </c>
      <c r="G48" s="75"/>
      <c r="H48" s="19" t="e">
        <f>Données!#REF!</f>
        <v>#REF!</v>
      </c>
      <c r="I48" s="20"/>
      <c r="J48" s="21"/>
      <c r="K48" s="20">
        <v>3.0000000000000001E-3</v>
      </c>
      <c r="L48" s="19" t="e">
        <f>H48*K48</f>
        <v>#REF!</v>
      </c>
    </row>
    <row r="49" spans="6:12" x14ac:dyDescent="0.25">
      <c r="F49" s="513" t="s">
        <v>123</v>
      </c>
      <c r="G49" s="514"/>
      <c r="H49" s="19" t="e">
        <f>Données!#REF!</f>
        <v>#REF!</v>
      </c>
      <c r="I49" s="20"/>
      <c r="J49" s="21"/>
      <c r="K49" s="20">
        <v>0.08</v>
      </c>
      <c r="L49" s="19" t="e">
        <f>IF(Données!B36&gt;=11,H49*K49,0)</f>
        <v>#REF!</v>
      </c>
    </row>
    <row r="50" spans="6:12" x14ac:dyDescent="0.25">
      <c r="F50" s="74" t="str">
        <f>IF(Données!B37="Non","Taxe d'apprentissage hors Alsace Moselle","Taxe d'apprentissage Alsace Moselle")</f>
        <v>Taxe d'apprentissage Alsace Moselle</v>
      </c>
      <c r="G50" s="75"/>
      <c r="H50" s="19" t="e">
        <f>Données!#REF!</f>
        <v>#REF!</v>
      </c>
      <c r="I50" s="20"/>
      <c r="J50" s="21"/>
      <c r="K50" s="20">
        <f>IF(Données!B37="Non",0.68%,0.44%)</f>
        <v>4.4000000000000003E-3</v>
      </c>
      <c r="L50" s="19" t="e">
        <f>H50*K50</f>
        <v>#REF!</v>
      </c>
    </row>
    <row r="51" spans="6:12" x14ac:dyDescent="0.25">
      <c r="F51" s="665" t="str">
        <f>IF(Données!B36&lt;11,"Contribution unique à la formation professionnelle entreprise &lt;11 salariés","Contribution unique à la formation professionnelle entreprise &gt;11 salariés")</f>
        <v>Contribution unique à la formation professionnelle entreprise &gt;11 salariés</v>
      </c>
      <c r="G51" s="666"/>
      <c r="H51" s="19">
        <v>909.71</v>
      </c>
      <c r="I51" s="20"/>
      <c r="J51" s="21"/>
      <c r="K51" s="20">
        <f>IF(Données!B36&lt;11,0.55%,1%)</f>
        <v>0.01</v>
      </c>
      <c r="L51" s="19">
        <f>H51*K51</f>
        <v>9.0971000000000011</v>
      </c>
    </row>
    <row r="52" spans="6:12" x14ac:dyDescent="0.25">
      <c r="F52" s="74" t="s">
        <v>52</v>
      </c>
      <c r="G52" s="75"/>
      <c r="H52" s="19">
        <v>909.71</v>
      </c>
      <c r="I52" s="20"/>
      <c r="J52" s="21"/>
      <c r="K52" s="20">
        <v>0.01</v>
      </c>
      <c r="L52" s="19">
        <f>IF(Données!B36&gt;=50,H52*K52,0*H52)</f>
        <v>9.0971000000000011</v>
      </c>
    </row>
    <row r="53" spans="6:12" x14ac:dyDescent="0.25">
      <c r="F53" s="74" t="s">
        <v>53</v>
      </c>
      <c r="G53" s="75"/>
      <c r="H53" s="19">
        <v>909.71</v>
      </c>
      <c r="I53" s="20"/>
      <c r="J53" s="21"/>
      <c r="K53" s="20">
        <v>0.01</v>
      </c>
      <c r="L53" s="19">
        <f>H53*K53</f>
        <v>9.0971000000000011</v>
      </c>
    </row>
    <row r="54" spans="6:12" x14ac:dyDescent="0.25">
      <c r="F54" s="73"/>
      <c r="G54" s="25"/>
      <c r="H54" s="19"/>
      <c r="I54" s="20"/>
      <c r="J54" s="21"/>
      <c r="K54" s="20"/>
      <c r="L54" s="19"/>
    </row>
    <row r="55" spans="6:12" x14ac:dyDescent="0.25">
      <c r="F55" s="73"/>
      <c r="G55" s="25"/>
      <c r="H55" s="19"/>
      <c r="I55" s="20"/>
      <c r="J55" s="21"/>
      <c r="K55" s="20"/>
      <c r="L55" s="19"/>
    </row>
    <row r="56" spans="6:12" x14ac:dyDescent="0.25">
      <c r="F56" s="73"/>
      <c r="G56" s="25"/>
      <c r="H56" s="19"/>
      <c r="I56" s="20"/>
      <c r="J56" s="21"/>
      <c r="K56" s="20"/>
      <c r="L56" s="19"/>
    </row>
    <row r="57" spans="6:12" x14ac:dyDescent="0.25">
      <c r="F57" s="71" t="s">
        <v>55</v>
      </c>
      <c r="G57" s="72"/>
      <c r="H57" s="19"/>
      <c r="I57" s="20"/>
      <c r="J57" s="21"/>
      <c r="K57" s="20"/>
      <c r="L57" s="19"/>
    </row>
    <row r="58" spans="6:12" x14ac:dyDescent="0.25">
      <c r="F58" s="73" t="s">
        <v>56</v>
      </c>
      <c r="G58" s="25"/>
      <c r="H58" s="19"/>
      <c r="I58" s="20"/>
      <c r="J58" s="21"/>
      <c r="K58" s="48" t="e">
        <f>(IF(Données!#REF!&lt;50,0.3191,0.3231)/0.6)*((1.6*(Données!B24*12)/(Données!#REF!*12))-1)%</f>
        <v>#REF!</v>
      </c>
      <c r="L58" s="19" t="e">
        <f>-K58*(Données!#REF!*12)</f>
        <v>#REF!</v>
      </c>
    </row>
    <row r="59" spans="6:12" x14ac:dyDescent="0.25">
      <c r="F59" s="73" t="s">
        <v>124</v>
      </c>
      <c r="G59" s="25"/>
      <c r="H59" s="19"/>
      <c r="I59" s="20"/>
      <c r="J59" s="21"/>
      <c r="K59" s="20">
        <f>IF(Données!B36&lt;20,-1.5%,-0.5%)</f>
        <v>-5.0000000000000001E-3</v>
      </c>
      <c r="L59" s="19" t="e">
        <f>SUM(Données!#REF!)*K59</f>
        <v>#REF!</v>
      </c>
    </row>
    <row r="60" spans="6:12" x14ac:dyDescent="0.25">
      <c r="F60" s="73" t="s">
        <v>58</v>
      </c>
      <c r="G60" s="25"/>
      <c r="H60" s="19" t="e">
        <f>Bulletin!#REF!</f>
        <v>#REF!</v>
      </c>
      <c r="I60" s="20">
        <v>0.11310000000000001</v>
      </c>
      <c r="J60" s="19" t="e">
        <f>H60*I60</f>
        <v>#REF!</v>
      </c>
      <c r="K60" s="22"/>
      <c r="L60" s="19"/>
    </row>
    <row r="61" spans="6:12" x14ac:dyDescent="0.25">
      <c r="F61" s="73" t="s">
        <v>59</v>
      </c>
      <c r="G61" s="25"/>
      <c r="H61" s="19" t="e">
        <f>Bulletin!#REF!</f>
        <v>#REF!</v>
      </c>
      <c r="I61" s="61">
        <v>0.11310000000000001</v>
      </c>
      <c r="J61" s="60" t="e">
        <f>H61*I61</f>
        <v>#REF!</v>
      </c>
      <c r="K61" s="62"/>
      <c r="L61" s="60"/>
    </row>
    <row r="62" spans="6:12" x14ac:dyDescent="0.25">
      <c r="F62" s="26" t="s">
        <v>60</v>
      </c>
      <c r="G62" s="53"/>
      <c r="H62" s="27"/>
      <c r="I62" s="27"/>
      <c r="J62" s="28" t="e">
        <f>SUM(J28:J60)</f>
        <v>#REF!</v>
      </c>
      <c r="K62" s="29"/>
      <c r="L62" s="28" t="e">
        <f>SUM(L28:L58)</f>
        <v>#REF!</v>
      </c>
    </row>
    <row r="63" spans="6:12" x14ac:dyDescent="0.25">
      <c r="F63" s="41"/>
      <c r="L63" s="16"/>
    </row>
    <row r="64" spans="6:12" x14ac:dyDescent="0.25">
      <c r="F64" s="76" t="s">
        <v>61</v>
      </c>
      <c r="G64" s="30"/>
      <c r="L64" s="16"/>
    </row>
    <row r="65" spans="6:12" x14ac:dyDescent="0.25">
      <c r="F65" s="73" t="s">
        <v>62</v>
      </c>
      <c r="G65" s="25"/>
      <c r="H65" s="31">
        <f>Données!I43</f>
        <v>0</v>
      </c>
      <c r="I65" s="66">
        <f>Données!J43</f>
        <v>0</v>
      </c>
      <c r="J65" s="31">
        <f>H65*I65</f>
        <v>0</v>
      </c>
      <c r="K65" s="31"/>
      <c r="L65" s="32"/>
    </row>
    <row r="66" spans="6:12" x14ac:dyDescent="0.25">
      <c r="F66" s="73" t="s">
        <v>63</v>
      </c>
      <c r="G66" s="25"/>
      <c r="H66" s="31"/>
      <c r="I66" s="31"/>
      <c r="J66" s="31">
        <f>H66*I66</f>
        <v>0</v>
      </c>
      <c r="K66" s="31"/>
      <c r="L66" s="32"/>
    </row>
    <row r="67" spans="6:12" x14ac:dyDescent="0.25">
      <c r="F67" s="73" t="s">
        <v>64</v>
      </c>
      <c r="G67" s="25"/>
      <c r="H67" s="31"/>
      <c r="I67" s="31"/>
      <c r="J67" s="31">
        <f>H67*I67</f>
        <v>0</v>
      </c>
      <c r="K67" s="31"/>
      <c r="L67" s="32"/>
    </row>
    <row r="68" spans="6:12" x14ac:dyDescent="0.25">
      <c r="F68" s="73" t="s">
        <v>65</v>
      </c>
      <c r="G68" s="25"/>
      <c r="H68" s="31"/>
      <c r="I68" s="31"/>
      <c r="J68" s="31">
        <f>H68*I68</f>
        <v>0</v>
      </c>
      <c r="K68" s="31"/>
      <c r="L68" s="32"/>
    </row>
    <row r="69" spans="6:12" x14ac:dyDescent="0.25">
      <c r="F69" s="73" t="s">
        <v>66</v>
      </c>
      <c r="G69" s="25"/>
      <c r="H69" s="31"/>
      <c r="I69" s="31"/>
      <c r="J69" s="31"/>
      <c r="K69" s="31"/>
      <c r="L69" s="32"/>
    </row>
    <row r="70" spans="6:12" x14ac:dyDescent="0.25">
      <c r="F70" s="76" t="s">
        <v>67</v>
      </c>
      <c r="G70" s="30"/>
      <c r="H70" s="31"/>
      <c r="I70" s="31"/>
      <c r="J70" s="31"/>
      <c r="K70" s="31"/>
      <c r="L70" s="32"/>
    </row>
    <row r="71" spans="6:12" x14ac:dyDescent="0.25">
      <c r="F71" s="73" t="s">
        <v>68</v>
      </c>
      <c r="G71" s="25"/>
      <c r="H71" s="31">
        <f>Données!I51*Données!J65</f>
        <v>0</v>
      </c>
      <c r="I71" s="33">
        <v>0.5</v>
      </c>
      <c r="J71" s="31">
        <f>H71*I71</f>
        <v>0</v>
      </c>
      <c r="K71" s="33"/>
      <c r="L71" s="32"/>
    </row>
    <row r="72" spans="6:12" x14ac:dyDescent="0.25">
      <c r="F72" s="73" t="s">
        <v>69</v>
      </c>
      <c r="G72" s="25"/>
      <c r="H72" s="31"/>
      <c r="I72" s="33"/>
      <c r="J72" s="34"/>
      <c r="K72" s="33"/>
      <c r="L72" s="16"/>
    </row>
    <row r="73" spans="6:12" x14ac:dyDescent="0.25">
      <c r="F73" s="73" t="s">
        <v>70</v>
      </c>
      <c r="G73" s="25"/>
      <c r="H73" s="31">
        <f>Données!J39</f>
        <v>0</v>
      </c>
      <c r="I73" s="68">
        <f>Données!K39</f>
        <v>0</v>
      </c>
      <c r="J73" s="34">
        <f>IF(Données!L39&gt;0,Données!L39,0)</f>
        <v>0</v>
      </c>
      <c r="K73" s="31"/>
      <c r="L73" s="32"/>
    </row>
    <row r="74" spans="6:12" x14ac:dyDescent="0.25">
      <c r="F74" s="73" t="s">
        <v>71</v>
      </c>
      <c r="G74" s="25"/>
      <c r="H74" s="31"/>
      <c r="I74" s="31"/>
      <c r="J74" s="34">
        <f>Données!L40</f>
        <v>0</v>
      </c>
      <c r="K74" s="31"/>
      <c r="L74" s="32"/>
    </row>
    <row r="75" spans="6:12" x14ac:dyDescent="0.25">
      <c r="F75" s="73" t="s">
        <v>72</v>
      </c>
      <c r="G75" s="25"/>
      <c r="H75" s="31"/>
      <c r="I75" s="31"/>
      <c r="J75" s="34">
        <f>Données!L41</f>
        <v>0</v>
      </c>
      <c r="K75" s="31"/>
      <c r="L75" s="32"/>
    </row>
    <row r="76" spans="6:12" x14ac:dyDescent="0.25">
      <c r="F76" s="73" t="s">
        <v>73</v>
      </c>
      <c r="G76" s="25"/>
      <c r="H76" s="31"/>
      <c r="I76" s="31"/>
      <c r="J76" s="34" t="e">
        <f>Données!#REF!</f>
        <v>#REF!</v>
      </c>
      <c r="K76" s="31"/>
      <c r="L76" s="32"/>
    </row>
    <row r="77" spans="6:12" ht="18.75" x14ac:dyDescent="0.3">
      <c r="F77" s="497" t="s">
        <v>74</v>
      </c>
      <c r="G77" s="498"/>
      <c r="H77" s="498"/>
      <c r="I77" s="498"/>
      <c r="J77" s="498"/>
      <c r="K77" s="498"/>
      <c r="L77" s="35" t="e">
        <f>Données!#REF!-J62+SUM(J65:J69)-SUM(J71:J76)</f>
        <v>#REF!</v>
      </c>
    </row>
    <row r="78" spans="6:12" x14ac:dyDescent="0.25">
      <c r="F78" s="73" t="s">
        <v>75</v>
      </c>
      <c r="G78" s="25"/>
      <c r="L78" s="36" t="e">
        <f>(H37*3.15%)</f>
        <v>#REF!</v>
      </c>
    </row>
    <row r="79" spans="6:12" x14ac:dyDescent="0.25">
      <c r="F79" s="667" t="s">
        <v>76</v>
      </c>
      <c r="G79" s="667"/>
      <c r="H79" s="667"/>
      <c r="I79" s="37" t="s">
        <v>29</v>
      </c>
      <c r="J79" s="482" t="s">
        <v>77</v>
      </c>
      <c r="K79" s="483"/>
      <c r="L79" s="37" t="s">
        <v>22</v>
      </c>
    </row>
    <row r="80" spans="6:12" x14ac:dyDescent="0.25">
      <c r="F80" s="676" t="s">
        <v>78</v>
      </c>
      <c r="G80" s="676"/>
      <c r="H80" s="676"/>
      <c r="I80" s="44" t="e">
        <f>H81</f>
        <v>#REF!</v>
      </c>
      <c r="J80" s="677">
        <v>0</v>
      </c>
      <c r="K80" s="677"/>
      <c r="L80" s="28" t="e">
        <f>I80*J80</f>
        <v>#REF!</v>
      </c>
    </row>
    <row r="81" spans="6:12" x14ac:dyDescent="0.25">
      <c r="F81" s="1" t="s">
        <v>79</v>
      </c>
      <c r="G81" s="1"/>
      <c r="H81" s="678" t="e">
        <f>Données!#REF!-(SUM(Données!H13:H31))-J62+L31</f>
        <v>#REF!</v>
      </c>
      <c r="I81" s="676"/>
      <c r="J81" s="679" t="s">
        <v>80</v>
      </c>
      <c r="K81" s="679"/>
      <c r="L81" s="679"/>
    </row>
    <row r="82" spans="6:12" ht="15.75" x14ac:dyDescent="0.25">
      <c r="F82" s="41"/>
      <c r="J82" s="680" t="e">
        <f>L77-L80</f>
        <v>#REF!</v>
      </c>
      <c r="K82" s="681"/>
      <c r="L82" s="682"/>
    </row>
    <row r="83" spans="6:12" x14ac:dyDescent="0.25">
      <c r="F83" s="38"/>
      <c r="G83" s="39"/>
      <c r="H83" s="39"/>
      <c r="I83" s="683" t="s">
        <v>81</v>
      </c>
      <c r="J83" s="683"/>
      <c r="K83" s="683"/>
      <c r="L83" s="40" t="e">
        <f>-L58-L57+(H34*1.8%)+(H28*6%)</f>
        <v>#REF!</v>
      </c>
    </row>
    <row r="84" spans="6:12" x14ac:dyDescent="0.25">
      <c r="F84" s="41"/>
      <c r="I84" s="668" t="s">
        <v>82</v>
      </c>
      <c r="J84" s="668"/>
      <c r="K84" s="668"/>
      <c r="L84" s="42" t="e">
        <f>SALBRUT+L62+SUM(J65:J69)</f>
        <v>#REF!</v>
      </c>
    </row>
    <row r="85" spans="6:12" x14ac:dyDescent="0.25">
      <c r="F85" s="669" t="s">
        <v>83</v>
      </c>
      <c r="G85" s="670"/>
      <c r="H85" s="670"/>
      <c r="I85" s="670"/>
      <c r="J85" s="670"/>
      <c r="K85" s="671" t="s">
        <v>84</v>
      </c>
      <c r="L85" s="672"/>
    </row>
    <row r="86" spans="6:12" ht="18.75" x14ac:dyDescent="0.25">
      <c r="F86" s="673" t="s">
        <v>85</v>
      </c>
      <c r="G86" s="674"/>
      <c r="H86" s="674"/>
      <c r="I86" s="674"/>
      <c r="J86" s="674"/>
      <c r="K86" s="674"/>
      <c r="L86" s="675"/>
    </row>
  </sheetData>
  <mergeCells count="22">
    <mergeCell ref="I84:K84"/>
    <mergeCell ref="F85:J85"/>
    <mergeCell ref="K85:L85"/>
    <mergeCell ref="F86:L86"/>
    <mergeCell ref="F80:H80"/>
    <mergeCell ref="J80:K80"/>
    <mergeCell ref="H81:I81"/>
    <mergeCell ref="J81:L81"/>
    <mergeCell ref="J82:L82"/>
    <mergeCell ref="I83:K83"/>
    <mergeCell ref="J18:L18"/>
    <mergeCell ref="F49:G49"/>
    <mergeCell ref="F51:G51"/>
    <mergeCell ref="F77:K77"/>
    <mergeCell ref="F79:H79"/>
    <mergeCell ref="J79:K79"/>
    <mergeCell ref="J17:L17"/>
    <mergeCell ref="F4:L5"/>
    <mergeCell ref="J13:L13"/>
    <mergeCell ref="J14:L14"/>
    <mergeCell ref="J15:L15"/>
    <mergeCell ref="J16:L16"/>
  </mergeCells>
  <hyperlinks>
    <hyperlink ref="K85" r:id="rId1"/>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28405D1-00DA-47D5-B02A-128874B2CC0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Bulletin</vt:lpstr>
      <vt:lpstr>Feuil2</vt:lpstr>
      <vt:lpstr>Données</vt:lpstr>
      <vt:lpstr>Cumul plafond</vt:lpstr>
      <vt:lpstr>Apprenti</vt:lpstr>
      <vt:lpstr>Cadre</vt:lpstr>
      <vt:lpstr>Contrat pro</vt:lpstr>
      <vt:lpstr>CDD</vt:lpstr>
      <vt:lpstr>Intérim</vt:lpstr>
      <vt:lpstr>CDI</vt:lpstr>
      <vt:lpstr>Données!SALBRUT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VALREM70</dc:creator>
  <cp:lastModifiedBy>Gaspard Sourgen</cp:lastModifiedBy>
  <cp:lastPrinted>2024-07-23T12:53:29Z</cp:lastPrinted>
  <dcterms:created xsi:type="dcterms:W3CDTF">2021-03-05T10:35:42Z</dcterms:created>
  <dcterms:modified xsi:type="dcterms:W3CDTF">2024-08-07T08:57:25Z</dcterms:modified>
</cp:coreProperties>
</file>