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Gaspard sourgen\Downloads\"/>
    </mc:Choice>
  </mc:AlternateContent>
  <bookViews>
    <workbookView xWindow="0" yWindow="0" windowWidth="28800" windowHeight="11340"/>
  </bookViews>
  <sheets>
    <sheet name="Bilan" sheetId="4" r:id="rId1"/>
    <sheet name="planning " sheetId="1" r:id="rId2"/>
    <sheet name="ref" sheetId="3" r:id="rId3"/>
  </sheets>
  <definedNames>
    <definedName name="_xlnm._FilterDatabase" localSheetId="1" hidden="1">'planning '!$B$5:$E$11</definedName>
    <definedName name="gérald">ref!$D$22:$D$32</definedName>
    <definedName name="gérald1">ref!$D$22:$E$32</definedName>
    <definedName name="gerald2">ref!$D$22:$D$35</definedName>
    <definedName name="gerald3">ref!$D$22:$D$37</definedName>
    <definedName name="gérald4">ref!$D$21:$D$37</definedName>
    <definedName name="listeMois">ref!$L$2:$M$13</definedName>
  </definedNames>
  <calcPr calcId="162913" iterate="1" iterateCount="200" iterateDelta="1.0000000000000001E-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8" i="4" l="1" a="1"/>
  <c r="J18" i="4" s="1"/>
  <c r="K18" i="4"/>
  <c r="J17" i="4" a="1"/>
  <c r="J17" i="4" s="1"/>
  <c r="J16" i="4" a="1"/>
  <c r="J16" i="4" s="1"/>
  <c r="K17" i="4"/>
  <c r="K16" i="4"/>
  <c r="T5" i="1" l="1"/>
  <c r="U5" i="1" s="1"/>
  <c r="Y5" i="1"/>
  <c r="Z5" i="1"/>
  <c r="T6" i="1"/>
  <c r="U6" i="1" s="1"/>
  <c r="Y6" i="1"/>
  <c r="Z6" i="1"/>
  <c r="T7" i="1"/>
  <c r="U7" i="1"/>
  <c r="Y7" i="1"/>
  <c r="Z7" i="1" s="1"/>
  <c r="T8" i="1"/>
  <c r="U8" i="1"/>
  <c r="Y8" i="1"/>
  <c r="Z8" i="1"/>
  <c r="T9" i="1"/>
  <c r="U9" i="1"/>
  <c r="Y9" i="1"/>
  <c r="Z9" i="1"/>
  <c r="T10" i="1"/>
  <c r="U10" i="1"/>
  <c r="Y10" i="1"/>
  <c r="Z10" i="1"/>
  <c r="T11" i="1"/>
  <c r="U11" i="1"/>
  <c r="Y11" i="1"/>
  <c r="Z11" i="1" s="1"/>
  <c r="T15" i="1"/>
  <c r="U15" i="1"/>
  <c r="Y15" i="1"/>
  <c r="Z15" i="1"/>
  <c r="T16" i="1"/>
  <c r="U16" i="1"/>
  <c r="Y16" i="1"/>
  <c r="Z16" i="1" s="1"/>
  <c r="T17" i="1"/>
  <c r="U17" i="1"/>
  <c r="Y17" i="1"/>
  <c r="Z17" i="1" s="1"/>
  <c r="T18" i="1"/>
  <c r="U18" i="1"/>
  <c r="Y18" i="1"/>
  <c r="Z18" i="1"/>
  <c r="T19" i="1"/>
  <c r="U19" i="1"/>
  <c r="Y19" i="1"/>
  <c r="Z19" i="1"/>
  <c r="T20" i="1"/>
  <c r="U20" i="1"/>
  <c r="Y20" i="1"/>
  <c r="Z20" i="1"/>
  <c r="T21" i="1"/>
  <c r="U21" i="1"/>
  <c r="Y21" i="1"/>
  <c r="Z21" i="1"/>
  <c r="T25" i="1"/>
  <c r="U25" i="1"/>
  <c r="Y25" i="1"/>
  <c r="Z25" i="1" s="1"/>
  <c r="T26" i="1"/>
  <c r="U26" i="1" s="1"/>
  <c r="Y26" i="1"/>
  <c r="Z26" i="1" s="1"/>
  <c r="T27" i="1"/>
  <c r="U27" i="1"/>
  <c r="Y27" i="1"/>
  <c r="Z27" i="1"/>
  <c r="T28" i="1"/>
  <c r="U28" i="1" s="1"/>
  <c r="Y28" i="1"/>
  <c r="Z28" i="1" s="1"/>
  <c r="T29" i="1"/>
  <c r="U29" i="1" s="1"/>
  <c r="Y29" i="1"/>
  <c r="Z29" i="1"/>
  <c r="T30" i="1"/>
  <c r="U30" i="1"/>
  <c r="Y30" i="1"/>
  <c r="Z30" i="1"/>
  <c r="T31" i="1"/>
  <c r="U31" i="1" s="1"/>
  <c r="Y31" i="1"/>
  <c r="Z31" i="1"/>
  <c r="T35" i="1"/>
  <c r="U35" i="1"/>
  <c r="Y35" i="1"/>
  <c r="Z35" i="1" s="1"/>
  <c r="T36" i="1"/>
  <c r="U36" i="1" s="1"/>
  <c r="Y36" i="1"/>
  <c r="Z36" i="1"/>
  <c r="T37" i="1"/>
  <c r="U37" i="1"/>
  <c r="Y37" i="1"/>
  <c r="Z37" i="1" s="1"/>
  <c r="T38" i="1"/>
  <c r="U38" i="1" s="1"/>
  <c r="Y38" i="1"/>
  <c r="Z38" i="1" s="1"/>
  <c r="T39" i="1"/>
  <c r="U39" i="1"/>
  <c r="Y39" i="1"/>
  <c r="Z39" i="1"/>
  <c r="T40" i="1"/>
  <c r="U40" i="1"/>
  <c r="Y40" i="1"/>
  <c r="Z40" i="1"/>
  <c r="T41" i="1"/>
  <c r="U41" i="1"/>
  <c r="Y41" i="1"/>
  <c r="Z41" i="1" s="1"/>
  <c r="T45" i="1"/>
  <c r="U45" i="1" s="1"/>
  <c r="Y45" i="1"/>
  <c r="Z45" i="1" s="1"/>
  <c r="T46" i="1"/>
  <c r="U46" i="1"/>
  <c r="Y46" i="1"/>
  <c r="Z46" i="1"/>
  <c r="T47" i="1"/>
  <c r="U47" i="1" s="1"/>
  <c r="Y47" i="1"/>
  <c r="Z47" i="1" s="1"/>
  <c r="T48" i="1"/>
  <c r="U48" i="1" s="1"/>
  <c r="Y48" i="1"/>
  <c r="Z48" i="1"/>
  <c r="T49" i="1"/>
  <c r="U49" i="1"/>
  <c r="Y49" i="1"/>
  <c r="Z49" i="1" s="1"/>
  <c r="T50" i="1"/>
  <c r="U50" i="1" s="1"/>
  <c r="Y50" i="1"/>
  <c r="Z50" i="1" s="1"/>
  <c r="T51" i="1"/>
  <c r="U51" i="1"/>
  <c r="Y51" i="1"/>
  <c r="Z51" i="1"/>
  <c r="T55" i="1"/>
  <c r="U55" i="1"/>
  <c r="Y55" i="1"/>
  <c r="Z55" i="1" s="1"/>
  <c r="T56" i="1"/>
  <c r="U56" i="1" s="1"/>
  <c r="Y56" i="1"/>
  <c r="Z56" i="1" s="1"/>
  <c r="T57" i="1"/>
  <c r="U57" i="1" s="1"/>
  <c r="Y57" i="1"/>
  <c r="Z57" i="1" s="1"/>
  <c r="T58" i="1"/>
  <c r="U58" i="1"/>
  <c r="Y58" i="1"/>
  <c r="Z58" i="1" s="1"/>
  <c r="T59" i="1"/>
  <c r="U59" i="1" s="1"/>
  <c r="Y59" i="1"/>
  <c r="Z59" i="1"/>
  <c r="T60" i="1"/>
  <c r="U60" i="1"/>
  <c r="Y60" i="1"/>
  <c r="Z60" i="1" s="1"/>
  <c r="T61" i="1"/>
  <c r="U61" i="1" s="1"/>
  <c r="Y61" i="1"/>
  <c r="Z61" i="1"/>
  <c r="T65" i="1"/>
  <c r="U65" i="1"/>
  <c r="Y65" i="1"/>
  <c r="Z65" i="1" s="1"/>
  <c r="T66" i="1"/>
  <c r="U66" i="1" s="1"/>
  <c r="Y66" i="1"/>
  <c r="Z66" i="1" s="1"/>
  <c r="T67" i="1"/>
  <c r="U67" i="1" s="1"/>
  <c r="Y67" i="1"/>
  <c r="Z67" i="1"/>
  <c r="T68" i="1"/>
  <c r="U68" i="1" s="1"/>
  <c r="Y68" i="1"/>
  <c r="Z68" i="1"/>
  <c r="T69" i="1"/>
  <c r="U69" i="1" s="1"/>
  <c r="Y69" i="1"/>
  <c r="Z69" i="1" s="1"/>
  <c r="T70" i="1"/>
  <c r="U70" i="1" s="1"/>
  <c r="Y70" i="1"/>
  <c r="Z70" i="1"/>
  <c r="T71" i="1"/>
  <c r="U71" i="1" s="1"/>
  <c r="Y71" i="1"/>
  <c r="Z71" i="1" s="1"/>
  <c r="T75" i="1"/>
  <c r="U75" i="1" s="1"/>
  <c r="Y75" i="1"/>
  <c r="Z75" i="1" s="1"/>
  <c r="T76" i="1"/>
  <c r="U76" i="1"/>
  <c r="Y76" i="1"/>
  <c r="Z76" i="1" s="1"/>
  <c r="T77" i="1"/>
  <c r="U77" i="1" s="1"/>
  <c r="Y77" i="1"/>
  <c r="Z77" i="1" s="1"/>
  <c r="T78" i="1"/>
  <c r="U78" i="1" s="1"/>
  <c r="Y78" i="1"/>
  <c r="Z78" i="1"/>
  <c r="T79" i="1"/>
  <c r="U79" i="1" s="1"/>
  <c r="Y79" i="1"/>
  <c r="Z79" i="1"/>
  <c r="T80" i="1"/>
  <c r="U80" i="1" s="1"/>
  <c r="Y80" i="1"/>
  <c r="Z80" i="1"/>
  <c r="T81" i="1"/>
  <c r="U81" i="1"/>
  <c r="Y81" i="1"/>
  <c r="Z81" i="1"/>
  <c r="T85" i="1"/>
  <c r="U85" i="1" s="1"/>
  <c r="Y85" i="1"/>
  <c r="Z85" i="1" s="1"/>
  <c r="T86" i="1"/>
  <c r="U86" i="1" s="1"/>
  <c r="Y86" i="1"/>
  <c r="Z86" i="1"/>
  <c r="T87" i="1"/>
  <c r="U87" i="1" s="1"/>
  <c r="Y87" i="1"/>
  <c r="Z87" i="1"/>
  <c r="T88" i="1"/>
  <c r="U88" i="1" s="1"/>
  <c r="Y88" i="1"/>
  <c r="Z88" i="1" s="1"/>
  <c r="T89" i="1"/>
  <c r="U89" i="1" s="1"/>
  <c r="Y89" i="1"/>
  <c r="Z89" i="1"/>
  <c r="T90" i="1"/>
  <c r="U90" i="1"/>
  <c r="Y90" i="1"/>
  <c r="Z90" i="1" s="1"/>
  <c r="T91" i="1"/>
  <c r="U91" i="1" s="1"/>
  <c r="Y91" i="1"/>
  <c r="Z91" i="1"/>
  <c r="J11" i="1" l="1"/>
  <c r="D5" i="1" l="1"/>
  <c r="H87" i="1" l="1"/>
  <c r="H90" i="1"/>
  <c r="H60" i="1"/>
  <c r="H29" i="1"/>
  <c r="H28" i="1"/>
  <c r="H27" i="1"/>
  <c r="H26" i="1"/>
  <c r="H25" i="1" l="1"/>
  <c r="H38" i="1"/>
  <c r="H49" i="1"/>
  <c r="H71" i="1"/>
  <c r="H91" i="1"/>
  <c r="H39" i="1"/>
  <c r="H50" i="1"/>
  <c r="H61" i="1"/>
  <c r="H75" i="1"/>
  <c r="H40" i="1"/>
  <c r="H51" i="1"/>
  <c r="H65" i="1"/>
  <c r="H76" i="1"/>
  <c r="H89" i="1"/>
  <c r="H41" i="1"/>
  <c r="H55" i="1"/>
  <c r="H66" i="1"/>
  <c r="H77" i="1"/>
  <c r="H88" i="1"/>
  <c r="H45" i="1"/>
  <c r="H67" i="1"/>
  <c r="H78" i="1"/>
  <c r="H30" i="1"/>
  <c r="H35" i="1"/>
  <c r="H46" i="1"/>
  <c r="H57" i="1"/>
  <c r="H68" i="1"/>
  <c r="H79" i="1"/>
  <c r="H86" i="1"/>
  <c r="H56" i="1"/>
  <c r="H31" i="1"/>
  <c r="H36" i="1"/>
  <c r="H47" i="1"/>
  <c r="H58" i="1"/>
  <c r="H69" i="1"/>
  <c r="H80" i="1"/>
  <c r="H85" i="1"/>
  <c r="H37" i="1"/>
  <c r="H48" i="1"/>
  <c r="H59" i="1"/>
  <c r="H70" i="1"/>
  <c r="H81" i="1"/>
  <c r="H16" i="1" l="1"/>
  <c r="H17" i="1"/>
  <c r="H18" i="1"/>
  <c r="H19" i="1"/>
  <c r="H20" i="1"/>
  <c r="H11" i="1"/>
  <c r="H9" i="1"/>
  <c r="H8" i="1"/>
  <c r="H21" i="1"/>
  <c r="H6" i="1"/>
  <c r="H15" i="1"/>
  <c r="H7" i="1"/>
  <c r="H10" i="1"/>
  <c r="H5" i="1"/>
  <c r="R21" i="3"/>
  <c r="Q21" i="3"/>
  <c r="P21" i="3"/>
  <c r="E37" i="3" l="1"/>
  <c r="E36" i="3"/>
  <c r="E35" i="3"/>
  <c r="E33" i="3"/>
  <c r="E30" i="3"/>
  <c r="K5" i="1" s="1"/>
  <c r="E29" i="3"/>
  <c r="E28" i="3"/>
  <c r="K89" i="1" s="1"/>
  <c r="E25" i="3"/>
  <c r="K79" i="1" s="1"/>
  <c r="E24" i="3"/>
  <c r="M91" i="1"/>
  <c r="N91" i="1" s="1"/>
  <c r="K91" i="1"/>
  <c r="J91" i="1"/>
  <c r="F91" i="1"/>
  <c r="M90" i="1"/>
  <c r="N90" i="1" s="1"/>
  <c r="K90" i="1"/>
  <c r="J90" i="1"/>
  <c r="F90" i="1"/>
  <c r="D85" i="1"/>
  <c r="M81" i="1"/>
  <c r="N81" i="1" s="1"/>
  <c r="K81" i="1"/>
  <c r="J81" i="1"/>
  <c r="F81" i="1"/>
  <c r="M80" i="1"/>
  <c r="N80" i="1" s="1"/>
  <c r="K80" i="1"/>
  <c r="J80" i="1"/>
  <c r="F80" i="1"/>
  <c r="J79" i="1"/>
  <c r="F79" i="1"/>
  <c r="K78" i="1"/>
  <c r="J78" i="1"/>
  <c r="F78" i="1"/>
  <c r="J77" i="1"/>
  <c r="F77" i="1"/>
  <c r="J76" i="1"/>
  <c r="F76" i="1"/>
  <c r="J75" i="1"/>
  <c r="F75" i="1"/>
  <c r="D75" i="1"/>
  <c r="M71" i="1"/>
  <c r="N71" i="1" s="1"/>
  <c r="K71" i="1"/>
  <c r="J71" i="1"/>
  <c r="F71" i="1"/>
  <c r="M70" i="1"/>
  <c r="N70" i="1" s="1"/>
  <c r="K70" i="1"/>
  <c r="J70" i="1"/>
  <c r="F70" i="1"/>
  <c r="M69" i="1"/>
  <c r="N69" i="1" s="1"/>
  <c r="K69" i="1"/>
  <c r="M68" i="1"/>
  <c r="N68" i="1" s="1"/>
  <c r="K68" i="1"/>
  <c r="M67" i="1"/>
  <c r="N67" i="1" s="1"/>
  <c r="K67" i="1"/>
  <c r="M66" i="1"/>
  <c r="N66" i="1" s="1"/>
  <c r="K66" i="1"/>
  <c r="M65" i="1"/>
  <c r="N65" i="1" s="1"/>
  <c r="K65" i="1"/>
  <c r="D65" i="1"/>
  <c r="M61" i="1"/>
  <c r="N61" i="1" s="1"/>
  <c r="K61" i="1"/>
  <c r="J61" i="1"/>
  <c r="F61" i="1"/>
  <c r="M60" i="1"/>
  <c r="N60" i="1" s="1"/>
  <c r="K60" i="1"/>
  <c r="J60" i="1"/>
  <c r="F60" i="1"/>
  <c r="M59" i="1"/>
  <c r="N59" i="1" s="1"/>
  <c r="K59" i="1"/>
  <c r="M58" i="1"/>
  <c r="N58" i="1" s="1"/>
  <c r="K58" i="1"/>
  <c r="M57" i="1"/>
  <c r="N57" i="1" s="1"/>
  <c r="K57" i="1"/>
  <c r="M56" i="1"/>
  <c r="N56" i="1" s="1"/>
  <c r="K56" i="1"/>
  <c r="M55" i="1"/>
  <c r="N55" i="1" s="1"/>
  <c r="K55" i="1"/>
  <c r="D55" i="1"/>
  <c r="M51" i="1"/>
  <c r="N51" i="1" s="1"/>
  <c r="K51" i="1"/>
  <c r="J51" i="1"/>
  <c r="F51" i="1"/>
  <c r="M50" i="1"/>
  <c r="N50" i="1" s="1"/>
  <c r="K50" i="1"/>
  <c r="J50" i="1"/>
  <c r="F50" i="1"/>
  <c r="M49" i="1"/>
  <c r="N49" i="1" s="1"/>
  <c r="K49" i="1"/>
  <c r="M48" i="1"/>
  <c r="N48" i="1" s="1"/>
  <c r="K48" i="1"/>
  <c r="M47" i="1"/>
  <c r="N47" i="1" s="1"/>
  <c r="K47" i="1"/>
  <c r="M46" i="1"/>
  <c r="N46" i="1" s="1"/>
  <c r="K46" i="1"/>
  <c r="M45" i="1"/>
  <c r="N45" i="1" s="1"/>
  <c r="K45" i="1"/>
  <c r="D45" i="1"/>
  <c r="M41" i="1"/>
  <c r="N41" i="1" s="1"/>
  <c r="K41" i="1"/>
  <c r="J41" i="1"/>
  <c r="F41" i="1"/>
  <c r="M40" i="1"/>
  <c r="N40" i="1" s="1"/>
  <c r="K40" i="1"/>
  <c r="J40" i="1"/>
  <c r="F40" i="1"/>
  <c r="M39" i="1"/>
  <c r="N39" i="1" s="1"/>
  <c r="K39" i="1"/>
  <c r="M38" i="1"/>
  <c r="N38" i="1" s="1"/>
  <c r="K38" i="1"/>
  <c r="M37" i="1"/>
  <c r="N37" i="1" s="1"/>
  <c r="K37" i="1"/>
  <c r="M36" i="1"/>
  <c r="N36" i="1" s="1"/>
  <c r="K36" i="1"/>
  <c r="M35" i="1"/>
  <c r="N35" i="1" s="1"/>
  <c r="K35" i="1"/>
  <c r="D35" i="1"/>
  <c r="M31" i="1"/>
  <c r="N31" i="1" s="1"/>
  <c r="K31" i="1"/>
  <c r="M30" i="1"/>
  <c r="N30" i="1" s="1"/>
  <c r="K30" i="1"/>
  <c r="M29" i="1"/>
  <c r="N29" i="1" s="1"/>
  <c r="K29" i="1"/>
  <c r="M28" i="1"/>
  <c r="N28" i="1" s="1"/>
  <c r="K28" i="1"/>
  <c r="M27" i="1"/>
  <c r="N27" i="1" s="1"/>
  <c r="K27" i="1"/>
  <c r="M26" i="1"/>
  <c r="N26" i="1" s="1"/>
  <c r="K26" i="1"/>
  <c r="M25" i="1"/>
  <c r="N25" i="1" s="1"/>
  <c r="K25" i="1"/>
  <c r="D25" i="1"/>
  <c r="M21" i="1"/>
  <c r="N21" i="1" s="1"/>
  <c r="K21" i="1"/>
  <c r="M20" i="1"/>
  <c r="N20" i="1" s="1"/>
  <c r="K20" i="1"/>
  <c r="J20" i="1"/>
  <c r="F20" i="1"/>
  <c r="M19" i="1"/>
  <c r="N19" i="1" s="1"/>
  <c r="K19" i="1"/>
  <c r="M18" i="1"/>
  <c r="N18" i="1" s="1"/>
  <c r="K18" i="1"/>
  <c r="M17" i="1"/>
  <c r="N17" i="1" s="1"/>
  <c r="K17" i="1"/>
  <c r="M16" i="1"/>
  <c r="N16" i="1" s="1"/>
  <c r="K16" i="1"/>
  <c r="M15" i="1"/>
  <c r="N15" i="1" s="1"/>
  <c r="K15" i="1"/>
  <c r="D15" i="1"/>
  <c r="M11" i="1"/>
  <c r="N11" i="1" s="1"/>
  <c r="K11" i="1"/>
  <c r="M10" i="1"/>
  <c r="N10" i="1" s="1"/>
  <c r="K10" i="1"/>
  <c r="M9" i="1"/>
  <c r="N9" i="1" s="1"/>
  <c r="K9" i="1"/>
  <c r="M8" i="1"/>
  <c r="N8" i="1" s="1"/>
  <c r="K8" i="1"/>
  <c r="M7" i="1"/>
  <c r="N7" i="1" s="1"/>
  <c r="K7" i="1"/>
  <c r="M6" i="1"/>
  <c r="N6" i="1" s="1"/>
  <c r="K6" i="1"/>
  <c r="M5" i="1"/>
  <c r="N5" i="1" s="1"/>
  <c r="D6" i="1"/>
  <c r="K85" i="1" l="1"/>
  <c r="M85" i="1"/>
  <c r="N85" i="1" s="1"/>
  <c r="M79" i="1"/>
  <c r="N79" i="1" s="1"/>
  <c r="K86" i="1"/>
  <c r="M89" i="1"/>
  <c r="N89" i="1" s="1"/>
  <c r="M86" i="1"/>
  <c r="N86" i="1" s="1"/>
  <c r="K75" i="1"/>
  <c r="K87" i="1"/>
  <c r="D66" i="1"/>
  <c r="D76" i="1"/>
  <c r="D56" i="1"/>
  <c r="J35" i="1"/>
  <c r="D46" i="1"/>
  <c r="J85" i="1"/>
  <c r="K77" i="1"/>
  <c r="K76" i="1"/>
  <c r="M77" i="1"/>
  <c r="N77" i="1" s="1"/>
  <c r="M87" i="1"/>
  <c r="N87" i="1" s="1"/>
  <c r="K88" i="1"/>
  <c r="D16" i="1"/>
  <c r="D26" i="1"/>
  <c r="M75" i="1"/>
  <c r="N75" i="1" s="1"/>
  <c r="M78" i="1"/>
  <c r="N78" i="1" s="1"/>
  <c r="M76" i="1"/>
  <c r="N76" i="1" s="1"/>
  <c r="M88" i="1"/>
  <c r="N88" i="1" s="1"/>
  <c r="L5" i="1"/>
  <c r="L7" i="1"/>
  <c r="L10" i="1"/>
  <c r="L8" i="1"/>
  <c r="L6" i="1"/>
  <c r="L11" i="1"/>
  <c r="L9" i="1"/>
  <c r="L21" i="1"/>
  <c r="L36" i="1"/>
  <c r="L45" i="1"/>
  <c r="L50" i="1"/>
  <c r="L61" i="1"/>
  <c r="L31" i="1"/>
  <c r="L90" i="1"/>
  <c r="L69" i="1"/>
  <c r="L27" i="1"/>
  <c r="L39" i="1"/>
  <c r="L67" i="1"/>
  <c r="L79" i="1"/>
  <c r="L18" i="1"/>
  <c r="L20" i="1"/>
  <c r="L46" i="1"/>
  <c r="L58" i="1"/>
  <c r="L60" i="1"/>
  <c r="L71" i="1"/>
  <c r="L29" i="1"/>
  <c r="L15" i="1"/>
  <c r="L55" i="1"/>
  <c r="L37" i="1"/>
  <c r="L16" i="1"/>
  <c r="L25" i="1"/>
  <c r="L30" i="1"/>
  <c r="L49" i="1"/>
  <c r="L56" i="1"/>
  <c r="L81" i="1"/>
  <c r="L48" i="1"/>
  <c r="L89" i="1"/>
  <c r="L28" i="1"/>
  <c r="L35" i="1"/>
  <c r="L51" i="1"/>
  <c r="L68" i="1"/>
  <c r="L70" i="1"/>
  <c r="L78" i="1"/>
  <c r="L19" i="1"/>
  <c r="L47" i="1"/>
  <c r="L59" i="1"/>
  <c r="L26" i="1"/>
  <c r="L38" i="1"/>
  <c r="L66" i="1"/>
  <c r="L80" i="1"/>
  <c r="L91" i="1"/>
  <c r="L17" i="1"/>
  <c r="L57" i="1"/>
  <c r="L41" i="1"/>
  <c r="L40" i="1"/>
  <c r="F65" i="1"/>
  <c r="O65" i="1"/>
  <c r="O66" i="1" s="1"/>
  <c r="L65" i="1"/>
  <c r="F55" i="1"/>
  <c r="J65" i="1"/>
  <c r="J55" i="1"/>
  <c r="D86" i="1"/>
  <c r="F35" i="1"/>
  <c r="D36" i="1"/>
  <c r="F15" i="1"/>
  <c r="J15" i="1"/>
  <c r="J6" i="1"/>
  <c r="D7" i="1"/>
  <c r="F6" i="1"/>
  <c r="F25" i="1"/>
  <c r="J5" i="1"/>
  <c r="J25" i="1"/>
  <c r="F85" i="1"/>
  <c r="F5" i="1"/>
  <c r="F45" i="1"/>
  <c r="J45" i="1"/>
  <c r="O55" i="1"/>
  <c r="O56" i="1" s="1"/>
  <c r="O15" i="1"/>
  <c r="O16" i="1" s="1"/>
  <c r="O5" i="1"/>
  <c r="O6" i="1" s="1"/>
  <c r="O45" i="1"/>
  <c r="O46" i="1" s="1"/>
  <c r="O25" i="1"/>
  <c r="O26" i="1" s="1"/>
  <c r="O35" i="1"/>
  <c r="O36" i="1" s="1"/>
  <c r="L85" i="1" l="1"/>
  <c r="F66" i="1"/>
  <c r="O75" i="1"/>
  <c r="O76" i="1" s="1"/>
  <c r="L75" i="1"/>
  <c r="O85" i="1"/>
  <c r="O86" i="1" s="1"/>
  <c r="F16" i="1"/>
  <c r="J46" i="1"/>
  <c r="D47" i="1"/>
  <c r="L87" i="1"/>
  <c r="F46" i="1"/>
  <c r="J16" i="1"/>
  <c r="J56" i="1"/>
  <c r="F56" i="1"/>
  <c r="J66" i="1"/>
  <c r="L86" i="1"/>
  <c r="O67" i="1"/>
  <c r="J26" i="1"/>
  <c r="L76" i="1"/>
  <c r="L88" i="1"/>
  <c r="L77" i="1"/>
  <c r="J86" i="1"/>
  <c r="D77" i="1"/>
  <c r="D57" i="1"/>
  <c r="D67" i="1"/>
  <c r="F26" i="1"/>
  <c r="D17" i="1"/>
  <c r="D27" i="1"/>
  <c r="D37" i="1"/>
  <c r="J36" i="1"/>
  <c r="F36" i="1"/>
  <c r="D87" i="1"/>
  <c r="O27" i="1"/>
  <c r="F86" i="1"/>
  <c r="O47" i="1"/>
  <c r="O57" i="1"/>
  <c r="J7" i="1"/>
  <c r="D8" i="1"/>
  <c r="F7" i="1"/>
  <c r="O7" i="1"/>
  <c r="O17" i="1"/>
  <c r="O37" i="1"/>
  <c r="O68" i="1" l="1"/>
  <c r="D48" i="1"/>
  <c r="F47" i="1"/>
  <c r="J47" i="1"/>
  <c r="O87" i="1"/>
  <c r="O58" i="1"/>
  <c r="O48" i="1"/>
  <c r="O77" i="1"/>
  <c r="F27" i="1"/>
  <c r="O18" i="1"/>
  <c r="F67" i="1"/>
  <c r="D68" i="1"/>
  <c r="J67" i="1"/>
  <c r="D78" i="1"/>
  <c r="D38" i="1"/>
  <c r="D58" i="1"/>
  <c r="J57" i="1"/>
  <c r="F57" i="1"/>
  <c r="D28" i="1"/>
  <c r="F17" i="1"/>
  <c r="J17" i="1"/>
  <c r="D18" i="1"/>
  <c r="J27" i="1"/>
  <c r="J37" i="1"/>
  <c r="F37" i="1"/>
  <c r="D88" i="1"/>
  <c r="F87" i="1"/>
  <c r="J87" i="1"/>
  <c r="O28" i="1"/>
  <c r="O8" i="1"/>
  <c r="F8" i="1"/>
  <c r="D9" i="1"/>
  <c r="J8" i="1"/>
  <c r="O69" i="1"/>
  <c r="O38" i="1"/>
  <c r="O19" i="1" l="1"/>
  <c r="O20" i="1" s="1"/>
  <c r="F48" i="1"/>
  <c r="O78" i="1"/>
  <c r="O49" i="1"/>
  <c r="O50" i="1" s="1"/>
  <c r="O88" i="1"/>
  <c r="D49" i="1"/>
  <c r="J48" i="1"/>
  <c r="O9" i="1"/>
  <c r="O59" i="1"/>
  <c r="O29" i="1"/>
  <c r="F28" i="1"/>
  <c r="D29" i="1"/>
  <c r="J28" i="1"/>
  <c r="F38" i="1"/>
  <c r="J38" i="1"/>
  <c r="D59" i="1"/>
  <c r="F58" i="1"/>
  <c r="J58" i="1"/>
  <c r="D69" i="1"/>
  <c r="F68" i="1"/>
  <c r="J68" i="1"/>
  <c r="D39" i="1"/>
  <c r="D79" i="1"/>
  <c r="D19" i="1"/>
  <c r="J18" i="1"/>
  <c r="F18" i="1"/>
  <c r="F88" i="1"/>
  <c r="D89" i="1"/>
  <c r="J88" i="1"/>
  <c r="J9" i="1"/>
  <c r="D10" i="1"/>
  <c r="F9" i="1"/>
  <c r="O39" i="1"/>
  <c r="O70" i="1"/>
  <c r="O79" i="1" l="1"/>
  <c r="J49" i="1"/>
  <c r="O89" i="1"/>
  <c r="O10" i="1"/>
  <c r="D50" i="1"/>
  <c r="F49" i="1"/>
  <c r="O30" i="1"/>
  <c r="O11" i="1"/>
  <c r="O21" i="1"/>
  <c r="O60" i="1"/>
  <c r="F29" i="1"/>
  <c r="D30" i="1"/>
  <c r="J29" i="1"/>
  <c r="J39" i="1"/>
  <c r="F39" i="1"/>
  <c r="D40" i="1"/>
  <c r="D80" i="1"/>
  <c r="D60" i="1"/>
  <c r="F59" i="1"/>
  <c r="J59" i="1"/>
  <c r="J69" i="1"/>
  <c r="F69" i="1"/>
  <c r="D70" i="1"/>
  <c r="F19" i="1"/>
  <c r="J19" i="1"/>
  <c r="D20" i="1"/>
  <c r="J21" i="1"/>
  <c r="F21" i="1"/>
  <c r="J10" i="1"/>
  <c r="F10" i="1"/>
  <c r="D90" i="1"/>
  <c r="F89" i="1"/>
  <c r="J89" i="1"/>
  <c r="D11" i="1"/>
  <c r="O80" i="1"/>
  <c r="O40" i="1"/>
  <c r="O71" i="1"/>
  <c r="O51" i="1"/>
  <c r="D51" i="1" l="1"/>
  <c r="O90" i="1"/>
  <c r="O31" i="1"/>
  <c r="O61" i="1"/>
  <c r="F30" i="1"/>
  <c r="J30" i="1"/>
  <c r="D31" i="1"/>
  <c r="D61" i="1"/>
  <c r="D81" i="1"/>
  <c r="D91" i="1"/>
  <c r="D71" i="1"/>
  <c r="D41" i="1"/>
  <c r="D21" i="1"/>
  <c r="J31" i="1"/>
  <c r="F31" i="1"/>
  <c r="F11" i="1"/>
  <c r="O81" i="1"/>
  <c r="O41" i="1"/>
  <c r="O91" i="1" l="1"/>
</calcChain>
</file>

<file path=xl/sharedStrings.xml><?xml version="1.0" encoding="utf-8"?>
<sst xmlns="http://schemas.openxmlformats.org/spreadsheetml/2006/main" count="219" uniqueCount="75">
  <si>
    <t>pause</t>
  </si>
  <si>
    <t>date</t>
  </si>
  <si>
    <t>jour</t>
  </si>
  <si>
    <t>durée du travail hebdomadaire max</t>
  </si>
  <si>
    <t>repos hebdomadaire</t>
  </si>
  <si>
    <t>heures sup mensuel max par mois</t>
  </si>
  <si>
    <t>amplitude du temps</t>
  </si>
  <si>
    <t>la durée de travail jour</t>
  </si>
  <si>
    <t>heures de nuit</t>
  </si>
  <si>
    <t xml:space="preserve">repos quotidien </t>
  </si>
  <si>
    <t>heures de dimanche</t>
  </si>
  <si>
    <t>durée du travail hebdomadaire</t>
  </si>
  <si>
    <t xml:space="preserve">heure jour </t>
  </si>
  <si>
    <t>congés</t>
  </si>
  <si>
    <t>Férié travaillé</t>
  </si>
  <si>
    <t xml:space="preserve">début H nuit </t>
  </si>
  <si>
    <t>Fin</t>
  </si>
  <si>
    <t>Début</t>
  </si>
  <si>
    <t>heures annueltravail</t>
  </si>
  <si>
    <t>off</t>
  </si>
  <si>
    <t>travail</t>
  </si>
  <si>
    <t>récupération</t>
  </si>
  <si>
    <t>congé 1 jour</t>
  </si>
  <si>
    <t xml:space="preserve">congé 1/2 jour </t>
  </si>
  <si>
    <t>arrêt maladie</t>
  </si>
  <si>
    <t>arrêt travail</t>
  </si>
  <si>
    <t xml:space="preserve">férié </t>
  </si>
  <si>
    <t>férié travaillé</t>
  </si>
  <si>
    <t>H amp</t>
  </si>
  <si>
    <t>hc de</t>
  </si>
  <si>
    <t>janvier</t>
  </si>
  <si>
    <t>février</t>
  </si>
  <si>
    <t>hs  semaine</t>
  </si>
  <si>
    <t>jour semaine maximun</t>
  </si>
  <si>
    <t xml:space="preserve">mois </t>
  </si>
  <si>
    <t>congé de naissance</t>
  </si>
  <si>
    <t>congé parentale</t>
  </si>
  <si>
    <t>congé parentale week end</t>
  </si>
  <si>
    <t>résultat</t>
  </si>
  <si>
    <t>année</t>
  </si>
  <si>
    <t>mois</t>
  </si>
  <si>
    <t xml:space="preserve">jour semaine </t>
  </si>
  <si>
    <t>rtt</t>
  </si>
  <si>
    <t>heures de samedi</t>
  </si>
  <si>
    <t>heures sup  1 à 25</t>
  </si>
  <si>
    <t>congé 4H</t>
  </si>
  <si>
    <t>type de journée</t>
  </si>
  <si>
    <t>asa</t>
  </si>
  <si>
    <t>télétravail</t>
  </si>
  <si>
    <t>dimanche</t>
  </si>
  <si>
    <t xml:space="preserve">heure de pause repas </t>
  </si>
  <si>
    <t>hs +35 / 25h par mois</t>
  </si>
  <si>
    <t>nuit</t>
  </si>
  <si>
    <t xml:space="preserve">H Jour réel </t>
  </si>
  <si>
    <t>Vscolaire</t>
  </si>
  <si>
    <t>pause repas midi</t>
  </si>
  <si>
    <t>pause repas soir</t>
  </si>
  <si>
    <t xml:space="preserve">début </t>
  </si>
  <si>
    <t>fin</t>
  </si>
  <si>
    <t xml:space="preserve">fin </t>
  </si>
  <si>
    <t>oui/non</t>
  </si>
  <si>
    <t xml:space="preserve">pause </t>
  </si>
  <si>
    <t>non</t>
  </si>
  <si>
    <t>divers pause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</si>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</sst>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h]:mm"/>
    <numFmt numFmtId="165" formatCode="[$-40C]d\-mmm;@"/>
    <numFmt numFmtId="166" formatCode="dddd\ d\ mmm"/>
    <numFmt numFmtId="167" formatCode="d\ &quot;j.&quot;dd/mm/yy\ hh:mm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9"/>
      <name val="Calibri"/>
      <family val="2"/>
      <scheme val="minor"/>
    </font>
    <font>
      <sz val="2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DB9E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9E1F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rgb="FF00B0F0"/>
      </left>
      <right style="medium">
        <color rgb="FF00B0F0"/>
      </right>
      <top style="medium">
        <color rgb="FF00B0F0"/>
      </top>
      <bottom style="thin">
        <color rgb="FF00B0F0"/>
      </bottom>
      <diagonal/>
    </border>
    <border>
      <left style="medium">
        <color rgb="FF00B0F0"/>
      </left>
      <right style="medium">
        <color rgb="FF00B0F0"/>
      </right>
      <top style="thin">
        <color rgb="FF00B0F0"/>
      </top>
      <bottom style="thin">
        <color rgb="FF00B0F0"/>
      </bottom>
      <diagonal/>
    </border>
    <border>
      <left style="medium">
        <color rgb="FF00B0F0"/>
      </left>
      <right style="medium">
        <color rgb="FF00B0F0"/>
      </right>
      <top style="thin">
        <color rgb="FF00B0F0"/>
      </top>
      <bottom style="medium">
        <color rgb="FF00B0F0"/>
      </bottom>
      <diagonal/>
    </border>
    <border>
      <left style="medium">
        <color rgb="FF00B0F0"/>
      </left>
      <right style="medium">
        <color rgb="FF00B0F0"/>
      </right>
      <top style="medium">
        <color rgb="FF00B0F0"/>
      </top>
      <bottom style="thin">
        <color indexed="64"/>
      </bottom>
      <diagonal/>
    </border>
    <border>
      <left style="medium">
        <color rgb="FF00B0F0"/>
      </left>
      <right style="medium">
        <color rgb="FF00B0F0"/>
      </right>
      <top style="thin">
        <color indexed="64"/>
      </top>
      <bottom style="thin">
        <color indexed="64"/>
      </bottom>
      <diagonal/>
    </border>
    <border>
      <left style="medium">
        <color rgb="FF00B0F0"/>
      </left>
      <right style="medium">
        <color rgb="FF00B0F0"/>
      </right>
      <top style="thin">
        <color indexed="64"/>
      </top>
      <bottom style="medium">
        <color rgb="FF00B0F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1">
    <xf numFmtId="0" fontId="0" fillId="0" borderId="0"/>
  </cellStyleXfs>
  <cellXfs count="14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3" fillId="0" borderId="0" xfId="0" applyFont="1"/>
    <xf numFmtId="0" fontId="3" fillId="2" borderId="10" xfId="0" applyFont="1" applyFill="1" applyBorder="1"/>
    <xf numFmtId="0" fontId="3" fillId="2" borderId="7" xfId="0" applyFont="1" applyFill="1" applyBorder="1"/>
    <xf numFmtId="0" fontId="3" fillId="2" borderId="7" xfId="0" applyFont="1" applyFill="1" applyBorder="1" applyAlignment="1">
      <alignment horizontal="right"/>
    </xf>
    <xf numFmtId="0" fontId="3" fillId="2" borderId="9" xfId="0" applyFont="1" applyFill="1" applyBorder="1"/>
    <xf numFmtId="164" fontId="2" fillId="4" borderId="1" xfId="0" applyNumberFormat="1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 vertical="center"/>
    </xf>
    <xf numFmtId="164" fontId="2" fillId="3" borderId="3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1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16" fontId="1" fillId="0" borderId="0" xfId="0" applyNumberFormat="1" applyFont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6" borderId="1" xfId="0" applyNumberFormat="1" applyFill="1" applyBorder="1" applyAlignment="1">
      <alignment horizontal="center"/>
    </xf>
    <xf numFmtId="164" fontId="0" fillId="4" borderId="1" xfId="0" applyNumberForma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/>
    </xf>
    <xf numFmtId="164" fontId="1" fillId="5" borderId="1" xfId="0" applyNumberFormat="1" applyFont="1" applyFill="1" applyBorder="1" applyAlignment="1">
      <alignment horizontal="center"/>
    </xf>
    <xf numFmtId="0" fontId="0" fillId="5" borderId="2" xfId="0" applyFill="1" applyBorder="1"/>
    <xf numFmtId="0" fontId="0" fillId="5" borderId="7" xfId="0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46" fontId="3" fillId="0" borderId="0" xfId="0" applyNumberFormat="1" applyFont="1"/>
    <xf numFmtId="20" fontId="3" fillId="0" borderId="0" xfId="0" applyNumberFormat="1" applyFont="1"/>
    <xf numFmtId="0" fontId="3" fillId="0" borderId="2" xfId="0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20" fontId="3" fillId="0" borderId="2" xfId="0" applyNumberFormat="1" applyFont="1" applyBorder="1" applyAlignment="1">
      <alignment horizontal="center"/>
    </xf>
    <xf numFmtId="164" fontId="3" fillId="0" borderId="11" xfId="0" applyNumberFormat="1" applyFont="1" applyBorder="1" applyAlignment="1">
      <alignment horizontal="center"/>
    </xf>
    <xf numFmtId="1" fontId="3" fillId="0" borderId="14" xfId="0" applyNumberFormat="1" applyFont="1" applyBorder="1" applyAlignment="1">
      <alignment horizontal="center"/>
    </xf>
    <xf numFmtId="164" fontId="3" fillId="0" borderId="14" xfId="0" applyNumberFormat="1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0" fontId="0" fillId="2" borderId="11" xfId="0" applyFill="1" applyBorder="1" applyAlignment="1">
      <alignment horizontal="right"/>
    </xf>
    <xf numFmtId="0" fontId="3" fillId="2" borderId="8" xfId="0" applyFont="1" applyFill="1" applyBorder="1" applyAlignment="1">
      <alignment horizontal="right"/>
    </xf>
    <xf numFmtId="0" fontId="3" fillId="2" borderId="8" xfId="0" applyFont="1" applyFill="1" applyBorder="1" applyAlignment="1">
      <alignment horizontal="right" vertical="center"/>
    </xf>
    <xf numFmtId="0" fontId="0" fillId="2" borderId="8" xfId="0" applyFill="1" applyBorder="1" applyAlignment="1">
      <alignment horizontal="right"/>
    </xf>
    <xf numFmtId="0" fontId="0" fillId="2" borderId="14" xfId="0" applyFill="1" applyBorder="1" applyAlignment="1">
      <alignment horizontal="right"/>
    </xf>
    <xf numFmtId="164" fontId="0" fillId="2" borderId="8" xfId="0" applyNumberFormat="1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right" vertical="center"/>
    </xf>
    <xf numFmtId="164" fontId="3" fillId="0" borderId="0" xfId="0" applyNumberFormat="1" applyFont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0" fontId="0" fillId="5" borderId="3" xfId="0" applyFill="1" applyBorder="1" applyAlignment="1">
      <alignment horizontal="left"/>
    </xf>
    <xf numFmtId="167" fontId="0" fillId="9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64" fontId="3" fillId="0" borderId="0" xfId="0" applyNumberFormat="1" applyFont="1"/>
    <xf numFmtId="0" fontId="2" fillId="6" borderId="1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20" fontId="3" fillId="0" borderId="0" xfId="0" applyNumberFormat="1" applyFont="1" applyAlignment="1">
      <alignment horizontal="center"/>
    </xf>
    <xf numFmtId="20" fontId="0" fillId="0" borderId="0" xfId="0" applyNumberFormat="1" applyAlignment="1">
      <alignment horizontal="center"/>
    </xf>
    <xf numFmtId="2" fontId="3" fillId="0" borderId="0" xfId="0" applyNumberFormat="1" applyFont="1" applyAlignment="1">
      <alignment horizontal="center"/>
    </xf>
    <xf numFmtId="20" fontId="0" fillId="0" borderId="0" xfId="0" applyNumberFormat="1" applyAlignment="1">
      <alignment horizontal="center" vertical="center"/>
    </xf>
    <xf numFmtId="20" fontId="3" fillId="0" borderId="0" xfId="0" applyNumberFormat="1" applyFont="1" applyAlignment="1">
      <alignment horizontal="center" vertical="center"/>
    </xf>
    <xf numFmtId="164" fontId="0" fillId="5" borderId="3" xfId="0" applyNumberFormat="1" applyFill="1" applyBorder="1" applyAlignment="1">
      <alignment horizontal="center"/>
    </xf>
    <xf numFmtId="46" fontId="3" fillId="0" borderId="1" xfId="0" applyNumberFormat="1" applyFont="1" applyBorder="1" applyAlignment="1">
      <alignment horizontal="center"/>
    </xf>
    <xf numFmtId="1" fontId="1" fillId="0" borderId="0" xfId="0" applyNumberFormat="1" applyFont="1" applyAlignment="1">
      <alignment horizontal="center"/>
    </xf>
    <xf numFmtId="164" fontId="1" fillId="0" borderId="0" xfId="0" applyNumberFormat="1" applyFont="1"/>
    <xf numFmtId="0" fontId="1" fillId="7" borderId="3" xfId="0" applyFont="1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0" xfId="0" applyFont="1"/>
    <xf numFmtId="164" fontId="0" fillId="0" borderId="2" xfId="0" applyNumberFormat="1" applyBorder="1" applyAlignment="1">
      <alignment horizontal="center"/>
    </xf>
    <xf numFmtId="164" fontId="0" fillId="4" borderId="4" xfId="0" applyNumberFormat="1" applyFill="1" applyBorder="1" applyAlignment="1">
      <alignment horizontal="center" vertical="center"/>
    </xf>
    <xf numFmtId="164" fontId="0" fillId="4" borderId="15" xfId="0" applyNumberFormat="1" applyFill="1" applyBorder="1" applyAlignment="1">
      <alignment horizontal="center" vertical="center"/>
    </xf>
    <xf numFmtId="164" fontId="0" fillId="10" borderId="1" xfId="0" applyNumberFormat="1" applyFill="1" applyBorder="1" applyAlignment="1">
      <alignment horizontal="center" vertical="center"/>
    </xf>
    <xf numFmtId="164" fontId="0" fillId="4" borderId="5" xfId="0" applyNumberFormat="1" applyFill="1" applyBorder="1" applyAlignment="1">
      <alignment horizontal="center" vertical="center"/>
    </xf>
    <xf numFmtId="164" fontId="0" fillId="4" borderId="18" xfId="0" applyNumberFormat="1" applyFill="1" applyBorder="1" applyAlignment="1">
      <alignment horizontal="center" vertical="center"/>
    </xf>
    <xf numFmtId="0" fontId="0" fillId="0" borderId="0" xfId="0" applyFont="1"/>
    <xf numFmtId="0" fontId="0" fillId="0" borderId="0" xfId="0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1" fillId="0" borderId="0" xfId="0" applyFont="1" applyFill="1"/>
    <xf numFmtId="164" fontId="0" fillId="3" borderId="20" xfId="0" applyNumberFormat="1" applyFill="1" applyBorder="1" applyAlignment="1">
      <alignment horizontal="center"/>
    </xf>
    <xf numFmtId="164" fontId="0" fillId="3" borderId="21" xfId="0" applyNumberFormat="1" applyFill="1" applyBorder="1" applyAlignment="1">
      <alignment horizontal="center"/>
    </xf>
    <xf numFmtId="164" fontId="0" fillId="3" borderId="22" xfId="0" applyNumberFormat="1" applyFill="1" applyBorder="1" applyAlignment="1">
      <alignment horizontal="center"/>
    </xf>
    <xf numFmtId="0" fontId="0" fillId="7" borderId="17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2" fillId="9" borderId="3" xfId="0" applyFont="1" applyFill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0" fontId="1" fillId="0" borderId="0" xfId="0" applyFont="1" applyBorder="1"/>
    <xf numFmtId="0" fontId="0" fillId="0" borderId="1" xfId="0" applyBorder="1"/>
    <xf numFmtId="164" fontId="0" fillId="0" borderId="3" xfId="0" applyNumberFormat="1" applyBorder="1" applyAlignment="1">
      <alignment horizontal="center"/>
    </xf>
    <xf numFmtId="0" fontId="0" fillId="0" borderId="0" xfId="0" applyBorder="1"/>
    <xf numFmtId="0" fontId="0" fillId="7" borderId="6" xfId="0" applyFill="1" applyBorder="1" applyAlignment="1">
      <alignment horizontal="center"/>
    </xf>
    <xf numFmtId="0" fontId="0" fillId="7" borderId="9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3" fillId="0" borderId="1" xfId="0" applyFont="1" applyBorder="1"/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164" fontId="0" fillId="3" borderId="12" xfId="0" applyNumberFormat="1" applyFill="1" applyBorder="1" applyAlignment="1">
      <alignment horizontal="center"/>
    </xf>
    <xf numFmtId="164" fontId="0" fillId="5" borderId="30" xfId="0" applyNumberFormat="1" applyFill="1" applyBorder="1" applyAlignment="1">
      <alignment horizontal="center"/>
    </xf>
    <xf numFmtId="0" fontId="0" fillId="7" borderId="18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1" fillId="7" borderId="16" xfId="0" applyFont="1" applyFill="1" applyBorder="1"/>
    <xf numFmtId="0" fontId="1" fillId="7" borderId="17" xfId="0" applyFont="1" applyFill="1" applyBorder="1"/>
    <xf numFmtId="0" fontId="1" fillId="7" borderId="19" xfId="0" applyFont="1" applyFill="1" applyBorder="1"/>
    <xf numFmtId="0" fontId="0" fillId="7" borderId="16" xfId="0" applyFill="1" applyBorder="1"/>
    <xf numFmtId="0" fontId="6" fillId="7" borderId="17" xfId="0" applyFont="1" applyFill="1" applyBorder="1"/>
    <xf numFmtId="0" fontId="0" fillId="7" borderId="19" xfId="0" applyFill="1" applyBorder="1" applyAlignment="1">
      <alignment horizontal="center"/>
    </xf>
    <xf numFmtId="0" fontId="0" fillId="7" borderId="17" xfId="0" applyFont="1" applyFill="1" applyBorder="1" applyAlignment="1">
      <alignment horizontal="center" vertical="center"/>
    </xf>
    <xf numFmtId="166" fontId="0" fillId="8" borderId="3" xfId="0" applyNumberFormat="1" applyFill="1" applyBorder="1" applyAlignment="1">
      <alignment horizontal="center"/>
    </xf>
    <xf numFmtId="167" fontId="0" fillId="9" borderId="2" xfId="0" applyNumberFormat="1" applyFill="1" applyBorder="1" applyAlignment="1">
      <alignment horizontal="center"/>
    </xf>
    <xf numFmtId="0" fontId="2" fillId="0" borderId="0" xfId="0" applyFont="1"/>
    <xf numFmtId="165" fontId="2" fillId="0" borderId="24" xfId="0" applyNumberFormat="1" applyFont="1" applyBorder="1" applyAlignment="1">
      <alignment horizontal="center"/>
    </xf>
    <xf numFmtId="165" fontId="2" fillId="0" borderId="25" xfId="0" applyNumberFormat="1" applyFont="1" applyBorder="1" applyAlignment="1">
      <alignment horizontal="center"/>
    </xf>
    <xf numFmtId="165" fontId="2" fillId="0" borderId="26" xfId="0" applyNumberFormat="1" applyFont="1" applyBorder="1" applyAlignment="1">
      <alignment horizontal="center"/>
    </xf>
    <xf numFmtId="164" fontId="0" fillId="4" borderId="18" xfId="0" applyNumberFormat="1" applyFill="1" applyBorder="1" applyAlignment="1">
      <alignment horizontal="center"/>
    </xf>
    <xf numFmtId="164" fontId="0" fillId="4" borderId="31" xfId="0" applyNumberFormat="1" applyFill="1" applyBorder="1" applyAlignment="1">
      <alignment horizontal="center" vertical="center"/>
    </xf>
    <xf numFmtId="164" fontId="2" fillId="3" borderId="9" xfId="0" applyNumberFormat="1" applyFont="1" applyFill="1" applyBorder="1" applyAlignment="1">
      <alignment horizontal="center"/>
    </xf>
    <xf numFmtId="164" fontId="2" fillId="4" borderId="3" xfId="0" applyNumberFormat="1" applyFont="1" applyFill="1" applyBorder="1" applyAlignment="1">
      <alignment horizontal="center"/>
    </xf>
    <xf numFmtId="164" fontId="0" fillId="4" borderId="2" xfId="0" applyNumberFormat="1" applyFill="1" applyBorder="1" applyAlignment="1">
      <alignment horizontal="center"/>
    </xf>
    <xf numFmtId="164" fontId="2" fillId="3" borderId="18" xfId="0" applyNumberFormat="1" applyFont="1" applyFill="1" applyBorder="1" applyAlignment="1">
      <alignment horizontal="center"/>
    </xf>
    <xf numFmtId="0" fontId="0" fillId="0" borderId="0" xfId="0" applyFont="1" applyAlignment="1">
      <alignment horizontal="left"/>
    </xf>
    <xf numFmtId="0" fontId="0" fillId="0" borderId="0" xfId="0" applyAlignment="1">
      <alignment horizontal="left"/>
    </xf>
    <xf numFmtId="2" fontId="0" fillId="0" borderId="0" xfId="0" applyNumberFormat="1" applyAlignment="1">
      <alignment horizontal="left"/>
    </xf>
    <xf numFmtId="0" fontId="0" fillId="5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9E1F2"/>
      <color rgb="FFFDB9E0"/>
      <color rgb="FFA7E8F1"/>
      <color rgb="FF705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abSelected="1" zoomScale="75" zoomScaleNormal="75" workbookViewId="0">
      <selection activeCell="J18" sqref="J18"/>
    </sheetView>
  </sheetViews>
  <sheetFormatPr defaultColWidth="11.42578125" defaultRowHeight="15" x14ac:dyDescent="0.25"/>
  <cols>
    <col min="1" max="1" width="6.85546875" customWidth="1"/>
    <col min="2" max="2" width="33" customWidth="1"/>
    <col min="3" max="3" width="12.7109375" customWidth="1"/>
    <col min="4" max="4" width="19.85546875" customWidth="1"/>
    <col min="5" max="5" width="11.28515625" customWidth="1"/>
    <col min="6" max="6" width="29" customWidth="1"/>
    <col min="7" max="7" width="18.5703125" customWidth="1"/>
    <col min="8" max="8" width="14.140625" customWidth="1"/>
    <col min="9" max="9" width="15.7109375" customWidth="1"/>
    <col min="10" max="10" width="20.28515625" customWidth="1"/>
    <col min="11" max="11" width="11.7109375" customWidth="1"/>
    <col min="12" max="12" width="22.140625" customWidth="1"/>
    <col min="13" max="13" width="20" customWidth="1"/>
    <col min="14" max="14" width="18.7109375" customWidth="1"/>
    <col min="15" max="15" width="31.140625" customWidth="1"/>
    <col min="16" max="16" width="21.140625" customWidth="1"/>
  </cols>
  <sheetData>
    <row r="1" spans="1:11" ht="13.9" customHeight="1" x14ac:dyDescent="0.25"/>
    <row r="2" spans="1:11" ht="14.45" customHeight="1" x14ac:dyDescent="0.25"/>
    <row r="3" spans="1:11" x14ac:dyDescent="0.25">
      <c r="A3" s="44"/>
    </row>
    <row r="4" spans="1:11" x14ac:dyDescent="0.25">
      <c r="H4" s="44"/>
      <c r="I4" s="65"/>
      <c r="J4" s="45"/>
    </row>
    <row r="5" spans="1:11" x14ac:dyDescent="0.25">
      <c r="A5" s="43"/>
      <c r="H5" s="44"/>
      <c r="I5" s="65"/>
      <c r="J5" s="20"/>
    </row>
    <row r="6" spans="1:11" x14ac:dyDescent="0.25">
      <c r="F6" s="65"/>
      <c r="G6" s="45"/>
    </row>
    <row r="7" spans="1:11" x14ac:dyDescent="0.25">
      <c r="F7" s="17"/>
      <c r="G7" s="20"/>
    </row>
    <row r="11" spans="1:11" x14ac:dyDescent="0.25">
      <c r="B11" s="44"/>
      <c r="C11" s="65"/>
      <c r="D11" s="45"/>
    </row>
    <row r="12" spans="1:11" ht="15" customHeight="1" x14ac:dyDescent="0.25"/>
    <row r="13" spans="1:11" ht="15" customHeight="1" x14ac:dyDescent="0.25"/>
    <row r="14" spans="1:11" x14ac:dyDescent="0.25">
      <c r="I14" s="47" t="s">
        <v>51</v>
      </c>
      <c r="J14" s="25"/>
    </row>
    <row r="15" spans="1:11" x14ac:dyDescent="0.25">
      <c r="B15" s="3"/>
      <c r="I15" s="26" t="s">
        <v>34</v>
      </c>
      <c r="J15" s="49"/>
      <c r="K15" t="s">
        <v>74</v>
      </c>
    </row>
    <row r="16" spans="1:11" x14ac:dyDescent="0.25">
      <c r="I16" s="23" t="s">
        <v>30</v>
      </c>
      <c r="J16" s="24">
        <f t="array" ref="J16">SUM(IFERROR((
MONTH('planning '!D:D)=Bilan!K16)*'planning '!K:K,
0))</f>
        <v>8.1486111111111121</v>
      </c>
      <c r="K16">
        <f>VLOOKUP(I16,listeMois,2)</f>
        <v>1</v>
      </c>
    </row>
    <row r="17" spans="4:11" x14ac:dyDescent="0.25">
      <c r="I17" s="23" t="s">
        <v>31</v>
      </c>
      <c r="J17" s="24">
        <f t="array" ref="J17">SUM(IFERROR((
MONTH('planning '!D:D)=Bilan!K17)*'planning '!K:K,
0))</f>
        <v>7.2826388888888909</v>
      </c>
      <c r="K17">
        <f>VLOOKUP(I17,listeMois,2)</f>
        <v>2</v>
      </c>
    </row>
    <row r="18" spans="4:11" x14ac:dyDescent="0.25">
      <c r="I18" s="139" t="s">
        <v>64</v>
      </c>
      <c r="J18" s="24">
        <f t="array" ref="J18">SUM(IFERROR((
MONTH('planning '!D:D)=Bilan!K18)*'planning '!K:K,
0))</f>
        <v>0.29166666666666669</v>
      </c>
      <c r="K18">
        <f>VLOOKUP(I18,listeMois,2)</f>
        <v>3</v>
      </c>
    </row>
    <row r="30" spans="4:11" x14ac:dyDescent="0.25">
      <c r="D30" s="84"/>
    </row>
    <row r="31" spans="4:11" x14ac:dyDescent="0.25">
      <c r="D31" s="84"/>
    </row>
    <row r="32" spans="4:11" x14ac:dyDescent="0.25">
      <c r="D32" s="84"/>
    </row>
    <row r="33" spans="4:4" x14ac:dyDescent="0.25">
      <c r="D33" s="84"/>
    </row>
    <row r="34" spans="4:4" x14ac:dyDescent="0.25">
      <c r="D34" s="84"/>
    </row>
    <row r="35" spans="4:4" x14ac:dyDescent="0.25">
      <c r="D35" s="84"/>
    </row>
    <row r="36" spans="4:4" x14ac:dyDescent="0.25">
      <c r="D36" s="84"/>
    </row>
    <row r="37" spans="4:4" x14ac:dyDescent="0.25">
      <c r="D37" s="84"/>
    </row>
    <row r="38" spans="4:4" x14ac:dyDescent="0.25">
      <c r="D38" s="84"/>
    </row>
    <row r="39" spans="4:4" x14ac:dyDescent="0.25">
      <c r="D39" s="8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AC92"/>
  <sheetViews>
    <sheetView zoomScale="75" zoomScaleNormal="75" workbookViewId="0">
      <selection activeCell="J1" sqref="J1"/>
    </sheetView>
  </sheetViews>
  <sheetFormatPr defaultColWidth="11.5703125" defaultRowHeight="15" x14ac:dyDescent="0.25"/>
  <cols>
    <col min="1" max="1" width="2.5703125" style="2" customWidth="1"/>
    <col min="2" max="2" width="7.7109375" style="2" customWidth="1"/>
    <col min="3" max="3" width="11.42578125" style="2" customWidth="1"/>
    <col min="4" max="4" width="19.7109375" style="2" customWidth="1"/>
    <col min="5" max="5" width="28.42578125" style="2" customWidth="1"/>
    <col min="6" max="6" width="19.42578125" style="2" customWidth="1"/>
    <col min="7" max="9" width="7.7109375" style="2" customWidth="1"/>
    <col min="10" max="10" width="21.7109375" style="2" customWidth="1"/>
    <col min="11" max="11" width="12.140625" style="2" customWidth="1"/>
    <col min="12" max="12" width="6.7109375" style="2" customWidth="1"/>
    <col min="13" max="13" width="7.5703125" style="2" customWidth="1"/>
    <col min="14" max="14" width="6.7109375" style="2" customWidth="1"/>
    <col min="15" max="15" width="15.42578125" style="2" customWidth="1"/>
    <col min="16" max="16" width="5.7109375" customWidth="1"/>
    <col min="17" max="21" width="8.7109375" style="2" customWidth="1"/>
    <col min="22" max="22" width="8.7109375" customWidth="1"/>
    <col min="23" max="24" width="8.7109375" style="2" customWidth="1"/>
    <col min="25" max="26" width="8.7109375" style="87" customWidth="1"/>
    <col min="27" max="27" width="13.85546875" style="87" customWidth="1"/>
    <col min="28" max="28" width="7.7109375" style="87" customWidth="1"/>
    <col min="29" max="16384" width="11.5703125" style="2"/>
  </cols>
  <sheetData>
    <row r="1" spans="2:29" x14ac:dyDescent="0.25">
      <c r="J1" s="66"/>
      <c r="AC1"/>
    </row>
    <row r="2" spans="2:29" ht="26.25" x14ac:dyDescent="0.4">
      <c r="Q2" s="117"/>
      <c r="R2" s="118"/>
      <c r="S2" s="123" t="s">
        <v>55</v>
      </c>
      <c r="T2" s="118"/>
      <c r="U2" s="119"/>
      <c r="V2" s="120"/>
      <c r="W2" s="121"/>
      <c r="X2" s="123" t="s">
        <v>56</v>
      </c>
      <c r="Y2" s="91"/>
      <c r="Z2" s="122"/>
      <c r="AA2" s="113" t="s">
        <v>63</v>
      </c>
    </row>
    <row r="3" spans="2:29" x14ac:dyDescent="0.25">
      <c r="D3" s="11" t="s">
        <v>2</v>
      </c>
      <c r="E3" s="12" t="s">
        <v>46</v>
      </c>
      <c r="F3" s="92"/>
      <c r="G3" s="9" t="s">
        <v>17</v>
      </c>
      <c r="H3" s="51" t="s">
        <v>0</v>
      </c>
      <c r="I3" s="10" t="s">
        <v>16</v>
      </c>
      <c r="J3" s="93"/>
      <c r="K3" s="52" t="s">
        <v>53</v>
      </c>
      <c r="L3" s="46" t="s">
        <v>29</v>
      </c>
      <c r="M3" s="10" t="s">
        <v>28</v>
      </c>
      <c r="N3" s="46" t="s">
        <v>29</v>
      </c>
      <c r="O3" s="11" t="s">
        <v>32</v>
      </c>
      <c r="Q3" s="114" t="s">
        <v>62</v>
      </c>
      <c r="R3" s="100" t="s">
        <v>57</v>
      </c>
      <c r="S3" s="99" t="s">
        <v>58</v>
      </c>
      <c r="T3" s="115" t="s">
        <v>38</v>
      </c>
      <c r="U3" s="116" t="s">
        <v>29</v>
      </c>
      <c r="V3" s="99" t="s">
        <v>60</v>
      </c>
      <c r="W3" s="100" t="s">
        <v>57</v>
      </c>
      <c r="X3" s="99" t="s">
        <v>59</v>
      </c>
      <c r="Y3" s="101" t="s">
        <v>38</v>
      </c>
      <c r="Z3" s="102" t="s">
        <v>29</v>
      </c>
      <c r="AA3" s="99"/>
      <c r="AB3" s="85"/>
    </row>
    <row r="4" spans="2:29" ht="15.75" thickBot="1" x14ac:dyDescent="0.3">
      <c r="B4"/>
      <c r="C4"/>
      <c r="Y4" s="2"/>
      <c r="Z4" s="2"/>
      <c r="AA4" s="95"/>
    </row>
    <row r="5" spans="2:29" x14ac:dyDescent="0.25">
      <c r="B5" s="67" t="s">
        <v>1</v>
      </c>
      <c r="C5" s="71" t="s">
        <v>54</v>
      </c>
      <c r="D5" s="124">
        <f>DATE(ref!E$2,B$9,B$7)</f>
        <v>43830</v>
      </c>
      <c r="E5" s="127" t="s">
        <v>26</v>
      </c>
      <c r="F5" s="125" t="str">
        <f t="shared" ref="F5:F9" si="0">IF(AND(I5="",G5=""),"",D5+G5)</f>
        <v/>
      </c>
      <c r="G5" s="27"/>
      <c r="H5" s="21">
        <f t="shared" ref="H5:H11" si="1">SUM(T5+Y5+AA5)</f>
        <v>0</v>
      </c>
      <c r="I5" s="27"/>
      <c r="J5" s="48" t="str">
        <f t="shared" ref="J5:J9" si="2">IF(AND(G5="",I5=""),"",D5+I5+(G5&gt;I5))</f>
        <v/>
      </c>
      <c r="K5" s="19">
        <f>IF(OR(E5="télétravail",E5="férié travaillé",E5="travail"),(I5-G5+IF(G5&gt;I5,1)-H5),INDEX(ref!$E$22:'ref'!$E$37,MATCH(E5,gerald3,0)))</f>
        <v>0.29166666666666669</v>
      </c>
      <c r="L5" s="13">
        <f>IF(SUM(K5-ref!E$8)&lt;0,0,SUM(K5-ref!E$8))</f>
        <v>0</v>
      </c>
      <c r="M5" s="8">
        <f>IF(OR(E5="férié travaillé",E5="travail",E5="asa",E5="rtt"),I5-G5+IF(G5&gt;I5,1),INDEX(ref!$E$22:'ref'!$E$37,MATCH(E5,gerald2,0)))</f>
        <v>0.29166666666666669</v>
      </c>
      <c r="N5" s="14">
        <f>IF(SUM(M5-ref!E$4)&lt;0,0,SUM(M5-ref!E$4))</f>
        <v>0</v>
      </c>
      <c r="O5" s="19">
        <f>K5</f>
        <v>0.29166666666666669</v>
      </c>
      <c r="Q5" s="105"/>
      <c r="R5" s="78"/>
      <c r="S5" s="97"/>
      <c r="T5" s="112">
        <f>S5-R5</f>
        <v>0</v>
      </c>
      <c r="U5" s="111" t="str">
        <f>IF(T5="","",IF(SUM(T5-ref!E$38)&gt;0,0,IF(T5=0, "0:00", SUM(T5-ref!E$38))))</f>
        <v>0:00</v>
      </c>
      <c r="V5" s="108" t="s">
        <v>62</v>
      </c>
      <c r="W5" s="78"/>
      <c r="X5" s="27"/>
      <c r="Y5" s="63">
        <f>X5-W5</f>
        <v>0</v>
      </c>
      <c r="Z5" s="88" t="str">
        <f>IF(Y5="","",IF(SUM(Y5-ref!E$38)&gt;0,0,IF(Y5=0, "0:00", SUM(Y5-ref!E$38))))</f>
        <v>0:00</v>
      </c>
      <c r="AA5" s="27"/>
      <c r="AB5" s="86"/>
    </row>
    <row r="6" spans="2:29" x14ac:dyDescent="0.25">
      <c r="B6" s="68" t="s">
        <v>1</v>
      </c>
      <c r="C6" s="71" t="s">
        <v>54</v>
      </c>
      <c r="D6" s="124">
        <f t="shared" ref="D6:D9" si="3">D5+1</f>
        <v>43831</v>
      </c>
      <c r="E6" s="128" t="s">
        <v>21</v>
      </c>
      <c r="F6" s="125" t="str">
        <f t="shared" si="0"/>
        <v/>
      </c>
      <c r="G6" s="27"/>
      <c r="H6" s="21">
        <f t="shared" si="1"/>
        <v>0</v>
      </c>
      <c r="I6" s="27"/>
      <c r="J6" s="48" t="str">
        <f t="shared" si="2"/>
        <v/>
      </c>
      <c r="K6" s="19">
        <f>IF(OR(E6="télétravail",E6="férié travaillé",E6="travail"),(I6-G6+IF(G6&gt;I6,1)-H6),INDEX(ref!$E$22:'ref'!$E$37,MATCH(E6,gerald3,0)))</f>
        <v>0.29166666666666669</v>
      </c>
      <c r="L6" s="13">
        <f>IF(SUM(K6-ref!E$8)&lt;0,0,SUM(K6-ref!E$8))</f>
        <v>0</v>
      </c>
      <c r="M6" s="8">
        <f>IF(OR(E6="férié travaillé",E6="travail",E6="asa",E6="rtt"),I6-G6+IF(G6&gt;I6,1),INDEX(ref!$E$22:'ref'!$E$37,MATCH(E6,gerald2,0)))</f>
        <v>0.29166666666666669</v>
      </c>
      <c r="N6" s="14">
        <f>IF(SUM(M6-ref!E$4)&lt;0,0,SUM(M6-ref!E$4))</f>
        <v>0</v>
      </c>
      <c r="O6" s="22">
        <f t="shared" ref="O6:O11" si="4">O5+K6</f>
        <v>0.58333333333333337</v>
      </c>
      <c r="Q6" s="106"/>
      <c r="R6" s="78"/>
      <c r="S6" s="97"/>
      <c r="T6" s="112">
        <f t="shared" ref="T6:T9" si="5">S6-R6</f>
        <v>0</v>
      </c>
      <c r="U6" s="111" t="str">
        <f>IF(T6="","",IF(SUM(T6-ref!E$38)&gt;0,0,IF(T6=0, "0:00", SUM(T6-ref!E$38))))</f>
        <v>0:00</v>
      </c>
      <c r="V6" s="109"/>
      <c r="W6" s="78"/>
      <c r="X6" s="27"/>
      <c r="Y6" s="63">
        <f t="shared" ref="Y6:Y9" si="6">X6-W6</f>
        <v>0</v>
      </c>
      <c r="Z6" s="89" t="str">
        <f>IF(Y6="","",IF(SUM(Y6-ref!E$38)&gt;0,0,IF(Y6=0, "0:00", SUM(Y6-ref!E$38))))</f>
        <v>0:00</v>
      </c>
      <c r="AA6" s="27"/>
      <c r="AB6" s="86"/>
    </row>
    <row r="7" spans="2:29" x14ac:dyDescent="0.25">
      <c r="B7" s="69">
        <v>1</v>
      </c>
      <c r="C7" s="71" t="s">
        <v>54</v>
      </c>
      <c r="D7" s="124">
        <f t="shared" si="3"/>
        <v>43832</v>
      </c>
      <c r="E7" s="128" t="s">
        <v>21</v>
      </c>
      <c r="F7" s="125" t="str">
        <f t="shared" si="0"/>
        <v/>
      </c>
      <c r="G7" s="27"/>
      <c r="H7" s="21">
        <f t="shared" si="1"/>
        <v>0</v>
      </c>
      <c r="I7" s="27"/>
      <c r="J7" s="48" t="str">
        <f t="shared" si="2"/>
        <v/>
      </c>
      <c r="K7" s="19">
        <f>IF(OR(E7="télétravail",E7="férié travaillé",E7="travail"),(I7-G7+IF(G7&gt;I7,1)-H7),INDEX(ref!$E$22:'ref'!$E$37,MATCH(E7,gerald3,0)))</f>
        <v>0.29166666666666669</v>
      </c>
      <c r="L7" s="13">
        <f>IF(SUM(K7-ref!E$8)&lt;0,0,SUM(K7-ref!E$8))</f>
        <v>0</v>
      </c>
      <c r="M7" s="8">
        <f>IF(OR(E7="férié travaillé",E7="travail",E7="asa",E7="rtt"),I7-G7+IF(G7&gt;I7,1),INDEX(ref!$E$22:'ref'!$E$37,MATCH(E7,gerald2,0)))</f>
        <v>0.29166666666666669</v>
      </c>
      <c r="N7" s="14">
        <f>IF(SUM(M7-ref!E$4)&lt;0,0,SUM(M7-ref!E$4))</f>
        <v>0</v>
      </c>
      <c r="O7" s="22">
        <f t="shared" si="4"/>
        <v>0.875</v>
      </c>
      <c r="Q7" s="106"/>
      <c r="R7" s="78"/>
      <c r="S7" s="97"/>
      <c r="T7" s="112">
        <f t="shared" si="5"/>
        <v>0</v>
      </c>
      <c r="U7" s="111" t="str">
        <f>IF(T7="","",IF(SUM(T7-ref!E$38)&gt;0,0,IF(T7=0, "0:00", SUM(T7-ref!E$38))))</f>
        <v>0:00</v>
      </c>
      <c r="V7" s="109"/>
      <c r="W7" s="78"/>
      <c r="X7" s="27"/>
      <c r="Y7" s="63">
        <f t="shared" si="6"/>
        <v>0</v>
      </c>
      <c r="Z7" s="89" t="str">
        <f>IF(Y7="","",IF(SUM(Y7-ref!E$38)&gt;0,0,IF(Y7=0, "0:00", SUM(Y7-ref!E$38))))</f>
        <v>0:00</v>
      </c>
      <c r="AA7" s="27"/>
      <c r="AB7" s="86"/>
    </row>
    <row r="8" spans="2:29" x14ac:dyDescent="0.25">
      <c r="B8" s="68" t="s">
        <v>40</v>
      </c>
      <c r="C8" s="71" t="s">
        <v>54</v>
      </c>
      <c r="D8" s="124">
        <f t="shared" si="3"/>
        <v>43833</v>
      </c>
      <c r="E8" s="128" t="s">
        <v>21</v>
      </c>
      <c r="F8" s="125" t="str">
        <f t="shared" si="0"/>
        <v/>
      </c>
      <c r="G8" s="27"/>
      <c r="H8" s="21">
        <f t="shared" si="1"/>
        <v>0</v>
      </c>
      <c r="I8" s="27"/>
      <c r="J8" s="48" t="str">
        <f t="shared" si="2"/>
        <v/>
      </c>
      <c r="K8" s="19">
        <f>IF(OR(E8="télétravail",E8="férié travaillé",E8="travail"),(I8-G8+IF(G8&gt;I8,1)-H8),INDEX(ref!$E$22:'ref'!$E$37,MATCH(E8,gerald3,0)))</f>
        <v>0.29166666666666669</v>
      </c>
      <c r="L8" s="13">
        <f>IF(SUM(K8-ref!E$8)&lt;0,0,SUM(K8-ref!E$8))</f>
        <v>0</v>
      </c>
      <c r="M8" s="8">
        <f>IF(OR(E8="férié travaillé",E8="travail",E8="asa",E8="rtt"),I8-G8+IF(G8&gt;I8,1),INDEX(ref!$E$22:'ref'!$E$37,MATCH(E8,gerald2,0)))</f>
        <v>0.29166666666666669</v>
      </c>
      <c r="N8" s="14">
        <f>IF(SUM(M8-ref!E$4)&lt;0,0,SUM(M8-ref!E$4))</f>
        <v>0</v>
      </c>
      <c r="O8" s="79">
        <f t="shared" si="4"/>
        <v>1.1666666666666667</v>
      </c>
      <c r="Q8" s="106"/>
      <c r="R8" s="78"/>
      <c r="S8" s="97"/>
      <c r="T8" s="112">
        <f t="shared" si="5"/>
        <v>0</v>
      </c>
      <c r="U8" s="111" t="str">
        <f>IF(T8="","",IF(SUM(T8-ref!E$38)&gt;0,0,IF(T8=0, "0:00", SUM(T8-ref!E$38))))</f>
        <v>0:00</v>
      </c>
      <c r="V8" s="109"/>
      <c r="W8" s="78"/>
      <c r="X8" s="27"/>
      <c r="Y8" s="63">
        <f t="shared" si="6"/>
        <v>0</v>
      </c>
      <c r="Z8" s="89" t="str">
        <f>IF(Y8="","",IF(SUM(Y8-ref!E$38)&gt;0,0,IF(Y8=0, "0:00", SUM(Y8-ref!E$38))))</f>
        <v>0:00</v>
      </c>
      <c r="AA8" s="27"/>
      <c r="AB8" s="86"/>
    </row>
    <row r="9" spans="2:29" x14ac:dyDescent="0.25">
      <c r="B9" s="70">
        <v>1</v>
      </c>
      <c r="C9" s="72" t="s">
        <v>54</v>
      </c>
      <c r="D9" s="124">
        <f t="shared" si="3"/>
        <v>43834</v>
      </c>
      <c r="E9" s="128" t="s">
        <v>21</v>
      </c>
      <c r="F9" s="125" t="str">
        <f t="shared" si="0"/>
        <v/>
      </c>
      <c r="G9" s="27"/>
      <c r="H9" s="21">
        <f t="shared" si="1"/>
        <v>0</v>
      </c>
      <c r="I9" s="27"/>
      <c r="J9" s="48" t="str">
        <f t="shared" si="2"/>
        <v/>
      </c>
      <c r="K9" s="19">
        <f>IF(OR(E9="télétravail",E9="férié travaillé",E9="travail"),(I9-G9+IF(G9&gt;I9,1)-H9),INDEX(ref!$E$22:'ref'!$E$37,MATCH(E9,gerald3,0)))</f>
        <v>0.29166666666666669</v>
      </c>
      <c r="L9" s="13">
        <f>IF(SUM(K9-ref!E$8)&lt;0,0,SUM(K9-ref!E$8))</f>
        <v>0</v>
      </c>
      <c r="M9" s="8">
        <f>IF(OR(E9="férié travaillé",E9="travail",E9="asa",E9="rtt"),I9-G9+IF(G9&gt;I9,1),INDEX(ref!$E$22:'ref'!$E$37,MATCH(E9,gerald2,0)))</f>
        <v>0.29166666666666669</v>
      </c>
      <c r="N9" s="14">
        <f>IF(SUM(M9-ref!E$4)&lt;0,0,SUM(M9-ref!E$4))</f>
        <v>0</v>
      </c>
      <c r="O9" s="22">
        <f t="shared" si="4"/>
        <v>1.4583333333333335</v>
      </c>
      <c r="Q9" s="106"/>
      <c r="R9" s="78"/>
      <c r="S9" s="97"/>
      <c r="T9" s="112">
        <f t="shared" si="5"/>
        <v>0</v>
      </c>
      <c r="U9" s="111" t="str">
        <f>IF(T9="","",IF(SUM(T9-ref!E$38)&gt;0,0,IF(T9=0, "0:00", SUM(T9-ref!E$38))))</f>
        <v>0:00</v>
      </c>
      <c r="V9" s="109"/>
      <c r="W9" s="78"/>
      <c r="X9" s="27"/>
      <c r="Y9" s="63">
        <f t="shared" si="6"/>
        <v>0</v>
      </c>
      <c r="Z9" s="89" t="str">
        <f>IF(Y9="","",IF(SUM(Y9-ref!E$38)&gt;0,0,IF(Y9=0, "0:00", SUM(Y9-ref!E$38))))</f>
        <v>0:00</v>
      </c>
      <c r="AA9" s="27"/>
      <c r="AB9" s="86"/>
    </row>
    <row r="10" spans="2:29" ht="15.75" thickBot="1" x14ac:dyDescent="0.3">
      <c r="B10"/>
      <c r="C10" s="73"/>
      <c r="D10" s="124">
        <f>D9+1</f>
        <v>43835</v>
      </c>
      <c r="E10" s="128" t="s">
        <v>20</v>
      </c>
      <c r="F10" s="125" t="str">
        <f>IF(AND(I10="",G10=""),"",D10+G10)</f>
        <v/>
      </c>
      <c r="G10" s="27"/>
      <c r="H10" s="21">
        <f t="shared" si="1"/>
        <v>0</v>
      </c>
      <c r="I10" s="27"/>
      <c r="J10" s="48" t="str">
        <f>IF(AND(G10="",I10=""),"",D10+I10+(G10&gt;I10))</f>
        <v/>
      </c>
      <c r="K10" s="19">
        <f>IF(OR(E10="télétravail",E10="férié travaillé",E10="travail"),(I10-G10+IF(G10&gt;I10,1)-H10),INDEX(ref!$E$22:'ref'!$E$37,MATCH(E10,gerald3,0)))</f>
        <v>0</v>
      </c>
      <c r="L10" s="13">
        <f>IF(SUM(K10-ref!E$8)&lt;0,0,SUM(K10-ref!E$8))</f>
        <v>0</v>
      </c>
      <c r="M10" s="8">
        <f>IF(OR(E10="férié travaillé",E10="travail",E10="asa",E10="rtt"),I10-G10+IF(G10&gt;I10,1),INDEX(ref!$E$22:'ref'!$E$37,MATCH(E10,gerald2,0)))</f>
        <v>0</v>
      </c>
      <c r="N10" s="14">
        <f>IF(SUM(M10-ref!E$4)&lt;0,0,SUM(M10-ref!E$4))</f>
        <v>0</v>
      </c>
      <c r="O10" s="82">
        <f t="shared" si="4"/>
        <v>1.4583333333333335</v>
      </c>
      <c r="Q10" s="106"/>
      <c r="R10" s="78"/>
      <c r="S10" s="97"/>
      <c r="T10" s="112">
        <f>S10-R10</f>
        <v>0</v>
      </c>
      <c r="U10" s="111" t="str">
        <f>IF(T10="","",IF(SUM(T10-ref!E$38)&gt;0,0,IF(T10=0, "0:00", SUM(T10-ref!E$38))))</f>
        <v>0:00</v>
      </c>
      <c r="V10" s="109"/>
      <c r="W10" s="78"/>
      <c r="X10" s="27"/>
      <c r="Y10" s="63">
        <f>X10-W10</f>
        <v>0</v>
      </c>
      <c r="Z10" s="89" t="str">
        <f>IF(Y10="","",IF(SUM(Y10-ref!E$38)&gt;0,0,IF(Y10=0, "0:00", SUM(Y10-ref!E$38))))</f>
        <v>0:00</v>
      </c>
      <c r="AA10" s="27"/>
      <c r="AB10" s="86"/>
    </row>
    <row r="11" spans="2:29" ht="15.75" thickBot="1" x14ac:dyDescent="0.3">
      <c r="B11"/>
      <c r="C11" s="73"/>
      <c r="D11" s="124">
        <f>D10+1</f>
        <v>43836</v>
      </c>
      <c r="E11" s="129" t="s">
        <v>19</v>
      </c>
      <c r="F11" s="125" t="str">
        <f>IF(AND(I11="",G11=""),"",D11+G11)</f>
        <v/>
      </c>
      <c r="G11" s="27"/>
      <c r="H11" s="21">
        <f t="shared" si="1"/>
        <v>0</v>
      </c>
      <c r="I11" s="27"/>
      <c r="J11" s="48" t="str">
        <f>IF(AND(G11="",I11=""),"",D11+I11+(G11&gt;I11))</f>
        <v/>
      </c>
      <c r="K11" s="19">
        <f>IF(OR(E11="télétravail",E11="férié travaillé",E11="travail"),(I11-G11+IF(G11&gt;I11,1)-H11),INDEX(ref!$E$22:'ref'!$E$37,MATCH(E11,gerald3,0)))</f>
        <v>0</v>
      </c>
      <c r="L11" s="13">
        <f>IF(SUM(K11-ref!E$8)&lt;0,0,SUM(K11-ref!E$8))</f>
        <v>0</v>
      </c>
      <c r="M11" s="8">
        <f>IF(OR(E11="férié travaillé",E11="travail",E11="asa",E11="rtt"),I11-G11+IF(G11&gt;I11,1),INDEX(ref!$E$22:'ref'!$E$37,MATCH(E11,gerald2,0)))</f>
        <v>0</v>
      </c>
      <c r="N11" s="14">
        <f>IF(SUM(M11-ref!E$4)&lt;0,0,SUM(M11-ref!E$4))</f>
        <v>0</v>
      </c>
      <c r="O11" s="80">
        <f t="shared" si="4"/>
        <v>1.4583333333333335</v>
      </c>
      <c r="Q11" s="107"/>
      <c r="R11" s="78"/>
      <c r="S11" s="97"/>
      <c r="T11" s="112">
        <f>S11-R11</f>
        <v>0</v>
      </c>
      <c r="U11" s="111" t="str">
        <f>IF(T11="","",IF(SUM(T11-ref!E$38)&gt;0,0,IF(T11=0, "0:00", SUM(T11-ref!E$38))))</f>
        <v>0:00</v>
      </c>
      <c r="V11" s="110"/>
      <c r="W11" s="78"/>
      <c r="X11" s="27"/>
      <c r="Y11" s="63">
        <f>X11-W11</f>
        <v>0</v>
      </c>
      <c r="Z11" s="90" t="str">
        <f>IF(Y11="","",IF(SUM(Y11-ref!E$38)&gt;0,0,IF(Y11=0, "0:00", SUM(Y11-ref!E$38))))</f>
        <v>0:00</v>
      </c>
      <c r="AA11" s="27"/>
      <c r="AB11" s="86"/>
    </row>
    <row r="12" spans="2:29" x14ac:dyDescent="0.25">
      <c r="E12" s="126"/>
      <c r="U12" s="66"/>
      <c r="Y12" s="2"/>
      <c r="Z12" s="2"/>
      <c r="AA12" s="95"/>
    </row>
    <row r="13" spans="2:29" x14ac:dyDescent="0.25">
      <c r="E13" s="126"/>
      <c r="O13" s="16"/>
      <c r="Y13" s="2"/>
      <c r="Z13" s="2"/>
      <c r="AA13" s="95"/>
    </row>
    <row r="14" spans="2:29" ht="15.75" thickBot="1" x14ac:dyDescent="0.3">
      <c r="E14" s="126"/>
      <c r="U14" s="66"/>
      <c r="Y14" s="2"/>
      <c r="Z14" s="2"/>
      <c r="AA14" s="95"/>
    </row>
    <row r="15" spans="2:29" x14ac:dyDescent="0.25">
      <c r="B15" s="67" t="s">
        <v>1</v>
      </c>
      <c r="C15" s="76" t="s">
        <v>20</v>
      </c>
      <c r="D15" s="124">
        <f>DATE(ref!E$2,B19,B17)</f>
        <v>43837</v>
      </c>
      <c r="E15" s="127" t="s">
        <v>20</v>
      </c>
      <c r="F15" s="125">
        <f>IF(AND(I15="",G15=""),"",D15+G15)</f>
        <v>43837.375</v>
      </c>
      <c r="G15" s="27">
        <v>0.375</v>
      </c>
      <c r="H15" s="21">
        <f t="shared" ref="H15:H21" si="7">SUM(T15+Y15+AA15)</f>
        <v>3.4027777777777768E-2</v>
      </c>
      <c r="I15" s="27">
        <v>0.70833333333333337</v>
      </c>
      <c r="J15" s="48">
        <f>IF(AND(G15="",I15=""),"",D15+I15+(G15&gt;I15))</f>
        <v>43837.708333333336</v>
      </c>
      <c r="K15" s="19">
        <f>IF(OR(E15="télétravail",E15="férié travaillé",E15="travail"),(I15-G15+IF(G15&gt;I15,1)-H15),INDEX(ref!$E$22:'ref'!$E$37,MATCH(E15,gerald3,0)))</f>
        <v>0.2993055555555556</v>
      </c>
      <c r="L15" s="13">
        <f>IF(SUM(K15-ref!E$8)&lt;0,0,SUM(K15-ref!E$8))</f>
        <v>0</v>
      </c>
      <c r="M15" s="8">
        <f>IF(OR(E15="férié travaillé",E15="travail",E15="asa",E15="rtt"),I15-G15+IF(G15&gt;I15,1),INDEX(ref!$E$22:'ref'!$E$37,MATCH(E15,gerald2,0)))</f>
        <v>0.33333333333333337</v>
      </c>
      <c r="N15" s="14">
        <f>IF(SUM(M15-ref!E$4)&lt;0,0,SUM(M15-ref!E$4))</f>
        <v>0</v>
      </c>
      <c r="O15" s="130">
        <f>K15</f>
        <v>0.2993055555555556</v>
      </c>
      <c r="Q15" s="105"/>
      <c r="R15" s="78">
        <v>0.52152777777777781</v>
      </c>
      <c r="S15" s="97">
        <v>0.55555555555555558</v>
      </c>
      <c r="T15" s="112">
        <f t="shared" ref="T15:T19" si="8">S15-R15</f>
        <v>3.4027777777777768E-2</v>
      </c>
      <c r="U15" s="111">
        <f>IF(T15="","",IF(SUM(T15-ref!E$38)&gt;0,0,IF(T15=0, "0:00", SUM(T15-ref!E$38))))</f>
        <v>0</v>
      </c>
      <c r="V15" s="108"/>
      <c r="W15" s="78"/>
      <c r="X15" s="27"/>
      <c r="Y15" s="63">
        <f>X15-W15</f>
        <v>0</v>
      </c>
      <c r="Z15" s="88" t="str">
        <f>IF(Y15="","",IF(SUM(Y15-ref!E$38)&gt;0,0,IF(Y15=0, "0:00", SUM(Y15-ref!E$38))))</f>
        <v>0:00</v>
      </c>
      <c r="AA15" s="27"/>
      <c r="AB15" s="86"/>
    </row>
    <row r="16" spans="2:29" x14ac:dyDescent="0.25">
      <c r="B16" s="68" t="s">
        <v>1</v>
      </c>
      <c r="C16" s="76" t="s">
        <v>20</v>
      </c>
      <c r="D16" s="124">
        <f t="shared" ref="D16:D19" si="9">D15+1</f>
        <v>43838</v>
      </c>
      <c r="E16" s="128" t="s">
        <v>20</v>
      </c>
      <c r="F16" s="125">
        <f t="shared" ref="F16:F19" si="10">IF(AND(I16="",G16=""),"",D16+G16)</f>
        <v>43838.37777777778</v>
      </c>
      <c r="G16" s="27">
        <v>0.37777777777777777</v>
      </c>
      <c r="H16" s="21">
        <f t="shared" si="7"/>
        <v>3.5416666666666652E-2</v>
      </c>
      <c r="I16" s="27">
        <v>0.76180555555555562</v>
      </c>
      <c r="J16" s="48">
        <f t="shared" ref="J16:J19" si="11">IF(AND(G16="",I16=""),"",D16+I16+(G16&gt;I16))</f>
        <v>43838.761805555558</v>
      </c>
      <c r="K16" s="19">
        <f>IF(OR(E16="télétravail",E16="férié travaillé",E16="travail"),(I16-G16+IF(G16&gt;I16,1)-H16),INDEX(ref!$E$22:'ref'!$E$37,MATCH(E16,gerald3,0)))</f>
        <v>0.3486111111111112</v>
      </c>
      <c r="L16" s="13">
        <f>IF(SUM(K16-ref!E$8)&lt;0,0,SUM(K16-ref!E$8))</f>
        <v>0</v>
      </c>
      <c r="M16" s="8">
        <f>IF(OR(E16="férié travaillé",E16="travail",E16="asa",E16="rtt"),I16-G16+IF(G16&gt;I16,1),INDEX(ref!$E$22:'ref'!$E$37,MATCH(E16,gerald2,0)))</f>
        <v>0.38402777777777786</v>
      </c>
      <c r="N16" s="14">
        <f>IF(SUM(M16-ref!E$4)&lt;0,0,SUM(M16-ref!E$4))</f>
        <v>0</v>
      </c>
      <c r="O16" s="83">
        <f t="shared" ref="O16:O21" si="12">O15+K16</f>
        <v>0.64791666666666681</v>
      </c>
      <c r="Q16" s="106"/>
      <c r="R16" s="78">
        <v>0.50624999999999998</v>
      </c>
      <c r="S16" s="97">
        <v>0.54166666666666663</v>
      </c>
      <c r="T16" s="112">
        <f t="shared" si="8"/>
        <v>3.5416666666666652E-2</v>
      </c>
      <c r="U16" s="111">
        <f>IF(T16="","",IF(SUM(T16-ref!E$38)&gt;0,0,IF(T16=0, "0:00", SUM(T16-ref!E$38))))</f>
        <v>0</v>
      </c>
      <c r="V16" s="109"/>
      <c r="W16" s="78"/>
      <c r="X16" s="27"/>
      <c r="Y16" s="63">
        <f t="shared" ref="Y16:Y19" si="13">X16-W16</f>
        <v>0</v>
      </c>
      <c r="Z16" s="89" t="str">
        <f>IF(Y16="","",IF(SUM(Y16-ref!E$38)&gt;0,0,IF(Y16=0, "0:00", SUM(Y16-ref!E$38))))</f>
        <v>0:00</v>
      </c>
      <c r="AA16" s="27"/>
      <c r="AB16" s="86"/>
    </row>
    <row r="17" spans="2:28" x14ac:dyDescent="0.25">
      <c r="B17" s="69">
        <v>8</v>
      </c>
      <c r="C17" s="76" t="s">
        <v>20</v>
      </c>
      <c r="D17" s="124">
        <f t="shared" si="9"/>
        <v>43839</v>
      </c>
      <c r="E17" s="128" t="s">
        <v>20</v>
      </c>
      <c r="F17" s="125">
        <f t="shared" si="10"/>
        <v>43839.381249999999</v>
      </c>
      <c r="G17" s="27">
        <v>0.38125000000000003</v>
      </c>
      <c r="H17" s="21">
        <f t="shared" si="7"/>
        <v>3.6805555555555536E-2</v>
      </c>
      <c r="I17" s="27">
        <v>0.78333333333333333</v>
      </c>
      <c r="J17" s="48">
        <f t="shared" si="11"/>
        <v>43839.783333333333</v>
      </c>
      <c r="K17" s="19">
        <f>IF(OR(E17="télétravail",E17="férié travaillé",E17="travail"),(I17-G17+IF(G17&gt;I17,1)-H17),INDEX(ref!$E$22:'ref'!$E$37,MATCH(E17,gerald3,0)))</f>
        <v>0.36527777777777776</v>
      </c>
      <c r="L17" s="13">
        <f>IF(SUM(K17-ref!E$8)&lt;0,0,SUM(K17-ref!E$8))</f>
        <v>0</v>
      </c>
      <c r="M17" s="8">
        <f>IF(OR(E17="férié travaillé",E17="travail",E17="asa",E17="rtt"),I17-G17+IF(G17&gt;I17,1),INDEX(ref!$E$22:'ref'!$E$37,MATCH(E17,gerald2,0)))</f>
        <v>0.40208333333333329</v>
      </c>
      <c r="N17" s="14">
        <f>IF(SUM(M17-ref!E$4)&lt;0,0,SUM(M17-ref!E$4))</f>
        <v>0</v>
      </c>
      <c r="O17" s="83">
        <f t="shared" si="12"/>
        <v>1.0131944444444445</v>
      </c>
      <c r="Q17" s="106"/>
      <c r="R17" s="78">
        <v>0.52152777777777781</v>
      </c>
      <c r="S17" s="97">
        <v>0.55833333333333335</v>
      </c>
      <c r="T17" s="112">
        <f t="shared" si="8"/>
        <v>3.6805555555555536E-2</v>
      </c>
      <c r="U17" s="111">
        <f>IF(T17="","",IF(SUM(T17-ref!E$38)&gt;0,0,IF(T17=0, "0:00", SUM(T17-ref!E$38))))</f>
        <v>0</v>
      </c>
      <c r="V17" s="109"/>
      <c r="W17" s="78"/>
      <c r="X17" s="27"/>
      <c r="Y17" s="63">
        <f t="shared" si="13"/>
        <v>0</v>
      </c>
      <c r="Z17" s="89" t="str">
        <f>IF(Y17="","",IF(SUM(Y17-ref!E$38)&gt;0,0,IF(Y17=0, "0:00", SUM(Y17-ref!E$38))))</f>
        <v>0:00</v>
      </c>
      <c r="AA17" s="27"/>
      <c r="AB17" s="86"/>
    </row>
    <row r="18" spans="2:28" x14ac:dyDescent="0.25">
      <c r="B18" s="68" t="s">
        <v>40</v>
      </c>
      <c r="C18" s="76" t="s">
        <v>20</v>
      </c>
      <c r="D18" s="124">
        <f t="shared" si="9"/>
        <v>43840</v>
      </c>
      <c r="E18" s="128" t="s">
        <v>20</v>
      </c>
      <c r="F18" s="125">
        <f t="shared" si="10"/>
        <v>43840.386805555558</v>
      </c>
      <c r="G18" s="27">
        <v>0.38680555555555557</v>
      </c>
      <c r="H18" s="21">
        <f t="shared" si="7"/>
        <v>3.3333333333333437E-2</v>
      </c>
      <c r="I18" s="27">
        <v>0.74444444444444446</v>
      </c>
      <c r="J18" s="48">
        <f t="shared" si="11"/>
        <v>43840.744444444441</v>
      </c>
      <c r="K18" s="19">
        <f>IF(OR(E18="télétravail",E18="férié travaillé",E18="travail"),(I18-G18+IF(G18&gt;I18,1)-H18),INDEX(ref!$E$22:'ref'!$E$37,MATCH(E18,gerald3,0)))</f>
        <v>0.32430555555555546</v>
      </c>
      <c r="L18" s="13">
        <f>IF(SUM(K18-ref!E$8)&lt;0,0,SUM(K18-ref!E$8))</f>
        <v>0</v>
      </c>
      <c r="M18" s="8">
        <f>IF(OR(E18="férié travaillé",E18="travail",E18="asa",E18="rtt"),I18-G18+IF(G18&gt;I18,1),INDEX(ref!$E$22:'ref'!$E$37,MATCH(E18,gerald2,0)))</f>
        <v>0.3576388888888889</v>
      </c>
      <c r="N18" s="14">
        <f>IF(SUM(M18-ref!E$4)&lt;0,0,SUM(M18-ref!E$4))</f>
        <v>0</v>
      </c>
      <c r="O18" s="82">
        <f t="shared" si="12"/>
        <v>1.3374999999999999</v>
      </c>
      <c r="Q18" s="106"/>
      <c r="R18" s="78">
        <v>0.51874999999999993</v>
      </c>
      <c r="S18" s="97">
        <v>0.55208333333333337</v>
      </c>
      <c r="T18" s="112">
        <f t="shared" si="8"/>
        <v>3.3333333333333437E-2</v>
      </c>
      <c r="U18" s="111">
        <f>IF(T18="","",IF(SUM(T18-ref!E$38)&gt;0,0,IF(T18=0, "0:00", SUM(T18-ref!E$38))))</f>
        <v>0</v>
      </c>
      <c r="V18" s="109"/>
      <c r="W18" s="78"/>
      <c r="X18" s="27"/>
      <c r="Y18" s="63">
        <f t="shared" si="13"/>
        <v>0</v>
      </c>
      <c r="Z18" s="89" t="str">
        <f>IF(Y18="","",IF(SUM(Y18-ref!E$38)&gt;0,0,IF(Y18=0, "0:00", SUM(Y18-ref!E$38))))</f>
        <v>0:00</v>
      </c>
      <c r="AA18" s="27"/>
      <c r="AB18" s="86"/>
    </row>
    <row r="19" spans="2:28" x14ac:dyDescent="0.25">
      <c r="B19" s="70">
        <v>1</v>
      </c>
      <c r="C19" s="76" t="s">
        <v>20</v>
      </c>
      <c r="D19" s="124">
        <f t="shared" si="9"/>
        <v>43841</v>
      </c>
      <c r="E19" s="128" t="s">
        <v>20</v>
      </c>
      <c r="F19" s="125">
        <f t="shared" si="10"/>
        <v>43841.375</v>
      </c>
      <c r="G19" s="27">
        <v>0.375</v>
      </c>
      <c r="H19" s="21">
        <f t="shared" si="7"/>
        <v>2.083333333333337E-2</v>
      </c>
      <c r="I19" s="27">
        <v>0.74652777777777779</v>
      </c>
      <c r="J19" s="48">
        <f t="shared" si="11"/>
        <v>43841.746527777781</v>
      </c>
      <c r="K19" s="19">
        <f>IF(OR(E19="télétravail",E19="férié travaillé",E19="travail"),(I19-G19+IF(G19&gt;I19,1)-H19),INDEX(ref!$E$22:'ref'!$E$37,MATCH(E19,gerald3,0)))</f>
        <v>0.35069444444444442</v>
      </c>
      <c r="L19" s="13">
        <f>IF(SUM(K19-ref!E$8)&lt;0,0,SUM(K19-ref!E$8))</f>
        <v>0</v>
      </c>
      <c r="M19" s="8">
        <f>IF(OR(E19="férié travaillé",E19="travail",E19="asa",E19="rtt"),I19-G19+IF(G19&gt;I19,1),INDEX(ref!$E$22:'ref'!$E$37,MATCH(E19,gerald2,0)))</f>
        <v>0.37152777777777779</v>
      </c>
      <c r="N19" s="14">
        <f>IF(SUM(M19-ref!E$4)&lt;0,0,SUM(M19-ref!E$4))</f>
        <v>0</v>
      </c>
      <c r="O19" s="22">
        <f t="shared" si="12"/>
        <v>1.6881944444444443</v>
      </c>
      <c r="Q19" s="106"/>
      <c r="R19" s="78">
        <v>0.55555555555555558</v>
      </c>
      <c r="S19" s="97">
        <v>0.57638888888888895</v>
      </c>
      <c r="T19" s="112">
        <f t="shared" si="8"/>
        <v>2.083333333333337E-2</v>
      </c>
      <c r="U19" s="111">
        <f>IF(T19="","",IF(SUM(T19-ref!E$38)&gt;0,0,IF(T19=0, "0:00", SUM(T19-ref!E$38))))</f>
        <v>-1.041666666666663E-2</v>
      </c>
      <c r="V19" s="109"/>
      <c r="W19" s="78"/>
      <c r="X19" s="27"/>
      <c r="Y19" s="63">
        <f t="shared" si="13"/>
        <v>0</v>
      </c>
      <c r="Z19" s="89" t="str">
        <f>IF(Y19="","",IF(SUM(Y19-ref!E$38)&gt;0,0,IF(Y19=0, "0:00", SUM(Y19-ref!E$38))))</f>
        <v>0:00</v>
      </c>
      <c r="AA19" s="27"/>
      <c r="AB19" s="86"/>
    </row>
    <row r="20" spans="2:28" ht="15.75" thickBot="1" x14ac:dyDescent="0.3">
      <c r="B20"/>
      <c r="C20" s="77"/>
      <c r="D20" s="124">
        <f>D19+1</f>
        <v>43842</v>
      </c>
      <c r="E20" s="128" t="s">
        <v>19</v>
      </c>
      <c r="F20" s="125" t="str">
        <f>IF(AND(I20="",G20=""),"",D20+G20)</f>
        <v/>
      </c>
      <c r="G20" s="27"/>
      <c r="H20" s="21">
        <f t="shared" si="7"/>
        <v>0</v>
      </c>
      <c r="I20" s="27"/>
      <c r="J20" s="48" t="str">
        <f>IF(AND(G20="",I20=""),"",D20+I20+(G20&gt;I20))</f>
        <v/>
      </c>
      <c r="K20" s="19">
        <f>IF(OR(E20="télétravail",E20="férié travaillé",E20="travail"),(I20-G20+IF(G20&gt;I20,1)-H20),INDEX(ref!$E$22:'ref'!$E$37,MATCH(E20,gerald3,0)))</f>
        <v>0</v>
      </c>
      <c r="L20" s="13">
        <f>IF(SUM(K20-ref!E$8)&lt;0,0,SUM(K20-ref!E$8))</f>
        <v>0</v>
      </c>
      <c r="M20" s="8">
        <f>IF(OR(E20="férié travaillé",E20="travail",E20="asa",E20="rtt"),I20-G20+IF(G20&gt;I20,1),INDEX(ref!$E$22:'ref'!$E$37,MATCH(E20,gerald2,0)))</f>
        <v>0</v>
      </c>
      <c r="N20" s="14">
        <f>IF(SUM(M20-ref!E$4)&lt;0,0,SUM(M20-ref!E$4))</f>
        <v>0</v>
      </c>
      <c r="O20" s="82">
        <f t="shared" si="12"/>
        <v>1.6881944444444443</v>
      </c>
      <c r="Q20" s="106"/>
      <c r="R20" s="78"/>
      <c r="S20" s="97"/>
      <c r="T20" s="112">
        <f>S20-R20</f>
        <v>0</v>
      </c>
      <c r="U20" s="111" t="str">
        <f>IF(T20="","",IF(SUM(T20-ref!E$38)&gt;0,0,IF(T20=0, "0:00", SUM(T20-ref!E$38))))</f>
        <v>0:00</v>
      </c>
      <c r="V20" s="109"/>
      <c r="W20" s="78"/>
      <c r="X20" s="27"/>
      <c r="Y20" s="63">
        <f>X20-W20</f>
        <v>0</v>
      </c>
      <c r="Z20" s="89" t="str">
        <f>IF(Y20="","",IF(SUM(Y20-ref!E$38)&gt;0,0,IF(Y20=0, "0:00", SUM(Y20-ref!E$38))))</f>
        <v>0:00</v>
      </c>
      <c r="AA20" s="27"/>
      <c r="AB20" s="86"/>
    </row>
    <row r="21" spans="2:28" ht="15.75" thickBot="1" x14ac:dyDescent="0.3">
      <c r="B21"/>
      <c r="C21" s="77"/>
      <c r="D21" s="124">
        <f>D20+1</f>
        <v>43843</v>
      </c>
      <c r="E21" s="129" t="s">
        <v>19</v>
      </c>
      <c r="F21" s="125" t="str">
        <f>IF(AND(I21="",G21=""),"",D21+G21)</f>
        <v/>
      </c>
      <c r="G21" s="27"/>
      <c r="H21" s="21">
        <f t="shared" si="7"/>
        <v>0</v>
      </c>
      <c r="I21" s="27"/>
      <c r="J21" s="48" t="str">
        <f>IF(AND(G21="",I21=""),"",D21+I21+(G21&gt;I21))</f>
        <v/>
      </c>
      <c r="K21" s="19">
        <f>IF(OR(E21="télétravail",E21="férié travaillé",E21="travail"),(I21-G21+IF(G21&gt;I21,1)-H21),INDEX(ref!$E$22:'ref'!$E$37,MATCH(E21,gerald3,0)))</f>
        <v>0</v>
      </c>
      <c r="L21" s="13">
        <f>IF(SUM(K21-ref!E$8)&lt;0,0,SUM(K21-ref!E$8))</f>
        <v>0</v>
      </c>
      <c r="M21" s="8">
        <f>IF(OR(E21="férié travaillé",E21="travail",E21="asa",E21="rtt"),I21-G21+IF(G21&gt;I21,1),INDEX(ref!$E$22:'ref'!$E$37,MATCH(E21,gerald2,0)))</f>
        <v>0</v>
      </c>
      <c r="N21" s="14">
        <f>IF(SUM(M21-ref!E$4)&lt;0,0,SUM(M21-ref!E$4))</f>
        <v>0</v>
      </c>
      <c r="O21" s="80">
        <f t="shared" si="12"/>
        <v>1.6881944444444443</v>
      </c>
      <c r="Q21" s="107"/>
      <c r="R21" s="78"/>
      <c r="S21" s="97"/>
      <c r="T21" s="112">
        <f>S21-R21</f>
        <v>0</v>
      </c>
      <c r="U21" s="111" t="str">
        <f>IF(T21="","",IF(SUM(T21-ref!E$38)&gt;0,0,IF(T21=0, "0:00", SUM(T21-ref!E$38))))</f>
        <v>0:00</v>
      </c>
      <c r="V21" s="110"/>
      <c r="W21" s="78"/>
      <c r="X21" s="27"/>
      <c r="Y21" s="63">
        <f>X21-W21</f>
        <v>0</v>
      </c>
      <c r="Z21" s="90" t="str">
        <f>IF(Y21="","",IF(SUM(Y21-ref!E$38)&gt;0,0,IF(Y21=0, "0:00", SUM(Y21-ref!E$38))))</f>
        <v>0:00</v>
      </c>
      <c r="AA21" s="27"/>
      <c r="AB21" s="86"/>
    </row>
    <row r="22" spans="2:28" x14ac:dyDescent="0.25">
      <c r="C22" s="77"/>
      <c r="E22" s="126"/>
      <c r="U22" s="66"/>
      <c r="Y22" s="2"/>
      <c r="Z22" s="2"/>
      <c r="AA22" s="95"/>
    </row>
    <row r="23" spans="2:28" x14ac:dyDescent="0.25">
      <c r="C23" s="77"/>
      <c r="E23" s="126"/>
      <c r="O23" s="16"/>
      <c r="Y23" s="2"/>
      <c r="Z23" s="2"/>
      <c r="AA23" s="95"/>
    </row>
    <row r="24" spans="2:28" ht="15.75" thickBot="1" x14ac:dyDescent="0.3">
      <c r="C24" s="77"/>
      <c r="E24" s="126"/>
      <c r="U24" s="66"/>
      <c r="Y24" s="2"/>
      <c r="Z24" s="2"/>
      <c r="AA24" s="95"/>
    </row>
    <row r="25" spans="2:28" x14ac:dyDescent="0.25">
      <c r="B25" s="67" t="s">
        <v>1</v>
      </c>
      <c r="C25" s="76" t="s">
        <v>20</v>
      </c>
      <c r="D25" s="124">
        <f>DATE(ref!E$2,B29,B27)</f>
        <v>43844</v>
      </c>
      <c r="E25" s="127" t="s">
        <v>20</v>
      </c>
      <c r="F25" s="125">
        <f t="shared" ref="F25:F29" si="14">IF(AND(I25="",G25=""),"",D25+G25)</f>
        <v>43844.37777777778</v>
      </c>
      <c r="G25" s="27">
        <v>0.37777777777777777</v>
      </c>
      <c r="H25" s="21">
        <f t="shared" ref="H25:H31" si="15">SUM(T25+Y25+AA25)</f>
        <v>3.3333333333333326E-2</v>
      </c>
      <c r="I25" s="27">
        <v>0.71180555555555547</v>
      </c>
      <c r="J25" s="48">
        <f t="shared" ref="J25:J29" si="16">IF(AND(G25="",I25=""),"",D25+I25+(G25&gt;I25))</f>
        <v>43844.711805555555</v>
      </c>
      <c r="K25" s="19">
        <f>IF(OR(E25="télétravail",E25="férié travaillé",E25="travail"),(I25-G25+IF(G25&gt;I25,1)-H25),INDEX(ref!$E$22:'ref'!$E$37,MATCH(E25,gerald3,0)))</f>
        <v>0.30069444444444438</v>
      </c>
      <c r="L25" s="13">
        <f>IF(SUM(K25-ref!E$8)&lt;0,0,SUM(K25-ref!E$8))</f>
        <v>0</v>
      </c>
      <c r="M25" s="8">
        <f>IF(OR(E25="férié travaillé",E25="travail",E25="asa",E25="rtt"),I25-G25+IF(G25&gt;I25,1),INDEX(ref!$E$22:'ref'!$E$37,MATCH(E25,gerald2,0)))</f>
        <v>0.3340277777777777</v>
      </c>
      <c r="N25" s="14">
        <f>IF(SUM(M25-ref!E$4)&lt;0,0,SUM(M25-ref!E$4))</f>
        <v>0</v>
      </c>
      <c r="O25" s="130">
        <f>K25</f>
        <v>0.30069444444444438</v>
      </c>
      <c r="Q25" s="105"/>
      <c r="R25" s="78">
        <v>0.5395833333333333</v>
      </c>
      <c r="S25" s="97">
        <v>0.57291666666666663</v>
      </c>
      <c r="T25" s="112">
        <f t="shared" ref="T25:T29" si="17">S25-R25</f>
        <v>3.3333333333333326E-2</v>
      </c>
      <c r="U25" s="111">
        <f>IF(T25="","",IF(SUM(T25-ref!E$38)&gt;0,0,IF(T25=0, "0:00", SUM(T25-ref!E$38))))</f>
        <v>0</v>
      </c>
      <c r="V25" s="108"/>
      <c r="W25" s="78"/>
      <c r="X25" s="27"/>
      <c r="Y25" s="63">
        <f>X25-W25</f>
        <v>0</v>
      </c>
      <c r="Z25" s="88" t="str">
        <f>IF(Y25="","",IF(SUM(Y25-ref!E$38)&gt;0,0,IF(Y25=0, "0:00", SUM(Y25-ref!E$38))))</f>
        <v>0:00</v>
      </c>
      <c r="AA25" s="27"/>
      <c r="AB25" s="86"/>
    </row>
    <row r="26" spans="2:28" x14ac:dyDescent="0.25">
      <c r="B26" s="68" t="s">
        <v>1</v>
      </c>
      <c r="C26" s="76" t="s">
        <v>20</v>
      </c>
      <c r="D26" s="124">
        <f t="shared" ref="D26:D29" si="18">D25+1</f>
        <v>43845</v>
      </c>
      <c r="E26" s="128" t="s">
        <v>20</v>
      </c>
      <c r="F26" s="125">
        <f t="shared" si="14"/>
        <v>43845.380555555559</v>
      </c>
      <c r="G26" s="27">
        <v>0.38055555555555554</v>
      </c>
      <c r="H26" s="21">
        <f t="shared" si="15"/>
        <v>3.2638888888888995E-2</v>
      </c>
      <c r="I26" s="27">
        <v>0.85555555555555562</v>
      </c>
      <c r="J26" s="48">
        <f t="shared" si="16"/>
        <v>43845.855555555558</v>
      </c>
      <c r="K26" s="19">
        <f>IF(OR(E26="télétravail",E26="férié travaillé",E26="travail"),(I26-G26+IF(G26&gt;I26,1)-H26),INDEX(ref!$E$22:'ref'!$E$37,MATCH(E26,gerald3,0)))</f>
        <v>0.44236111111111109</v>
      </c>
      <c r="L26" s="13">
        <f>IF(SUM(K26-ref!E$8)&lt;0,0,SUM(K26-ref!E$8))</f>
        <v>2.5694444444444409E-2</v>
      </c>
      <c r="M26" s="8">
        <f>IF(OR(E26="férié travaillé",E26="travail",E26="asa",E26="rtt"),I26-G26+IF(G26&gt;I26,1),INDEX(ref!$E$22:'ref'!$E$37,MATCH(E26,gerald2,0)))</f>
        <v>0.47500000000000009</v>
      </c>
      <c r="N26" s="14">
        <f>IF(SUM(M26-ref!E$4)&lt;0,0,SUM(M26-ref!E$4))</f>
        <v>0</v>
      </c>
      <c r="O26" s="83">
        <f t="shared" ref="O26:O31" si="19">O25+K26</f>
        <v>0.74305555555555547</v>
      </c>
      <c r="Q26" s="106"/>
      <c r="R26" s="78">
        <v>0.50972222222222219</v>
      </c>
      <c r="S26" s="97">
        <v>0.54236111111111118</v>
      </c>
      <c r="T26" s="112">
        <f t="shared" si="17"/>
        <v>3.2638888888888995E-2</v>
      </c>
      <c r="U26" s="111">
        <f>IF(T26="","",IF(SUM(T26-ref!E$38)&gt;0,0,IF(T26=0, "0:00", SUM(T26-ref!E$38))))</f>
        <v>0</v>
      </c>
      <c r="V26" s="109"/>
      <c r="W26" s="78"/>
      <c r="X26" s="27"/>
      <c r="Y26" s="63">
        <f t="shared" ref="Y26:Y29" si="20">X26-W26</f>
        <v>0</v>
      </c>
      <c r="Z26" s="89" t="str">
        <f>IF(Y26="","",IF(SUM(Y26-ref!E$38)&gt;0,0,IF(Y26=0, "0:00", SUM(Y26-ref!E$38))))</f>
        <v>0:00</v>
      </c>
      <c r="AA26" s="27"/>
      <c r="AB26" s="86"/>
    </row>
    <row r="27" spans="2:28" x14ac:dyDescent="0.25">
      <c r="B27" s="69">
        <v>15</v>
      </c>
      <c r="C27" s="76" t="s">
        <v>20</v>
      </c>
      <c r="D27" s="124">
        <f t="shared" si="18"/>
        <v>43846</v>
      </c>
      <c r="E27" s="128" t="s">
        <v>20</v>
      </c>
      <c r="F27" s="125">
        <f t="shared" si="14"/>
        <v>43846.427777777775</v>
      </c>
      <c r="G27" s="27">
        <v>0.42777777777777781</v>
      </c>
      <c r="H27" s="21">
        <f t="shared" si="15"/>
        <v>3.4722222222222321E-2</v>
      </c>
      <c r="I27" s="27">
        <v>0.78888888888888886</v>
      </c>
      <c r="J27" s="48">
        <f t="shared" si="16"/>
        <v>43846.788888888892</v>
      </c>
      <c r="K27" s="19">
        <f>IF(OR(E27="télétravail",E27="férié travaillé",E27="travail"),(I27-G27+IF(G27&gt;I27,1)-H27),INDEX(ref!$E$22:'ref'!$E$37,MATCH(E27,gerald3,0)))</f>
        <v>0.32638888888888873</v>
      </c>
      <c r="L27" s="13">
        <f>IF(SUM(K27-ref!E$8)&lt;0,0,SUM(K27-ref!E$8))</f>
        <v>0</v>
      </c>
      <c r="M27" s="8">
        <f>IF(OR(E27="férié travaillé",E27="travail",E27="asa",E27="rtt"),I27-G27+IF(G27&gt;I27,1),INDEX(ref!$E$22:'ref'!$E$37,MATCH(E27,gerald2,0)))</f>
        <v>0.36111111111111105</v>
      </c>
      <c r="N27" s="14">
        <f>IF(SUM(M27-ref!E$4)&lt;0,0,SUM(M27-ref!E$4))</f>
        <v>0</v>
      </c>
      <c r="O27" s="83">
        <f t="shared" si="19"/>
        <v>1.0694444444444442</v>
      </c>
      <c r="Q27" s="106"/>
      <c r="R27" s="78">
        <v>0.5131944444444444</v>
      </c>
      <c r="S27" s="97">
        <v>0.54791666666666672</v>
      </c>
      <c r="T27" s="112">
        <f t="shared" si="17"/>
        <v>3.4722222222222321E-2</v>
      </c>
      <c r="U27" s="111">
        <f>IF(T27="","",IF(SUM(T27-ref!E$38)&gt;0,0,IF(T27=0, "0:00", SUM(T27-ref!E$38))))</f>
        <v>0</v>
      </c>
      <c r="V27" s="109"/>
      <c r="W27" s="78"/>
      <c r="X27" s="27"/>
      <c r="Y27" s="63">
        <f t="shared" si="20"/>
        <v>0</v>
      </c>
      <c r="Z27" s="89" t="str">
        <f>IF(Y27="","",IF(SUM(Y27-ref!E$38)&gt;0,0,IF(Y27=0, "0:00", SUM(Y27-ref!E$38))))</f>
        <v>0:00</v>
      </c>
      <c r="AA27" s="27"/>
      <c r="AB27" s="86"/>
    </row>
    <row r="28" spans="2:28" x14ac:dyDescent="0.25">
      <c r="B28" s="68" t="s">
        <v>40</v>
      </c>
      <c r="C28" s="76" t="s">
        <v>20</v>
      </c>
      <c r="D28" s="124">
        <f t="shared" si="18"/>
        <v>43847</v>
      </c>
      <c r="E28" s="128" t="s">
        <v>20</v>
      </c>
      <c r="F28" s="125">
        <f t="shared" si="14"/>
        <v>43847.375</v>
      </c>
      <c r="G28" s="27">
        <v>0.375</v>
      </c>
      <c r="H28" s="21">
        <f t="shared" si="15"/>
        <v>3.125E-2</v>
      </c>
      <c r="I28" s="27">
        <v>0.77500000000000002</v>
      </c>
      <c r="J28" s="48">
        <f t="shared" si="16"/>
        <v>43847.775000000001</v>
      </c>
      <c r="K28" s="19">
        <f>IF(OR(E28="télétravail",E28="férié travaillé",E28="travail"),(I28-G28+IF(G28&gt;I28,1)-H28),INDEX(ref!$E$22:'ref'!$E$37,MATCH(E28,gerald3,0)))</f>
        <v>0.36875000000000002</v>
      </c>
      <c r="L28" s="13">
        <f>IF(SUM(K28-ref!E$8)&lt;0,0,SUM(K28-ref!E$8))</f>
        <v>0</v>
      </c>
      <c r="M28" s="8">
        <f>IF(OR(E28="férié travaillé",E28="travail",E28="asa",E28="rtt"),I28-G28+IF(G28&gt;I28,1),INDEX(ref!$E$22:'ref'!$E$37,MATCH(E28,gerald2,0)))</f>
        <v>0.4</v>
      </c>
      <c r="N28" s="14">
        <f>IF(SUM(M28-ref!E$4)&lt;0,0,SUM(M28-ref!E$4))</f>
        <v>0</v>
      </c>
      <c r="O28" s="83">
        <f t="shared" si="19"/>
        <v>1.4381944444444441</v>
      </c>
      <c r="Q28" s="106"/>
      <c r="R28" s="78">
        <v>0.54166666666666663</v>
      </c>
      <c r="S28" s="97">
        <v>0.57291666666666663</v>
      </c>
      <c r="T28" s="112">
        <f t="shared" si="17"/>
        <v>3.125E-2</v>
      </c>
      <c r="U28" s="111">
        <f>IF(T28="","",IF(SUM(T28-ref!E$38)&gt;0,0,IF(T28=0, "0:00", SUM(T28-ref!E$38))))</f>
        <v>0</v>
      </c>
      <c r="V28" s="109"/>
      <c r="W28" s="78"/>
      <c r="X28" s="27"/>
      <c r="Y28" s="63">
        <f t="shared" si="20"/>
        <v>0</v>
      </c>
      <c r="Z28" s="89" t="str">
        <f>IF(Y28="","",IF(SUM(Y28-ref!E$38)&gt;0,0,IF(Y28=0, "0:00", SUM(Y28-ref!E$38))))</f>
        <v>0:00</v>
      </c>
      <c r="AA28" s="27"/>
      <c r="AB28" s="86"/>
    </row>
    <row r="29" spans="2:28" x14ac:dyDescent="0.25">
      <c r="B29" s="70">
        <v>1</v>
      </c>
      <c r="C29" s="76" t="s">
        <v>20</v>
      </c>
      <c r="D29" s="124">
        <f t="shared" si="18"/>
        <v>43848</v>
      </c>
      <c r="E29" s="128" t="s">
        <v>20</v>
      </c>
      <c r="F29" s="125">
        <f t="shared" si="14"/>
        <v>43848.378472222219</v>
      </c>
      <c r="G29" s="27">
        <v>0.37847222222222227</v>
      </c>
      <c r="H29" s="21">
        <f t="shared" si="15"/>
        <v>2.0138888888888928E-2</v>
      </c>
      <c r="I29" s="27">
        <v>0.76736111111111116</v>
      </c>
      <c r="J29" s="48">
        <f t="shared" si="16"/>
        <v>43848.767361111109</v>
      </c>
      <c r="K29" s="19">
        <f>IF(OR(E29="télétravail",E29="férié travaillé",E29="travail"),(I29-G29+IF(G29&gt;I29,1)-H29),INDEX(ref!$E$22:'ref'!$E$37,MATCH(E29,gerald3,0)))</f>
        <v>0.36874999999999997</v>
      </c>
      <c r="L29" s="13">
        <f>IF(SUM(K29-ref!E$8)&lt;0,0,SUM(K29-ref!E$8))</f>
        <v>0</v>
      </c>
      <c r="M29" s="8">
        <f>IF(OR(E29="férié travaillé",E29="travail",E29="asa",E29="rtt"),I29-G29+IF(G29&gt;I29,1),INDEX(ref!$E$22:'ref'!$E$37,MATCH(E29,gerald2,0)))</f>
        <v>0.3888888888888889</v>
      </c>
      <c r="N29" s="14">
        <f>IF(SUM(M29-ref!E$4)&lt;0,0,SUM(M29-ref!E$4))</f>
        <v>0</v>
      </c>
      <c r="O29" s="83">
        <f t="shared" si="19"/>
        <v>1.806944444444444</v>
      </c>
      <c r="Q29" s="106"/>
      <c r="R29" s="78">
        <v>0.57291666666666663</v>
      </c>
      <c r="S29" s="97">
        <v>0.59305555555555556</v>
      </c>
      <c r="T29" s="112">
        <f t="shared" si="17"/>
        <v>2.0138888888888928E-2</v>
      </c>
      <c r="U29" s="111">
        <f>IF(T29="","",IF(SUM(T29-ref!E$38)&gt;0,0,IF(T29=0, "0:00", SUM(T29-ref!E$38))))</f>
        <v>-1.1111111111111072E-2</v>
      </c>
      <c r="V29" s="109"/>
      <c r="W29" s="78"/>
      <c r="X29" s="27"/>
      <c r="Y29" s="63">
        <f t="shared" si="20"/>
        <v>0</v>
      </c>
      <c r="Z29" s="89" t="str">
        <f>IF(Y29="","",IF(SUM(Y29-ref!E$38)&gt;0,0,IF(Y29=0, "0:00", SUM(Y29-ref!E$38))))</f>
        <v>0:00</v>
      </c>
      <c r="AA29" s="27"/>
      <c r="AB29" s="86"/>
    </row>
    <row r="30" spans="2:28" ht="15.75" thickBot="1" x14ac:dyDescent="0.3">
      <c r="B30"/>
      <c r="C30" s="77"/>
      <c r="D30" s="124">
        <f>D29+1</f>
        <v>43849</v>
      </c>
      <c r="E30" s="128" t="s">
        <v>20</v>
      </c>
      <c r="F30" s="125">
        <f>IF(AND(I30="",G30=""),"",D30+G30)</f>
        <v>43849.570833333331</v>
      </c>
      <c r="G30" s="27">
        <v>0.5708333333333333</v>
      </c>
      <c r="H30" s="21">
        <f t="shared" si="15"/>
        <v>0</v>
      </c>
      <c r="I30" s="27">
        <v>0.85763888888888884</v>
      </c>
      <c r="J30" s="48">
        <f>IF(AND(G30="",I30=""),"",D30+I30+(G30&gt;I30))</f>
        <v>43849.857638888891</v>
      </c>
      <c r="K30" s="19">
        <f>IF(OR(E30="télétravail",E30="férié travaillé",E30="travail"),(I30-G30+IF(G30&gt;I30,1)-H30),INDEX(ref!$E$22:'ref'!$E$37,MATCH(E30,gerald3,0)))</f>
        <v>0.28680555555555554</v>
      </c>
      <c r="L30" s="13">
        <f>IF(SUM(K30-ref!E$8)&lt;0,0,SUM(K30-ref!E$8))</f>
        <v>0</v>
      </c>
      <c r="M30" s="8">
        <f>IF(OR(E30="férié travaillé",E30="travail",E30="asa",E30="rtt"),I30-G30+IF(G30&gt;I30,1),INDEX(ref!$E$22:'ref'!$E$37,MATCH(E30,gerald2,0)))</f>
        <v>0.28680555555555554</v>
      </c>
      <c r="N30" s="14">
        <f>IF(SUM(M30-ref!E$4)&lt;0,0,SUM(M30-ref!E$4))</f>
        <v>0</v>
      </c>
      <c r="O30" s="131">
        <f t="shared" si="19"/>
        <v>2.0937499999999996</v>
      </c>
      <c r="Q30" s="106"/>
      <c r="R30" s="78"/>
      <c r="S30" s="97"/>
      <c r="T30" s="112">
        <f>S30-R30</f>
        <v>0</v>
      </c>
      <c r="U30" s="111" t="str">
        <f>IF(T30="","",IF(SUM(T30-ref!E$38)&gt;0,0,IF(T30=0, "0:00", SUM(T30-ref!E$38))))</f>
        <v>0:00</v>
      </c>
      <c r="V30" s="109"/>
      <c r="W30" s="78"/>
      <c r="X30" s="27"/>
      <c r="Y30" s="63">
        <f>X30-W30</f>
        <v>0</v>
      </c>
      <c r="Z30" s="89" t="str">
        <f>IF(Y30="","",IF(SUM(Y30-ref!E$38)&gt;0,0,IF(Y30=0, "0:00", SUM(Y30-ref!E$38))))</f>
        <v>0:00</v>
      </c>
      <c r="AA30" s="27"/>
      <c r="AB30" s="86"/>
    </row>
    <row r="31" spans="2:28" ht="15.75" thickBot="1" x14ac:dyDescent="0.3">
      <c r="B31"/>
      <c r="C31" s="77"/>
      <c r="D31" s="124">
        <f>D30+1</f>
        <v>43850</v>
      </c>
      <c r="E31" s="129" t="s">
        <v>19</v>
      </c>
      <c r="F31" s="125" t="str">
        <f>IF(AND(I31="",G31=""),"",D31+G31)</f>
        <v/>
      </c>
      <c r="G31" s="27"/>
      <c r="H31" s="21">
        <f t="shared" si="15"/>
        <v>0</v>
      </c>
      <c r="I31" s="27"/>
      <c r="J31" s="48" t="str">
        <f>IF(AND(G31="",I31=""),"",D31+I31+(G31&gt;I31))</f>
        <v/>
      </c>
      <c r="K31" s="19">
        <f>IF(OR(E31="télétravail",E31="férié travaillé",E31="travail"),(I31-G31+IF(G31&gt;I31,1)-H31),INDEX(ref!$E$22:'ref'!$E$37,MATCH(E31,gerald3,0)))</f>
        <v>0</v>
      </c>
      <c r="L31" s="13">
        <f>IF(SUM(K31-ref!E$8)&lt;0,0,SUM(K31-ref!E$8))</f>
        <v>0</v>
      </c>
      <c r="M31" s="8">
        <f>IF(OR(E31="férié travaillé",E31="travail",E31="asa",E31="rtt"),I31-G31+IF(G31&gt;I31,1),INDEX(ref!$E$22:'ref'!$E$37,MATCH(E31,gerald2,0)))</f>
        <v>0</v>
      </c>
      <c r="N31" s="14">
        <f>IF(SUM(M31-ref!E$4)&lt;0,0,SUM(M31-ref!E$4))</f>
        <v>0</v>
      </c>
      <c r="O31" s="80">
        <f t="shared" si="19"/>
        <v>2.0937499999999996</v>
      </c>
      <c r="Q31" s="107"/>
      <c r="R31" s="78"/>
      <c r="S31" s="97"/>
      <c r="T31" s="112">
        <f>S31-R31</f>
        <v>0</v>
      </c>
      <c r="U31" s="111" t="str">
        <f>IF(T31="","",IF(SUM(T31-ref!E$38)&gt;0,0,IF(T31=0, "0:00", SUM(T31-ref!E$38))))</f>
        <v>0:00</v>
      </c>
      <c r="V31" s="110"/>
      <c r="W31" s="78"/>
      <c r="X31" s="27"/>
      <c r="Y31" s="63">
        <f>X31-W31</f>
        <v>0</v>
      </c>
      <c r="Z31" s="90" t="str">
        <f>IF(Y31="","",IF(SUM(Y31-ref!E$38)&gt;0,0,IF(Y31=0, "0:00", SUM(Y31-ref!E$38))))</f>
        <v>0:00</v>
      </c>
      <c r="AA31" s="27"/>
      <c r="AB31" s="86"/>
    </row>
    <row r="32" spans="2:28" x14ac:dyDescent="0.25">
      <c r="C32" s="77"/>
      <c r="E32" s="126"/>
      <c r="U32" s="66"/>
      <c r="Y32" s="2"/>
      <c r="Z32" s="2"/>
      <c r="AA32" s="95"/>
    </row>
    <row r="33" spans="2:28" x14ac:dyDescent="0.25">
      <c r="C33" s="77"/>
      <c r="E33" s="126"/>
      <c r="O33" s="16"/>
      <c r="P33" s="98"/>
      <c r="Y33" s="2"/>
      <c r="Z33" s="2"/>
      <c r="AA33" s="95"/>
    </row>
    <row r="34" spans="2:28" ht="15.75" thickBot="1" x14ac:dyDescent="0.3">
      <c r="C34" s="77"/>
      <c r="E34" s="126"/>
      <c r="U34" s="66"/>
      <c r="Y34" s="2"/>
      <c r="Z34" s="2"/>
      <c r="AA34" s="95"/>
    </row>
    <row r="35" spans="2:28" x14ac:dyDescent="0.25">
      <c r="B35" s="67" t="s">
        <v>1</v>
      </c>
      <c r="C35" s="76" t="s">
        <v>20</v>
      </c>
      <c r="D35" s="124">
        <f>DATE(ref!E$2,B39,B37)</f>
        <v>43851</v>
      </c>
      <c r="E35" s="127" t="s">
        <v>20</v>
      </c>
      <c r="F35" s="125">
        <f>IF(AND(I35="",G35=""),"",D35+G35)</f>
        <v>43851.386111111111</v>
      </c>
      <c r="G35" s="27">
        <v>0.38611111111111113</v>
      </c>
      <c r="H35" s="21">
        <f t="shared" ref="H35:H41" si="21">SUM(T35+Y35+AA35)</f>
        <v>3.4027777777777768E-2</v>
      </c>
      <c r="I35" s="27">
        <v>0.70833333333333337</v>
      </c>
      <c r="J35" s="48">
        <f>IF(AND(G35="",I35=""),"",D35+I35+(G35&gt;I35))</f>
        <v>43851.708333333336</v>
      </c>
      <c r="K35" s="19">
        <f>IF(OR(E35="télétravail",E35="férié travaillé",E35="travail"),(I35-G35+IF(G35&gt;I35,1)-H35),INDEX(ref!$E$22:'ref'!$E$37,MATCH(E35,gerald3,0)))</f>
        <v>0.28819444444444448</v>
      </c>
      <c r="L35" s="13">
        <f>IF(SUM(K35-ref!E$8)&lt;0,0,SUM(K35-ref!E$8))</f>
        <v>0</v>
      </c>
      <c r="M35" s="8">
        <f>IF(OR(E35="férié travaillé",E35="travail",E35="asa",E35="rtt"),I35-G35+IF(G35&gt;I35,1),INDEX(ref!$E$22:'ref'!$E$37,MATCH(E35,gerald2,0)))</f>
        <v>0.32222222222222224</v>
      </c>
      <c r="N35" s="14">
        <f>IF(SUM(M35-ref!E$4)&lt;0,0,SUM(M35-ref!E$4))</f>
        <v>0</v>
      </c>
      <c r="O35" s="130">
        <f>K35</f>
        <v>0.28819444444444448</v>
      </c>
      <c r="Q35" s="105"/>
      <c r="R35" s="78">
        <v>0.50763888888888886</v>
      </c>
      <c r="S35" s="97">
        <v>0.54166666666666663</v>
      </c>
      <c r="T35" s="112">
        <f t="shared" ref="T35:T41" si="22">S35-R35</f>
        <v>3.4027777777777768E-2</v>
      </c>
      <c r="U35" s="111">
        <f>IF(T35="","",IF(SUM(T35-ref!E$38)&gt;0,0,IF(T35=0, "0:00", SUM(T35-ref!E$38))))</f>
        <v>0</v>
      </c>
      <c r="V35" s="108"/>
      <c r="W35" s="78"/>
      <c r="X35" s="27"/>
      <c r="Y35" s="63">
        <f>X35-W35</f>
        <v>0</v>
      </c>
      <c r="Z35" s="88" t="str">
        <f>IF(Y35="","",IF(SUM(Y35-ref!E$38)&gt;0,0,IF(Y35=0, "0:00", SUM(Y35-ref!E$38))))</f>
        <v>0:00</v>
      </c>
      <c r="AA35" s="27"/>
      <c r="AB35" s="86"/>
    </row>
    <row r="36" spans="2:28" x14ac:dyDescent="0.25">
      <c r="B36" s="68" t="s">
        <v>1</v>
      </c>
      <c r="C36" s="76" t="s">
        <v>20</v>
      </c>
      <c r="D36" s="124">
        <f t="shared" ref="D36:D41" si="23">D35+1</f>
        <v>43852</v>
      </c>
      <c r="E36" s="128" t="s">
        <v>20</v>
      </c>
      <c r="F36" s="125">
        <f t="shared" ref="F36:F41" si="24">IF(AND(I36="",G36=""),"",D36+G36)</f>
        <v>43852.375</v>
      </c>
      <c r="G36" s="27">
        <v>0.375</v>
      </c>
      <c r="H36" s="21">
        <f t="shared" si="21"/>
        <v>3.1944444444444331E-2</v>
      </c>
      <c r="I36" s="27">
        <v>0.71944444444444444</v>
      </c>
      <c r="J36" s="48">
        <f t="shared" ref="J36:J41" si="25">IF(AND(G36="",I36=""),"",D36+I36+(G36&gt;I36))</f>
        <v>43852.719444444447</v>
      </c>
      <c r="K36" s="19">
        <f>IF(OR(E36="télétravail",E36="férié travaillé",E36="travail"),(I36-G36+IF(G36&gt;I36,1)-H36),INDEX(ref!$E$22:'ref'!$E$37,MATCH(E36,gerald3,0)))</f>
        <v>0.31250000000000011</v>
      </c>
      <c r="L36" s="13">
        <f>IF(SUM(K36-ref!E$8)&lt;0,0,SUM(K36-ref!E$8))</f>
        <v>0</v>
      </c>
      <c r="M36" s="8">
        <f>IF(OR(E36="férié travaillé",E36="travail",E36="asa",E36="rtt"),I36-G36+IF(G36&gt;I36,1),INDEX(ref!$E$22:'ref'!$E$37,MATCH(E36,gerald2,0)))</f>
        <v>0.34444444444444444</v>
      </c>
      <c r="N36" s="14">
        <f>IF(SUM(M36-ref!E$4)&lt;0,0,SUM(M36-ref!E$4))</f>
        <v>0</v>
      </c>
      <c r="O36" s="83">
        <f t="shared" ref="O36:O41" si="26">O35+K36</f>
        <v>0.60069444444444464</v>
      </c>
      <c r="Q36" s="106"/>
      <c r="R36" s="78">
        <v>0.54236111111111118</v>
      </c>
      <c r="S36" s="97">
        <v>0.57430555555555551</v>
      </c>
      <c r="T36" s="112">
        <f t="shared" si="22"/>
        <v>3.1944444444444331E-2</v>
      </c>
      <c r="U36" s="111">
        <f>IF(T36="","",IF(SUM(T36-ref!E$38)&gt;0,0,IF(T36=0, "0:00", SUM(T36-ref!E$38))))</f>
        <v>0</v>
      </c>
      <c r="V36" s="109"/>
      <c r="W36" s="78"/>
      <c r="X36" s="27"/>
      <c r="Y36" s="63">
        <f t="shared" ref="Y36:Y41" si="27">X36-W36</f>
        <v>0</v>
      </c>
      <c r="Z36" s="89" t="str">
        <f>IF(Y36="","",IF(SUM(Y36-ref!E$38)&gt;0,0,IF(Y36=0, "0:00", SUM(Y36-ref!E$38))))</f>
        <v>0:00</v>
      </c>
      <c r="AA36" s="27"/>
      <c r="AB36" s="86"/>
    </row>
    <row r="37" spans="2:28" x14ac:dyDescent="0.25">
      <c r="B37" s="69">
        <v>22</v>
      </c>
      <c r="C37" s="76" t="s">
        <v>20</v>
      </c>
      <c r="D37" s="124">
        <f t="shared" si="23"/>
        <v>43853</v>
      </c>
      <c r="E37" s="128" t="s">
        <v>20</v>
      </c>
      <c r="F37" s="125">
        <f t="shared" si="24"/>
        <v>43853.433333333334</v>
      </c>
      <c r="G37" s="27">
        <v>0.43333333333333335</v>
      </c>
      <c r="H37" s="21">
        <f t="shared" si="21"/>
        <v>3.3333333333333437E-2</v>
      </c>
      <c r="I37" s="27">
        <v>0.82916666666666661</v>
      </c>
      <c r="J37" s="48">
        <f t="shared" si="25"/>
        <v>43853.82916666667</v>
      </c>
      <c r="K37" s="19">
        <f>IF(OR(E37="télétravail",E37="férié travaillé",E37="travail"),(I37-G37+IF(G37&gt;I37,1)-H37),INDEX(ref!$E$22:'ref'!$E$37,MATCH(E37,gerald3,0)))</f>
        <v>0.36249999999999982</v>
      </c>
      <c r="L37" s="13">
        <f>IF(SUM(K37-ref!E$8)&lt;0,0,SUM(K37-ref!E$8))</f>
        <v>0</v>
      </c>
      <c r="M37" s="8">
        <f>IF(OR(E37="férié travaillé",E37="travail",E37="asa",E37="rtt"),I37-G37+IF(G37&gt;I37,1),INDEX(ref!$E$22:'ref'!$E$37,MATCH(E37,gerald2,0)))</f>
        <v>0.39583333333333326</v>
      </c>
      <c r="N37" s="14">
        <f>IF(SUM(M37-ref!E$4)&lt;0,0,SUM(M37-ref!E$4))</f>
        <v>0</v>
      </c>
      <c r="O37" s="83">
        <f t="shared" si="26"/>
        <v>0.96319444444444446</v>
      </c>
      <c r="Q37" s="106"/>
      <c r="R37" s="78">
        <v>0.54166666666666663</v>
      </c>
      <c r="S37" s="97">
        <v>0.57500000000000007</v>
      </c>
      <c r="T37" s="112">
        <f t="shared" si="22"/>
        <v>3.3333333333333437E-2</v>
      </c>
      <c r="U37" s="111">
        <f>IF(T37="","",IF(SUM(T37-ref!E$38)&gt;0,0,IF(T37=0, "0:00", SUM(T37-ref!E$38))))</f>
        <v>0</v>
      </c>
      <c r="V37" s="109"/>
      <c r="W37" s="78"/>
      <c r="X37" s="27"/>
      <c r="Y37" s="63">
        <f t="shared" si="27"/>
        <v>0</v>
      </c>
      <c r="Z37" s="89" t="str">
        <f>IF(Y37="","",IF(SUM(Y37-ref!E$38)&gt;0,0,IF(Y37=0, "0:00", SUM(Y37-ref!E$38))))</f>
        <v>0:00</v>
      </c>
      <c r="AA37" s="27"/>
      <c r="AB37" s="86"/>
    </row>
    <row r="38" spans="2:28" x14ac:dyDescent="0.25">
      <c r="B38" s="68" t="s">
        <v>40</v>
      </c>
      <c r="C38" s="76" t="s">
        <v>20</v>
      </c>
      <c r="D38" s="124">
        <f t="shared" si="23"/>
        <v>43854</v>
      </c>
      <c r="E38" s="128" t="s">
        <v>20</v>
      </c>
      <c r="F38" s="125">
        <f t="shared" si="24"/>
        <v>43854.380555555559</v>
      </c>
      <c r="G38" s="27">
        <v>0.38055555555555554</v>
      </c>
      <c r="H38" s="21">
        <f t="shared" si="21"/>
        <v>3.4027777777777879E-2</v>
      </c>
      <c r="I38" s="27">
        <v>0.77222222222222225</v>
      </c>
      <c r="J38" s="48">
        <f t="shared" si="25"/>
        <v>43854.772222222222</v>
      </c>
      <c r="K38" s="19">
        <f>IF(OR(E38="télétravail",E38="férié travaillé",E38="travail"),(I38-G38+IF(G38&gt;I38,1)-H38),INDEX(ref!$E$22:'ref'!$E$37,MATCH(E38,gerald3,0)))</f>
        <v>0.35763888888888884</v>
      </c>
      <c r="L38" s="13">
        <f>IF(SUM(K38-ref!E$8)&lt;0,0,SUM(K38-ref!E$8))</f>
        <v>0</v>
      </c>
      <c r="M38" s="8">
        <f>IF(OR(E38="férié travaillé",E38="travail",E38="asa",E38="rtt"),I38-G38+IF(G38&gt;I38,1),INDEX(ref!$E$22:'ref'!$E$37,MATCH(E38,gerald2,0)))</f>
        <v>0.39166666666666672</v>
      </c>
      <c r="N38" s="14">
        <f>IF(SUM(M38-ref!E$4)&lt;0,0,SUM(M38-ref!E$4))</f>
        <v>0</v>
      </c>
      <c r="O38" s="83">
        <f t="shared" si="26"/>
        <v>1.3208333333333333</v>
      </c>
      <c r="Q38" s="106"/>
      <c r="R38" s="78">
        <v>0.52013888888888882</v>
      </c>
      <c r="S38" s="97">
        <v>0.5541666666666667</v>
      </c>
      <c r="T38" s="112">
        <f t="shared" si="22"/>
        <v>3.4027777777777879E-2</v>
      </c>
      <c r="U38" s="111">
        <f>IF(T38="","",IF(SUM(T38-ref!E$38)&gt;0,0,IF(T38=0, "0:00", SUM(T38-ref!E$38))))</f>
        <v>0</v>
      </c>
      <c r="V38" s="109"/>
      <c r="W38" s="78"/>
      <c r="X38" s="27"/>
      <c r="Y38" s="63">
        <f t="shared" si="27"/>
        <v>0</v>
      </c>
      <c r="Z38" s="89" t="str">
        <f>IF(Y38="","",IF(SUM(Y38-ref!E$38)&gt;0,0,IF(Y38=0, "0:00", SUM(Y38-ref!E$38))))</f>
        <v>0:00</v>
      </c>
      <c r="AA38" s="27"/>
      <c r="AB38" s="86"/>
    </row>
    <row r="39" spans="2:28" x14ac:dyDescent="0.25">
      <c r="B39" s="70">
        <v>1</v>
      </c>
      <c r="C39" s="76" t="s">
        <v>20</v>
      </c>
      <c r="D39" s="124">
        <f t="shared" si="23"/>
        <v>43855</v>
      </c>
      <c r="E39" s="128" t="s">
        <v>20</v>
      </c>
      <c r="F39" s="125">
        <f t="shared" si="24"/>
        <v>43855.381249999999</v>
      </c>
      <c r="G39" s="27">
        <v>0.38125000000000003</v>
      </c>
      <c r="H39" s="21">
        <f t="shared" si="21"/>
        <v>2.0833333333333259E-2</v>
      </c>
      <c r="I39" s="27">
        <v>0.90625</v>
      </c>
      <c r="J39" s="48">
        <f t="shared" si="25"/>
        <v>43855.90625</v>
      </c>
      <c r="K39" s="19">
        <f>IF(OR(E39="télétravail",E39="férié travaillé",E39="travail"),(I39-G39+IF(G39&gt;I39,1)-H39),INDEX(ref!$E$22:'ref'!$E$37,MATCH(E39,gerald3,0)))</f>
        <v>0.50416666666666665</v>
      </c>
      <c r="L39" s="13">
        <f>IF(SUM(K39-ref!E$8)&lt;0,0,SUM(K39-ref!E$8))</f>
        <v>8.7499999999999967E-2</v>
      </c>
      <c r="M39" s="8">
        <f>IF(OR(E39="férié travaillé",E39="travail",E39="asa",E39="rtt"),I39-G39+IF(G39&gt;I39,1),INDEX(ref!$E$22:'ref'!$E$37,MATCH(E39,gerald2,0)))</f>
        <v>0.52499999999999991</v>
      </c>
      <c r="N39" s="14">
        <f>IF(SUM(M39-ref!E$4)&lt;0,0,SUM(M39-ref!E$4))</f>
        <v>2.4999999999999911E-2</v>
      </c>
      <c r="O39" s="83">
        <f t="shared" si="26"/>
        <v>1.825</v>
      </c>
      <c r="Q39" s="106"/>
      <c r="R39" s="78">
        <v>0.56180555555555556</v>
      </c>
      <c r="S39" s="97">
        <v>0.58263888888888882</v>
      </c>
      <c r="T39" s="112">
        <f t="shared" si="22"/>
        <v>2.0833333333333259E-2</v>
      </c>
      <c r="U39" s="111">
        <f>IF(T39="","",IF(SUM(T39-ref!E$38)&gt;0,0,IF(T39=0, "0:00", SUM(T39-ref!E$38))))</f>
        <v>-1.0416666666666741E-2</v>
      </c>
      <c r="V39" s="109"/>
      <c r="W39" s="78"/>
      <c r="X39" s="27"/>
      <c r="Y39" s="63">
        <f t="shared" si="27"/>
        <v>0</v>
      </c>
      <c r="Z39" s="89" t="str">
        <f>IF(Y39="","",IF(SUM(Y39-ref!E$38)&gt;0,0,IF(Y39=0, "0:00", SUM(Y39-ref!E$38))))</f>
        <v>0:00</v>
      </c>
      <c r="AA39" s="27"/>
      <c r="AB39" s="86"/>
    </row>
    <row r="40" spans="2:28" ht="15.75" thickBot="1" x14ac:dyDescent="0.3">
      <c r="B40"/>
      <c r="C40" s="77"/>
      <c r="D40" s="124">
        <f t="shared" si="23"/>
        <v>43856</v>
      </c>
      <c r="E40" s="128" t="s">
        <v>19</v>
      </c>
      <c r="F40" s="125" t="str">
        <f t="shared" si="24"/>
        <v/>
      </c>
      <c r="G40" s="27"/>
      <c r="H40" s="21">
        <f t="shared" si="21"/>
        <v>0</v>
      </c>
      <c r="I40" s="27"/>
      <c r="J40" s="48" t="str">
        <f t="shared" si="25"/>
        <v/>
      </c>
      <c r="K40" s="19">
        <f>IF(OR(E40="télétravail",E40="férié travaillé",E40="travail"),(I40-G40+IF(G40&gt;I40,1)-H40),INDEX(ref!$E$22:'ref'!$E$37,MATCH(E40,gerald3,0)))</f>
        <v>0</v>
      </c>
      <c r="L40" s="13">
        <f>IF(SUM(K40-ref!E$8)&lt;0,0,SUM(K40-ref!E$8))</f>
        <v>0</v>
      </c>
      <c r="M40" s="8">
        <f>IF(OR(E40="férié travaillé",E40="travail",E40="asa",E40="rtt"),I40-G40+IF(G40&gt;I40,1),INDEX(ref!$E$22:'ref'!$E$37,MATCH(E40,gerald2,0)))</f>
        <v>0</v>
      </c>
      <c r="N40" s="14">
        <f>IF(SUM(M40-ref!E$4)&lt;0,0,SUM(M40-ref!E$4))</f>
        <v>0</v>
      </c>
      <c r="O40" s="131">
        <f t="shared" si="26"/>
        <v>1.825</v>
      </c>
      <c r="Q40" s="106"/>
      <c r="R40" s="78"/>
      <c r="S40" s="97"/>
      <c r="T40" s="112">
        <f t="shared" si="22"/>
        <v>0</v>
      </c>
      <c r="U40" s="111" t="str">
        <f>IF(T40="","",IF(SUM(T40-ref!E$38)&gt;0,0,IF(T40=0, "0:00", SUM(T40-ref!E$38))))</f>
        <v>0:00</v>
      </c>
      <c r="V40" s="109"/>
      <c r="W40" s="78"/>
      <c r="X40" s="27"/>
      <c r="Y40" s="63">
        <f t="shared" si="27"/>
        <v>0</v>
      </c>
      <c r="Z40" s="89" t="str">
        <f>IF(Y40="","",IF(SUM(Y40-ref!E$38)&gt;0,0,IF(Y40=0, "0:00", SUM(Y40-ref!E$38))))</f>
        <v>0:00</v>
      </c>
      <c r="AA40" s="27"/>
      <c r="AB40" s="86"/>
    </row>
    <row r="41" spans="2:28" ht="15.75" thickBot="1" x14ac:dyDescent="0.3">
      <c r="B41"/>
      <c r="C41" s="77"/>
      <c r="D41" s="124">
        <f t="shared" si="23"/>
        <v>43857</v>
      </c>
      <c r="E41" s="129" t="s">
        <v>19</v>
      </c>
      <c r="F41" s="125" t="str">
        <f t="shared" si="24"/>
        <v/>
      </c>
      <c r="G41" s="27"/>
      <c r="H41" s="21">
        <f t="shared" si="21"/>
        <v>0</v>
      </c>
      <c r="I41" s="27"/>
      <c r="J41" s="48" t="str">
        <f t="shared" si="25"/>
        <v/>
      </c>
      <c r="K41" s="19">
        <f>IF(OR(E41="télétravail",E41="férié travaillé",E41="travail"),(I41-G41+IF(G41&gt;I41,1)-H41),INDEX(ref!$E$22:'ref'!$E$37,MATCH(E41,gerald3,0)))</f>
        <v>0</v>
      </c>
      <c r="L41" s="13">
        <f>IF(SUM(K41-ref!E$8)&lt;0,0,SUM(K41-ref!E$8))</f>
        <v>0</v>
      </c>
      <c r="M41" s="8">
        <f>IF(OR(E41="férié travaillé",E41="travail",E41="asa",E41="rtt"),I41-G41+IF(G41&gt;I41,1),INDEX(ref!$E$22:'ref'!$E$37,MATCH(E41,gerald2,0)))</f>
        <v>0</v>
      </c>
      <c r="N41" s="14">
        <f>IF(SUM(M41-ref!E$4)&lt;0,0,SUM(M41-ref!E$4))</f>
        <v>0</v>
      </c>
      <c r="O41" s="80">
        <f t="shared" si="26"/>
        <v>1.825</v>
      </c>
      <c r="Q41" s="107"/>
      <c r="R41" s="78"/>
      <c r="S41" s="97"/>
      <c r="T41" s="112">
        <f t="shared" si="22"/>
        <v>0</v>
      </c>
      <c r="U41" s="111" t="str">
        <f>IF(T41="","",IF(SUM(T41-ref!E$38)&gt;0,0,IF(T41=0, "0:00", SUM(T41-ref!E$38))))</f>
        <v>0:00</v>
      </c>
      <c r="V41" s="110"/>
      <c r="W41" s="78"/>
      <c r="X41" s="27"/>
      <c r="Y41" s="63">
        <f t="shared" si="27"/>
        <v>0</v>
      </c>
      <c r="Z41" s="90" t="str">
        <f>IF(Y41="","",IF(SUM(Y41-ref!E$38)&gt;0,0,IF(Y41=0, "0:00", SUM(Y41-ref!E$38))))</f>
        <v>0:00</v>
      </c>
      <c r="AA41" s="27"/>
      <c r="AB41" s="86"/>
    </row>
    <row r="42" spans="2:28" x14ac:dyDescent="0.25">
      <c r="C42" s="77"/>
      <c r="E42" s="126"/>
      <c r="AA42" s="95"/>
    </row>
    <row r="43" spans="2:28" x14ac:dyDescent="0.25">
      <c r="C43" s="77"/>
      <c r="E43" s="126"/>
      <c r="AA43" s="95"/>
    </row>
    <row r="44" spans="2:28" ht="15.75" thickBot="1" x14ac:dyDescent="0.3">
      <c r="C44" s="77"/>
      <c r="E44" s="126"/>
      <c r="S44" s="66"/>
      <c r="AA44" s="95"/>
    </row>
    <row r="45" spans="2:28" x14ac:dyDescent="0.25">
      <c r="B45" s="67" t="s">
        <v>1</v>
      </c>
      <c r="C45" s="76" t="s">
        <v>20</v>
      </c>
      <c r="D45" s="124">
        <f>DATE(ref!E$2,B49,B47)</f>
        <v>43858</v>
      </c>
      <c r="E45" s="127" t="s">
        <v>20</v>
      </c>
      <c r="F45" s="125">
        <f>IF(AND(I45="",G45=""),"",D45+G45)</f>
        <v>43858.386111111111</v>
      </c>
      <c r="G45" s="27">
        <v>0.38611111111111113</v>
      </c>
      <c r="H45" s="21">
        <f t="shared" ref="H45:H51" si="28">SUM(T45+Y45+AA45)</f>
        <v>4.5138888888888951E-2</v>
      </c>
      <c r="I45" s="27">
        <v>0.82638888888888884</v>
      </c>
      <c r="J45" s="48">
        <f>IF(AND(G45="",I45=""),"",D45+I45+(G45&gt;I45))</f>
        <v>43858.826388888891</v>
      </c>
      <c r="K45" s="19">
        <f>IF(OR(E45="télétravail",E45="férié travaillé",E45="travail"),(I45-G45+IF(G45&gt;I45,1)-H45),INDEX(ref!$E$22:'ref'!$E$37,MATCH(E45,gerald3,0)))</f>
        <v>0.39513888888888876</v>
      </c>
      <c r="L45" s="13">
        <f>IF(SUM(K45-ref!E$8)&lt;0,0,SUM(K45-ref!E$8))</f>
        <v>0</v>
      </c>
      <c r="M45" s="8">
        <f>IF(OR(E45="férié travaillé",E45="travail",E45="asa",E45="rtt"),I45-G45+IF(G45&gt;I45,1),INDEX(ref!$E$22:'ref'!$E$37,MATCH(E45,gerald2,0)))</f>
        <v>0.44027777777777771</v>
      </c>
      <c r="N45" s="14">
        <f>IF(SUM(M45-ref!E$4)&lt;0,0,SUM(M45-ref!E$4))</f>
        <v>0</v>
      </c>
      <c r="O45" s="19">
        <f>K45</f>
        <v>0.39513888888888876</v>
      </c>
      <c r="Q45" s="105"/>
      <c r="R45" s="78">
        <v>0.52847222222222223</v>
      </c>
      <c r="S45" s="97">
        <v>0.57361111111111118</v>
      </c>
      <c r="T45" s="112">
        <f t="shared" ref="T45:T51" si="29">S45-R45</f>
        <v>4.5138888888888951E-2</v>
      </c>
      <c r="U45" s="111">
        <f>IF(T45="","",IF(SUM(T45-ref!E$38)&gt;0,0,IF(T45=0, "0:00", SUM(T45-ref!E$38))))</f>
        <v>0</v>
      </c>
      <c r="V45" s="108"/>
      <c r="W45" s="78"/>
      <c r="X45" s="96"/>
      <c r="Y45" s="63">
        <f>X45-W45</f>
        <v>0</v>
      </c>
      <c r="Z45" s="88" t="str">
        <f>IF(Y45="","",IF(SUM(Y45-ref!E$38)&gt;0,0,IF(Y45=0, "0:00", SUM(Y45-ref!E$38))))</f>
        <v>0:00</v>
      </c>
      <c r="AA45" s="27"/>
      <c r="AB45" s="86"/>
    </row>
    <row r="46" spans="2:28" x14ac:dyDescent="0.25">
      <c r="B46" s="68" t="s">
        <v>1</v>
      </c>
      <c r="C46" s="76" t="s">
        <v>20</v>
      </c>
      <c r="D46" s="124">
        <f t="shared" ref="D46:D51" si="30">D45+1</f>
        <v>43859</v>
      </c>
      <c r="E46" s="128" t="s">
        <v>20</v>
      </c>
      <c r="F46" s="125">
        <f t="shared" ref="F46:F51" si="31">IF(AND(I46="",G46=""),"",D46+G46)</f>
        <v>43859.379166666666</v>
      </c>
      <c r="G46" s="27">
        <v>0.37916666666666665</v>
      </c>
      <c r="H46" s="21">
        <f t="shared" si="28"/>
        <v>3.472222222222221E-2</v>
      </c>
      <c r="I46" s="27">
        <v>0.77013888888888893</v>
      </c>
      <c r="J46" s="48">
        <f t="shared" ref="J46:J51" si="32">IF(AND(G46="",I46=""),"",D46+I46+(G46&gt;I46))</f>
        <v>43859.770138888889</v>
      </c>
      <c r="K46" s="19">
        <f>IF(OR(E46="télétravail",E46="férié travaillé",E46="travail"),(I46-G46+IF(G46&gt;I46,1)-H46),INDEX(ref!$E$22:'ref'!$E$37,MATCH(E46,gerald3,0)))</f>
        <v>0.35625000000000007</v>
      </c>
      <c r="L46" s="13">
        <f>IF(SUM(K46-ref!E$8)&lt;0,0,SUM(K46-ref!E$8))</f>
        <v>0</v>
      </c>
      <c r="M46" s="8">
        <f>IF(OR(E46="férié travaillé",E46="travail",E46="asa",E46="rtt"),I46-G46+IF(G46&gt;I46,1),INDEX(ref!$E$22:'ref'!$E$37,MATCH(E46,gerald2,0)))</f>
        <v>0.39097222222222228</v>
      </c>
      <c r="N46" s="14">
        <f>IF(SUM(M46-ref!E$4)&lt;0,0,SUM(M46-ref!E$4))</f>
        <v>0</v>
      </c>
      <c r="O46" s="22">
        <f t="shared" ref="O46:O51" si="33">O45+K46</f>
        <v>0.75138888888888888</v>
      </c>
      <c r="Q46" s="106"/>
      <c r="R46" s="78">
        <v>0.52083333333333337</v>
      </c>
      <c r="S46" s="97">
        <v>0.55555555555555558</v>
      </c>
      <c r="T46" s="112">
        <f t="shared" si="29"/>
        <v>3.472222222222221E-2</v>
      </c>
      <c r="U46" s="111">
        <f>IF(T46="","",IF(SUM(T46-ref!E$38)&gt;0,0,IF(T46=0, "0:00", SUM(T46-ref!E$38))))</f>
        <v>0</v>
      </c>
      <c r="V46" s="109"/>
      <c r="W46" s="78"/>
      <c r="X46" s="96"/>
      <c r="Y46" s="63">
        <f t="shared" ref="Y46:Y51" si="34">X46-W46</f>
        <v>0</v>
      </c>
      <c r="Z46" s="89" t="str">
        <f>IF(Y46="","",IF(SUM(Y46-ref!E$38)&gt;0,0,IF(Y46=0, "0:00", SUM(Y46-ref!E$38))))</f>
        <v>0:00</v>
      </c>
      <c r="AA46" s="27"/>
      <c r="AB46" s="86"/>
    </row>
    <row r="47" spans="2:28" x14ac:dyDescent="0.25">
      <c r="B47" s="69">
        <v>29</v>
      </c>
      <c r="C47" s="76" t="s">
        <v>20</v>
      </c>
      <c r="D47" s="124">
        <f t="shared" si="30"/>
        <v>43860</v>
      </c>
      <c r="E47" s="128" t="s">
        <v>20</v>
      </c>
      <c r="F47" s="125">
        <f t="shared" si="31"/>
        <v>43860.399305555555</v>
      </c>
      <c r="G47" s="27">
        <v>0.39930555555555558</v>
      </c>
      <c r="H47" s="21">
        <f t="shared" si="28"/>
        <v>3.472222222222221E-2</v>
      </c>
      <c r="I47" s="27">
        <v>0.76597222222222217</v>
      </c>
      <c r="J47" s="48">
        <f t="shared" si="32"/>
        <v>43860.765972222223</v>
      </c>
      <c r="K47" s="19">
        <f>IF(OR(E47="télétravail",E47="férié travaillé",E47="travail"),(I47-G47+IF(G47&gt;I47,1)-H47),INDEX(ref!$E$22:'ref'!$E$37,MATCH(E47,gerald3,0)))</f>
        <v>0.33194444444444438</v>
      </c>
      <c r="L47" s="13">
        <f>IF(SUM(K47-ref!E$8)&lt;0,0,SUM(K47-ref!E$8))</f>
        <v>0</v>
      </c>
      <c r="M47" s="8">
        <f>IF(OR(E47="férié travaillé",E47="travail",E47="asa",E47="rtt"),I47-G47+IF(G47&gt;I47,1),INDEX(ref!$E$22:'ref'!$E$37,MATCH(E47,gerald2,0)))</f>
        <v>0.36666666666666659</v>
      </c>
      <c r="N47" s="14">
        <f>IF(SUM(M47-ref!E$4)&lt;0,0,SUM(M47-ref!E$4))</f>
        <v>0</v>
      </c>
      <c r="O47" s="22">
        <f t="shared" si="33"/>
        <v>1.0833333333333333</v>
      </c>
      <c r="Q47" s="106"/>
      <c r="R47" s="78">
        <v>0.52361111111111114</v>
      </c>
      <c r="S47" s="97">
        <v>0.55833333333333335</v>
      </c>
      <c r="T47" s="112">
        <f t="shared" si="29"/>
        <v>3.472222222222221E-2</v>
      </c>
      <c r="U47" s="111">
        <f>IF(T47="","",IF(SUM(T47-ref!E$38)&gt;0,0,IF(T47=0, "0:00", SUM(T47-ref!E$38))))</f>
        <v>0</v>
      </c>
      <c r="V47" s="109"/>
      <c r="W47" s="78"/>
      <c r="X47" s="96"/>
      <c r="Y47" s="63">
        <f t="shared" si="34"/>
        <v>0</v>
      </c>
      <c r="Z47" s="89" t="str">
        <f>IF(Y47="","",IF(SUM(Y47-ref!E$38)&gt;0,0,IF(Y47=0, "0:00", SUM(Y47-ref!E$38))))</f>
        <v>0:00</v>
      </c>
      <c r="AA47" s="27"/>
      <c r="AB47" s="86"/>
    </row>
    <row r="48" spans="2:28" x14ac:dyDescent="0.25">
      <c r="B48" s="68" t="s">
        <v>40</v>
      </c>
      <c r="C48" s="76" t="s">
        <v>20</v>
      </c>
      <c r="D48" s="124">
        <f t="shared" si="30"/>
        <v>43861</v>
      </c>
      <c r="E48" s="128" t="s">
        <v>20</v>
      </c>
      <c r="F48" s="125">
        <f t="shared" si="31"/>
        <v>43861.377083333333</v>
      </c>
      <c r="G48" s="27">
        <v>0.37708333333333338</v>
      </c>
      <c r="H48" s="21">
        <f t="shared" si="28"/>
        <v>3.2638888888888884E-2</v>
      </c>
      <c r="I48" s="27">
        <v>0.84722222222222221</v>
      </c>
      <c r="J48" s="48">
        <f t="shared" si="32"/>
        <v>43861.847222222219</v>
      </c>
      <c r="K48" s="19">
        <f>IF(OR(E48="télétravail",E48="férié travaillé",E48="travail"),(I48-G48+IF(G48&gt;I48,1)-H48),INDEX(ref!$E$22:'ref'!$E$37,MATCH(E48,gerald3,0)))</f>
        <v>0.43749999999999994</v>
      </c>
      <c r="L48" s="13">
        <f>IF(SUM(K48-ref!E$8)&lt;0,0,SUM(K48-ref!E$8))</f>
        <v>2.0833333333333259E-2</v>
      </c>
      <c r="M48" s="8">
        <f>IF(OR(E48="férié travaillé",E48="travail",E48="asa",E48="rtt"),I48-G48+IF(G48&gt;I48,1),INDEX(ref!$E$22:'ref'!$E$37,MATCH(E48,gerald2,0)))</f>
        <v>0.47013888888888883</v>
      </c>
      <c r="N48" s="14">
        <f>IF(SUM(M48-ref!E$4)&lt;0,0,SUM(M48-ref!E$4))</f>
        <v>0</v>
      </c>
      <c r="O48" s="22">
        <f t="shared" si="33"/>
        <v>1.5208333333333333</v>
      </c>
      <c r="Q48" s="106"/>
      <c r="R48" s="78">
        <v>0.52152777777777781</v>
      </c>
      <c r="S48" s="97">
        <v>0.5541666666666667</v>
      </c>
      <c r="T48" s="112">
        <f t="shared" si="29"/>
        <v>3.2638888888888884E-2</v>
      </c>
      <c r="U48" s="111">
        <f>IF(T48="","",IF(SUM(T48-ref!E$38)&gt;0,0,IF(T48=0, "0:00", SUM(T48-ref!E$38))))</f>
        <v>0</v>
      </c>
      <c r="V48" s="109"/>
      <c r="W48" s="78"/>
      <c r="X48" s="96"/>
      <c r="Y48" s="63">
        <f t="shared" si="34"/>
        <v>0</v>
      </c>
      <c r="Z48" s="89" t="str">
        <f>IF(Y48="","",IF(SUM(Y48-ref!E$38)&gt;0,0,IF(Y48=0, "0:00", SUM(Y48-ref!E$38))))</f>
        <v>0:00</v>
      </c>
      <c r="AA48" s="27"/>
      <c r="AB48" s="86"/>
    </row>
    <row r="49" spans="2:28" x14ac:dyDescent="0.25">
      <c r="B49" s="70">
        <v>1</v>
      </c>
      <c r="C49" s="76" t="s">
        <v>20</v>
      </c>
      <c r="D49" s="124">
        <f t="shared" si="30"/>
        <v>43862</v>
      </c>
      <c r="E49" s="128" t="s">
        <v>20</v>
      </c>
      <c r="F49" s="125">
        <f t="shared" si="31"/>
        <v>43862.378472222219</v>
      </c>
      <c r="G49" s="27">
        <v>0.37847222222222227</v>
      </c>
      <c r="H49" s="21">
        <f t="shared" si="28"/>
        <v>3.3333333333333326E-2</v>
      </c>
      <c r="I49" s="27">
        <v>0.77500000000000002</v>
      </c>
      <c r="J49" s="48">
        <f t="shared" si="32"/>
        <v>43862.775000000001</v>
      </c>
      <c r="K49" s="19">
        <f>IF(OR(E49="télétravail",E49="férié travaillé",E49="travail"),(I49-G49+IF(G49&gt;I49,1)-H49),INDEX(ref!$E$22:'ref'!$E$37,MATCH(E49,gerald3,0)))</f>
        <v>0.36319444444444443</v>
      </c>
      <c r="L49" s="13">
        <f>IF(SUM(K49-ref!E$8)&lt;0,0,SUM(K49-ref!E$8))</f>
        <v>0</v>
      </c>
      <c r="M49" s="8">
        <f>IF(OR(E49="férié travaillé",E49="travail",E49="asa",E49="rtt"),I49-G49+IF(G49&gt;I49,1),INDEX(ref!$E$22:'ref'!$E$37,MATCH(E49,gerald2,0)))</f>
        <v>0.39652777777777776</v>
      </c>
      <c r="N49" s="14">
        <f>IF(SUM(M49-ref!E$4)&lt;0,0,SUM(M49-ref!E$4))</f>
        <v>0</v>
      </c>
      <c r="O49" s="22">
        <f t="shared" si="33"/>
        <v>1.8840277777777776</v>
      </c>
      <c r="Q49" s="106"/>
      <c r="R49" s="78">
        <v>0.50972222222222219</v>
      </c>
      <c r="S49" s="97">
        <v>0.54305555555555551</v>
      </c>
      <c r="T49" s="112">
        <f t="shared" si="29"/>
        <v>3.3333333333333326E-2</v>
      </c>
      <c r="U49" s="111">
        <f>IF(T49="","",IF(SUM(T49-ref!E$38)&gt;0,0,IF(T49=0, "0:00", SUM(T49-ref!E$38))))</f>
        <v>0</v>
      </c>
      <c r="V49" s="109"/>
      <c r="W49" s="78"/>
      <c r="X49" s="96"/>
      <c r="Y49" s="63">
        <f t="shared" si="34"/>
        <v>0</v>
      </c>
      <c r="Z49" s="89" t="str">
        <f>IF(Y49="","",IF(SUM(Y49-ref!E$38)&gt;0,0,IF(Y49=0, "0:00", SUM(Y49-ref!E$38))))</f>
        <v>0:00</v>
      </c>
      <c r="AA49" s="27"/>
      <c r="AB49" s="86"/>
    </row>
    <row r="50" spans="2:28" ht="15.75" thickBot="1" x14ac:dyDescent="0.3">
      <c r="B50"/>
      <c r="C50" s="77"/>
      <c r="D50" s="124">
        <f t="shared" si="30"/>
        <v>43863</v>
      </c>
      <c r="E50" s="128" t="s">
        <v>19</v>
      </c>
      <c r="F50" s="125" t="str">
        <f t="shared" si="31"/>
        <v/>
      </c>
      <c r="G50" s="27"/>
      <c r="H50" s="21">
        <f t="shared" si="28"/>
        <v>0</v>
      </c>
      <c r="I50" s="27"/>
      <c r="J50" s="48" t="str">
        <f t="shared" si="32"/>
        <v/>
      </c>
      <c r="K50" s="19">
        <f>IF(OR(E50="télétravail",E50="férié travaillé",E50="travail"),(I50-G50+IF(G50&gt;I50,1)-H50),INDEX(ref!$E$22:'ref'!$E$37,MATCH(E50,gerald3,0)))</f>
        <v>0</v>
      </c>
      <c r="L50" s="13">
        <f>IF(SUM(K50-ref!E$8)&lt;0,0,SUM(K50-ref!E$8))</f>
        <v>0</v>
      </c>
      <c r="M50" s="8">
        <f>IF(OR(E50="férié travaillé",E50="travail",E50="asa",E50="rtt"),I50-G50+IF(G50&gt;I50,1),INDEX(ref!$E$22:'ref'!$E$37,MATCH(E50,gerald2,0)))</f>
        <v>0</v>
      </c>
      <c r="N50" s="14">
        <f>IF(SUM(M50-ref!E$4)&lt;0,0,SUM(M50-ref!E$4))</f>
        <v>0</v>
      </c>
      <c r="O50" s="82">
        <f t="shared" si="33"/>
        <v>1.8840277777777776</v>
      </c>
      <c r="Q50" s="106"/>
      <c r="R50" s="78"/>
      <c r="S50" s="97"/>
      <c r="T50" s="112">
        <f t="shared" si="29"/>
        <v>0</v>
      </c>
      <c r="U50" s="111" t="str">
        <f>IF(T50="","",IF(SUM(T50-ref!E$38)&gt;0,0,IF(T50=0, "0:00", SUM(T50-ref!E$38))))</f>
        <v>0:00</v>
      </c>
      <c r="V50" s="109"/>
      <c r="W50" s="78"/>
      <c r="X50" s="96"/>
      <c r="Y50" s="63">
        <f t="shared" si="34"/>
        <v>0</v>
      </c>
      <c r="Z50" s="89" t="str">
        <f>IF(Y50="","",IF(SUM(Y50-ref!E$38)&gt;0,0,IF(Y50=0, "0:00", SUM(Y50-ref!E$38))))</f>
        <v>0:00</v>
      </c>
      <c r="AA50" s="27"/>
      <c r="AB50" s="86"/>
    </row>
    <row r="51" spans="2:28" ht="15.75" thickBot="1" x14ac:dyDescent="0.3">
      <c r="B51"/>
      <c r="C51" s="77"/>
      <c r="D51" s="124">
        <f t="shared" si="30"/>
        <v>43864</v>
      </c>
      <c r="E51" s="129" t="s">
        <v>19</v>
      </c>
      <c r="F51" s="125" t="str">
        <f t="shared" si="31"/>
        <v/>
      </c>
      <c r="G51" s="27"/>
      <c r="H51" s="21">
        <f t="shared" si="28"/>
        <v>0</v>
      </c>
      <c r="I51" s="27"/>
      <c r="J51" s="48" t="str">
        <f t="shared" si="32"/>
        <v/>
      </c>
      <c r="K51" s="19">
        <f>IF(OR(E51="télétravail",E51="férié travaillé",E51="travail"),(I51-G51+IF(G51&gt;I51,1)-H51),INDEX(ref!$E$22:'ref'!$E$37,MATCH(E51,gerald3,0)))</f>
        <v>0</v>
      </c>
      <c r="L51" s="13">
        <f>IF(SUM(K51-ref!E$8)&lt;0,0,SUM(K51-ref!E$8))</f>
        <v>0</v>
      </c>
      <c r="M51" s="8">
        <f>IF(OR(E51="férié travaillé",E51="travail",E51="asa",E51="rtt"),I51-G51+IF(G51&gt;I51,1),INDEX(ref!$E$22:'ref'!$E$37,MATCH(E51,gerald2,0)))</f>
        <v>0</v>
      </c>
      <c r="N51" s="14">
        <f>IF(SUM(M51-ref!E$4)&lt;0,0,SUM(M51-ref!E$4))</f>
        <v>0</v>
      </c>
      <c r="O51" s="80">
        <f t="shared" si="33"/>
        <v>1.8840277777777776</v>
      </c>
      <c r="Q51" s="107"/>
      <c r="R51" s="78"/>
      <c r="S51" s="97"/>
      <c r="T51" s="112">
        <f t="shared" si="29"/>
        <v>0</v>
      </c>
      <c r="U51" s="111" t="str">
        <f>IF(T51="","",IF(SUM(T51-ref!E$38)&gt;0,0,IF(T51=0, "0:00", SUM(T51-ref!E$38))))</f>
        <v>0:00</v>
      </c>
      <c r="V51" s="110"/>
      <c r="W51" s="78"/>
      <c r="X51" s="96"/>
      <c r="Y51" s="63">
        <f t="shared" si="34"/>
        <v>0</v>
      </c>
      <c r="Z51" s="90" t="str">
        <f>IF(Y51="","",IF(SUM(Y51-ref!E$38)&gt;0,0,IF(Y51=0, "0:00", SUM(Y51-ref!E$38))))</f>
        <v>0:00</v>
      </c>
      <c r="AA51" s="27"/>
      <c r="AB51" s="86"/>
    </row>
    <row r="52" spans="2:28" x14ac:dyDescent="0.25">
      <c r="C52" s="77"/>
      <c r="E52" s="126"/>
      <c r="U52" s="66"/>
      <c r="V52" s="2"/>
      <c r="X52"/>
      <c r="Y52" s="2"/>
      <c r="Z52" s="2"/>
      <c r="AA52" s="95"/>
    </row>
    <row r="53" spans="2:28" x14ac:dyDescent="0.25">
      <c r="C53" s="77"/>
      <c r="E53" s="126"/>
      <c r="O53" s="16"/>
      <c r="V53" s="2"/>
      <c r="X53"/>
      <c r="Y53" s="2"/>
      <c r="Z53" s="2"/>
      <c r="AA53" s="95"/>
    </row>
    <row r="54" spans="2:28" ht="15.75" thickBot="1" x14ac:dyDescent="0.3">
      <c r="C54" s="77"/>
      <c r="E54" s="126"/>
      <c r="U54" s="66"/>
      <c r="V54" s="2"/>
      <c r="X54"/>
      <c r="Y54" s="2"/>
      <c r="Z54" s="2"/>
      <c r="AA54" s="95"/>
    </row>
    <row r="55" spans="2:28" x14ac:dyDescent="0.25">
      <c r="B55" s="67" t="s">
        <v>1</v>
      </c>
      <c r="C55" s="76" t="s">
        <v>20</v>
      </c>
      <c r="D55" s="124">
        <f>DATE(ref!E$2,B59,B57)</f>
        <v>43865</v>
      </c>
      <c r="E55" s="127" t="s">
        <v>20</v>
      </c>
      <c r="F55" s="125">
        <f t="shared" ref="F55:F61" si="35">IF(AND(I55="",G55=""),"",D55+G55)</f>
        <v>43865.37777777778</v>
      </c>
      <c r="G55" s="27">
        <v>0.37777777777777777</v>
      </c>
      <c r="H55" s="21">
        <f t="shared" ref="H55:H61" si="36">SUM(T55+Y55+AA55)</f>
        <v>3.3333333333333437E-2</v>
      </c>
      <c r="I55" s="27">
        <v>0.71388888888888891</v>
      </c>
      <c r="J55" s="48">
        <f>IF(AND(G55="",I55=""),"",D55+I55+(G55&gt;I55))</f>
        <v>43865.713888888888</v>
      </c>
      <c r="K55" s="19">
        <f>IF(OR(E55="télétravail",E55="férié travaillé",E55="travail"),(I55-G55+IF(G55&gt;I55,1)-H55),INDEX(ref!$E$22:'ref'!$E$37,MATCH(E55,gerald3,0)))</f>
        <v>0.3027777777777777</v>
      </c>
      <c r="L55" s="13">
        <f>IF(SUM(K55-ref!E$8)&lt;0,0,SUM(K55-ref!E$8))</f>
        <v>0</v>
      </c>
      <c r="M55" s="8">
        <f>IF(OR(E55="férié travaillé",E55="travail",E55="asa",E55="rtt"),I55-G55+IF(G55&gt;I55,1),INDEX(ref!$E$22:'ref'!$E$37,MATCH(E55,gerald2,0)))</f>
        <v>0.33611111111111114</v>
      </c>
      <c r="N55" s="14">
        <f>IF(SUM(M55-ref!E$4)&lt;0,0,SUM(M55-ref!E$4))</f>
        <v>0</v>
      </c>
      <c r="O55" s="19">
        <f>K55</f>
        <v>0.3027777777777777</v>
      </c>
      <c r="Q55" s="105"/>
      <c r="R55" s="78">
        <v>0.51597222222222217</v>
      </c>
      <c r="S55" s="97">
        <v>0.5493055555555556</v>
      </c>
      <c r="T55" s="112">
        <f t="shared" ref="T55:T61" si="37">S55-R55</f>
        <v>3.3333333333333437E-2</v>
      </c>
      <c r="U55" s="111">
        <f>IF(T55="","",IF(SUM(T55-ref!E$38)&gt;0,0,IF(T55=0, "0:00", SUM(T55-ref!E$38))))</f>
        <v>0</v>
      </c>
      <c r="V55" s="108"/>
      <c r="W55" s="78"/>
      <c r="X55" s="96"/>
      <c r="Y55" s="63">
        <f>X55-W55</f>
        <v>0</v>
      </c>
      <c r="Z55" s="88" t="str">
        <f>IF(Y55="","",IF(SUM(Y55-ref!E$38)&gt;0,0,IF(Y55=0, "0:00", SUM(Y55-ref!E$38))))</f>
        <v>0:00</v>
      </c>
      <c r="AA55" s="27"/>
      <c r="AB55" s="86"/>
    </row>
    <row r="56" spans="2:28" x14ac:dyDescent="0.25">
      <c r="B56" s="68" t="s">
        <v>1</v>
      </c>
      <c r="C56" s="76" t="s">
        <v>20</v>
      </c>
      <c r="D56" s="124">
        <f t="shared" ref="D56:D61" si="38">D55+1</f>
        <v>43866</v>
      </c>
      <c r="E56" s="128" t="s">
        <v>20</v>
      </c>
      <c r="F56" s="125">
        <f t="shared" si="35"/>
        <v>43866.379861111112</v>
      </c>
      <c r="G56" s="27">
        <v>0.37986111111111115</v>
      </c>
      <c r="H56" s="21">
        <f t="shared" si="36"/>
        <v>3.125E-2</v>
      </c>
      <c r="I56" s="27">
        <v>0.83333333333333337</v>
      </c>
      <c r="J56" s="48">
        <f t="shared" ref="J56:J61" si="39">IF(AND(G56="",I56=""),"",D56+I56+(G56&gt;I56))</f>
        <v>43866.833333333336</v>
      </c>
      <c r="K56" s="19">
        <f>IF(OR(E56="télétravail",E56="férié travaillé",E56="travail"),(I56-G56+IF(G56&gt;I56,1)-H56),INDEX(ref!$E$22:'ref'!$E$37,MATCH(E56,gerald3,0)))</f>
        <v>0.42222222222222222</v>
      </c>
      <c r="L56" s="13">
        <f>IF(SUM(K56-ref!E$8)&lt;0,0,SUM(K56-ref!E$8))</f>
        <v>5.5555555555555358E-3</v>
      </c>
      <c r="M56" s="8">
        <f>IF(OR(E56="férié travaillé",E56="travail",E56="asa",E56="rtt"),I56-G56+IF(G56&gt;I56,1),INDEX(ref!$E$22:'ref'!$E$37,MATCH(E56,gerald2,0)))</f>
        <v>0.45347222222222222</v>
      </c>
      <c r="N56" s="14">
        <f>IF(SUM(M56-ref!E$4)&lt;0,0,SUM(M56-ref!E$4))</f>
        <v>0</v>
      </c>
      <c r="O56" s="22">
        <f t="shared" ref="O56:O61" si="40">O55+K56</f>
        <v>0.72499999999999987</v>
      </c>
      <c r="Q56" s="106"/>
      <c r="R56" s="78">
        <v>0.54513888888888895</v>
      </c>
      <c r="S56" s="97">
        <v>0.57638888888888895</v>
      </c>
      <c r="T56" s="112">
        <f t="shared" si="37"/>
        <v>3.125E-2</v>
      </c>
      <c r="U56" s="111">
        <f>IF(T56="","",IF(SUM(T56-ref!E$38)&gt;0,0,IF(T56=0, "0:00", SUM(T56-ref!E$38))))</f>
        <v>0</v>
      </c>
      <c r="V56" s="109"/>
      <c r="W56" s="78"/>
      <c r="X56" s="96"/>
      <c r="Y56" s="63">
        <f t="shared" ref="Y56:Y61" si="41">X56-W56</f>
        <v>0</v>
      </c>
      <c r="Z56" s="89" t="str">
        <f>IF(Y56="","",IF(SUM(Y56-ref!E$38)&gt;0,0,IF(Y56=0, "0:00", SUM(Y56-ref!E$38))))</f>
        <v>0:00</v>
      </c>
      <c r="AA56" s="27"/>
      <c r="AB56" s="86"/>
    </row>
    <row r="57" spans="2:28" x14ac:dyDescent="0.25">
      <c r="B57" s="69">
        <v>5</v>
      </c>
      <c r="C57" s="76" t="s">
        <v>20</v>
      </c>
      <c r="D57" s="124">
        <f t="shared" si="38"/>
        <v>43867</v>
      </c>
      <c r="E57" s="128" t="s">
        <v>20</v>
      </c>
      <c r="F57" s="125">
        <f t="shared" si="35"/>
        <v>43867.416666666664</v>
      </c>
      <c r="G57" s="27">
        <v>0.41666666666666669</v>
      </c>
      <c r="H57" s="21">
        <f t="shared" si="36"/>
        <v>4.166666666666663E-2</v>
      </c>
      <c r="I57" s="27">
        <v>0.7680555555555556</v>
      </c>
      <c r="J57" s="48">
        <f t="shared" si="39"/>
        <v>43867.768055555556</v>
      </c>
      <c r="K57" s="19">
        <f>IF(OR(E57="télétravail",E57="férié travaillé",E57="travail"),(I57-G57+IF(G57&gt;I57,1)-H57),INDEX(ref!$E$22:'ref'!$E$37,MATCH(E57,gerald3,0)))</f>
        <v>0.30972222222222229</v>
      </c>
      <c r="L57" s="13">
        <f>IF(SUM(K57-ref!E$8)&lt;0,0,SUM(K57-ref!E$8))</f>
        <v>0</v>
      </c>
      <c r="M57" s="8">
        <f>IF(OR(E57="férié travaillé",E57="travail",E57="asa",E57="rtt"),I57-G57+IF(G57&gt;I57,1),INDEX(ref!$E$22:'ref'!$E$37,MATCH(E57,gerald2,0)))</f>
        <v>0.35138888888888892</v>
      </c>
      <c r="N57" s="14">
        <f>IF(SUM(M57-ref!E$4)&lt;0,0,SUM(M57-ref!E$4))</f>
        <v>0</v>
      </c>
      <c r="O57" s="22">
        <f t="shared" si="40"/>
        <v>1.0347222222222221</v>
      </c>
      <c r="Q57" s="106"/>
      <c r="R57" s="78">
        <v>0.51250000000000007</v>
      </c>
      <c r="S57" s="97">
        <v>0.5541666666666667</v>
      </c>
      <c r="T57" s="112">
        <f t="shared" si="37"/>
        <v>4.166666666666663E-2</v>
      </c>
      <c r="U57" s="111">
        <f>IF(T57="","",IF(SUM(T57-ref!E$38)&gt;0,0,IF(T57=0, "0:00", SUM(T57-ref!E$38))))</f>
        <v>0</v>
      </c>
      <c r="V57" s="109"/>
      <c r="W57" s="78"/>
      <c r="X57" s="96"/>
      <c r="Y57" s="63">
        <f t="shared" si="41"/>
        <v>0</v>
      </c>
      <c r="Z57" s="89" t="str">
        <f>IF(Y57="","",IF(SUM(Y57-ref!E$38)&gt;0,0,IF(Y57=0, "0:00", SUM(Y57-ref!E$38))))</f>
        <v>0:00</v>
      </c>
      <c r="AA57" s="27"/>
      <c r="AB57" s="86"/>
    </row>
    <row r="58" spans="2:28" x14ac:dyDescent="0.25">
      <c r="B58" s="68" t="s">
        <v>40</v>
      </c>
      <c r="C58" s="76" t="s">
        <v>20</v>
      </c>
      <c r="D58" s="124">
        <f t="shared" si="38"/>
        <v>43868</v>
      </c>
      <c r="E58" s="128" t="s">
        <v>20</v>
      </c>
      <c r="F58" s="125">
        <f t="shared" si="35"/>
        <v>43868.384027777778</v>
      </c>
      <c r="G58" s="27">
        <v>0.3840277777777778</v>
      </c>
      <c r="H58" s="21">
        <f t="shared" si="36"/>
        <v>3.6111111111111094E-2</v>
      </c>
      <c r="I58" s="27">
        <v>0.9375</v>
      </c>
      <c r="J58" s="48">
        <f t="shared" si="39"/>
        <v>43868.9375</v>
      </c>
      <c r="K58" s="19">
        <f>IF(OR(E58="télétravail",E58="férié travaillé",E58="travail"),(I58-G58+IF(G58&gt;I58,1)-H58),INDEX(ref!$E$22:'ref'!$E$37,MATCH(E58,gerald3,0)))</f>
        <v>0.51736111111111105</v>
      </c>
      <c r="L58" s="13">
        <f>IF(SUM(K58-ref!E$8)&lt;0,0,SUM(K58-ref!E$8))</f>
        <v>0.10069444444444436</v>
      </c>
      <c r="M58" s="8">
        <f>IF(OR(E58="férié travaillé",E58="travail",E58="asa",E58="rtt"),I58-G58+IF(G58&gt;I58,1),INDEX(ref!$E$22:'ref'!$E$37,MATCH(E58,gerald2,0)))</f>
        <v>0.55347222222222214</v>
      </c>
      <c r="N58" s="14">
        <f>IF(SUM(M58-ref!E$4)&lt;0,0,SUM(M58-ref!E$4))</f>
        <v>5.3472222222222143E-2</v>
      </c>
      <c r="O58" s="22">
        <f t="shared" si="40"/>
        <v>1.552083333333333</v>
      </c>
      <c r="Q58" s="106"/>
      <c r="R58" s="78">
        <v>0.52361111111111114</v>
      </c>
      <c r="S58" s="97">
        <v>0.55972222222222223</v>
      </c>
      <c r="T58" s="112">
        <f t="shared" si="37"/>
        <v>3.6111111111111094E-2</v>
      </c>
      <c r="U58" s="111">
        <f>IF(T58="","",IF(SUM(T58-ref!E$38)&gt;0,0,IF(T58=0, "0:00", SUM(T58-ref!E$38))))</f>
        <v>0</v>
      </c>
      <c r="V58" s="109"/>
      <c r="W58" s="78"/>
      <c r="X58" s="96"/>
      <c r="Y58" s="63">
        <f t="shared" si="41"/>
        <v>0</v>
      </c>
      <c r="Z58" s="89" t="str">
        <f>IF(Y58="","",IF(SUM(Y58-ref!E$38)&gt;0,0,IF(Y58=0, "0:00", SUM(Y58-ref!E$38))))</f>
        <v>0:00</v>
      </c>
      <c r="AA58" s="27"/>
      <c r="AB58" s="86"/>
    </row>
    <row r="59" spans="2:28" x14ac:dyDescent="0.25">
      <c r="B59" s="70">
        <v>2</v>
      </c>
      <c r="C59" s="76" t="s">
        <v>20</v>
      </c>
      <c r="D59" s="124">
        <f t="shared" si="38"/>
        <v>43869</v>
      </c>
      <c r="E59" s="128" t="s">
        <v>20</v>
      </c>
      <c r="F59" s="125">
        <f t="shared" si="35"/>
        <v>43869.383333333331</v>
      </c>
      <c r="G59" s="27">
        <v>0.3833333333333333</v>
      </c>
      <c r="H59" s="21">
        <f t="shared" si="36"/>
        <v>1.2500000000000067E-2</v>
      </c>
      <c r="I59" s="27">
        <v>0.75486111111111109</v>
      </c>
      <c r="J59" s="48">
        <f t="shared" si="39"/>
        <v>43869.754861111112</v>
      </c>
      <c r="K59" s="19">
        <f>IF(OR(E59="télétravail",E59="férié travaillé",E59="travail"),(I59-G59+IF(G59&gt;I59,1)-H59),INDEX(ref!$E$22:'ref'!$E$37,MATCH(E59,gerald3,0)))</f>
        <v>0.35902777777777772</v>
      </c>
      <c r="L59" s="13">
        <f>IF(SUM(K59-ref!E$8)&lt;0,0,SUM(K59-ref!E$8))</f>
        <v>0</v>
      </c>
      <c r="M59" s="8">
        <f>IF(OR(E59="férié travaillé",E59="travail",E59="asa",E59="rtt"),I59-G59+IF(G59&gt;I59,1),INDEX(ref!$E$22:'ref'!$E$37,MATCH(E59,gerald2,0)))</f>
        <v>0.37152777777777779</v>
      </c>
      <c r="N59" s="14">
        <f>IF(SUM(M59-ref!E$4)&lt;0,0,SUM(M59-ref!E$4))</f>
        <v>0</v>
      </c>
      <c r="O59" s="22">
        <f t="shared" si="40"/>
        <v>1.9111111111111108</v>
      </c>
      <c r="Q59" s="106"/>
      <c r="R59" s="78">
        <v>0.57291666666666663</v>
      </c>
      <c r="S59" s="97">
        <v>0.5854166666666667</v>
      </c>
      <c r="T59" s="112">
        <f t="shared" si="37"/>
        <v>1.2500000000000067E-2</v>
      </c>
      <c r="U59" s="111">
        <f>IF(T59="","",IF(SUM(T59-ref!E$38)&gt;0,0,IF(T59=0, "0:00", SUM(T59-ref!E$38))))</f>
        <v>-1.8749999999999933E-2</v>
      </c>
      <c r="V59" s="109"/>
      <c r="W59" s="78"/>
      <c r="X59" s="96"/>
      <c r="Y59" s="63">
        <f t="shared" si="41"/>
        <v>0</v>
      </c>
      <c r="Z59" s="89" t="str">
        <f>IF(Y59="","",IF(SUM(Y59-ref!E$38)&gt;0,0,IF(Y59=0, "0:00", SUM(Y59-ref!E$38))))</f>
        <v>0:00</v>
      </c>
      <c r="AA59" s="27"/>
      <c r="AB59" s="86"/>
    </row>
    <row r="60" spans="2:28" ht="15.75" thickBot="1" x14ac:dyDescent="0.3">
      <c r="B60"/>
      <c r="C60"/>
      <c r="D60" s="124">
        <f t="shared" si="38"/>
        <v>43870</v>
      </c>
      <c r="E60" s="128" t="s">
        <v>19</v>
      </c>
      <c r="F60" s="125" t="str">
        <f t="shared" si="35"/>
        <v/>
      </c>
      <c r="G60" s="27"/>
      <c r="H60" s="21">
        <f t="shared" si="36"/>
        <v>0</v>
      </c>
      <c r="I60" s="27"/>
      <c r="J60" s="48" t="str">
        <f t="shared" si="39"/>
        <v/>
      </c>
      <c r="K60" s="19">
        <f>IF(OR(E60="télétravail",E60="férié travaillé",E60="travail"),(I60-G60+IF(G60&gt;I60,1)-H60),INDEX(ref!$E$22:'ref'!$E$37,MATCH(E60,gerald3,0)))</f>
        <v>0</v>
      </c>
      <c r="L60" s="13">
        <f>IF(SUM(K60-ref!E$8)&lt;0,0,SUM(K60-ref!E$8))</f>
        <v>0</v>
      </c>
      <c r="M60" s="8">
        <f>IF(OR(E60="férié travaillé",E60="travail",E60="asa",E60="rtt"),I60-G60+IF(G60&gt;I60,1),INDEX(ref!$E$22:'ref'!$E$37,MATCH(E60,gerald2,0)))</f>
        <v>0</v>
      </c>
      <c r="N60" s="14">
        <f>IF(SUM(M60-ref!E$4)&lt;0,0,SUM(M60-ref!E$4))</f>
        <v>0</v>
      </c>
      <c r="O60" s="82">
        <f t="shared" si="40"/>
        <v>1.9111111111111108</v>
      </c>
      <c r="Q60" s="106"/>
      <c r="R60" s="78"/>
      <c r="S60" s="97"/>
      <c r="T60" s="112">
        <f t="shared" si="37"/>
        <v>0</v>
      </c>
      <c r="U60" s="111" t="str">
        <f>IF(T60="","",IF(SUM(T60-ref!E$38)&gt;0,0,IF(T60=0, "0:00", SUM(T60-ref!E$38))))</f>
        <v>0:00</v>
      </c>
      <c r="V60" s="109"/>
      <c r="W60" s="78"/>
      <c r="X60" s="96"/>
      <c r="Y60" s="63">
        <f t="shared" si="41"/>
        <v>0</v>
      </c>
      <c r="Z60" s="89" t="str">
        <f>IF(Y60="","",IF(SUM(Y60-ref!E$38)&gt;0,0,IF(Y60=0, "0:00", SUM(Y60-ref!E$38))))</f>
        <v>0:00</v>
      </c>
      <c r="AA60" s="27"/>
      <c r="AB60" s="86"/>
    </row>
    <row r="61" spans="2:28" ht="15.75" thickBot="1" x14ac:dyDescent="0.3">
      <c r="B61"/>
      <c r="C61"/>
      <c r="D61" s="124">
        <f t="shared" si="38"/>
        <v>43871</v>
      </c>
      <c r="E61" s="129" t="s">
        <v>19</v>
      </c>
      <c r="F61" s="125" t="str">
        <f t="shared" si="35"/>
        <v/>
      </c>
      <c r="G61" s="27"/>
      <c r="H61" s="21">
        <f t="shared" si="36"/>
        <v>0</v>
      </c>
      <c r="I61" s="27"/>
      <c r="J61" s="48" t="str">
        <f t="shared" si="39"/>
        <v/>
      </c>
      <c r="K61" s="19">
        <f>IF(OR(E61="télétravail",E61="férié travaillé",E61="travail"),(I61-G61+IF(G61&gt;I61,1)-H61),INDEX(ref!$E$22:'ref'!$E$37,MATCH(E61,gerald3,0)))</f>
        <v>0</v>
      </c>
      <c r="L61" s="13">
        <f>IF(SUM(K61-ref!E$8)&lt;0,0,SUM(K61-ref!E$8))</f>
        <v>0</v>
      </c>
      <c r="M61" s="8">
        <f>IF(OR(E61="férié travaillé",E61="travail",E61="asa",E61="rtt"),I61-G61+IF(G61&gt;I61,1),INDEX(ref!$E$22:'ref'!$E$37,MATCH(E61,gerald2,0)))</f>
        <v>0</v>
      </c>
      <c r="N61" s="14">
        <f>IF(SUM(M61-ref!E$4)&lt;0,0,SUM(M61-ref!E$4))</f>
        <v>0</v>
      </c>
      <c r="O61" s="80">
        <f t="shared" si="40"/>
        <v>1.9111111111111108</v>
      </c>
      <c r="Q61" s="107"/>
      <c r="R61" s="78"/>
      <c r="S61" s="97"/>
      <c r="T61" s="112">
        <f t="shared" si="37"/>
        <v>0</v>
      </c>
      <c r="U61" s="111" t="str">
        <f>IF(T61="","",IF(SUM(T61-ref!E$38)&gt;0,0,IF(T61=0, "0:00", SUM(T61-ref!E$38))))</f>
        <v>0:00</v>
      </c>
      <c r="V61" s="110"/>
      <c r="W61" s="78"/>
      <c r="X61" s="96"/>
      <c r="Y61" s="63">
        <f t="shared" si="41"/>
        <v>0</v>
      </c>
      <c r="Z61" s="90" t="str">
        <f>IF(Y61="","",IF(SUM(Y61-ref!E$38)&gt;0,0,IF(Y61=0, "0:00", SUM(Y61-ref!E$38))))</f>
        <v>0:00</v>
      </c>
      <c r="AA61" s="27"/>
      <c r="AB61" s="86"/>
    </row>
    <row r="62" spans="2:28" x14ac:dyDescent="0.25">
      <c r="E62" s="126"/>
      <c r="U62" s="66"/>
      <c r="V62" s="2"/>
      <c r="X62"/>
      <c r="Y62" s="2"/>
      <c r="Z62" s="2"/>
      <c r="AA62" s="95"/>
    </row>
    <row r="63" spans="2:28" x14ac:dyDescent="0.25">
      <c r="E63" s="126"/>
      <c r="O63" s="16"/>
      <c r="V63" s="2"/>
      <c r="X63"/>
      <c r="Y63" s="2"/>
      <c r="Z63" s="2"/>
      <c r="AA63" s="95"/>
    </row>
    <row r="64" spans="2:28" ht="15.75" thickBot="1" x14ac:dyDescent="0.3">
      <c r="E64" s="126"/>
      <c r="N64" s="95"/>
      <c r="U64" s="66"/>
      <c r="V64" s="2"/>
      <c r="X64"/>
      <c r="Y64" s="2"/>
      <c r="Z64" s="2"/>
      <c r="AA64" s="95"/>
    </row>
    <row r="65" spans="2:28" x14ac:dyDescent="0.25">
      <c r="B65" s="67" t="s">
        <v>1</v>
      </c>
      <c r="C65" s="76" t="s">
        <v>20</v>
      </c>
      <c r="D65" s="124">
        <f>DATE(ref!E$2,B69,B67)</f>
        <v>43872</v>
      </c>
      <c r="E65" s="127" t="s">
        <v>20</v>
      </c>
      <c r="F65" s="125">
        <f>IF(AND(I65="",G65=""),"",D65+G65)</f>
        <v>43872.383333333331</v>
      </c>
      <c r="G65" s="27">
        <v>0.3833333333333333</v>
      </c>
      <c r="H65" s="21">
        <f t="shared" ref="H65:H71" si="42">SUM(T65+Y65+AA65)</f>
        <v>2.9861111111111116E-2</v>
      </c>
      <c r="I65" s="27">
        <v>0.71944444444444444</v>
      </c>
      <c r="J65" s="48">
        <f>IF(AND(G65="",I65=""),"",D65+I65+(G65&gt;I65))</f>
        <v>43872.719444444447</v>
      </c>
      <c r="K65" s="19">
        <f>IF(OR(E65="télétravail",E65="férié travaillé",E65="travail"),(I65-G65+IF(G65&gt;I65,1)-H65),INDEX(ref!$E$22:'ref'!$E$37,MATCH(E65,gerald3,0)))</f>
        <v>0.30625000000000002</v>
      </c>
      <c r="L65" s="13">
        <f>IF(SUM(K65-ref!E$8)&lt;0,0,SUM(K65-ref!E$8))</f>
        <v>0</v>
      </c>
      <c r="M65" s="133">
        <f>IF(OR(E65="férié travaillé",E65="travail",E65="asa",E65="rtt"),I65-G65+IF(G65&gt;I65,1),INDEX(ref!$E$22:'ref'!$E$37,MATCH(E65,gerald2,0)))</f>
        <v>0.33611111111111114</v>
      </c>
      <c r="N65" s="135">
        <f>IF(SUM(M65-ref!E$4)&lt;0,0,SUM(M65-ref!E$4))</f>
        <v>0</v>
      </c>
      <c r="O65" s="134">
        <f>K65</f>
        <v>0.30625000000000002</v>
      </c>
      <c r="Q65" s="105"/>
      <c r="R65" s="78">
        <v>0.51944444444444449</v>
      </c>
      <c r="S65" s="97">
        <v>0.5493055555555556</v>
      </c>
      <c r="T65" s="112">
        <f t="shared" ref="T65:T71" si="43">S65-R65</f>
        <v>2.9861111111111116E-2</v>
      </c>
      <c r="U65" s="111">
        <f>IF(T65="","",IF(SUM(T65-ref!E$38)&gt;0,0,IF(T65=0, "0:00", SUM(T65-ref!E$38))))</f>
        <v>-1.388888888888884E-3</v>
      </c>
      <c r="V65" s="108"/>
      <c r="W65" s="78"/>
      <c r="X65" s="96"/>
      <c r="Y65" s="63">
        <f>X65-W65</f>
        <v>0</v>
      </c>
      <c r="Z65" s="88" t="str">
        <f>IF(Y65="","",IF(SUM(Y65-ref!E$38)&gt;0,0,IF(Y65=0, "0:00", SUM(Y65-ref!E$38))))</f>
        <v>0:00</v>
      </c>
      <c r="AA65" s="27"/>
      <c r="AB65" s="86"/>
    </row>
    <row r="66" spans="2:28" x14ac:dyDescent="0.25">
      <c r="B66" s="68" t="s">
        <v>1</v>
      </c>
      <c r="C66" s="76" t="s">
        <v>20</v>
      </c>
      <c r="D66" s="124">
        <f t="shared" ref="D66:D71" si="44">D65+1</f>
        <v>43873</v>
      </c>
      <c r="E66" s="128" t="s">
        <v>20</v>
      </c>
      <c r="F66" s="125">
        <f t="shared" ref="F66:F71" si="45">IF(AND(I66="",G66=""),"",D66+G66)</f>
        <v>43873.386111111111</v>
      </c>
      <c r="G66" s="27">
        <v>0.38611111111111113</v>
      </c>
      <c r="H66" s="21">
        <f t="shared" si="42"/>
        <v>3.2638888888888884E-2</v>
      </c>
      <c r="I66" s="27">
        <v>0.83611111111111114</v>
      </c>
      <c r="J66" s="48">
        <f t="shared" ref="J66:J71" si="46">IF(AND(G66="",I66=""),"",D66+I66+(G66&gt;I66))</f>
        <v>43873.836111111108</v>
      </c>
      <c r="K66" s="19">
        <f>IF(OR(E66="télétravail",E66="férié travaillé",E66="travail"),(I66-G66+IF(G66&gt;I66,1)-H66),INDEX(ref!$E$22:'ref'!$E$37,MATCH(E66,gerald3,0)))</f>
        <v>0.41736111111111113</v>
      </c>
      <c r="L66" s="13">
        <f>IF(SUM(K66-ref!E$8)&lt;0,0,SUM(K66-ref!E$8))</f>
        <v>6.9444444444444198E-4</v>
      </c>
      <c r="M66" s="8">
        <f>IF(OR(E66="férié travaillé",E66="travail",E66="asa",E66="rtt"),I66-G66+IF(G66&gt;I66,1),INDEX(ref!$E$22:'ref'!$E$37,MATCH(E66,gerald2,0)))</f>
        <v>0.45</v>
      </c>
      <c r="N66" s="132">
        <f>IF(SUM(M66-ref!E$4)&lt;0,0,SUM(M66-ref!E$4))</f>
        <v>0</v>
      </c>
      <c r="O66" s="22">
        <f t="shared" ref="O66:O71" si="47">O65+K66</f>
        <v>0.7236111111111112</v>
      </c>
      <c r="Q66" s="106"/>
      <c r="R66" s="78">
        <v>0.5</v>
      </c>
      <c r="S66" s="97">
        <v>0.53263888888888888</v>
      </c>
      <c r="T66" s="112">
        <f t="shared" si="43"/>
        <v>3.2638888888888884E-2</v>
      </c>
      <c r="U66" s="111">
        <f>IF(T66="","",IF(SUM(T66-ref!E$38)&gt;0,0,IF(T66=0, "0:00", SUM(T66-ref!E$38))))</f>
        <v>0</v>
      </c>
      <c r="V66" s="109"/>
      <c r="W66" s="78"/>
      <c r="X66" s="96"/>
      <c r="Y66" s="63">
        <f t="shared" ref="Y66:Y71" si="48">X66-W66</f>
        <v>0</v>
      </c>
      <c r="Z66" s="89" t="str">
        <f>IF(Y66="","",IF(SUM(Y66-ref!E$38)&gt;0,0,IF(Y66=0, "0:00", SUM(Y66-ref!E$38))))</f>
        <v>0:00</v>
      </c>
      <c r="AA66" s="27"/>
      <c r="AB66" s="86"/>
    </row>
    <row r="67" spans="2:28" x14ac:dyDescent="0.25">
      <c r="B67" s="69">
        <v>12</v>
      </c>
      <c r="C67" s="76" t="s">
        <v>20</v>
      </c>
      <c r="D67" s="124">
        <f t="shared" si="44"/>
        <v>43874</v>
      </c>
      <c r="E67" s="128" t="s">
        <v>20</v>
      </c>
      <c r="F67" s="125">
        <f t="shared" si="45"/>
        <v>43874.42291666667</v>
      </c>
      <c r="G67" s="27">
        <v>0.42291666666666666</v>
      </c>
      <c r="H67" s="21">
        <f t="shared" si="42"/>
        <v>3.3333333333333215E-2</v>
      </c>
      <c r="I67" s="27">
        <v>0.84305555555555556</v>
      </c>
      <c r="J67" s="48">
        <f t="shared" si="46"/>
        <v>43874.843055555553</v>
      </c>
      <c r="K67" s="19">
        <f>IF(OR(E67="télétravail",E67="férié travaillé",E67="travail"),(I67-G67+IF(G67&gt;I67,1)-H67),INDEX(ref!$E$22:'ref'!$E$37,MATCH(E67,gerald3,0)))</f>
        <v>0.38680555555555568</v>
      </c>
      <c r="L67" s="13">
        <f>IF(SUM(K67-ref!E$8)&lt;0,0,SUM(K67-ref!E$8))</f>
        <v>0</v>
      </c>
      <c r="M67" s="8">
        <f>IF(OR(E67="férié travaillé",E67="travail",E67="asa",E67="rtt"),I67-G67+IF(G67&gt;I67,1),INDEX(ref!$E$22:'ref'!$E$37,MATCH(E67,gerald2,0)))</f>
        <v>0.4201388888888889</v>
      </c>
      <c r="N67" s="14">
        <f>IF(SUM(M67-ref!E$4)&lt;0,0,SUM(M67-ref!E$4))</f>
        <v>0</v>
      </c>
      <c r="O67" s="22">
        <f t="shared" si="47"/>
        <v>1.1104166666666668</v>
      </c>
      <c r="Q67" s="106"/>
      <c r="R67" s="78">
        <v>0.51666666666666672</v>
      </c>
      <c r="S67" s="97">
        <v>0.54999999999999993</v>
      </c>
      <c r="T67" s="112">
        <f t="shared" si="43"/>
        <v>3.3333333333333215E-2</v>
      </c>
      <c r="U67" s="111">
        <f>IF(T67="","",IF(SUM(T67-ref!E$38)&gt;0,0,IF(T67=0, "0:00", SUM(T67-ref!E$38))))</f>
        <v>0</v>
      </c>
      <c r="V67" s="109"/>
      <c r="W67" s="78"/>
      <c r="X67" s="96"/>
      <c r="Y67" s="63">
        <f t="shared" si="48"/>
        <v>0</v>
      </c>
      <c r="Z67" s="89" t="str">
        <f>IF(Y67="","",IF(SUM(Y67-ref!E$38)&gt;0,0,IF(Y67=0, "0:00", SUM(Y67-ref!E$38))))</f>
        <v>0:00</v>
      </c>
      <c r="AA67" s="27"/>
      <c r="AB67" s="86"/>
    </row>
    <row r="68" spans="2:28" x14ac:dyDescent="0.25">
      <c r="B68" s="68" t="s">
        <v>40</v>
      </c>
      <c r="C68" s="76" t="s">
        <v>20</v>
      </c>
      <c r="D68" s="124">
        <f t="shared" si="44"/>
        <v>43875</v>
      </c>
      <c r="E68" s="128" t="s">
        <v>20</v>
      </c>
      <c r="F68" s="125">
        <f t="shared" si="45"/>
        <v>43875.378472222219</v>
      </c>
      <c r="G68" s="27">
        <v>0.37847222222222227</v>
      </c>
      <c r="H68" s="21">
        <f t="shared" si="42"/>
        <v>3.3333333333333215E-2</v>
      </c>
      <c r="I68" s="27">
        <v>0.90486111111111101</v>
      </c>
      <c r="J68" s="48">
        <f t="shared" si="46"/>
        <v>43875.904861111114</v>
      </c>
      <c r="K68" s="19">
        <f>IF(OR(E68="télétravail",E68="férié travaillé",E68="travail"),(I68-G68+IF(G68&gt;I68,1)-H68),INDEX(ref!$E$22:'ref'!$E$37,MATCH(E68,gerald3,0)))</f>
        <v>0.49305555555555558</v>
      </c>
      <c r="L68" s="13">
        <f>IF(SUM(K68-ref!E$8)&lt;0,0,SUM(K68-ref!E$8))</f>
        <v>7.6388888888888895E-2</v>
      </c>
      <c r="M68" s="8">
        <f>IF(OR(E68="férié travaillé",E68="travail",E68="asa",E68="rtt"),I68-G68+IF(G68&gt;I68,1),INDEX(ref!$E$22:'ref'!$E$37,MATCH(E68,gerald2,0)))</f>
        <v>0.5263888888888888</v>
      </c>
      <c r="N68" s="14">
        <f>IF(SUM(M68-ref!E$4)&lt;0,0,SUM(M68-ref!E$4))</f>
        <v>2.6388888888888795E-2</v>
      </c>
      <c r="O68" s="22">
        <f t="shared" si="47"/>
        <v>1.6034722222222224</v>
      </c>
      <c r="Q68" s="106"/>
      <c r="R68" s="78">
        <v>0.51666666666666672</v>
      </c>
      <c r="S68" s="97">
        <v>0.54999999999999993</v>
      </c>
      <c r="T68" s="112">
        <f t="shared" si="43"/>
        <v>3.3333333333333215E-2</v>
      </c>
      <c r="U68" s="111">
        <f>IF(T68="","",IF(SUM(T68-ref!E$38)&gt;0,0,IF(T68=0, "0:00", SUM(T68-ref!E$38))))</f>
        <v>0</v>
      </c>
      <c r="V68" s="109"/>
      <c r="W68" s="78"/>
      <c r="X68" s="96"/>
      <c r="Y68" s="63">
        <f t="shared" si="48"/>
        <v>0</v>
      </c>
      <c r="Z68" s="89" t="str">
        <f>IF(Y68="","",IF(SUM(Y68-ref!E$38)&gt;0,0,IF(Y68=0, "0:00", SUM(Y68-ref!E$38))))</f>
        <v>0:00</v>
      </c>
      <c r="AA68" s="27"/>
      <c r="AB68" s="86"/>
    </row>
    <row r="69" spans="2:28" x14ac:dyDescent="0.25">
      <c r="B69" s="70">
        <v>2</v>
      </c>
      <c r="C69" s="76" t="s">
        <v>20</v>
      </c>
      <c r="D69" s="124">
        <f t="shared" si="44"/>
        <v>43876</v>
      </c>
      <c r="E69" s="128" t="s">
        <v>20</v>
      </c>
      <c r="F69" s="125">
        <f t="shared" si="45"/>
        <v>43876.379166666666</v>
      </c>
      <c r="G69" s="27">
        <v>0.37916666666666665</v>
      </c>
      <c r="H69" s="21">
        <f t="shared" si="42"/>
        <v>1.9444444444444486E-2</v>
      </c>
      <c r="I69" s="27">
        <v>0.74097222222222225</v>
      </c>
      <c r="J69" s="48">
        <f t="shared" si="46"/>
        <v>43876.740972222222</v>
      </c>
      <c r="K69" s="19">
        <f>IF(OR(E69="télétravail",E69="férié travaillé",E69="travail"),(I69-G69+IF(G69&gt;I69,1)-H69),INDEX(ref!$E$22:'ref'!$E$37,MATCH(E69,gerald3,0)))</f>
        <v>0.34236111111111112</v>
      </c>
      <c r="L69" s="13">
        <f>IF(SUM(K69-ref!E$8)&lt;0,0,SUM(K69-ref!E$8))</f>
        <v>0</v>
      </c>
      <c r="M69" s="8">
        <f>IF(OR(E69="férié travaillé",E69="travail",E69="asa",E69="rtt"),I69-G69+IF(G69&gt;I69,1),INDEX(ref!$E$22:'ref'!$E$37,MATCH(E69,gerald2,0)))</f>
        <v>0.3618055555555556</v>
      </c>
      <c r="N69" s="14">
        <f>IF(SUM(M69-ref!E$4)&lt;0,0,SUM(M69-ref!E$4))</f>
        <v>0</v>
      </c>
      <c r="O69" s="22">
        <f t="shared" si="47"/>
        <v>1.9458333333333335</v>
      </c>
      <c r="Q69" s="106"/>
      <c r="R69" s="78">
        <v>0.55972222222222223</v>
      </c>
      <c r="S69" s="97">
        <v>0.57916666666666672</v>
      </c>
      <c r="T69" s="112">
        <f t="shared" si="43"/>
        <v>1.9444444444444486E-2</v>
      </c>
      <c r="U69" s="111">
        <f>IF(T69="","",IF(SUM(T69-ref!E$38)&gt;0,0,IF(T69=0, "0:00", SUM(T69-ref!E$38))))</f>
        <v>-1.1805555555555514E-2</v>
      </c>
      <c r="V69" s="109"/>
      <c r="W69" s="78"/>
      <c r="X69" s="96"/>
      <c r="Y69" s="63">
        <f t="shared" si="48"/>
        <v>0</v>
      </c>
      <c r="Z69" s="89" t="str">
        <f>IF(Y69="","",IF(SUM(Y69-ref!E$38)&gt;0,0,IF(Y69=0, "0:00", SUM(Y69-ref!E$38))))</f>
        <v>0:00</v>
      </c>
      <c r="AA69" s="27"/>
      <c r="AB69" s="86"/>
    </row>
    <row r="70" spans="2:28" ht="15.75" thickBot="1" x14ac:dyDescent="0.3">
      <c r="B70"/>
      <c r="C70"/>
      <c r="D70" s="124">
        <f t="shared" si="44"/>
        <v>43877</v>
      </c>
      <c r="E70" s="128" t="s">
        <v>19</v>
      </c>
      <c r="F70" s="125" t="str">
        <f t="shared" si="45"/>
        <v/>
      </c>
      <c r="G70" s="27"/>
      <c r="H70" s="21">
        <f t="shared" si="42"/>
        <v>0</v>
      </c>
      <c r="I70" s="27"/>
      <c r="J70" s="48" t="str">
        <f t="shared" si="46"/>
        <v/>
      </c>
      <c r="K70" s="19">
        <f>IF(OR(E70="télétravail",E70="férié travaillé",E70="travail"),(I70-G70+IF(G70&gt;I70,1)-H70),INDEX(ref!$E$22:'ref'!$E$37,MATCH(E70,gerald3,0)))</f>
        <v>0</v>
      </c>
      <c r="L70" s="13">
        <f>IF(SUM(K70-ref!E$8)&lt;0,0,SUM(K70-ref!E$8))</f>
        <v>0</v>
      </c>
      <c r="M70" s="8">
        <f>IF(OR(E70="férié travaillé",E70="travail",E70="asa",E70="rtt"),I70-G70+IF(G70&gt;I70,1),INDEX(ref!$E$22:'ref'!$E$37,MATCH(E70,gerald2,0)))</f>
        <v>0</v>
      </c>
      <c r="N70" s="14">
        <f>IF(SUM(M70-ref!E$4)&lt;0,0,SUM(M70-ref!E$4))</f>
        <v>0</v>
      </c>
      <c r="O70" s="82">
        <f t="shared" si="47"/>
        <v>1.9458333333333335</v>
      </c>
      <c r="Q70" s="106"/>
      <c r="R70" s="78"/>
      <c r="S70" s="97"/>
      <c r="T70" s="112">
        <f t="shared" si="43"/>
        <v>0</v>
      </c>
      <c r="U70" s="111" t="str">
        <f>IF(T70="","",IF(SUM(T70-ref!E$38)&gt;0,0,IF(T70=0, "0:00", SUM(T70-ref!E$38))))</f>
        <v>0:00</v>
      </c>
      <c r="V70" s="109"/>
      <c r="W70" s="78"/>
      <c r="X70" s="96"/>
      <c r="Y70" s="63">
        <f t="shared" si="48"/>
        <v>0</v>
      </c>
      <c r="Z70" s="89" t="str">
        <f>IF(Y70="","",IF(SUM(Y70-ref!E$38)&gt;0,0,IF(Y70=0, "0:00", SUM(Y70-ref!E$38))))</f>
        <v>0:00</v>
      </c>
      <c r="AA70" s="27"/>
      <c r="AB70" s="86"/>
    </row>
    <row r="71" spans="2:28" ht="15.75" thickBot="1" x14ac:dyDescent="0.3">
      <c r="B71"/>
      <c r="C71"/>
      <c r="D71" s="124">
        <f t="shared" si="44"/>
        <v>43878</v>
      </c>
      <c r="E71" s="129" t="s">
        <v>19</v>
      </c>
      <c r="F71" s="125" t="str">
        <f t="shared" si="45"/>
        <v/>
      </c>
      <c r="G71" s="27"/>
      <c r="H71" s="21">
        <f t="shared" si="42"/>
        <v>0</v>
      </c>
      <c r="I71" s="27"/>
      <c r="J71" s="48" t="str">
        <f t="shared" si="46"/>
        <v/>
      </c>
      <c r="K71" s="19">
        <f>IF(OR(E71="télétravail",E71="férié travaillé",E71="travail"),(I71-G71+IF(G71&gt;I71,1)-H71),INDEX(ref!$E$22:'ref'!$E$37,MATCH(E71,gerald3,0)))</f>
        <v>0</v>
      </c>
      <c r="L71" s="13">
        <f>IF(SUM(K71-ref!E$8)&lt;0,0,SUM(K71-ref!E$8))</f>
        <v>0</v>
      </c>
      <c r="M71" s="8">
        <f>IF(OR(E71="férié travaillé",E71="travail",E71="asa",E71="rtt"),I71-G71+IF(G71&gt;I71,1),INDEX(ref!$E$22:'ref'!$E$37,MATCH(E71,gerald2,0)))</f>
        <v>0</v>
      </c>
      <c r="N71" s="14">
        <f>IF(SUM(M71-ref!E$4)&lt;0,0,SUM(M71-ref!E$4))</f>
        <v>0</v>
      </c>
      <c r="O71" s="80">
        <f t="shared" si="47"/>
        <v>1.9458333333333335</v>
      </c>
      <c r="Q71" s="107"/>
      <c r="R71" s="78"/>
      <c r="S71" s="97"/>
      <c r="T71" s="112">
        <f t="shared" si="43"/>
        <v>0</v>
      </c>
      <c r="U71" s="111" t="str">
        <f>IF(T71="","",IF(SUM(T71-ref!E$38)&gt;0,0,IF(T71=0, "0:00", SUM(T71-ref!E$38))))</f>
        <v>0:00</v>
      </c>
      <c r="V71" s="110"/>
      <c r="W71" s="78"/>
      <c r="X71" s="96"/>
      <c r="Y71" s="63">
        <f t="shared" si="48"/>
        <v>0</v>
      </c>
      <c r="Z71" s="90" t="str">
        <f>IF(Y71="","",IF(SUM(Y71-ref!E$38)&gt;0,0,IF(Y71=0, "0:00", SUM(Y71-ref!E$38))))</f>
        <v>0:00</v>
      </c>
      <c r="AA71" s="27"/>
      <c r="AB71" s="86"/>
    </row>
    <row r="72" spans="2:28" x14ac:dyDescent="0.25">
      <c r="E72" s="126"/>
      <c r="U72" s="66"/>
      <c r="V72" s="2"/>
      <c r="X72"/>
      <c r="Y72" s="2"/>
      <c r="Z72" s="2"/>
      <c r="AA72" s="95"/>
    </row>
    <row r="73" spans="2:28" x14ac:dyDescent="0.25">
      <c r="E73" s="126"/>
      <c r="V73" s="2"/>
      <c r="X73"/>
      <c r="Y73" s="2"/>
      <c r="Z73" s="2"/>
      <c r="AA73" s="95"/>
    </row>
    <row r="74" spans="2:28" ht="15.75" thickBot="1" x14ac:dyDescent="0.3">
      <c r="E74" s="126"/>
      <c r="U74" s="66"/>
      <c r="V74" s="2"/>
      <c r="X74"/>
      <c r="Y74" s="2"/>
      <c r="Z74" s="2"/>
      <c r="AA74" s="95"/>
    </row>
    <row r="75" spans="2:28" x14ac:dyDescent="0.25">
      <c r="B75" s="67" t="s">
        <v>1</v>
      </c>
      <c r="C75" s="74" t="s">
        <v>54</v>
      </c>
      <c r="D75" s="124">
        <f>DATE(ref!E$2,B79,B77)</f>
        <v>43879</v>
      </c>
      <c r="E75" s="127" t="s">
        <v>22</v>
      </c>
      <c r="F75" s="125" t="str">
        <f>IF(AND(I75="",G75=""),"",D75+G75)</f>
        <v/>
      </c>
      <c r="G75" s="27"/>
      <c r="H75" s="21">
        <f t="shared" ref="H75:H81" si="49">SUM(T75+Y75+AA75)</f>
        <v>0</v>
      </c>
      <c r="I75" s="27"/>
      <c r="J75" s="48" t="str">
        <f>IF(AND(G75="",I75=""),"",D75+I75+(G75&gt;I75))</f>
        <v/>
      </c>
      <c r="K75" s="19">
        <f>IF(OR(E75="télétravail",E75="férié travaillé",E75="travail"),(I75-G75+IF(G75&gt;I75,1)-H75),INDEX(ref!$E$22:'ref'!$E$37,MATCH(E75,gerald3,0)))</f>
        <v>0.29166666666666669</v>
      </c>
      <c r="L75" s="13">
        <f>IF(SUM(K75-ref!E$8)&lt;0,0,SUM(K75-ref!E$8))</f>
        <v>0</v>
      </c>
      <c r="M75" s="8">
        <f>IF(OR(E75="férié travaillé",E75="travail",E75="asa",E75="rtt"),I75-G75+IF(G75&gt;I75,1),INDEX(ref!$E$22:'ref'!$E$37,MATCH(E75,gerald2,0)))</f>
        <v>0.29166666666666669</v>
      </c>
      <c r="N75" s="14">
        <f>IF(SUM(M75-ref!E$4)&lt;0,0,SUM(M75-ref!E$4))</f>
        <v>0</v>
      </c>
      <c r="O75" s="19">
        <f>K75</f>
        <v>0.29166666666666669</v>
      </c>
      <c r="Q75" s="105"/>
      <c r="R75" s="78"/>
      <c r="S75" s="97"/>
      <c r="T75" s="112">
        <f t="shared" ref="T75:T81" si="50">S75-R75</f>
        <v>0</v>
      </c>
      <c r="U75" s="111" t="str">
        <f>IF(T75="","",IF(SUM(T75-ref!E$38)&gt;0,0,IF(T75=0, "0:00", SUM(T75-ref!E$38))))</f>
        <v>0:00</v>
      </c>
      <c r="V75" s="108"/>
      <c r="W75" s="78"/>
      <c r="X75" s="96"/>
      <c r="Y75" s="63">
        <f>X75-W75</f>
        <v>0</v>
      </c>
      <c r="Z75" s="88" t="str">
        <f>IF(Y75="","",IF(SUM(Y75-ref!E$38)&gt;0,0,IF(Y75=0, "0:00", SUM(Y75-ref!E$38))))</f>
        <v>0:00</v>
      </c>
      <c r="AA75" s="27"/>
      <c r="AB75" s="86"/>
    </row>
    <row r="76" spans="2:28" x14ac:dyDescent="0.25">
      <c r="B76" s="68" t="s">
        <v>1</v>
      </c>
      <c r="C76" s="74" t="s">
        <v>54</v>
      </c>
      <c r="D76" s="124">
        <f t="shared" ref="D76:D81" si="51">D75+1</f>
        <v>43880</v>
      </c>
      <c r="E76" s="128" t="s">
        <v>22</v>
      </c>
      <c r="F76" s="125" t="str">
        <f t="shared" ref="F76:F81" si="52">IF(AND(I76="",G76=""),"",D76+G76)</f>
        <v/>
      </c>
      <c r="G76" s="27"/>
      <c r="H76" s="21">
        <f t="shared" si="49"/>
        <v>0</v>
      </c>
      <c r="I76" s="27"/>
      <c r="J76" s="48" t="str">
        <f t="shared" ref="J76:J81" si="53">IF(AND(G76="",I76=""),"",D76+I76+(G76&gt;I76))</f>
        <v/>
      </c>
      <c r="K76" s="19">
        <f>IF(OR(E76="télétravail",E76="férié travaillé",E76="travail"),(I76-G76+IF(G76&gt;I76,1)-H76),INDEX(ref!$E$22:'ref'!$E$37,MATCH(E76,gerald3,0)))</f>
        <v>0.29166666666666669</v>
      </c>
      <c r="L76" s="13">
        <f>IF(SUM(K76-ref!E$8)&lt;0,0,SUM(K76-ref!E$8))</f>
        <v>0</v>
      </c>
      <c r="M76" s="8">
        <f>IF(OR(E76="férié travaillé",E76="travail",E76="asa",E76="rtt"),I76-G76+IF(G76&gt;I76,1),INDEX(ref!$E$22:'ref'!$E$37,MATCH(E76,gerald2,0)))</f>
        <v>0.29166666666666669</v>
      </c>
      <c r="N76" s="14">
        <f>IF(SUM(M76-ref!E$4)&lt;0,0,SUM(M76-ref!E$4))</f>
        <v>0</v>
      </c>
      <c r="O76" s="22">
        <f t="shared" ref="O76:O81" si="54">O75+K76</f>
        <v>0.58333333333333337</v>
      </c>
      <c r="Q76" s="106"/>
      <c r="R76" s="78"/>
      <c r="S76" s="97"/>
      <c r="T76" s="112">
        <f t="shared" si="50"/>
        <v>0</v>
      </c>
      <c r="U76" s="111" t="str">
        <f>IF(T76="","",IF(SUM(T76-ref!E$38)&gt;0,0,IF(T76=0, "0:00", SUM(T76-ref!E$38))))</f>
        <v>0:00</v>
      </c>
      <c r="V76" s="109"/>
      <c r="W76" s="78"/>
      <c r="X76" s="96"/>
      <c r="Y76" s="63">
        <f t="shared" ref="Y76:Y81" si="55">X76-W76</f>
        <v>0</v>
      </c>
      <c r="Z76" s="89" t="str">
        <f>IF(Y76="","",IF(SUM(Y76-ref!E$38)&gt;0,0,IF(Y76=0, "0:00", SUM(Y76-ref!E$38))))</f>
        <v>0:00</v>
      </c>
      <c r="AA76" s="27"/>
      <c r="AB76" s="86"/>
    </row>
    <row r="77" spans="2:28" x14ac:dyDescent="0.25">
      <c r="B77" s="69">
        <v>19</v>
      </c>
      <c r="C77" s="74" t="s">
        <v>54</v>
      </c>
      <c r="D77" s="124">
        <f t="shared" si="51"/>
        <v>43881</v>
      </c>
      <c r="E77" s="128" t="s">
        <v>22</v>
      </c>
      <c r="F77" s="125" t="str">
        <f t="shared" si="52"/>
        <v/>
      </c>
      <c r="G77" s="27"/>
      <c r="H77" s="21">
        <f t="shared" si="49"/>
        <v>0</v>
      </c>
      <c r="I77" s="27"/>
      <c r="J77" s="48" t="str">
        <f t="shared" si="53"/>
        <v/>
      </c>
      <c r="K77" s="19">
        <f>IF(OR(E77="télétravail",E77="férié travaillé",E77="travail"),(I77-G77+IF(G77&gt;I77,1)-H77),INDEX(ref!$E$22:'ref'!$E$37,MATCH(E77,gerald3,0)))</f>
        <v>0.29166666666666669</v>
      </c>
      <c r="L77" s="13">
        <f>IF(SUM(K77-ref!E$8)&lt;0,0,SUM(K77-ref!E$8))</f>
        <v>0</v>
      </c>
      <c r="M77" s="8">
        <f>IF(OR(E77="férié travaillé",E77="travail",E77="asa",E77="rtt"),I77-G77+IF(G77&gt;I77,1),INDEX(ref!$E$22:'ref'!$E$37,MATCH(E77,gerald2,0)))</f>
        <v>0.29166666666666669</v>
      </c>
      <c r="N77" s="14">
        <f>IF(SUM(M77-ref!E$4)&lt;0,0,SUM(M77-ref!E$4))</f>
        <v>0</v>
      </c>
      <c r="O77" s="22">
        <f t="shared" si="54"/>
        <v>0.875</v>
      </c>
      <c r="Q77" s="106"/>
      <c r="R77" s="78"/>
      <c r="S77" s="97"/>
      <c r="T77" s="112">
        <f t="shared" si="50"/>
        <v>0</v>
      </c>
      <c r="U77" s="111" t="str">
        <f>IF(T77="","",IF(SUM(T77-ref!E$38)&gt;0,0,IF(T77=0, "0:00", SUM(T77-ref!E$38))))</f>
        <v>0:00</v>
      </c>
      <c r="V77" s="109"/>
      <c r="W77" s="78"/>
      <c r="X77" s="96"/>
      <c r="Y77" s="63">
        <f t="shared" si="55"/>
        <v>0</v>
      </c>
      <c r="Z77" s="89" t="str">
        <f>IF(Y77="","",IF(SUM(Y77-ref!E$38)&gt;0,0,IF(Y77=0, "0:00", SUM(Y77-ref!E$38))))</f>
        <v>0:00</v>
      </c>
      <c r="AA77" s="27"/>
      <c r="AB77" s="86"/>
    </row>
    <row r="78" spans="2:28" x14ac:dyDescent="0.25">
      <c r="B78" s="68" t="s">
        <v>40</v>
      </c>
      <c r="C78" s="74" t="s">
        <v>54</v>
      </c>
      <c r="D78" s="124">
        <f t="shared" si="51"/>
        <v>43882</v>
      </c>
      <c r="E78" s="128" t="s">
        <v>22</v>
      </c>
      <c r="F78" s="125" t="str">
        <f t="shared" si="52"/>
        <v/>
      </c>
      <c r="G78" s="27"/>
      <c r="H78" s="21">
        <f t="shared" si="49"/>
        <v>0</v>
      </c>
      <c r="I78" s="27"/>
      <c r="J78" s="48" t="str">
        <f t="shared" si="53"/>
        <v/>
      </c>
      <c r="K78" s="19">
        <f>IF(OR(E78="télétravail",E78="férié travaillé",E78="travail"),(I78-G78+IF(G78&gt;I78,1)-H78),INDEX(ref!$E$22:'ref'!$E$37,MATCH(E78,gerald3,0)))</f>
        <v>0.29166666666666669</v>
      </c>
      <c r="L78" s="13">
        <f>IF(SUM(K78-ref!E$8)&lt;0,0,SUM(K78-ref!E$8))</f>
        <v>0</v>
      </c>
      <c r="M78" s="8">
        <f>IF(OR(E78="férié travaillé",E78="travail",E78="asa",E78="rtt"),I78-G78+IF(G78&gt;I78,1),INDEX(ref!$E$22:'ref'!$E$37,MATCH(E78,gerald2,0)))</f>
        <v>0.29166666666666669</v>
      </c>
      <c r="N78" s="14">
        <f>IF(SUM(M78-ref!E$4)&lt;0,0,SUM(M78-ref!E$4))</f>
        <v>0</v>
      </c>
      <c r="O78" s="22">
        <f t="shared" si="54"/>
        <v>1.1666666666666667</v>
      </c>
      <c r="Q78" s="106"/>
      <c r="R78" s="78"/>
      <c r="S78" s="97"/>
      <c r="T78" s="112">
        <f t="shared" si="50"/>
        <v>0</v>
      </c>
      <c r="U78" s="111" t="str">
        <f>IF(T78="","",IF(SUM(T78-ref!E$38)&gt;0,0,IF(T78=0, "0:00", SUM(T78-ref!E$38))))</f>
        <v>0:00</v>
      </c>
      <c r="V78" s="109"/>
      <c r="W78" s="78"/>
      <c r="X78" s="96"/>
      <c r="Y78" s="63">
        <f t="shared" si="55"/>
        <v>0</v>
      </c>
      <c r="Z78" s="89" t="str">
        <f>IF(Y78="","",IF(SUM(Y78-ref!E$38)&gt;0,0,IF(Y78=0, "0:00", SUM(Y78-ref!E$38))))</f>
        <v>0:00</v>
      </c>
      <c r="AA78" s="27"/>
      <c r="AB78" s="86"/>
    </row>
    <row r="79" spans="2:28" x14ac:dyDescent="0.25">
      <c r="B79" s="70">
        <v>2</v>
      </c>
      <c r="C79" s="75" t="s">
        <v>54</v>
      </c>
      <c r="D79" s="124">
        <f t="shared" si="51"/>
        <v>43883</v>
      </c>
      <c r="E79" s="128" t="s">
        <v>22</v>
      </c>
      <c r="F79" s="125" t="str">
        <f t="shared" si="52"/>
        <v/>
      </c>
      <c r="G79" s="27"/>
      <c r="H79" s="21">
        <f t="shared" si="49"/>
        <v>0</v>
      </c>
      <c r="I79" s="27"/>
      <c r="J79" s="48" t="str">
        <f t="shared" si="53"/>
        <v/>
      </c>
      <c r="K79" s="19">
        <f>IF(OR(E79="télétravail",E79="férié travaillé",E79="travail"),(I79-G79+IF(G79&gt;I79,1)-H79),INDEX(ref!$E$22:'ref'!$E$37,MATCH(E79,gerald3,0)))</f>
        <v>0.29166666666666669</v>
      </c>
      <c r="L79" s="13">
        <f>IF(SUM(K79-ref!E$8)&lt;0,0,SUM(K79-ref!E$8))</f>
        <v>0</v>
      </c>
      <c r="M79" s="8">
        <f>IF(OR(E79="férié travaillé",E79="travail",E79="asa",E79="rtt"),I79-G79+IF(G79&gt;I79,1),INDEX(ref!$E$22:'ref'!$E$37,MATCH(E79,gerald2,0)))</f>
        <v>0.29166666666666669</v>
      </c>
      <c r="N79" s="14">
        <f>IF(SUM(M79-ref!E$4)&lt;0,0,SUM(M79-ref!E$4))</f>
        <v>0</v>
      </c>
      <c r="O79" s="22">
        <f t="shared" si="54"/>
        <v>1.4583333333333335</v>
      </c>
      <c r="Q79" s="106"/>
      <c r="R79" s="78"/>
      <c r="S79" s="97"/>
      <c r="T79" s="112">
        <f t="shared" si="50"/>
        <v>0</v>
      </c>
      <c r="U79" s="111" t="str">
        <f>IF(T79="","",IF(SUM(T79-ref!E$38)&gt;0,0,IF(T79=0, "0:00", SUM(T79-ref!E$38))))</f>
        <v>0:00</v>
      </c>
      <c r="V79" s="109"/>
      <c r="W79" s="78"/>
      <c r="X79" s="96"/>
      <c r="Y79" s="63">
        <f t="shared" si="55"/>
        <v>0</v>
      </c>
      <c r="Z79" s="89" t="str">
        <f>IF(Y79="","",IF(SUM(Y79-ref!E$38)&gt;0,0,IF(Y79=0, "0:00", SUM(Y79-ref!E$38))))</f>
        <v>0:00</v>
      </c>
      <c r="AA79" s="27"/>
      <c r="AB79" s="86"/>
    </row>
    <row r="80" spans="2:28" ht="15.75" thickBot="1" x14ac:dyDescent="0.3">
      <c r="B80"/>
      <c r="C80"/>
      <c r="D80" s="124">
        <f t="shared" si="51"/>
        <v>43884</v>
      </c>
      <c r="E80" s="128" t="s">
        <v>19</v>
      </c>
      <c r="F80" s="125" t="str">
        <f t="shared" si="52"/>
        <v/>
      </c>
      <c r="G80" s="27"/>
      <c r="H80" s="21">
        <f t="shared" si="49"/>
        <v>0</v>
      </c>
      <c r="I80" s="27"/>
      <c r="J80" s="48" t="str">
        <f t="shared" si="53"/>
        <v/>
      </c>
      <c r="K80" s="19">
        <f>IF(OR(E80="télétravail",E80="férié travaillé",E80="travail"),(I80-G80+IF(G80&gt;I80,1)-H80),INDEX(ref!$E$22:'ref'!$E$37,MATCH(E80,gerald3,0)))</f>
        <v>0</v>
      </c>
      <c r="L80" s="13">
        <f>IF(SUM(K80-ref!E$8)&lt;0,0,SUM(K80-ref!E$8))</f>
        <v>0</v>
      </c>
      <c r="M80" s="8">
        <f>IF(OR(E80="férié travaillé",E80="travail",E80="asa",E80="rtt"),I80-G80+IF(G80&gt;I80,1),INDEX(ref!$E$22:'ref'!$E$37,MATCH(E80,gerald2,0)))</f>
        <v>0</v>
      </c>
      <c r="N80" s="14">
        <f>IF(SUM(M80-ref!E$4)&lt;0,0,SUM(M80-ref!E$4))</f>
        <v>0</v>
      </c>
      <c r="O80" s="82">
        <f t="shared" si="54"/>
        <v>1.4583333333333335</v>
      </c>
      <c r="Q80" s="106"/>
      <c r="R80" s="78"/>
      <c r="S80" s="97"/>
      <c r="T80" s="112">
        <f t="shared" si="50"/>
        <v>0</v>
      </c>
      <c r="U80" s="111" t="str">
        <f>IF(T80="","",IF(SUM(T80-ref!E$38)&gt;0,0,IF(T80=0, "0:00", SUM(T80-ref!E$38))))</f>
        <v>0:00</v>
      </c>
      <c r="V80" s="109"/>
      <c r="W80" s="78"/>
      <c r="X80" s="96"/>
      <c r="Y80" s="63">
        <f t="shared" si="55"/>
        <v>0</v>
      </c>
      <c r="Z80" s="89" t="str">
        <f>IF(Y80="","",IF(SUM(Y80-ref!E$38)&gt;0,0,IF(Y80=0, "0:00", SUM(Y80-ref!E$38))))</f>
        <v>0:00</v>
      </c>
      <c r="AA80" s="27"/>
      <c r="AB80" s="86"/>
    </row>
    <row r="81" spans="2:28" ht="15.75" thickBot="1" x14ac:dyDescent="0.3">
      <c r="B81"/>
      <c r="C81"/>
      <c r="D81" s="124">
        <f t="shared" si="51"/>
        <v>43885</v>
      </c>
      <c r="E81" s="129" t="s">
        <v>19</v>
      </c>
      <c r="F81" s="125" t="str">
        <f t="shared" si="52"/>
        <v/>
      </c>
      <c r="G81" s="27"/>
      <c r="H81" s="21">
        <f t="shared" si="49"/>
        <v>0</v>
      </c>
      <c r="I81" s="27"/>
      <c r="J81" s="48" t="str">
        <f t="shared" si="53"/>
        <v/>
      </c>
      <c r="K81" s="19">
        <f>IF(OR(E81="télétravail",E81="férié travaillé",E81="travail"),(I81-G81+IF(G81&gt;I81,1)-H81),INDEX(ref!$E$22:'ref'!$E$37,MATCH(E81,gerald3,0)))</f>
        <v>0</v>
      </c>
      <c r="L81" s="13">
        <f>IF(SUM(K81-ref!E$8)&lt;0,0,SUM(K81-ref!E$8))</f>
        <v>0</v>
      </c>
      <c r="M81" s="8">
        <f>IF(OR(E81="férié travaillé",E81="travail",E81="asa",E81="rtt"),I81-G81+IF(G81&gt;I81,1),INDEX(ref!$E$22:'ref'!$E$37,MATCH(E81,gerald2,0)))</f>
        <v>0</v>
      </c>
      <c r="N81" s="14">
        <f>IF(SUM(M81-ref!E$4)&lt;0,0,SUM(M81-ref!E$4))</f>
        <v>0</v>
      </c>
      <c r="O81" s="80">
        <f t="shared" si="54"/>
        <v>1.4583333333333335</v>
      </c>
      <c r="Q81" s="107"/>
      <c r="R81" s="78"/>
      <c r="S81" s="97"/>
      <c r="T81" s="112">
        <f t="shared" si="50"/>
        <v>0</v>
      </c>
      <c r="U81" s="111" t="str">
        <f>IF(T81="","",IF(SUM(T81-ref!E$38)&gt;0,0,IF(T81=0, "0:00", SUM(T81-ref!E$38))))</f>
        <v>0:00</v>
      </c>
      <c r="V81" s="110"/>
      <c r="W81" s="78"/>
      <c r="X81" s="96"/>
      <c r="Y81" s="63">
        <f t="shared" si="55"/>
        <v>0</v>
      </c>
      <c r="Z81" s="90" t="str">
        <f>IF(Y81="","",IF(SUM(Y81-ref!E$38)&gt;0,0,IF(Y81=0, "0:00", SUM(Y81-ref!E$38))))</f>
        <v>0:00</v>
      </c>
      <c r="AA81" s="27"/>
      <c r="AB81" s="86"/>
    </row>
    <row r="82" spans="2:28" x14ac:dyDescent="0.25">
      <c r="E82" s="126"/>
      <c r="U82" s="66"/>
      <c r="V82" s="2"/>
      <c r="X82"/>
      <c r="Y82" s="2"/>
      <c r="Z82" s="2"/>
      <c r="AA82" s="95"/>
    </row>
    <row r="83" spans="2:28" x14ac:dyDescent="0.25">
      <c r="E83" s="126"/>
      <c r="O83" s="16"/>
      <c r="V83" s="2"/>
      <c r="X83"/>
      <c r="Y83" s="2"/>
      <c r="Z83" s="2"/>
      <c r="AA83" s="95"/>
    </row>
    <row r="84" spans="2:28" ht="15.75" thickBot="1" x14ac:dyDescent="0.3">
      <c r="E84" s="126"/>
      <c r="U84" s="66"/>
      <c r="V84" s="2"/>
      <c r="X84"/>
      <c r="Y84" s="2"/>
      <c r="Z84" s="2"/>
      <c r="AA84" s="95"/>
    </row>
    <row r="85" spans="2:28" x14ac:dyDescent="0.25">
      <c r="B85" s="67" t="s">
        <v>1</v>
      </c>
      <c r="C85" s="74" t="s">
        <v>54</v>
      </c>
      <c r="D85" s="124">
        <f>DATE(ref!E$2,B89,B87)</f>
        <v>43886</v>
      </c>
      <c r="E85" s="127" t="s">
        <v>24</v>
      </c>
      <c r="F85" s="125" t="str">
        <f>IF(AND(I85="",G85=""),"",D85+G85)</f>
        <v/>
      </c>
      <c r="G85" s="27"/>
      <c r="H85" s="21">
        <f t="shared" ref="H85:H91" si="56">SUM(T85+Y85+AA85)</f>
        <v>0</v>
      </c>
      <c r="I85" s="27"/>
      <c r="J85" s="48" t="str">
        <f>IF(AND(G85="",I85=""),"",D85+I85+(G85&gt;I85))</f>
        <v/>
      </c>
      <c r="K85" s="19">
        <f>IF(OR(E85="télétravail",E85="férié travaillé",E85="travail"),(I85-G85+IF(G85&gt;I85,1)-H85),INDEX(ref!$E$22:'ref'!$E$37,MATCH(E85,gerald3,0)))</f>
        <v>0.29166666666666669</v>
      </c>
      <c r="L85" s="13">
        <f>IF(SUM(K85-ref!E$8)&lt;0,0,SUM(K85-ref!E$8))</f>
        <v>0</v>
      </c>
      <c r="M85" s="8">
        <f>IF(OR(E85="férié travaillé",E85="travail",E85="asa",E85="rtt"),I85-G85+IF(G85&gt;I85,1),INDEX(ref!$E$22:'ref'!$E$37,MATCH(E85,gerald2,0)))</f>
        <v>0.29166666666666669</v>
      </c>
      <c r="N85" s="14">
        <f>IF(SUM(M85-ref!E$4)&lt;0,0,SUM(M85-ref!E$4))</f>
        <v>0</v>
      </c>
      <c r="O85" s="19">
        <f>K85</f>
        <v>0.29166666666666669</v>
      </c>
      <c r="Q85" s="105"/>
      <c r="R85" s="78"/>
      <c r="S85" s="97"/>
      <c r="T85" s="112">
        <f t="shared" ref="T85:T91" si="57">S85-R85</f>
        <v>0</v>
      </c>
      <c r="U85" s="111" t="str">
        <f>IF(T85="","",IF(SUM(T85-ref!E$38)&gt;0,0,IF(T85=0, "0:00", SUM(T85-ref!E$38))))</f>
        <v>0:00</v>
      </c>
      <c r="V85" s="108"/>
      <c r="W85" s="78"/>
      <c r="X85" s="96"/>
      <c r="Y85" s="63">
        <f>X85-W85</f>
        <v>0</v>
      </c>
      <c r="Z85" s="88" t="str">
        <f>IF(Y85="","",IF(SUM(Y85-ref!E$38)&gt;0,0,IF(Y85=0, "0:00", SUM(Y85-ref!E$38))))</f>
        <v>0:00</v>
      </c>
      <c r="AA85" s="27"/>
      <c r="AB85" s="86"/>
    </row>
    <row r="86" spans="2:28" x14ac:dyDescent="0.25">
      <c r="B86" s="68" t="s">
        <v>1</v>
      </c>
      <c r="C86" s="74" t="s">
        <v>54</v>
      </c>
      <c r="D86" s="124">
        <f t="shared" ref="D86:D91" si="58">D85+1</f>
        <v>43887</v>
      </c>
      <c r="E86" s="128" t="s">
        <v>24</v>
      </c>
      <c r="F86" s="125" t="str">
        <f t="shared" ref="F86:F91" si="59">IF(AND(I86="",G86=""),"",D86+G86)</f>
        <v/>
      </c>
      <c r="G86" s="27"/>
      <c r="H86" s="21">
        <f t="shared" si="56"/>
        <v>0</v>
      </c>
      <c r="I86" s="27"/>
      <c r="J86" s="48" t="str">
        <f t="shared" ref="J86:J91" si="60">IF(AND(G86="",I86=""),"",D86+I86+(G86&gt;I86))</f>
        <v/>
      </c>
      <c r="K86" s="19">
        <f>IF(OR(E86="télétravail",E86="férié travaillé",E86="travail"),(I86-G86+IF(G86&gt;I86,1)-H86),INDEX(ref!$E$22:'ref'!$E$37,MATCH(E86,gerald3,0)))</f>
        <v>0.29166666666666669</v>
      </c>
      <c r="L86" s="13">
        <f>IF(SUM(K86-ref!E$8)&lt;0,0,SUM(K86-ref!E$8))</f>
        <v>0</v>
      </c>
      <c r="M86" s="8">
        <f>IF(OR(E86="férié travaillé",E86="travail",E86="asa",E86="rtt"),I86-G86+IF(G86&gt;I86,1),INDEX(ref!$E$22:'ref'!$E$37,MATCH(E86,gerald2,0)))</f>
        <v>0.29166666666666669</v>
      </c>
      <c r="N86" s="14">
        <f>IF(SUM(M86-ref!E$4)&lt;0,0,SUM(M86-ref!E$4))</f>
        <v>0</v>
      </c>
      <c r="O86" s="22">
        <f t="shared" ref="O86:O91" si="61">O85+K86</f>
        <v>0.58333333333333337</v>
      </c>
      <c r="Q86" s="106"/>
      <c r="R86" s="78"/>
      <c r="S86" s="97"/>
      <c r="T86" s="112">
        <f t="shared" si="57"/>
        <v>0</v>
      </c>
      <c r="U86" s="111" t="str">
        <f>IF(T86="","",IF(SUM(T86-ref!E$38)&gt;0,0,IF(T86=0, "0:00", SUM(T86-ref!E$38))))</f>
        <v>0:00</v>
      </c>
      <c r="V86" s="109"/>
      <c r="W86" s="78"/>
      <c r="X86" s="96"/>
      <c r="Y86" s="63">
        <f t="shared" ref="Y86:Y91" si="62">X86-W86</f>
        <v>0</v>
      </c>
      <c r="Z86" s="89" t="str">
        <f>IF(Y86="","",IF(SUM(Y86-ref!E$38)&gt;0,0,IF(Y86=0, "0:00", SUM(Y86-ref!E$38))))</f>
        <v>0:00</v>
      </c>
      <c r="AA86" s="27"/>
      <c r="AB86" s="86"/>
    </row>
    <row r="87" spans="2:28" x14ac:dyDescent="0.25">
      <c r="B87" s="69">
        <v>26</v>
      </c>
      <c r="C87" s="74" t="s">
        <v>54</v>
      </c>
      <c r="D87" s="124">
        <f t="shared" si="58"/>
        <v>43888</v>
      </c>
      <c r="E87" s="128" t="s">
        <v>24</v>
      </c>
      <c r="F87" s="125" t="str">
        <f t="shared" si="59"/>
        <v/>
      </c>
      <c r="G87" s="27"/>
      <c r="H87" s="21">
        <f t="shared" si="56"/>
        <v>0</v>
      </c>
      <c r="I87" s="27"/>
      <c r="J87" s="48" t="str">
        <f t="shared" si="60"/>
        <v/>
      </c>
      <c r="K87" s="19">
        <f>IF(OR(E87="télétravail",E87="férié travaillé",E87="travail"),(I87-G87+IF(G87&gt;I87,1)-H87),INDEX(ref!$E$22:'ref'!$E$37,MATCH(E87,gerald3,0)))</f>
        <v>0.29166666666666669</v>
      </c>
      <c r="L87" s="13">
        <f>IF(SUM(K87-ref!E$8)&lt;0,0,SUM(K87-ref!E$8))</f>
        <v>0</v>
      </c>
      <c r="M87" s="8">
        <f>IF(OR(E87="férié travaillé",E87="travail",E87="asa",E87="rtt"),I87-G87+IF(G87&gt;I87,1),INDEX(ref!$E$22:'ref'!$E$37,MATCH(E87,gerald2,0)))</f>
        <v>0.29166666666666669</v>
      </c>
      <c r="N87" s="14">
        <f>IF(SUM(M87-ref!E$4)&lt;0,0,SUM(M87-ref!E$4))</f>
        <v>0</v>
      </c>
      <c r="O87" s="22">
        <f t="shared" si="61"/>
        <v>0.875</v>
      </c>
      <c r="Q87" s="106"/>
      <c r="R87" s="94"/>
      <c r="S87" s="97"/>
      <c r="T87" s="112">
        <f t="shared" si="57"/>
        <v>0</v>
      </c>
      <c r="U87" s="111" t="str">
        <f>IF(T87="","",IF(SUM(T87-ref!E$38)&gt;0,0,IF(T87=0, "0:00", SUM(T87-ref!E$38))))</f>
        <v>0:00</v>
      </c>
      <c r="V87" s="109"/>
      <c r="W87" s="78"/>
      <c r="X87" s="96"/>
      <c r="Y87" s="63">
        <f t="shared" si="62"/>
        <v>0</v>
      </c>
      <c r="Z87" s="89" t="str">
        <f>IF(Y87="","",IF(SUM(Y87-ref!E$38)&gt;0,0,IF(Y87=0, "0:00", SUM(Y87-ref!E$38))))</f>
        <v>0:00</v>
      </c>
      <c r="AA87" s="27"/>
      <c r="AB87" s="86"/>
    </row>
    <row r="88" spans="2:28" x14ac:dyDescent="0.25">
      <c r="B88" s="68" t="s">
        <v>40</v>
      </c>
      <c r="C88" s="74" t="s">
        <v>54</v>
      </c>
      <c r="D88" s="124">
        <f t="shared" si="58"/>
        <v>43889</v>
      </c>
      <c r="E88" s="128" t="s">
        <v>24</v>
      </c>
      <c r="F88" s="125" t="str">
        <f t="shared" si="59"/>
        <v/>
      </c>
      <c r="G88" s="27"/>
      <c r="H88" s="21">
        <f t="shared" si="56"/>
        <v>0</v>
      </c>
      <c r="I88" s="27"/>
      <c r="J88" s="48" t="str">
        <f t="shared" si="60"/>
        <v/>
      </c>
      <c r="K88" s="19">
        <f>IF(OR(E88="télétravail",E88="férié travaillé",E88="travail"),(I88-G88+IF(G88&gt;I88,1)-H88),INDEX(ref!$E$22:'ref'!$E$37,MATCH(E88,gerald3,0)))</f>
        <v>0.29166666666666669</v>
      </c>
      <c r="L88" s="13">
        <f>IF(SUM(K88-ref!E$8)&lt;0,0,SUM(K88-ref!E$8))</f>
        <v>0</v>
      </c>
      <c r="M88" s="8">
        <f>IF(OR(E88="férié travaillé",E88="travail",E88="asa",E88="rtt"),I88-G88+IF(G88&gt;I88,1),INDEX(ref!$E$22:'ref'!$E$37,MATCH(E88,gerald2,0)))</f>
        <v>0.29166666666666669</v>
      </c>
      <c r="N88" s="14">
        <f>IF(SUM(M88-ref!E$4)&lt;0,0,SUM(M88-ref!E$4))</f>
        <v>0</v>
      </c>
      <c r="O88" s="22">
        <f t="shared" si="61"/>
        <v>1.1666666666666667</v>
      </c>
      <c r="Q88" s="106"/>
      <c r="R88" s="78"/>
      <c r="S88" s="97"/>
      <c r="T88" s="112">
        <f t="shared" si="57"/>
        <v>0</v>
      </c>
      <c r="U88" s="111" t="str">
        <f>IF(T88="","",IF(SUM(T88-ref!E$38)&gt;0,0,IF(T88=0, "0:00", SUM(T88-ref!E$38))))</f>
        <v>0:00</v>
      </c>
      <c r="V88" s="109"/>
      <c r="W88" s="78"/>
      <c r="X88" s="96"/>
      <c r="Y88" s="63">
        <f t="shared" si="62"/>
        <v>0</v>
      </c>
      <c r="Z88" s="89" t="str">
        <f>IF(Y88="","",IF(SUM(Y88-ref!E$38)&gt;0,0,IF(Y88=0, "0:00", SUM(Y88-ref!E$38))))</f>
        <v>0:00</v>
      </c>
      <c r="AA88" s="27"/>
      <c r="AB88" s="86"/>
    </row>
    <row r="89" spans="2:28" x14ac:dyDescent="0.25">
      <c r="B89" s="70">
        <v>2</v>
      </c>
      <c r="C89" s="75" t="s">
        <v>54</v>
      </c>
      <c r="D89" s="124">
        <f t="shared" si="58"/>
        <v>43890</v>
      </c>
      <c r="E89" s="128" t="s">
        <v>24</v>
      </c>
      <c r="F89" s="125" t="str">
        <f t="shared" si="59"/>
        <v/>
      </c>
      <c r="G89" s="27"/>
      <c r="H89" s="21">
        <f t="shared" si="56"/>
        <v>0</v>
      </c>
      <c r="I89" s="27"/>
      <c r="J89" s="48" t="str">
        <f t="shared" si="60"/>
        <v/>
      </c>
      <c r="K89" s="19">
        <f>IF(OR(E89="télétravail",E89="férié travaillé",E89="travail"),(I89-G89+IF(G89&gt;I89,1)-H89),INDEX(ref!$E$22:'ref'!$E$37,MATCH(E89,gerald3,0)))</f>
        <v>0.29166666666666669</v>
      </c>
      <c r="L89" s="13">
        <f>IF(SUM(K89-ref!E$8)&lt;0,0,SUM(K89-ref!E$8))</f>
        <v>0</v>
      </c>
      <c r="M89" s="8">
        <f>IF(OR(E89="férié travaillé",E89="travail",E89="asa",E89="rtt"),I89-G89+IF(G89&gt;I89,1),INDEX(ref!$E$22:'ref'!$E$37,MATCH(E89,gerald2,0)))</f>
        <v>0.29166666666666669</v>
      </c>
      <c r="N89" s="14">
        <f>IF(SUM(M89-ref!E$4)&lt;0,0,SUM(M89-ref!E$4))</f>
        <v>0</v>
      </c>
      <c r="O89" s="81">
        <f t="shared" si="61"/>
        <v>1.4583333333333335</v>
      </c>
      <c r="Q89" s="106"/>
      <c r="R89" s="78"/>
      <c r="S89" s="97"/>
      <c r="T89" s="112">
        <f t="shared" si="57"/>
        <v>0</v>
      </c>
      <c r="U89" s="111" t="str">
        <f>IF(T89="","",IF(SUM(T89-ref!E$38)&gt;0,0,IF(T89=0, "0:00", SUM(T89-ref!E$38))))</f>
        <v>0:00</v>
      </c>
      <c r="V89" s="109"/>
      <c r="W89" s="78"/>
      <c r="X89" s="96"/>
      <c r="Y89" s="63">
        <f t="shared" si="62"/>
        <v>0</v>
      </c>
      <c r="Z89" s="89" t="str">
        <f>IF(Y89="","",IF(SUM(Y89-ref!E$38)&gt;0,0,IF(Y89=0, "0:00", SUM(Y89-ref!E$38))))</f>
        <v>0:00</v>
      </c>
      <c r="AA89" s="27"/>
      <c r="AB89" s="86"/>
    </row>
    <row r="90" spans="2:28" ht="15.75" thickBot="1" x14ac:dyDescent="0.3">
      <c r="B90"/>
      <c r="C90" s="77"/>
      <c r="D90" s="124">
        <f t="shared" si="58"/>
        <v>43891</v>
      </c>
      <c r="E90" s="128" t="s">
        <v>19</v>
      </c>
      <c r="F90" s="125" t="str">
        <f t="shared" si="59"/>
        <v/>
      </c>
      <c r="G90" s="27"/>
      <c r="H90" s="21">
        <f t="shared" si="56"/>
        <v>0</v>
      </c>
      <c r="I90" s="27"/>
      <c r="J90" s="48" t="str">
        <f t="shared" si="60"/>
        <v/>
      </c>
      <c r="K90" s="19">
        <f>IF(OR(E90="télétravail",E90="férié travaillé",E90="travail"),(I90-G90+IF(G90&gt;I90,1)-H90),INDEX(ref!$E$22:'ref'!$E$37,MATCH(E90,gerald3,0)))</f>
        <v>0</v>
      </c>
      <c r="L90" s="13">
        <f>IF(SUM(K90-ref!E$8)&lt;0,0,SUM(K90-ref!E$8))</f>
        <v>0</v>
      </c>
      <c r="M90" s="8">
        <f>IF(OR(E90="férié travaillé",E90="travail",E90="asa",E90="rtt"),I90-G90+IF(G90&gt;I90,1),INDEX(ref!$E$22:'ref'!$E$37,MATCH(E90,gerald2,0)))</f>
        <v>0</v>
      </c>
      <c r="N90" s="14">
        <f>IF(SUM(M90-ref!E$4)&lt;0,0,SUM(M90-ref!E$4))</f>
        <v>0</v>
      </c>
      <c r="O90" s="82">
        <f t="shared" si="61"/>
        <v>1.4583333333333335</v>
      </c>
      <c r="Q90" s="106"/>
      <c r="R90" s="78"/>
      <c r="S90" s="97"/>
      <c r="T90" s="112">
        <f t="shared" si="57"/>
        <v>0</v>
      </c>
      <c r="U90" s="111" t="str">
        <f>IF(T90="","",IF(SUM(T90-ref!E$38)&gt;0,0,IF(T90=0, "0:00", SUM(T90-ref!E$38))))</f>
        <v>0:00</v>
      </c>
      <c r="V90" s="109"/>
      <c r="W90" s="78"/>
      <c r="X90" s="96"/>
      <c r="Y90" s="63">
        <f t="shared" si="62"/>
        <v>0</v>
      </c>
      <c r="Z90" s="89" t="str">
        <f>IF(Y90="","",IF(SUM(Y90-ref!E$38)&gt;0,0,IF(Y90=0, "0:00", SUM(Y90-ref!E$38))))</f>
        <v>0:00</v>
      </c>
      <c r="AA90" s="27"/>
      <c r="AB90" s="86"/>
    </row>
    <row r="91" spans="2:28" ht="15.75" thickBot="1" x14ac:dyDescent="0.3">
      <c r="B91"/>
      <c r="C91" s="77"/>
      <c r="D91" s="124">
        <f t="shared" si="58"/>
        <v>43892</v>
      </c>
      <c r="E91" s="129" t="s">
        <v>19</v>
      </c>
      <c r="F91" s="125" t="str">
        <f t="shared" si="59"/>
        <v/>
      </c>
      <c r="G91" s="27"/>
      <c r="H91" s="21">
        <f t="shared" si="56"/>
        <v>0</v>
      </c>
      <c r="I91" s="27"/>
      <c r="J91" s="48" t="str">
        <f t="shared" si="60"/>
        <v/>
      </c>
      <c r="K91" s="19">
        <f>IF(OR(E91="télétravail",E91="férié travaillé",E91="travail"),(I91-G91+IF(G91&gt;I91,1)-H91),INDEX(ref!$E$22:'ref'!$E$37,MATCH(E91,gerald3,0)))</f>
        <v>0</v>
      </c>
      <c r="L91" s="13">
        <f>IF(SUM(K91-ref!E$8)&lt;0,0,SUM(K91-ref!E$8))</f>
        <v>0</v>
      </c>
      <c r="M91" s="8">
        <f>IF(OR(E91="férié travaillé",E91="travail",E91="asa",E91="rtt"),I91-G91+IF(G91&gt;I91,1),INDEX(ref!$E$22:'ref'!$E$37,MATCH(E91,gerald2,0)))</f>
        <v>0</v>
      </c>
      <c r="N91" s="14">
        <f>IF(SUM(M91-ref!E$4)&lt;0,0,SUM(M91-ref!E$4))</f>
        <v>0</v>
      </c>
      <c r="O91" s="80">
        <f t="shared" si="61"/>
        <v>1.4583333333333335</v>
      </c>
      <c r="Q91" s="107"/>
      <c r="R91" s="78"/>
      <c r="S91" s="97"/>
      <c r="T91" s="112">
        <f t="shared" si="57"/>
        <v>0</v>
      </c>
      <c r="U91" s="111" t="str">
        <f>IF(T91="","",IF(SUM(T91-ref!E$38)&gt;0,0,IF(T91=0, "0:00", SUM(T91-ref!E$38))))</f>
        <v>0:00</v>
      </c>
      <c r="V91" s="110"/>
      <c r="W91" s="78"/>
      <c r="X91" s="96"/>
      <c r="Y91" s="63">
        <f t="shared" si="62"/>
        <v>0</v>
      </c>
      <c r="Z91" s="90" t="str">
        <f>IF(Y91="","",IF(SUM(Y91-ref!E$38)&gt;0,0,IF(Y91=0, "0:00", SUM(Y91-ref!E$38))))</f>
        <v>0:00</v>
      </c>
      <c r="AA91" s="27"/>
      <c r="AB91" s="86"/>
    </row>
    <row r="92" spans="2:28" x14ac:dyDescent="0.25">
      <c r="C92" s="77"/>
      <c r="E92" s="126"/>
      <c r="U92" s="66"/>
      <c r="V92" s="2"/>
      <c r="X92"/>
      <c r="Y92" s="2"/>
      <c r="Z92" s="2"/>
      <c r="AA92" s="95"/>
    </row>
  </sheetData>
  <sheetProtection formatCells="0" formatColumns="0" formatRows="0" insertColumns="0" insertRows="0" insertHyperlinks="0" deleteColumns="0" deleteRows="0" sort="0" autoFilter="0" pivotTables="0"/>
  <dataValidations count="1">
    <dataValidation type="list" allowBlank="1" showInputMessage="1" showErrorMessage="1" promptTitle="gerald2" sqref="E5:E11 E15:E21 E25:E31 E35:E41 E45:E51 E55:E61 E65:E71 E75:E81 E85:E91">
      <formula1>gerald3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ref!$I$4:$I$5</xm:f>
          </x14:formula1>
          <xm:sqref>Q15:Q21 Q25:Q31 Q35:Q41 Q45:Q51 Q55:Q61 Q65:Q71 Q75:Q81 Q85:Q91 Q5:Q11 V5:V11 V15:V21 V25:V31 V35:V41 V45:V51 V55:V61 V65:V71 V75:V81 V85:V91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V40"/>
  <sheetViews>
    <sheetView topLeftCell="B1" zoomScale="75" zoomScaleNormal="75" workbookViewId="0">
      <selection activeCell="L2" sqref="L2:M13"/>
    </sheetView>
  </sheetViews>
  <sheetFormatPr defaultColWidth="11.42578125" defaultRowHeight="15" x14ac:dyDescent="0.25"/>
  <cols>
    <col min="1" max="1" width="6.28515625" style="3" customWidth="1"/>
    <col min="2" max="2" width="8.5703125" style="3" customWidth="1"/>
    <col min="3" max="3" width="14.5703125" style="3" customWidth="1"/>
    <col min="4" max="4" width="21.7109375" style="3" customWidth="1"/>
    <col min="5" max="5" width="13.7109375" style="3" customWidth="1"/>
    <col min="6" max="6" width="9.140625" style="3" customWidth="1"/>
    <col min="7" max="7" width="3.85546875" style="3" customWidth="1"/>
    <col min="8" max="8" width="18.28515625" style="3" customWidth="1"/>
    <col min="9" max="9" width="10.7109375" style="3" customWidth="1"/>
    <col min="10" max="11" width="11.42578125" style="3"/>
    <col min="12" max="12" width="13.28515625" style="3" customWidth="1"/>
    <col min="13" max="13" width="11.5703125" style="3" customWidth="1"/>
    <col min="14" max="15" width="11.42578125" style="3"/>
    <col min="16" max="16" width="13.5703125" style="3" customWidth="1"/>
    <col min="17" max="17" width="14.5703125" style="3" customWidth="1"/>
    <col min="18" max="16384" width="11.42578125" style="3"/>
  </cols>
  <sheetData>
    <row r="2" spans="3:21" x14ac:dyDescent="0.25">
      <c r="C2" s="4"/>
      <c r="D2" s="37" t="s">
        <v>39</v>
      </c>
      <c r="E2" s="30">
        <v>2024</v>
      </c>
      <c r="K2" s="84" t="s">
        <v>40</v>
      </c>
      <c r="L2" s="137" t="s">
        <v>69</v>
      </c>
      <c r="M2" s="3">
        <v>8</v>
      </c>
    </row>
    <row r="3" spans="3:21" x14ac:dyDescent="0.25">
      <c r="C3" s="5"/>
      <c r="D3" s="38" t="s">
        <v>18</v>
      </c>
      <c r="E3" s="31">
        <v>66.958333333333329</v>
      </c>
      <c r="I3" s="103" t="s">
        <v>61</v>
      </c>
      <c r="L3" s="137" t="s">
        <v>65</v>
      </c>
      <c r="M3" s="3">
        <v>4</v>
      </c>
    </row>
    <row r="4" spans="3:21" x14ac:dyDescent="0.25">
      <c r="C4" s="5"/>
      <c r="D4" s="39" t="s">
        <v>6</v>
      </c>
      <c r="E4" s="32">
        <v>0.5</v>
      </c>
      <c r="I4" s="104"/>
      <c r="K4" s="28"/>
      <c r="L4" s="137" t="s">
        <v>73</v>
      </c>
      <c r="M4" s="3">
        <v>12</v>
      </c>
    </row>
    <row r="5" spans="3:21" x14ac:dyDescent="0.25">
      <c r="C5" s="5"/>
      <c r="D5" s="38" t="s">
        <v>12</v>
      </c>
      <c r="E5" s="33">
        <v>0.29166666666666669</v>
      </c>
      <c r="I5" s="103" t="s">
        <v>62</v>
      </c>
      <c r="L5" s="136" t="s">
        <v>31</v>
      </c>
      <c r="M5" s="3">
        <v>2</v>
      </c>
    </row>
    <row r="6" spans="3:21" x14ac:dyDescent="0.25">
      <c r="C6" s="5"/>
      <c r="D6" s="40" t="s">
        <v>41</v>
      </c>
      <c r="E6" s="30">
        <v>5</v>
      </c>
      <c r="L6" s="136" t="s">
        <v>30</v>
      </c>
      <c r="M6" s="3">
        <v>1</v>
      </c>
      <c r="O6" s="53"/>
    </row>
    <row r="7" spans="3:21" x14ac:dyDescent="0.25">
      <c r="C7" s="5"/>
      <c r="D7" s="40" t="s">
        <v>33</v>
      </c>
      <c r="E7" s="34">
        <v>6</v>
      </c>
      <c r="L7" s="137" t="s">
        <v>68</v>
      </c>
      <c r="M7" s="3">
        <v>7</v>
      </c>
      <c r="O7" s="53"/>
    </row>
    <row r="8" spans="3:21" x14ac:dyDescent="0.25">
      <c r="C8" s="5"/>
      <c r="D8" s="38" t="s">
        <v>7</v>
      </c>
      <c r="E8" s="32">
        <v>0.41666666666666669</v>
      </c>
      <c r="L8" s="137" t="s">
        <v>67</v>
      </c>
      <c r="M8" s="3">
        <v>6</v>
      </c>
      <c r="O8" s="53"/>
    </row>
    <row r="9" spans="3:21" x14ac:dyDescent="0.25">
      <c r="C9" s="5"/>
      <c r="D9" s="38" t="s">
        <v>9</v>
      </c>
      <c r="E9" s="32">
        <v>0.45833333333333331</v>
      </c>
      <c r="G9" s="53"/>
      <c r="H9" s="15"/>
      <c r="I9" s="54"/>
      <c r="J9" s="45"/>
      <c r="K9" s="53"/>
      <c r="L9" s="137" t="s">
        <v>66</v>
      </c>
      <c r="M9" s="3">
        <v>5</v>
      </c>
      <c r="O9" s="53"/>
      <c r="R9" s="28"/>
      <c r="T9" s="15"/>
      <c r="U9" s="15"/>
    </row>
    <row r="10" spans="3:21" x14ac:dyDescent="0.25">
      <c r="C10" s="5"/>
      <c r="D10" s="38" t="s">
        <v>11</v>
      </c>
      <c r="E10" s="31">
        <v>1.4583333333333333</v>
      </c>
      <c r="G10" s="53"/>
      <c r="H10" s="15"/>
      <c r="I10" s="55"/>
      <c r="J10" s="53"/>
      <c r="K10" s="15"/>
      <c r="L10" s="136" t="s">
        <v>64</v>
      </c>
      <c r="M10" s="3">
        <v>3</v>
      </c>
      <c r="O10" s="53"/>
      <c r="P10" s="53"/>
      <c r="Q10" s="17" t="s">
        <v>52</v>
      </c>
      <c r="R10" s="17" t="s">
        <v>49</v>
      </c>
      <c r="S10" s="55"/>
    </row>
    <row r="11" spans="3:21" x14ac:dyDescent="0.25">
      <c r="C11" s="5"/>
      <c r="D11" s="38" t="s">
        <v>3</v>
      </c>
      <c r="E11" s="31">
        <v>2</v>
      </c>
      <c r="G11" s="53"/>
      <c r="H11" s="15"/>
      <c r="I11" s="54"/>
      <c r="J11" s="45"/>
      <c r="K11" s="45"/>
      <c r="L11" s="137" t="s">
        <v>72</v>
      </c>
      <c r="M11" s="3">
        <v>11</v>
      </c>
      <c r="O11" s="53">
        <v>6</v>
      </c>
      <c r="P11" s="45">
        <v>0.1875</v>
      </c>
      <c r="Q11" s="61">
        <v>4.1666666666666664E-2</v>
      </c>
      <c r="R11" s="55"/>
      <c r="S11" s="55"/>
    </row>
    <row r="12" spans="3:21" x14ac:dyDescent="0.25">
      <c r="C12" s="5"/>
      <c r="D12" s="38" t="s">
        <v>4</v>
      </c>
      <c r="E12" s="31">
        <v>1.4583333333333333</v>
      </c>
      <c r="G12" s="53"/>
      <c r="H12" s="53"/>
      <c r="I12" s="55"/>
      <c r="J12" s="53"/>
      <c r="K12" s="53"/>
      <c r="L12" s="137" t="s">
        <v>71</v>
      </c>
      <c r="M12" s="3">
        <v>10</v>
      </c>
      <c r="O12" s="53">
        <v>7</v>
      </c>
      <c r="P12" s="45">
        <v>0.125</v>
      </c>
      <c r="Q12" s="17"/>
      <c r="R12" s="55"/>
    </row>
    <row r="13" spans="3:21" x14ac:dyDescent="0.25">
      <c r="C13" s="5"/>
      <c r="D13" s="38" t="s">
        <v>5</v>
      </c>
      <c r="E13" s="31">
        <v>1.0416666666666667</v>
      </c>
      <c r="G13" s="53"/>
      <c r="H13" s="15"/>
      <c r="I13" s="55"/>
      <c r="J13" s="53"/>
      <c r="K13" s="53"/>
      <c r="L13" s="138" t="s">
        <v>70</v>
      </c>
      <c r="M13" s="3">
        <v>9</v>
      </c>
      <c r="O13" s="53">
        <v>8</v>
      </c>
      <c r="P13" s="45">
        <v>0.12638888888888888</v>
      </c>
      <c r="Q13" s="15"/>
      <c r="R13" s="53"/>
      <c r="T13" s="55"/>
    </row>
    <row r="14" spans="3:21" x14ac:dyDescent="0.25">
      <c r="C14" s="5"/>
      <c r="D14" s="38" t="s">
        <v>13</v>
      </c>
      <c r="E14" s="33">
        <v>7.708333333333333</v>
      </c>
      <c r="G14" s="53"/>
      <c r="H14" s="15"/>
      <c r="I14" s="54"/>
      <c r="J14" s="45"/>
      <c r="K14" s="58"/>
      <c r="L14" s="53"/>
      <c r="M14" s="15"/>
      <c r="N14" s="45"/>
      <c r="O14" s="53">
        <v>9</v>
      </c>
      <c r="P14" s="45">
        <v>0.42708333333333331</v>
      </c>
      <c r="Q14" s="61">
        <v>4.8611111111111112E-2</v>
      </c>
      <c r="R14" s="53"/>
      <c r="S14" s="58"/>
      <c r="T14" s="45"/>
      <c r="U14" s="45"/>
    </row>
    <row r="15" spans="3:21" x14ac:dyDescent="0.25">
      <c r="C15" s="5"/>
      <c r="D15" s="40" t="s">
        <v>42</v>
      </c>
      <c r="E15" s="31">
        <v>3.4166666666666665</v>
      </c>
      <c r="G15" s="53"/>
      <c r="H15" s="53"/>
      <c r="I15" s="55"/>
      <c r="J15" s="53"/>
      <c r="K15" s="58"/>
      <c r="L15" s="45"/>
      <c r="M15" s="15"/>
      <c r="N15" s="53"/>
      <c r="O15" s="53">
        <v>10</v>
      </c>
      <c r="P15" s="45">
        <v>0.4055555555555555</v>
      </c>
      <c r="Q15" s="17"/>
      <c r="R15" s="58">
        <v>0.4055555555555555</v>
      </c>
      <c r="S15" s="58"/>
      <c r="T15" s="45"/>
      <c r="U15" s="45"/>
    </row>
    <row r="16" spans="3:21" x14ac:dyDescent="0.25">
      <c r="C16" s="5"/>
      <c r="D16" s="42" t="s">
        <v>44</v>
      </c>
      <c r="E16" s="35">
        <v>5.2083333333333336E-2</v>
      </c>
      <c r="G16" s="53"/>
      <c r="H16" s="15"/>
      <c r="I16" s="55"/>
      <c r="J16" s="53"/>
      <c r="K16" s="58"/>
      <c r="L16" s="58"/>
      <c r="O16" s="15">
        <v>12</v>
      </c>
      <c r="P16" s="45">
        <v>0.14583333333333334</v>
      </c>
      <c r="Q16" s="62">
        <v>2.0833333333333332E-2</v>
      </c>
      <c r="R16" s="54"/>
      <c r="S16" s="55"/>
    </row>
    <row r="17" spans="3:20" x14ac:dyDescent="0.25">
      <c r="C17" s="5"/>
      <c r="D17" s="38" t="s">
        <v>15</v>
      </c>
      <c r="E17" s="30">
        <v>22</v>
      </c>
      <c r="G17" s="53"/>
      <c r="H17" s="15"/>
      <c r="I17" s="54"/>
      <c r="J17" s="45"/>
      <c r="K17" s="53"/>
      <c r="L17" s="58"/>
      <c r="O17" s="15">
        <v>13</v>
      </c>
      <c r="P17" s="45">
        <v>0.16666666666666666</v>
      </c>
      <c r="Q17" s="17"/>
      <c r="R17" s="54"/>
      <c r="S17" s="55"/>
    </row>
    <row r="18" spans="3:20" x14ac:dyDescent="0.25">
      <c r="C18" s="5"/>
      <c r="D18" s="38" t="s">
        <v>8</v>
      </c>
      <c r="E18" s="31">
        <v>0.10416666666666667</v>
      </c>
      <c r="G18" s="53"/>
      <c r="H18" s="53"/>
      <c r="I18" s="55"/>
      <c r="J18" s="53"/>
      <c r="K18" s="53"/>
      <c r="L18" s="58"/>
      <c r="O18" s="15">
        <v>15</v>
      </c>
      <c r="P18" s="45">
        <v>0.19791666666666666</v>
      </c>
      <c r="Q18" s="58">
        <v>5.2083333333333336E-2</v>
      </c>
      <c r="R18" s="53"/>
      <c r="S18" s="54"/>
    </row>
    <row r="19" spans="3:20" x14ac:dyDescent="0.25">
      <c r="C19" s="5"/>
      <c r="D19" s="38" t="s">
        <v>10</v>
      </c>
      <c r="E19" s="31">
        <v>8.3333333333333329E-2</v>
      </c>
      <c r="G19" s="53"/>
      <c r="H19" s="15"/>
      <c r="I19" s="55"/>
      <c r="J19" s="53"/>
      <c r="L19" s="58"/>
      <c r="M19" s="15"/>
      <c r="N19" s="45"/>
      <c r="O19" s="53">
        <v>20</v>
      </c>
      <c r="P19" s="45">
        <v>0.13541666666666666</v>
      </c>
      <c r="Q19" s="53"/>
      <c r="R19" s="53"/>
      <c r="S19" s="54"/>
    </row>
    <row r="20" spans="3:20" x14ac:dyDescent="0.25">
      <c r="C20" s="5"/>
      <c r="D20" s="40" t="s">
        <v>43</v>
      </c>
      <c r="E20" s="32">
        <v>5.2083333333333336E-2</v>
      </c>
      <c r="G20" s="53"/>
      <c r="H20" s="15"/>
      <c r="I20" s="54"/>
      <c r="J20" s="53"/>
      <c r="L20" s="53"/>
      <c r="M20" s="15"/>
      <c r="N20" s="45"/>
      <c r="O20" s="53">
        <v>21</v>
      </c>
      <c r="P20" s="45">
        <v>0.16666666666666666</v>
      </c>
      <c r="Q20" s="58">
        <v>5.347222222222222E-2</v>
      </c>
      <c r="R20" s="53"/>
    </row>
    <row r="21" spans="3:20" x14ac:dyDescent="0.25">
      <c r="C21" s="5"/>
      <c r="D21" s="38" t="s">
        <v>14</v>
      </c>
      <c r="E21" s="31">
        <v>6.9444444444444434E-2</v>
      </c>
      <c r="G21" s="53"/>
      <c r="H21" s="53"/>
      <c r="I21" s="55"/>
      <c r="J21" s="53"/>
      <c r="K21" s="15"/>
      <c r="L21" s="53"/>
      <c r="O21" s="53"/>
      <c r="P21" s="45">
        <f>P11+P12+P13+P14+P15+P16+P17+P18+P19+P20</f>
        <v>2.0840277777777776</v>
      </c>
      <c r="Q21" s="58">
        <f>Q11+Q12+Q13+Q14+Q15+Q16+Q17+Q18+Q19+Q20</f>
        <v>0.21666666666666667</v>
      </c>
      <c r="R21" s="58">
        <f>R11+R12+R13+R14+R15+R16+R17+R18+R19+R20</f>
        <v>0.4055555555555555</v>
      </c>
      <c r="S21" s="28"/>
    </row>
    <row r="22" spans="3:20" x14ac:dyDescent="0.25">
      <c r="C22" s="6"/>
      <c r="D22" s="40" t="s">
        <v>19</v>
      </c>
      <c r="E22" s="36">
        <v>0</v>
      </c>
      <c r="G22" s="53"/>
      <c r="H22" s="15"/>
      <c r="I22" s="54"/>
      <c r="J22" s="45"/>
      <c r="K22" s="45"/>
      <c r="L22" s="45"/>
      <c r="P22" s="28"/>
    </row>
    <row r="23" spans="3:20" x14ac:dyDescent="0.25">
      <c r="C23" s="5"/>
      <c r="D23" s="40" t="s">
        <v>20</v>
      </c>
      <c r="E23" s="36">
        <v>0</v>
      </c>
      <c r="G23" s="53"/>
      <c r="H23" s="53"/>
      <c r="I23" s="55"/>
      <c r="J23" s="53"/>
      <c r="K23" s="53"/>
      <c r="L23" s="53"/>
      <c r="M23" s="15"/>
      <c r="N23" s="53"/>
      <c r="S23" s="50"/>
    </row>
    <row r="24" spans="3:20" x14ac:dyDescent="0.25">
      <c r="C24" s="5"/>
      <c r="D24" s="40" t="s">
        <v>21</v>
      </c>
      <c r="E24" s="36">
        <f>E5</f>
        <v>0.29166666666666669</v>
      </c>
      <c r="G24" s="53"/>
      <c r="H24" s="53"/>
      <c r="I24" s="55"/>
      <c r="J24" s="53"/>
      <c r="K24" s="53"/>
      <c r="L24" s="45"/>
      <c r="M24" s="59"/>
      <c r="N24" s="53"/>
      <c r="P24" s="50"/>
    </row>
    <row r="25" spans="3:20" x14ac:dyDescent="0.25">
      <c r="C25" s="5"/>
      <c r="D25" s="40" t="s">
        <v>22</v>
      </c>
      <c r="E25" s="36">
        <f>E5</f>
        <v>0.29166666666666669</v>
      </c>
      <c r="G25" s="53"/>
      <c r="H25" s="53"/>
      <c r="I25" s="55"/>
      <c r="J25" s="53"/>
      <c r="K25" s="53"/>
      <c r="L25" s="59"/>
      <c r="M25" s="15"/>
      <c r="N25" s="53"/>
      <c r="P25" s="50"/>
    </row>
    <row r="26" spans="3:20" x14ac:dyDescent="0.25">
      <c r="C26" s="5"/>
      <c r="D26" s="40" t="s">
        <v>23</v>
      </c>
      <c r="E26" s="36">
        <v>0.16388888888888889</v>
      </c>
      <c r="G26" s="53"/>
      <c r="H26" s="15"/>
      <c r="I26" s="54"/>
      <c r="J26" s="45"/>
      <c r="K26" s="53"/>
      <c r="L26" s="45"/>
      <c r="P26" s="50"/>
    </row>
    <row r="27" spans="3:20" x14ac:dyDescent="0.25">
      <c r="C27" s="5"/>
      <c r="D27" s="40" t="s">
        <v>45</v>
      </c>
      <c r="E27" s="36">
        <v>0.16666666666666666</v>
      </c>
      <c r="G27" s="53"/>
      <c r="H27" s="15"/>
      <c r="I27" s="54"/>
      <c r="J27" s="45"/>
      <c r="K27" s="53"/>
      <c r="L27" s="53"/>
      <c r="M27" s="15"/>
      <c r="N27" s="60"/>
    </row>
    <row r="28" spans="3:20" x14ac:dyDescent="0.25">
      <c r="C28" s="5"/>
      <c r="D28" s="40" t="s">
        <v>24</v>
      </c>
      <c r="E28" s="36">
        <f>E5</f>
        <v>0.29166666666666669</v>
      </c>
      <c r="G28" s="53"/>
      <c r="H28" s="15"/>
      <c r="I28" s="54"/>
      <c r="J28" s="53"/>
      <c r="K28" s="53"/>
      <c r="L28" s="53"/>
      <c r="M28" s="15"/>
      <c r="N28" s="60"/>
    </row>
    <row r="29" spans="3:20" x14ac:dyDescent="0.25">
      <c r="C29" s="5"/>
      <c r="D29" s="40" t="s">
        <v>25</v>
      </c>
      <c r="E29" s="36">
        <f>E5</f>
        <v>0.29166666666666669</v>
      </c>
      <c r="G29" s="53"/>
      <c r="H29" s="15"/>
      <c r="I29" s="57"/>
      <c r="J29" s="16"/>
      <c r="K29" s="53"/>
      <c r="L29" s="45"/>
      <c r="M29" s="15"/>
      <c r="N29" s="60"/>
      <c r="P29" s="28"/>
      <c r="Q29" s="18"/>
      <c r="R29" s="16"/>
      <c r="S29" s="1"/>
      <c r="T29" s="2"/>
    </row>
    <row r="30" spans="3:20" x14ac:dyDescent="0.25">
      <c r="C30" s="5"/>
      <c r="D30" s="40" t="s">
        <v>26</v>
      </c>
      <c r="E30" s="36">
        <f>E5</f>
        <v>0.29166666666666669</v>
      </c>
      <c r="G30" s="53"/>
      <c r="H30" s="15"/>
      <c r="I30" s="57"/>
      <c r="J30" s="16"/>
      <c r="K30" s="1"/>
      <c r="L30" s="1"/>
      <c r="M30" s="1"/>
      <c r="N30" s="2"/>
      <c r="O30" s="2"/>
      <c r="Q30" s="18"/>
      <c r="R30" s="16"/>
      <c r="S30" s="1"/>
      <c r="T30" s="2"/>
    </row>
    <row r="31" spans="3:20" x14ac:dyDescent="0.25">
      <c r="C31" s="5"/>
      <c r="D31" s="40" t="s">
        <v>48</v>
      </c>
      <c r="E31" s="32">
        <v>0</v>
      </c>
      <c r="G31" s="53"/>
      <c r="H31" s="53"/>
      <c r="I31" s="56"/>
      <c r="J31" s="1"/>
      <c r="K31" s="1"/>
      <c r="L31" s="1"/>
      <c r="M31" s="1"/>
      <c r="N31" s="2"/>
      <c r="O31" s="2"/>
      <c r="P31" s="50"/>
      <c r="Q31" s="18"/>
      <c r="R31" s="16"/>
      <c r="S31" s="1"/>
      <c r="T31" s="2"/>
    </row>
    <row r="32" spans="3:20" x14ac:dyDescent="0.25">
      <c r="C32" s="5"/>
      <c r="D32" s="40" t="s">
        <v>27</v>
      </c>
      <c r="E32" s="36">
        <v>0</v>
      </c>
      <c r="G32" s="53"/>
      <c r="H32" s="53"/>
      <c r="I32" s="16"/>
      <c r="J32" s="1"/>
      <c r="K32" s="1"/>
      <c r="L32" s="1"/>
      <c r="N32" s="2"/>
      <c r="O32" s="2"/>
      <c r="Q32" s="18"/>
      <c r="R32" s="16"/>
      <c r="S32" s="1"/>
      <c r="T32" s="2"/>
    </row>
    <row r="33" spans="3:22" x14ac:dyDescent="0.25">
      <c r="C33" s="5"/>
      <c r="D33" s="40" t="s">
        <v>36</v>
      </c>
      <c r="E33" s="31">
        <f>E5</f>
        <v>0.29166666666666669</v>
      </c>
      <c r="G33" s="53"/>
      <c r="H33" s="53"/>
      <c r="I33" s="16"/>
      <c r="J33" s="16"/>
      <c r="K33" s="16"/>
      <c r="L33" s="1"/>
      <c r="M33" s="1"/>
      <c r="N33" s="2"/>
      <c r="O33" s="2"/>
      <c r="Q33" s="18"/>
      <c r="R33" s="16"/>
      <c r="S33" s="1"/>
      <c r="T33" s="2"/>
      <c r="U33" s="2"/>
      <c r="V33" s="2"/>
    </row>
    <row r="34" spans="3:22" x14ac:dyDescent="0.25">
      <c r="C34" s="5"/>
      <c r="D34" s="40" t="s">
        <v>37</v>
      </c>
      <c r="E34" s="31">
        <v>0</v>
      </c>
      <c r="G34" s="53"/>
      <c r="H34" s="53"/>
      <c r="I34" s="1"/>
      <c r="J34" s="1"/>
      <c r="K34" s="1"/>
      <c r="L34" s="1"/>
      <c r="M34" s="1"/>
      <c r="N34" s="2"/>
      <c r="O34" s="2"/>
      <c r="P34" s="50"/>
      <c r="Q34" s="18"/>
      <c r="R34" s="16"/>
      <c r="S34" s="1"/>
      <c r="T34" s="2"/>
      <c r="U34" s="2"/>
      <c r="V34" s="2"/>
    </row>
    <row r="35" spans="3:22" x14ac:dyDescent="0.25">
      <c r="C35" s="5"/>
      <c r="D35" s="40" t="s">
        <v>35</v>
      </c>
      <c r="E35" s="31">
        <f>E5</f>
        <v>0.29166666666666669</v>
      </c>
      <c r="M35" s="29"/>
      <c r="P35" s="50"/>
      <c r="Q35" s="18"/>
    </row>
    <row r="36" spans="3:22" x14ac:dyDescent="0.25">
      <c r="C36" s="5"/>
      <c r="D36" s="40" t="s">
        <v>47</v>
      </c>
      <c r="E36" s="31">
        <f>E5</f>
        <v>0.29166666666666669</v>
      </c>
      <c r="M36" s="29"/>
      <c r="P36" s="50"/>
    </row>
    <row r="37" spans="3:22" x14ac:dyDescent="0.25">
      <c r="C37" s="5"/>
      <c r="D37" s="40" t="s">
        <v>42</v>
      </c>
      <c r="E37" s="31">
        <f>E5</f>
        <v>0.29166666666666669</v>
      </c>
      <c r="M37" s="29"/>
    </row>
    <row r="38" spans="3:22" x14ac:dyDescent="0.25">
      <c r="C38" s="7"/>
      <c r="D38" s="41" t="s">
        <v>50</v>
      </c>
      <c r="E38" s="64">
        <v>3.125E-2</v>
      </c>
      <c r="L38" s="50"/>
      <c r="M38" s="28"/>
    </row>
    <row r="39" spans="3:22" x14ac:dyDescent="0.25">
      <c r="L39" s="29"/>
    </row>
    <row r="40" spans="3:22" x14ac:dyDescent="0.25">
      <c r="L40" s="50"/>
    </row>
  </sheetData>
  <sortState ref="L2:M13">
    <sortCondition ref="L2"/>
  </sortState>
  <dataValidations count="1">
    <dataValidation type="list" allowBlank="1" showInputMessage="1" showErrorMessage="1" sqref="I5">
      <formula1>$I$5:$I$5</formula1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f8a65ebe-2c7d-45ab-ae5c-1b1b30ad237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D66B270ACDD9F4A982C490DDF74FBDF" ma:contentTypeVersion="14" ma:contentTypeDescription="Create a new document." ma:contentTypeScope="" ma:versionID="672f227fbdcf8e8d54ec6d8e4ca62f28">
  <xsd:schema xmlns:xsd="http://www.w3.org/2001/XMLSchema" xmlns:xs="http://www.w3.org/2001/XMLSchema" xmlns:p="http://schemas.microsoft.com/office/2006/metadata/properties" xmlns:ns3="f8a65ebe-2c7d-45ab-ae5c-1b1b30ad2378" xmlns:ns4="f2b971ed-cbb6-4172-b474-2e7d9fac3d31" targetNamespace="http://schemas.microsoft.com/office/2006/metadata/properties" ma:root="true" ma:fieldsID="21c426afde47321f703180017d9daa63" ns3:_="" ns4:_="">
    <xsd:import namespace="f8a65ebe-2c7d-45ab-ae5c-1b1b30ad2378"/>
    <xsd:import namespace="f2b971ed-cbb6-4172-b474-2e7d9fac3d31"/>
    <xsd:element name="properties">
      <xsd:complexType>
        <xsd:sequence>
          <xsd:element name="documentManagement">
            <xsd:complexType>
              <xsd:all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a65ebe-2c7d-45ab-ae5c-1b1b30ad2378" elementFormDefault="qualified">
    <xsd:import namespace="http://schemas.microsoft.com/office/2006/documentManagement/types"/>
    <xsd:import namespace="http://schemas.microsoft.com/office/infopath/2007/PartnerControls"/>
    <xsd:element name="_activity" ma:index="8" nillable="true" ma:displayName="_activity" ma:hidden="true" ma:internalName="_activity">
      <xsd:simpleType>
        <xsd:restriction base="dms:Note"/>
      </xsd:simple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6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b971ed-cbb6-4172-b474-2e7d9fac3d31" elementFormDefault="qualified">
    <xsd:import namespace="http://schemas.microsoft.com/office/2006/documentManagement/types"/>
    <xsd:import namespace="http://schemas.microsoft.com/office/infopath/2007/PartnerControls"/>
    <xsd:element name="SharedWithUsers" ma:index="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1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E1CFDD3-06CE-4461-BE93-4D04AEA2C81F}">
  <ds:schemaRefs>
    <ds:schemaRef ds:uri="http://schemas.microsoft.com/office/infopath/2007/PartnerControls"/>
    <ds:schemaRef ds:uri="f8a65ebe-2c7d-45ab-ae5c-1b1b30ad2378"/>
    <ds:schemaRef ds:uri="http://schemas.openxmlformats.org/package/2006/metadata/core-properties"/>
    <ds:schemaRef ds:uri="http://schemas.microsoft.com/office/2006/documentManagement/types"/>
    <ds:schemaRef ds:uri="f2b971ed-cbb6-4172-b474-2e7d9fac3d31"/>
    <ds:schemaRef ds:uri="http://purl.org/dc/dcmitype/"/>
    <ds:schemaRef ds:uri="http://www.w3.org/XML/1998/namespace"/>
    <ds:schemaRef ds:uri="http://schemas.microsoft.com/office/2006/metadata/properties"/>
    <ds:schemaRef ds:uri="http://purl.org/dc/terms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14A95633-29B7-437C-BE4E-02BDE893EF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8a65ebe-2c7d-45ab-ae5c-1b1b30ad2378"/>
    <ds:schemaRef ds:uri="f2b971ed-cbb6-4172-b474-2e7d9fac3d3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2E57E5-790F-433A-B65C-61F4566507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Bilan</vt:lpstr>
      <vt:lpstr>planning </vt:lpstr>
      <vt:lpstr>ref</vt:lpstr>
      <vt:lpstr>gérald</vt:lpstr>
      <vt:lpstr>gérald1</vt:lpstr>
      <vt:lpstr>gerald2</vt:lpstr>
      <vt:lpstr>gerald3</vt:lpstr>
      <vt:lpstr>gérald4</vt:lpstr>
      <vt:lpstr>listeMois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</dc:creator>
  <cp:lastModifiedBy>Gaspard Sourgen</cp:lastModifiedBy>
  <dcterms:created xsi:type="dcterms:W3CDTF">2016-10-24T13:04:51Z</dcterms:created>
  <dcterms:modified xsi:type="dcterms:W3CDTF">2024-06-18T15:18:51Z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0x0101008D66B270ACDD9F4A982C490DDF74FBDF</vt:lpwstr>
  </property>
</Properties>
</file>