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licerCaches/slicerCache1.xml" ContentType="application/vnd.ms-excel.slicerCache+xml"/>
  <Override PartName="/xl/slicerCaches/slicerCache2.xml" ContentType="application/vnd.ms-excel.slicerCache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tables/table1.xml" ContentType="application/vnd.openxmlformats-officedocument.spreadsheetml.table+xml"/>
  <Override PartName="/xl/slicers/slicer1.xml" ContentType="application/vnd.ms-excel.slicer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129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Stessy\Downloads\"/>
    </mc:Choice>
  </mc:AlternateContent>
  <xr:revisionPtr revIDLastSave="0" documentId="13_ncr:1_{3A18CC2E-2B84-4D5B-9BD5-A2F985826C9B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Synthèse" sheetId="13" r:id="rId1"/>
    <sheet name="Facturation" sheetId="1" r:id="rId2"/>
  </sheets>
  <definedNames>
    <definedName name="Segment_Client">#N/A</definedName>
    <definedName name="Segment_Règlement_effectué">#N/A</definedName>
  </definedNames>
  <calcPr calcId="191029"/>
  <extLst>
    <ext xmlns:x14="http://schemas.microsoft.com/office/spreadsheetml/2009/9/main" uri="{79F54976-1DA5-4618-B147-4CDE4B953A38}">
      <x14:workbookPr/>
    </ext>
    <ext xmlns:x15="http://schemas.microsoft.com/office/spreadsheetml/2010/11/main" uri="{46BE6895-7355-4a93-B00E-2C351335B9C9}">
      <x15:slicerCaches xmlns:x14="http://schemas.microsoft.com/office/spreadsheetml/2009/9/main">
        <x14:slicerCache r:id="rId3"/>
        <x14:slicerCache r:id="rId4"/>
      </x15:slicerCaches>
    </ex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J4" i="13" l="1" a="1"/>
  <c r="J4" i="13" s="1"/>
  <c r="J5" i="13" a="1"/>
  <c r="J5" i="13" s="1"/>
  <c r="J6" i="13" a="1"/>
  <c r="J6" i="13" s="1"/>
  <c r="J7" i="13" a="1"/>
  <c r="J7" i="13" s="1"/>
  <c r="J8" i="13" a="1"/>
  <c r="J8" i="13" s="1"/>
  <c r="J9" i="13" a="1"/>
  <c r="J9" i="13" s="1"/>
  <c r="J10" i="13" a="1"/>
  <c r="J10" i="13" s="1"/>
  <c r="J11" i="13" a="1"/>
  <c r="J11" i="13" s="1"/>
  <c r="J12" i="13" a="1"/>
  <c r="J12" i="13" s="1"/>
  <c r="J13" i="13" a="1"/>
  <c r="J13" i="13" s="1"/>
  <c r="J14" i="13" a="1"/>
  <c r="J14" i="13" s="1"/>
  <c r="J3" i="13" a="1"/>
  <c r="J3" i="13" s="1"/>
  <c r="F18" i="13" a="1"/>
  <c r="F18" i="13" s="1"/>
  <c r="J15" i="13" l="1"/>
  <c r="E1" i="1"/>
  <c r="M4" i="1" l="1"/>
  <c r="M5" i="1"/>
  <c r="M6" i="1"/>
  <c r="M7" i="1"/>
  <c r="M8" i="1"/>
  <c r="M9" i="1"/>
  <c r="M10" i="1"/>
  <c r="M3" i="1"/>
  <c r="F17" i="13" s="1"/>
  <c r="A14" i="13" l="1"/>
  <c r="H14" i="13" s="1"/>
  <c r="A13" i="13"/>
  <c r="C13" i="13" s="1"/>
  <c r="A12" i="13"/>
  <c r="D12" i="13" s="1"/>
  <c r="A11" i="13"/>
  <c r="A10" i="13"/>
  <c r="B10" i="13" s="1"/>
  <c r="A9" i="13"/>
  <c r="F9" i="13" s="1"/>
  <c r="A8" i="13"/>
  <c r="B8" i="13" s="1"/>
  <c r="A7" i="13"/>
  <c r="A6" i="13"/>
  <c r="A5" i="13"/>
  <c r="D5" i="13" s="1"/>
  <c r="A4" i="13"/>
  <c r="G4" i="13" s="1"/>
  <c r="A3" i="13"/>
  <c r="L1" i="1"/>
  <c r="K1" i="1"/>
  <c r="H1" i="1"/>
  <c r="C6" i="13" l="1"/>
  <c r="F3" i="13"/>
  <c r="F6" i="13"/>
  <c r="E6" i="13"/>
  <c r="D6" i="13"/>
  <c r="G3" i="13"/>
  <c r="F4" i="13"/>
  <c r="H13" i="13"/>
  <c r="E4" i="13"/>
  <c r="E9" i="13"/>
  <c r="D4" i="13"/>
  <c r="D9" i="13"/>
  <c r="C3" i="13"/>
  <c r="B7" i="13"/>
  <c r="H8" i="13"/>
  <c r="C5" i="13"/>
  <c r="G8" i="13"/>
  <c r="C4" i="13"/>
  <c r="F8" i="13"/>
  <c r="B6" i="13"/>
  <c r="H6" i="13"/>
  <c r="B5" i="13"/>
  <c r="G11" i="13"/>
  <c r="G6" i="13"/>
  <c r="B4" i="13"/>
  <c r="G13" i="13"/>
  <c r="E11" i="13"/>
  <c r="B14" i="13"/>
  <c r="D14" i="13"/>
  <c r="E14" i="13"/>
  <c r="D13" i="13"/>
  <c r="G10" i="13"/>
  <c r="E8" i="13"/>
  <c r="H5" i="13"/>
  <c r="C12" i="13"/>
  <c r="B13" i="13"/>
  <c r="D11" i="13"/>
  <c r="B3" i="13"/>
  <c r="E13" i="13"/>
  <c r="F14" i="13"/>
  <c r="H12" i="13"/>
  <c r="F10" i="13"/>
  <c r="D8" i="13"/>
  <c r="G5" i="13"/>
  <c r="C11" i="13"/>
  <c r="B12" i="13"/>
  <c r="H10" i="13"/>
  <c r="G14" i="13"/>
  <c r="G12" i="13"/>
  <c r="E10" i="13"/>
  <c r="H7" i="13"/>
  <c r="F5" i="13"/>
  <c r="C10" i="13"/>
  <c r="B11" i="13"/>
  <c r="C14" i="13"/>
  <c r="F13" i="13"/>
  <c r="F12" i="13"/>
  <c r="D10" i="13"/>
  <c r="G7" i="13"/>
  <c r="E5" i="13"/>
  <c r="C9" i="13"/>
  <c r="D3" i="13"/>
  <c r="E12" i="13"/>
  <c r="H9" i="13"/>
  <c r="F7" i="13"/>
  <c r="C8" i="13"/>
  <c r="B9" i="13"/>
  <c r="F11" i="13"/>
  <c r="E3" i="13"/>
  <c r="G9" i="13"/>
  <c r="E7" i="13"/>
  <c r="H4" i="13"/>
  <c r="C7" i="13"/>
  <c r="H11" i="13"/>
  <c r="D7" i="13"/>
  <c r="I1" i="1"/>
  <c r="G15" i="13" l="1"/>
  <c r="D15" i="13"/>
  <c r="F15" i="13"/>
  <c r="B15" i="13"/>
  <c r="H3" i="13"/>
  <c r="M1" i="1"/>
  <c r="C15" i="13"/>
  <c r="B17" i="13" l="1"/>
  <c r="E15" i="13"/>
  <c r="H15" i="13"/>
  <c r="C17" i="13" s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<sst xmlns="http://schemas.openxmlformats.org/spreadsheetml/2006/main" count="39" uniqueCount="35">
  <si>
    <t>Client</t>
  </si>
  <si>
    <t>n° client</t>
  </si>
  <si>
    <t>n° devis</t>
  </si>
  <si>
    <t>n° commande</t>
  </si>
  <si>
    <t>n° bon de livraison</t>
  </si>
  <si>
    <t>Transporteur</t>
  </si>
  <si>
    <t>n° facture</t>
  </si>
  <si>
    <t>Règlement effectué</t>
  </si>
  <si>
    <t>Montant HT</t>
  </si>
  <si>
    <t>Montant TTC</t>
  </si>
  <si>
    <t>Frais</t>
  </si>
  <si>
    <t>Factures</t>
  </si>
  <si>
    <t>Établies</t>
  </si>
  <si>
    <t>Réglées</t>
  </si>
  <si>
    <t>Impayées</t>
  </si>
  <si>
    <t>Chiffre d'affaire</t>
  </si>
  <si>
    <t>T.T.C</t>
  </si>
  <si>
    <t>H.T</t>
  </si>
  <si>
    <t>Totaux</t>
  </si>
  <si>
    <t>Transport</t>
  </si>
  <si>
    <t>Effectués</t>
  </si>
  <si>
    <t>Date facture</t>
  </si>
  <si>
    <t>Date livraison</t>
  </si>
  <si>
    <t>Oui</t>
  </si>
  <si>
    <t>Panier moyen</t>
  </si>
  <si>
    <t>Louis</t>
  </si>
  <si>
    <t>Jacques</t>
  </si>
  <si>
    <t>Laurent</t>
  </si>
  <si>
    <t>Michel</t>
  </si>
  <si>
    <t>Bertrand</t>
  </si>
  <si>
    <t>Nicolas</t>
  </si>
  <si>
    <t>Impayées mensuelles</t>
  </si>
  <si>
    <t>Total Factures impayées TTC</t>
  </si>
  <si>
    <t>Total Factures impayées de plus de deux mois TTC</t>
  </si>
  <si>
    <t>bl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</si>
</sst>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,##0.00\ &quot;€&quot;"/>
    <numFmt numFmtId="165" formatCode="mmmm"/>
  </numFmts>
  <fonts count="13">
    <font>
      <sz val="11"/>
      <color theme="1"/>
      <name val="Calibri"/>
      <family val="2"/>
      <scheme val="minor"/>
    </font>
    <font>
      <b/>
      <sz val="10"/>
      <color theme="1"/>
      <name val="Bahnschrift"/>
      <family val="2"/>
    </font>
    <font>
      <sz val="10"/>
      <color theme="1"/>
      <name val="Bahnschrift"/>
      <family val="2"/>
    </font>
    <font>
      <sz val="10"/>
      <color theme="1"/>
      <name val="Arial Unicode MS"/>
    </font>
    <font>
      <b/>
      <sz val="12"/>
      <color rgb="FFFF0000"/>
      <name val="Bahnschrift"/>
      <family val="2"/>
    </font>
    <font>
      <b/>
      <sz val="10"/>
      <color theme="0"/>
      <name val="Bahnschrift"/>
      <family val="2"/>
    </font>
    <font>
      <sz val="11"/>
      <color theme="1"/>
      <name val="Bahnschrift"/>
      <family val="2"/>
    </font>
    <font>
      <b/>
      <sz val="11"/>
      <color theme="0"/>
      <name val="Bahnschrift"/>
      <family val="2"/>
    </font>
    <font>
      <sz val="14"/>
      <color theme="1"/>
      <name val="Bahnschrift"/>
      <family val="2"/>
    </font>
    <font>
      <b/>
      <sz val="14"/>
      <color theme="1"/>
      <name val="Bahnschrift"/>
      <family val="2"/>
    </font>
    <font>
      <sz val="24"/>
      <color rgb="FF00B0F0"/>
      <name val="Bahnschrift"/>
      <family val="2"/>
    </font>
    <font>
      <b/>
      <sz val="11"/>
      <color rgb="FFFFFF00"/>
      <name val="Bahnschrift"/>
      <family val="2"/>
    </font>
    <font>
      <sz val="8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9" tint="0.59999389629810485"/>
        <bgColor indexed="64"/>
      </patternFill>
    </fill>
  </fills>
  <borders count="1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theme="0"/>
      </right>
      <top style="thin">
        <color auto="1"/>
      </top>
      <bottom/>
      <diagonal/>
    </border>
    <border>
      <left style="thin">
        <color auto="1"/>
      </left>
      <right style="thin">
        <color theme="0"/>
      </right>
      <top/>
      <bottom style="thin">
        <color theme="0"/>
      </bottom>
      <diagonal/>
    </border>
    <border>
      <left/>
      <right style="thin">
        <color theme="0"/>
      </right>
      <top/>
      <bottom style="thin">
        <color auto="1"/>
      </bottom>
      <diagonal/>
    </border>
    <border>
      <left style="thin">
        <color theme="0"/>
      </left>
      <right style="thin">
        <color theme="0"/>
      </right>
      <top/>
      <bottom style="thin">
        <color auto="1"/>
      </bottom>
      <diagonal/>
    </border>
    <border>
      <left style="thin">
        <color theme="0"/>
      </left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</borders>
  <cellStyleXfs count="1">
    <xf numFmtId="0" fontId="0" fillId="0" borderId="0"/>
  </cellStyleXfs>
  <cellXfs count="45">
    <xf numFmtId="0" fontId="0" fillId="0" borderId="0" xfId="0"/>
    <xf numFmtId="0" fontId="2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164" fontId="2" fillId="0" borderId="1" xfId="0" applyNumberFormat="1" applyFont="1" applyBorder="1" applyAlignment="1">
      <alignment horizontal="center" vertical="center"/>
    </xf>
    <xf numFmtId="14" fontId="2" fillId="0" borderId="1" xfId="0" applyNumberFormat="1" applyFont="1" applyBorder="1" applyAlignment="1">
      <alignment horizontal="center" vertical="center"/>
    </xf>
    <xf numFmtId="164" fontId="2" fillId="0" borderId="0" xfId="0" applyNumberFormat="1" applyFont="1" applyAlignment="1">
      <alignment horizontal="center" vertical="center"/>
    </xf>
    <xf numFmtId="14" fontId="2" fillId="0" borderId="0" xfId="0" applyNumberFormat="1" applyFont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2" fillId="0" borderId="0" xfId="0" applyFont="1" applyAlignment="1">
      <alignment horizontal="center"/>
    </xf>
    <xf numFmtId="1" fontId="4" fillId="0" borderId="1" xfId="0" applyNumberFormat="1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7" fillId="2" borderId="5" xfId="0" applyFont="1" applyFill="1" applyBorder="1" applyAlignment="1">
      <alignment horizontal="center" vertical="center"/>
    </xf>
    <xf numFmtId="0" fontId="8" fillId="0" borderId="6" xfId="0" applyFont="1" applyBorder="1" applyAlignment="1">
      <alignment horizontal="center" vertical="center"/>
    </xf>
    <xf numFmtId="0" fontId="8" fillId="0" borderId="7" xfId="0" applyFont="1" applyBorder="1" applyAlignment="1">
      <alignment horizontal="center" vertical="center"/>
    </xf>
    <xf numFmtId="0" fontId="8" fillId="0" borderId="4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9" fillId="0" borderId="4" xfId="0" applyFont="1" applyBorder="1" applyAlignment="1">
      <alignment horizontal="center" vertical="center"/>
    </xf>
    <xf numFmtId="164" fontId="9" fillId="0" borderId="1" xfId="0" applyNumberFormat="1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11" fillId="2" borderId="5" xfId="0" applyFont="1" applyFill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3" borderId="3" xfId="0" applyFont="1" applyFill="1" applyBorder="1" applyAlignment="1">
      <alignment horizontal="center" vertical="center"/>
    </xf>
    <xf numFmtId="164" fontId="2" fillId="0" borderId="3" xfId="0" applyNumberFormat="1" applyFont="1" applyBorder="1" applyAlignment="1">
      <alignment horizontal="center" vertical="center"/>
    </xf>
    <xf numFmtId="0" fontId="5" fillId="2" borderId="10" xfId="0" applyFont="1" applyFill="1" applyBorder="1" applyAlignment="1">
      <alignment horizontal="center" vertical="center"/>
    </xf>
    <xf numFmtId="0" fontId="5" fillId="2" borderId="11" xfId="0" applyFont="1" applyFill="1" applyBorder="1" applyAlignment="1">
      <alignment horizontal="center" vertical="center"/>
    </xf>
    <xf numFmtId="164" fontId="5" fillId="2" borderId="11" xfId="0" applyNumberFormat="1" applyFont="1" applyFill="1" applyBorder="1" applyAlignment="1">
      <alignment horizontal="center" vertical="center"/>
    </xf>
    <xf numFmtId="14" fontId="5" fillId="2" borderId="11" xfId="0" applyNumberFormat="1" applyFont="1" applyFill="1" applyBorder="1" applyAlignment="1">
      <alignment horizontal="center" vertical="center"/>
    </xf>
    <xf numFmtId="0" fontId="5" fillId="2" borderId="12" xfId="0" applyFont="1" applyFill="1" applyBorder="1" applyAlignment="1">
      <alignment horizontal="center" vertical="center"/>
    </xf>
    <xf numFmtId="164" fontId="5" fillId="2" borderId="12" xfId="0" applyNumberFormat="1" applyFont="1" applyFill="1" applyBorder="1" applyAlignment="1">
      <alignment horizontal="center" vertical="center"/>
    </xf>
    <xf numFmtId="164" fontId="0" fillId="3" borderId="1" xfId="0" applyNumberForma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165" fontId="7" fillId="2" borderId="5" xfId="0" applyNumberFormat="1" applyFont="1" applyFill="1" applyBorder="1" applyAlignment="1">
      <alignment horizontal="center" vertical="center"/>
    </xf>
    <xf numFmtId="0" fontId="3" fillId="0" borderId="1" xfId="0" applyFont="1" applyBorder="1" applyAlignment="1">
      <alignment vertical="center"/>
    </xf>
    <xf numFmtId="0" fontId="7" fillId="2" borderId="1" xfId="0" applyFont="1" applyFill="1" applyBorder="1" applyAlignment="1">
      <alignment horizontal="center" vertical="center"/>
    </xf>
    <xf numFmtId="0" fontId="6" fillId="0" borderId="13" xfId="0" applyFont="1" applyBorder="1" applyAlignment="1">
      <alignment horizontal="center" vertical="center"/>
    </xf>
    <xf numFmtId="0" fontId="6" fillId="5" borderId="1" xfId="0" applyFont="1" applyFill="1" applyBorder="1" applyAlignment="1">
      <alignment horizontal="center" vertical="center"/>
    </xf>
    <xf numFmtId="164" fontId="6" fillId="4" borderId="1" xfId="0" applyNumberFormat="1" applyFont="1" applyFill="1" applyBorder="1" applyAlignment="1">
      <alignment horizontal="center" vertical="center"/>
    </xf>
    <xf numFmtId="4" fontId="8" fillId="0" borderId="7" xfId="0" applyNumberFormat="1" applyFont="1" applyBorder="1" applyAlignment="1">
      <alignment horizontal="center" vertical="center"/>
    </xf>
    <xf numFmtId="164" fontId="6" fillId="6" borderId="1" xfId="0" applyNumberFormat="1" applyFont="1" applyFill="1" applyBorder="1" applyAlignment="1">
      <alignment horizontal="center" vertical="center"/>
    </xf>
    <xf numFmtId="0" fontId="2" fillId="4" borderId="0" xfId="0" applyFont="1" applyFill="1" applyAlignment="1">
      <alignment horizontal="center" vertical="center"/>
    </xf>
    <xf numFmtId="0" fontId="2" fillId="4" borderId="15" xfId="0" applyFont="1" applyFill="1" applyBorder="1" applyAlignment="1">
      <alignment horizontal="center" vertical="center"/>
    </xf>
    <xf numFmtId="0" fontId="7" fillId="2" borderId="5" xfId="0" applyFont="1" applyFill="1" applyBorder="1" applyAlignment="1">
      <alignment horizontal="center" vertical="center"/>
    </xf>
    <xf numFmtId="0" fontId="10" fillId="3" borderId="8" xfId="0" applyFont="1" applyFill="1" applyBorder="1" applyAlignment="1">
      <alignment horizontal="center" vertical="center"/>
    </xf>
    <xf numFmtId="0" fontId="10" fillId="3" borderId="9" xfId="0" applyFont="1" applyFill="1" applyBorder="1" applyAlignment="1">
      <alignment horizontal="center" vertical="center"/>
    </xf>
    <xf numFmtId="0" fontId="2" fillId="4" borderId="14" xfId="0" applyFont="1" applyFill="1" applyBorder="1" applyAlignment="1">
      <alignment horizontal="center" vertical="center"/>
    </xf>
  </cellXfs>
  <cellStyles count="1">
    <cellStyle name="Normal" xfId="0" builtinId="0"/>
  </cellStyles>
  <dxfs count="19">
    <dxf>
      <font>
        <color rgb="FFFF0000"/>
      </font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ont>
        <b/>
        <i val="0"/>
        <color rgb="FFFF0000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Bahnschrift"/>
        <family val="2"/>
        <scheme val="none"/>
      </font>
      <numFmt numFmtId="164" formatCode="#,##0.00\ &quot;€&quot;"/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/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Bahnschrift"/>
        <family val="2"/>
        <scheme val="none"/>
      </font>
      <numFmt numFmtId="164" formatCode="#,##0.00\ &quot;€&quot;"/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Bahnschrift"/>
        <family val="2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/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Bahnschrift"/>
        <family val="2"/>
        <scheme val="none"/>
      </font>
      <numFmt numFmtId="19" formatCode="dd/mm/yyyy"/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Bahnschrift"/>
        <family val="2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Bahnschrift"/>
        <family val="2"/>
        <scheme val="none"/>
      </font>
      <numFmt numFmtId="164" formatCode="#,##0.00\ &quot;€&quot;"/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Bahnschrift"/>
        <family val="2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Bahnschrift"/>
        <family val="2"/>
        <scheme val="none"/>
      </font>
      <numFmt numFmtId="19" formatCode="dd/mm/yyyy"/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Bahnschrift"/>
        <family val="2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Bahnschrift"/>
        <family val="2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Bahnschrift"/>
        <family val="2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Bahnschrift"/>
        <family val="2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Bahnschrift"/>
        <family val="2"/>
        <scheme val="none"/>
      </font>
      <alignment horizontal="center" vertical="center" textRotation="0" wrapText="0" indent="0" justifyLastLine="0" shrinkToFit="0" readingOrder="0"/>
      <border diagonalUp="0" diagonalDown="0">
        <left/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 outline="0">
        <bottom style="thin">
          <color auto="1"/>
        </bottom>
      </border>
    </dxf>
  </dxfs>
  <tableStyles count="0" defaultTableStyle="TableStyleMedium2" defaultPivotStyle="PivotStyleLight16"/>
  <colors>
    <mruColors>
      <color rgb="FFFFDD71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eetMetadata" Target="metadata.xml"/><Relationship Id="rId3" Type="http://schemas.microsoft.com/office/2007/relationships/slicerCache" Target="slicerCaches/slicerCache1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microsoft.com/office/2007/relationships/slicerCache" Target="slicerCaches/slicerCache2.xml"/><Relationship Id="rId9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960120</xdr:colOff>
      <xdr:row>19</xdr:row>
      <xdr:rowOff>160020</xdr:rowOff>
    </xdr:from>
    <xdr:to>
      <xdr:col>9</xdr:col>
      <xdr:colOff>1211580</xdr:colOff>
      <xdr:row>32</xdr:row>
      <xdr:rowOff>38100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96DF9DC8-E97E-D0B5-D792-13810B26C83F}"/>
            </a:ext>
          </a:extLst>
        </xdr:cNvPr>
        <xdr:cNvSpPr txBox="1"/>
      </xdr:nvSpPr>
      <xdr:spPr>
        <a:xfrm>
          <a:off x="3794760" y="4861560"/>
          <a:ext cx="10218420" cy="215646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 kern="1200"/>
            <a:t>Merci pour votre participation mafraise. Toutefois, je souhaite obtenir le montant des factures.</a:t>
          </a:r>
        </a:p>
        <a:p>
          <a:r>
            <a:rPr lang="fr-FR" sz="1100" kern="1200"/>
            <a:t>En F17, je devrais obtenir 23902,66 €.</a:t>
          </a:r>
        </a:p>
        <a:p>
          <a:r>
            <a:rPr lang="fr-FR" sz="1100" kern="1200"/>
            <a:t>En F18, je devrais obtenir 8057,14 €.</a:t>
          </a:r>
        </a:p>
        <a:p>
          <a:r>
            <a:rPr lang="fr-FR" sz="1100" kern="1200"/>
            <a:t>Dans la colonne verte, le montant des factures impayées pour chaque mois. Ainsi, en J6, je devrais obtenir 2970,73 €.</a:t>
          </a:r>
        </a:p>
        <a:p>
          <a:r>
            <a:rPr lang="fr-FR" sz="1100" kern="1200"/>
            <a:t>Je vous prie de m'excuser, je n'ai pas été suffisamment clair.</a:t>
          </a:r>
        </a:p>
        <a:p>
          <a:endParaRPr lang="fr-FR" sz="1100" kern="12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absolute">
    <xdr:from>
      <xdr:col>13</xdr:col>
      <xdr:colOff>241486</xdr:colOff>
      <xdr:row>0</xdr:row>
      <xdr:rowOff>48187</xdr:rowOff>
    </xdr:from>
    <xdr:to>
      <xdr:col>15</xdr:col>
      <xdr:colOff>523874</xdr:colOff>
      <xdr:row>10</xdr:row>
      <xdr:rowOff>107016</xdr:rowOff>
    </xdr:to>
    <mc:AlternateContent xmlns:mc="http://schemas.openxmlformats.org/markup-compatibility/2006" xmlns:sle15="http://schemas.microsoft.com/office/drawing/2012/slicer">
      <mc:Choice Requires="sle15">
        <xdr:graphicFrame macro="">
          <xdr:nvGraphicFramePr>
            <xdr:cNvPr id="2" name="Client">
              <a:extLst>
                <a:ext uri="{FF2B5EF4-FFF2-40B4-BE49-F238E27FC236}">
                  <a16:creationId xmlns:a16="http://schemas.microsoft.com/office/drawing/2014/main" id="{2DF4BA6B-13CB-4E92-F13B-AA92DD24A8BD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Client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16790333" y="48187"/>
              <a:ext cx="1860176" cy="2568947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 de table. Les segments de table ne sont pas pris en charge dans cette version d’Excel.
En revanche, si la forme a été modifiée dans une version antérieure d’Excel, ou si le classeur a été enregistré dans Excel 2007 ou une version antérieure, vous ne pouvez pas utiliser le segment.</a:t>
              </a:r>
            </a:p>
          </xdr:txBody>
        </xdr:sp>
      </mc:Fallback>
    </mc:AlternateContent>
    <xdr:clientData/>
  </xdr:twoCellAnchor>
  <xdr:twoCellAnchor editAs="absolute">
    <xdr:from>
      <xdr:col>15</xdr:col>
      <xdr:colOff>711014</xdr:colOff>
      <xdr:row>0</xdr:row>
      <xdr:rowOff>42583</xdr:rowOff>
    </xdr:from>
    <xdr:to>
      <xdr:col>18</xdr:col>
      <xdr:colOff>204508</xdr:colOff>
      <xdr:row>10</xdr:row>
      <xdr:rowOff>101412</xdr:rowOff>
    </xdr:to>
    <mc:AlternateContent xmlns:mc="http://schemas.openxmlformats.org/markup-compatibility/2006" xmlns:sle15="http://schemas.microsoft.com/office/drawing/2012/slicer">
      <mc:Choice Requires="sle15">
        <xdr:graphicFrame macro="">
          <xdr:nvGraphicFramePr>
            <xdr:cNvPr id="3" name="Règlement effectué">
              <a:extLst>
                <a:ext uri="{FF2B5EF4-FFF2-40B4-BE49-F238E27FC236}">
                  <a16:creationId xmlns:a16="http://schemas.microsoft.com/office/drawing/2014/main" id="{33B00851-DAF9-A724-12DC-F8814E486C58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Règlement effectué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18837649" y="42583"/>
              <a:ext cx="1860177" cy="2568947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 de table. Les segments de table ne sont pas pris en charge dans cette version d’Excel.
En revanche, si la forme a été modifiée dans une version antérieure d’Excel, ou si le classeur a été enregistré dans Excel 2007 ou une version antérieure, vous ne pouvez pas utiliser le segment.</a:t>
              </a:r>
            </a:p>
          </xdr:txBody>
        </xdr:sp>
      </mc:Fallback>
    </mc:AlternateContent>
    <xdr:clientData/>
  </xdr:twoCellAnchor>
</xdr:wsDr>
</file>

<file path=xl/slicerCaches/slicerCache1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Client" xr10:uid="{F9D17A26-8970-4BFA-92B8-FAFB0543385A}" sourceName="Client">
  <extLst>
    <x:ext xmlns:x15="http://schemas.microsoft.com/office/spreadsheetml/2010/11/main" uri="{2F2917AC-EB37-4324-AD4E-5DD8C200BD13}">
      <x15:tableSlicerCache tableId="1" column="1"/>
    </x:ext>
  </extLst>
</slicerCacheDefinition>
</file>

<file path=xl/slicerCaches/slicerCache2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Règlement_effectué" xr10:uid="{8B3FAB29-7C98-48ED-AEDF-83A12ACA2B76}" sourceName="Règlement effectué">
  <extLst>
    <x:ext xmlns:x15="http://schemas.microsoft.com/office/spreadsheetml/2010/11/main" uri="{2F2917AC-EB37-4324-AD4E-5DD8C200BD13}">
      <x15:tableSlicerCache tableId="1" column="11"/>
    </x:ext>
  </extLst>
</slicerCacheDefinition>
</file>

<file path=xl/slicers/slicer1.xml><?xml version="1.0" encoding="utf-8"?>
<slicers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>
  <slicer name="Client" xr10:uid="{74B141DF-0805-4470-837B-817A5D1ECBB3}" cache="Segment_Client" caption="Client" rowHeight="241300"/>
  <slicer name="Règlement effectué" xr10:uid="{DD5A89AE-D8D0-4EA3-AF77-150DE6BA4887}" cache="Segment_Règlement_effectué" caption="Règlement effectué" rowHeight="241300"/>
</slicer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2EF210DA-074B-4D43-A60E-1FE6D2D7513F}" name="Tableau1" displayName="Tableau1" ref="A2:M10" headerRowBorderDxfId="18" tableBorderDxfId="17">
  <autoFilter ref="A2:M10" xr:uid="{2EF210DA-074B-4D43-A60E-1FE6D2D7513F}"/>
  <sortState xmlns:xlrd2="http://schemas.microsoft.com/office/spreadsheetml/2017/richdata2" ref="A3:M10">
    <sortCondition ref="I2:I10"/>
  </sortState>
  <tableColumns count="13">
    <tableColumn id="1" xr3:uid="{EB78B390-FDF3-4656-8322-560D046F05D4}" name="Client" totalsRowLabel="Total" dataDxfId="16"/>
    <tableColumn id="2" xr3:uid="{F7473968-C93B-457F-B732-47FD3BD3389D}" name="n° client" dataDxfId="15"/>
    <tableColumn id="3" xr3:uid="{1A33DBB3-D232-44E6-BCC5-FB968E40986E}" name="n° devis" dataDxfId="14"/>
    <tableColumn id="4" xr3:uid="{4D7CE070-7375-4BAE-8E50-104EEFB9E05A}" name="n° commande" dataDxfId="13"/>
    <tableColumn id="5" xr3:uid="{7CE0119C-45E8-48BB-A9E0-F78979F452D2}" name="n° bon de livraison" dataDxfId="12"/>
    <tableColumn id="6" xr3:uid="{DB695FBD-4A06-42EE-A190-6E92486BEBDA}" name="Date livraison" dataDxfId="11"/>
    <tableColumn id="7" xr3:uid="{038338D6-080F-4A29-9CBC-152E1222BDB5}" name="Transporteur" dataDxfId="10"/>
    <tableColumn id="8" xr3:uid="{D27493C8-EEA5-49BB-A007-350C4824984F}" name="Frais" dataDxfId="9"/>
    <tableColumn id="9" xr3:uid="{3684B340-608F-4945-8A59-A2B007769E47}" name="n° facture" dataDxfId="8"/>
    <tableColumn id="10" xr3:uid="{7E18E2DE-BC9A-44B7-860B-7A359E5E3C44}" name="Date facture" dataDxfId="7"/>
    <tableColumn id="11" xr3:uid="{5C6F3386-DD01-4C6C-B50F-2C946D00BDE1}" name="Règlement effectué" dataDxfId="6"/>
    <tableColumn id="13" xr3:uid="{72AE4FD5-285E-4FE2-8B06-7717C5C4B037}" name="Montant HT" dataDxfId="5"/>
    <tableColumn id="14" xr3:uid="{09DBF1FA-71E9-4D2E-817C-AE93B3036652}" name="Montant TTC" totalsRowFunction="sum" dataDxfId="4">
      <calculatedColumnFormula>(L3+H3)*1.2</calculatedColumnFormula>
    </tableColumn>
  </tableColumns>
  <tableStyleInfo name="TableStyleLight8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3" Type="http://schemas.microsoft.com/office/2007/relationships/slicer" Target="../slicers/slicer1.xml"/><Relationship Id="rId2" Type="http://schemas.openxmlformats.org/officeDocument/2006/relationships/table" Target="../tables/table1.xml"/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91C2AE4-8A0C-4EAD-A35D-DA6889D3D72C}">
  <sheetPr codeName="Feuil1"/>
  <dimension ref="A1:J18"/>
  <sheetViews>
    <sheetView tabSelected="1" workbookViewId="0">
      <selection activeCell="J3" sqref="J3"/>
    </sheetView>
  </sheetViews>
  <sheetFormatPr baseColWidth="10" defaultColWidth="11.5546875" defaultRowHeight="13.8"/>
  <cols>
    <col min="1" max="3" width="20.6640625" style="10" customWidth="1"/>
    <col min="4" max="5" width="25.5546875" style="10" customWidth="1"/>
    <col min="6" max="8" width="20.6640625" style="10" customWidth="1"/>
    <col min="9" max="9" width="11.5546875" style="10"/>
    <col min="10" max="10" width="20.6640625" style="10" bestFit="1" customWidth="1"/>
    <col min="11" max="16384" width="11.5546875" style="10"/>
  </cols>
  <sheetData>
    <row r="1" spans="1:10" ht="19.95" customHeight="1">
      <c r="A1" s="42">
        <v>2024</v>
      </c>
      <c r="B1" s="41" t="s">
        <v>19</v>
      </c>
      <c r="C1" s="41"/>
      <c r="D1" s="41" t="s">
        <v>11</v>
      </c>
      <c r="E1" s="41"/>
      <c r="F1" s="41"/>
      <c r="G1" s="41" t="s">
        <v>15</v>
      </c>
      <c r="H1" s="41"/>
    </row>
    <row r="2" spans="1:10" ht="19.95" customHeight="1">
      <c r="A2" s="43"/>
      <c r="B2" s="11" t="s">
        <v>20</v>
      </c>
      <c r="C2" s="11" t="s">
        <v>10</v>
      </c>
      <c r="D2" s="11" t="s">
        <v>12</v>
      </c>
      <c r="E2" s="11" t="s">
        <v>13</v>
      </c>
      <c r="F2" s="11" t="s">
        <v>14</v>
      </c>
      <c r="G2" s="11" t="s">
        <v>17</v>
      </c>
      <c r="H2" s="11" t="s">
        <v>16</v>
      </c>
      <c r="J2" s="11" t="s">
        <v>31</v>
      </c>
    </row>
    <row r="3" spans="1:10" ht="19.95" customHeight="1">
      <c r="A3" s="31">
        <f>DATE($A$1,ROW()-2,1)</f>
        <v>45292</v>
      </c>
      <c r="B3" s="12">
        <f>COUNTIFS(Tableau1[n° bon de livraison],"&lt;&gt;",Tableau1[Date livraison],"&gt;="&amp;Synthèse!$A3,Tableau1[Date livraison],"&lt;"&amp;Synthèse!$A4)</f>
        <v>0</v>
      </c>
      <c r="C3" s="13">
        <f>SUMIFS(Tableau1[Frais],Tableau1[Date livraison],"&gt;="&amp;Synthèse!$A3,Tableau1[Date livraison],"&lt;"&amp;Synthèse!$A4)</f>
        <v>0</v>
      </c>
      <c r="D3" s="13">
        <f>COUNTIFS(Tableau1[Date facture],"&gt;="&amp;Synthèse!$A3,Tableau1[Date facture],"&lt;"&amp;Synthèse!$A4)</f>
        <v>0</v>
      </c>
      <c r="E3" s="13">
        <f>COUNTIFS(Tableau1[Date facture],"&gt;="&amp;Synthèse!$A3,Tableau1[Date facture],"&lt;"&amp;Synthèse!$A4,Tableau1[Règlement effectué],"Oui")</f>
        <v>0</v>
      </c>
      <c r="F3" s="13">
        <f>COUNTIFS(Tableau1[Date facture],"&gt;="&amp;Synthèse!$A3,Tableau1[Date facture],"&lt;"&amp;Synthèse!$A4,Tableau1[Règlement effectué],"")</f>
        <v>0</v>
      </c>
      <c r="G3" s="37">
        <f>SUMIFS(Tableau1[Montant HT],Tableau1[Date facture],"&gt;="&amp;Synthèse!$A3,Tableau1[Date facture],"&lt;"&amp;Synthèse!$A4)</f>
        <v>0</v>
      </c>
      <c r="H3" s="37">
        <f>SUMIFS(Tableau1[Montant TTC],Tableau1[Date facture],"&gt;="&amp;Synthèse!$A3,Tableau1[Date facture],"&lt;"&amp;Synthèse!$A4)</f>
        <v>0</v>
      </c>
      <c r="J3" s="35" cm="1">
        <f t="array" ref="J3">SUMPRODUCT((Tableau1[Montant TTC])*(Tableau1[Règlement effectué]&lt;&gt;"Oui")*(MONTH(Tableau1[Date facture])=MONTH(A3)))</f>
        <v>1232.9280000000001</v>
      </c>
    </row>
    <row r="4" spans="1:10" ht="19.95" customHeight="1">
      <c r="A4" s="31">
        <f t="shared" ref="A4:A14" si="0">DATE($A$1,ROW()-2,1)</f>
        <v>45323</v>
      </c>
      <c r="B4" s="12">
        <f>COUNTIFS(Tableau1[n° bon de livraison],"&lt;&gt;",Tableau1[Date livraison],"&gt;="&amp;Synthèse!$A4,Tableau1[Date livraison],"&lt;"&amp;Synthèse!$A5)</f>
        <v>0</v>
      </c>
      <c r="C4" s="13">
        <f>SUMIFS(Tableau1[Frais],Tableau1[Date livraison],"&gt;="&amp;Synthèse!$A4,Tableau1[Date livraison],"&lt;"&amp;Synthèse!$A5)</f>
        <v>0</v>
      </c>
      <c r="D4" s="13">
        <f>COUNTIFS(Tableau1[Date facture],"&gt;="&amp;Synthèse!$A4,Tableau1[Date facture],"&lt;"&amp;Synthèse!$A5)</f>
        <v>0</v>
      </c>
      <c r="E4" s="13">
        <f>COUNTIFS(Tableau1[Date facture],"&gt;="&amp;Synthèse!$A4,Tableau1[Date facture],"&lt;"&amp;Synthèse!$A5,Tableau1[Règlement effectué],"Oui")</f>
        <v>0</v>
      </c>
      <c r="F4" s="13">
        <f>COUNTIFS(Tableau1[Date facture],"&gt;="&amp;Synthèse!$A4,Tableau1[Date facture],"&lt;"&amp;Synthèse!$A5,Tableau1[Règlement effectué],"")</f>
        <v>0</v>
      </c>
      <c r="G4" s="37">
        <f>SUMIFS(Tableau1[Montant HT],Tableau1[Date facture],"&gt;="&amp;Synthèse!$A4,Tableau1[Date facture],"&lt;"&amp;Synthèse!$A5)</f>
        <v>0</v>
      </c>
      <c r="H4" s="37">
        <f>SUMIFS(Tableau1[Montant TTC],Tableau1[Date facture],"&gt;="&amp;Synthèse!$A4,Tableau1[Date facture],"&lt;"&amp;Synthèse!$A5)</f>
        <v>0</v>
      </c>
      <c r="J4" s="35" cm="1">
        <f t="array" ref="J4">SUMPRODUCT((Tableau1[Montant TTC])*(Tableau1[Règlement effectué]&lt;&gt;"Oui")*(MONTH(Tableau1[Date facture])=MONTH(A4)))</f>
        <v>0</v>
      </c>
    </row>
    <row r="5" spans="1:10" ht="19.95" customHeight="1">
      <c r="A5" s="31">
        <f t="shared" si="0"/>
        <v>45352</v>
      </c>
      <c r="B5" s="12">
        <f>COUNTIFS(Tableau1[n° bon de livraison],"&lt;&gt;",Tableau1[Date livraison],"&gt;="&amp;Synthèse!$A5,Tableau1[Date livraison],"&lt;"&amp;Synthèse!$A6)</f>
        <v>0</v>
      </c>
      <c r="C5" s="13">
        <f>SUMIFS(Tableau1[Frais],Tableau1[Date livraison],"&gt;="&amp;Synthèse!$A5,Tableau1[Date livraison],"&lt;"&amp;Synthèse!$A6)</f>
        <v>0</v>
      </c>
      <c r="D5" s="13">
        <f>COUNTIFS(Tableau1[Date facture],"&gt;="&amp;Synthèse!$A5,Tableau1[Date facture],"&lt;"&amp;Synthèse!$A6)</f>
        <v>0</v>
      </c>
      <c r="E5" s="13">
        <f>COUNTIFS(Tableau1[Date facture],"&gt;="&amp;Synthèse!$A5,Tableau1[Date facture],"&lt;"&amp;Synthèse!$A6,Tableau1[Règlement effectué],"Oui")</f>
        <v>0</v>
      </c>
      <c r="F5" s="13">
        <f>COUNTIFS(Tableau1[Date facture],"&gt;="&amp;Synthèse!$A5,Tableau1[Date facture],"&lt;"&amp;Synthèse!$A6,Tableau1[Règlement effectué],"")</f>
        <v>0</v>
      </c>
      <c r="G5" s="37">
        <f>SUMIFS(Tableau1[Montant HT],Tableau1[Date facture],"&gt;="&amp;Synthèse!$A5,Tableau1[Date facture],"&lt;"&amp;Synthèse!$A6)</f>
        <v>0</v>
      </c>
      <c r="H5" s="37">
        <f>SUMIFS(Tableau1[Montant TTC],Tableau1[Date facture],"&gt;="&amp;Synthèse!$A5,Tableau1[Date facture],"&lt;"&amp;Synthèse!$A6)</f>
        <v>0</v>
      </c>
      <c r="J5" s="35" cm="1">
        <f t="array" ref="J5">SUMPRODUCT((Tableau1[Montant TTC])*(Tableau1[Règlement effectué]&lt;&gt;"Oui")*(MONTH(Tableau1[Date facture])=MONTH(A5)))</f>
        <v>0</v>
      </c>
    </row>
    <row r="6" spans="1:10" ht="19.95" customHeight="1">
      <c r="A6" s="31">
        <f t="shared" si="0"/>
        <v>45383</v>
      </c>
      <c r="B6" s="12">
        <f>COUNTIFS(Tableau1[n° bon de livraison],"&lt;&gt;",Tableau1[Date livraison],"&gt;="&amp;Synthèse!$A6,Tableau1[Date livraison],"&lt;"&amp;Synthèse!$A7)</f>
        <v>1</v>
      </c>
      <c r="C6" s="13">
        <f>SUMIFS(Tableau1[Frais],Tableau1[Date livraison],"&gt;="&amp;Synthèse!$A6,Tableau1[Date livraison],"&lt;"&amp;Synthèse!$A7)</f>
        <v>0</v>
      </c>
      <c r="D6" s="13">
        <f>COUNTIFS(Tableau1[Date facture],"&gt;="&amp;Synthèse!$A6,Tableau1[Date facture],"&lt;"&amp;Synthèse!$A7)</f>
        <v>1</v>
      </c>
      <c r="E6" s="13">
        <f>COUNTIFS(Tableau1[Date facture],"&gt;="&amp;Synthèse!$A6,Tableau1[Date facture],"&lt;"&amp;Synthèse!$A7,Tableau1[Règlement effectué],"Oui")</f>
        <v>0</v>
      </c>
      <c r="F6" s="13">
        <f>COUNTIFS(Tableau1[Date facture],"&gt;="&amp;Synthèse!$A6,Tableau1[Date facture],"&lt;"&amp;Synthèse!$A7,Tableau1[Règlement effectué],"")</f>
        <v>1</v>
      </c>
      <c r="G6" s="37">
        <f>SUMIFS(Tableau1[Montant HT],Tableau1[Date facture],"&gt;="&amp;Synthèse!$A6,Tableau1[Date facture],"&lt;"&amp;Synthèse!$A7)</f>
        <v>2475.61</v>
      </c>
      <c r="H6" s="37">
        <f>SUMIFS(Tableau1[Montant TTC],Tableau1[Date facture],"&gt;="&amp;Synthèse!$A6,Tableau1[Date facture],"&lt;"&amp;Synthèse!$A7)</f>
        <v>2970.732</v>
      </c>
      <c r="J6" s="35" cm="1">
        <f t="array" ref="J6">SUMPRODUCT((Tableau1[Montant TTC])*(Tableau1[Règlement effectué]&lt;&gt;"Oui")*(MONTH(Tableau1[Date facture])=MONTH(A6)))</f>
        <v>2970.732</v>
      </c>
    </row>
    <row r="7" spans="1:10" ht="19.95" customHeight="1">
      <c r="A7" s="31">
        <f t="shared" si="0"/>
        <v>45413</v>
      </c>
      <c r="B7" s="12">
        <f>COUNTIFS(Tableau1[n° bon de livraison],"&lt;&gt;",Tableau1[Date livraison],"&gt;="&amp;Synthèse!$A7,Tableau1[Date livraison],"&lt;"&amp;Synthèse!$A8)</f>
        <v>2</v>
      </c>
      <c r="C7" s="13">
        <f>SUMIFS(Tableau1[Frais],Tableau1[Date livraison],"&gt;="&amp;Synthèse!$A7,Tableau1[Date livraison],"&lt;"&amp;Synthèse!$A8)</f>
        <v>0</v>
      </c>
      <c r="D7" s="13">
        <f>COUNTIFS(Tableau1[Date facture],"&gt;="&amp;Synthèse!$A7,Tableau1[Date facture],"&lt;"&amp;Synthèse!$A8)</f>
        <v>1</v>
      </c>
      <c r="E7" s="13">
        <f>COUNTIFS(Tableau1[Date facture],"&gt;="&amp;Synthèse!$A7,Tableau1[Date facture],"&lt;"&amp;Synthèse!$A8,Tableau1[Règlement effectué],"Oui")</f>
        <v>0</v>
      </c>
      <c r="F7" s="13">
        <f>COUNTIFS(Tableau1[Date facture],"&gt;="&amp;Synthèse!$A7,Tableau1[Date facture],"&lt;"&amp;Synthèse!$A8,Tableau1[Règlement effectué],"")</f>
        <v>1</v>
      </c>
      <c r="G7" s="37">
        <f>SUMIFS(Tableau1[Montant HT],Tableau1[Date facture],"&gt;="&amp;Synthèse!$A7,Tableau1[Date facture],"&lt;"&amp;Synthèse!$A8)</f>
        <v>3311.12</v>
      </c>
      <c r="H7" s="37">
        <f>SUMIFS(Tableau1[Montant TTC],Tableau1[Date facture],"&gt;="&amp;Synthèse!$A7,Tableau1[Date facture],"&lt;"&amp;Synthèse!$A8)</f>
        <v>3973.3439999999996</v>
      </c>
      <c r="J7" s="35" cm="1">
        <f t="array" ref="J7">SUMPRODUCT((Tableau1[Montant TTC])*(Tableau1[Règlement effectué]&lt;&gt;"Oui")*(MONTH(Tableau1[Date facture])=MONTH(A7)))</f>
        <v>3973.3439999999996</v>
      </c>
    </row>
    <row r="8" spans="1:10" ht="19.95" customHeight="1">
      <c r="A8" s="31">
        <f t="shared" si="0"/>
        <v>45444</v>
      </c>
      <c r="B8" s="12">
        <f>COUNTIFS(Tableau1[n° bon de livraison],"&lt;&gt;",Tableau1[Date livraison],"&gt;="&amp;Synthèse!$A8,Tableau1[Date livraison],"&lt;"&amp;Synthèse!$A9)</f>
        <v>1</v>
      </c>
      <c r="C8" s="13">
        <f>SUMIFS(Tableau1[Frais],Tableau1[Date livraison],"&gt;="&amp;Synthèse!$A8,Tableau1[Date livraison],"&lt;"&amp;Synthèse!$A9)</f>
        <v>0</v>
      </c>
      <c r="D8" s="13">
        <f>COUNTIFS(Tableau1[Date facture],"&gt;="&amp;Synthèse!$A8,Tableau1[Date facture],"&lt;"&amp;Synthèse!$A9)</f>
        <v>1</v>
      </c>
      <c r="E8" s="13">
        <f>COUNTIFS(Tableau1[Date facture],"&gt;="&amp;Synthèse!$A8,Tableau1[Date facture],"&lt;"&amp;Synthèse!$A9,Tableau1[Règlement effectué],"Oui")</f>
        <v>0</v>
      </c>
      <c r="F8" s="13">
        <f>COUNTIFS(Tableau1[Date facture],"&gt;="&amp;Synthèse!$A8,Tableau1[Date facture],"&lt;"&amp;Synthèse!$A9,Tableau1[Règlement effectué],"")</f>
        <v>1</v>
      </c>
      <c r="G8" s="37">
        <f>SUMIFS(Tableau1[Montant HT],Tableau1[Date facture],"&gt;="&amp;Synthèse!$A8,Tableau1[Date facture],"&lt;"&amp;Synthèse!$A9)</f>
        <v>927.56</v>
      </c>
      <c r="H8" s="37">
        <f>SUMIFS(Tableau1[Montant TTC],Tableau1[Date facture],"&gt;="&amp;Synthèse!$A8,Tableau1[Date facture],"&lt;"&amp;Synthèse!$A9)</f>
        <v>1113.0719999999999</v>
      </c>
      <c r="J8" s="35" cm="1">
        <f t="array" ref="J8">SUMPRODUCT((Tableau1[Montant TTC])*(Tableau1[Règlement effectué]&lt;&gt;"Oui")*(MONTH(Tableau1[Date facture])=MONTH(A8)))</f>
        <v>1113.0719999999999</v>
      </c>
    </row>
    <row r="9" spans="1:10" ht="19.95" customHeight="1">
      <c r="A9" s="31">
        <f t="shared" si="0"/>
        <v>45474</v>
      </c>
      <c r="B9" s="12">
        <f>COUNTIFS(Tableau1[n° bon de livraison],"&lt;&gt;",Tableau1[Date livraison],"&gt;="&amp;Synthèse!$A9,Tableau1[Date livraison],"&lt;"&amp;Synthèse!$A10)</f>
        <v>0</v>
      </c>
      <c r="C9" s="13">
        <f>SUMIFS(Tableau1[Frais],Tableau1[Date livraison],"&gt;="&amp;Synthèse!$A9,Tableau1[Date livraison],"&lt;"&amp;Synthèse!$A10)</f>
        <v>0</v>
      </c>
      <c r="D9" s="13">
        <f>COUNTIFS(Tableau1[Date facture],"&gt;="&amp;Synthèse!$A9,Tableau1[Date facture],"&lt;"&amp;Synthèse!$A10)</f>
        <v>0</v>
      </c>
      <c r="E9" s="13">
        <f>COUNTIFS(Tableau1[Date facture],"&gt;="&amp;Synthèse!$A9,Tableau1[Date facture],"&lt;"&amp;Synthèse!$A10,Tableau1[Règlement effectué],"Oui")</f>
        <v>0</v>
      </c>
      <c r="F9" s="13">
        <f>COUNTIFS(Tableau1[Date facture],"&gt;="&amp;Synthèse!$A9,Tableau1[Date facture],"&lt;"&amp;Synthèse!$A10,Tableau1[Règlement effectué],"")</f>
        <v>0</v>
      </c>
      <c r="G9" s="37">
        <f>SUMIFS(Tableau1[Montant HT],Tableau1[Date facture],"&gt;="&amp;Synthèse!$A9,Tableau1[Date facture],"&lt;"&amp;Synthèse!$A10)</f>
        <v>0</v>
      </c>
      <c r="H9" s="37">
        <f>SUMIFS(Tableau1[Montant TTC],Tableau1[Date facture],"&gt;="&amp;Synthèse!$A9,Tableau1[Date facture],"&lt;"&amp;Synthèse!$A10)</f>
        <v>0</v>
      </c>
      <c r="J9" s="35" cm="1">
        <f t="array" ref="J9">SUMPRODUCT((Tableau1[Montant TTC])*(Tableau1[Règlement effectué]&lt;&gt;"Oui")*(MONTH(Tableau1[Date facture])=MONTH(A9)))</f>
        <v>0</v>
      </c>
    </row>
    <row r="10" spans="1:10" ht="19.95" customHeight="1">
      <c r="A10" s="31">
        <f t="shared" si="0"/>
        <v>45505</v>
      </c>
      <c r="B10" s="12">
        <f>COUNTIFS(Tableau1[n° bon de livraison],"&lt;&gt;",Tableau1[Date livraison],"&gt;="&amp;Synthèse!$A10,Tableau1[Date livraison],"&lt;"&amp;Synthèse!$A11)</f>
        <v>0</v>
      </c>
      <c r="C10" s="13">
        <f>SUMIFS(Tableau1[Frais],Tableau1[Date livraison],"&gt;="&amp;Synthèse!$A10,Tableau1[Date livraison],"&lt;"&amp;Synthèse!$A11)</f>
        <v>0</v>
      </c>
      <c r="D10" s="13">
        <f>COUNTIFS(Tableau1[Date facture],"&gt;="&amp;Synthèse!$A10,Tableau1[Date facture],"&lt;"&amp;Synthèse!$A11)</f>
        <v>0</v>
      </c>
      <c r="E10" s="13">
        <f>COUNTIFS(Tableau1[Date facture],"&gt;="&amp;Synthèse!$A10,Tableau1[Date facture],"&lt;"&amp;Synthèse!$A11,Tableau1[Règlement effectué],"Oui")</f>
        <v>0</v>
      </c>
      <c r="F10" s="13">
        <f>COUNTIFS(Tableau1[Date facture],"&gt;="&amp;Synthèse!$A10,Tableau1[Date facture],"&lt;"&amp;Synthèse!$A11,Tableau1[Règlement effectué],"")</f>
        <v>0</v>
      </c>
      <c r="G10" s="37">
        <f>SUMIFS(Tableau1[Montant HT],Tableau1[Date facture],"&gt;="&amp;Synthèse!$A10,Tableau1[Date facture],"&lt;"&amp;Synthèse!$A11)</f>
        <v>0</v>
      </c>
      <c r="H10" s="37">
        <f>SUMIFS(Tableau1[Montant TTC],Tableau1[Date facture],"&gt;="&amp;Synthèse!$A10,Tableau1[Date facture],"&lt;"&amp;Synthèse!$A11)</f>
        <v>0</v>
      </c>
      <c r="J10" s="35" cm="1">
        <f t="array" ref="J10">SUMPRODUCT((Tableau1[Montant TTC])*(Tableau1[Règlement effectué]&lt;&gt;"Oui")*(MONTH(Tableau1[Date facture])=MONTH(A10)))</f>
        <v>0</v>
      </c>
    </row>
    <row r="11" spans="1:10" ht="19.95" customHeight="1">
      <c r="A11" s="31">
        <f t="shared" si="0"/>
        <v>45536</v>
      </c>
      <c r="B11" s="12">
        <f>COUNTIFS(Tableau1[n° bon de livraison],"&lt;&gt;",Tableau1[Date livraison],"&gt;="&amp;Synthèse!$A11,Tableau1[Date livraison],"&lt;"&amp;Synthèse!$A12)</f>
        <v>1</v>
      </c>
      <c r="C11" s="13">
        <f>SUMIFS(Tableau1[Frais],Tableau1[Date livraison],"&gt;="&amp;Synthèse!$A11,Tableau1[Date livraison],"&lt;"&amp;Synthèse!$A12)</f>
        <v>0</v>
      </c>
      <c r="D11" s="13">
        <f>COUNTIFS(Tableau1[Date facture],"&gt;="&amp;Synthèse!$A11,Tableau1[Date facture],"&lt;"&amp;Synthèse!$A12)</f>
        <v>1</v>
      </c>
      <c r="E11" s="13">
        <f>COUNTIFS(Tableau1[Date facture],"&gt;="&amp;Synthèse!$A11,Tableau1[Date facture],"&lt;"&amp;Synthèse!$A12,Tableau1[Règlement effectué],"Oui")</f>
        <v>1</v>
      </c>
      <c r="F11" s="13">
        <f>COUNTIFS(Tableau1[Date facture],"&gt;="&amp;Synthèse!$A11,Tableau1[Date facture],"&lt;"&amp;Synthèse!$A12,Tableau1[Règlement effectué],"")</f>
        <v>0</v>
      </c>
      <c r="G11" s="37">
        <f>SUMIFS(Tableau1[Montant HT],Tableau1[Date facture],"&gt;="&amp;Synthèse!$A11,Tableau1[Date facture],"&lt;"&amp;Synthèse!$A12)</f>
        <v>988.69</v>
      </c>
      <c r="H11" s="37">
        <f>SUMIFS(Tableau1[Montant TTC],Tableau1[Date facture],"&gt;="&amp;Synthèse!$A11,Tableau1[Date facture],"&lt;"&amp;Synthèse!$A12)</f>
        <v>1186.4280000000001</v>
      </c>
      <c r="J11" s="35" cm="1">
        <f t="array" ref="J11">SUMPRODUCT((Tableau1[Montant TTC])*(Tableau1[Règlement effectué]&lt;&gt;"Oui")*(MONTH(Tableau1[Date facture])=MONTH(A11)))</f>
        <v>0</v>
      </c>
    </row>
    <row r="12" spans="1:10" ht="19.95" customHeight="1">
      <c r="A12" s="31">
        <f t="shared" si="0"/>
        <v>45566</v>
      </c>
      <c r="B12" s="12">
        <f>COUNTIFS(Tableau1[n° bon de livraison],"&lt;&gt;",Tableau1[Date livraison],"&gt;="&amp;Synthèse!$A12,Tableau1[Date livraison],"&lt;"&amp;Synthèse!$A13)</f>
        <v>2</v>
      </c>
      <c r="C12" s="13">
        <f>SUMIFS(Tableau1[Frais],Tableau1[Date livraison],"&gt;="&amp;Synthèse!$A12,Tableau1[Date livraison],"&lt;"&amp;Synthèse!$A13)</f>
        <v>0</v>
      </c>
      <c r="D12" s="13">
        <f>COUNTIFS(Tableau1[Date facture],"&gt;="&amp;Synthèse!$A12,Tableau1[Date facture],"&lt;"&amp;Synthèse!$A13)</f>
        <v>2</v>
      </c>
      <c r="E12" s="13">
        <f>COUNTIFS(Tableau1[Date facture],"&gt;="&amp;Synthèse!$A12,Tableau1[Date facture],"&lt;"&amp;Synthèse!$A13,Tableau1[Règlement effectué],"Oui")</f>
        <v>1</v>
      </c>
      <c r="F12" s="13">
        <f>COUNTIFS(Tableau1[Date facture],"&gt;="&amp;Synthèse!$A12,Tableau1[Date facture],"&lt;"&amp;Synthèse!$A13,Tableau1[Règlement effectué],"")</f>
        <v>1</v>
      </c>
      <c r="G12" s="37">
        <f>SUMIFS(Tableau1[Montant HT],Tableau1[Date facture],"&gt;="&amp;Synthèse!$A12,Tableau1[Date facture],"&lt;"&amp;Synthèse!$A13)</f>
        <v>9092.33</v>
      </c>
      <c r="H12" s="37">
        <f>SUMIFS(Tableau1[Montant TTC],Tableau1[Date facture],"&gt;="&amp;Synthèse!$A12,Tableau1[Date facture],"&lt;"&amp;Synthèse!$A13)</f>
        <v>10910.796</v>
      </c>
      <c r="J12" s="35" cm="1">
        <f t="array" ref="J12">SUMPRODUCT((Tableau1[Montant TTC])*(Tableau1[Règlement effectué]&lt;&gt;"Oui")*(MONTH(Tableau1[Date facture])=MONTH(A12)))</f>
        <v>10391.196</v>
      </c>
    </row>
    <row r="13" spans="1:10" ht="19.95" customHeight="1">
      <c r="A13" s="31">
        <f t="shared" si="0"/>
        <v>45597</v>
      </c>
      <c r="B13" s="12">
        <f>COUNTIFS(Tableau1[n° bon de livraison],"&lt;&gt;",Tableau1[Date livraison],"&gt;="&amp;Synthèse!$A13,Tableau1[Date livraison],"&lt;"&amp;Synthèse!$A14)</f>
        <v>1</v>
      </c>
      <c r="C13" s="13">
        <f>SUMIFS(Tableau1[Frais],Tableau1[Date livraison],"&gt;="&amp;Synthèse!$A13,Tableau1[Date livraison],"&lt;"&amp;Synthèse!$A14)</f>
        <v>0</v>
      </c>
      <c r="D13" s="13">
        <f>COUNTIFS(Tableau1[Date facture],"&gt;="&amp;Synthèse!$A13,Tableau1[Date facture],"&lt;"&amp;Synthèse!$A14)</f>
        <v>1</v>
      </c>
      <c r="E13" s="13">
        <f>COUNTIFS(Tableau1[Date facture],"&gt;="&amp;Synthèse!$A13,Tableau1[Date facture],"&lt;"&amp;Synthèse!$A14,Tableau1[Règlement effectué],"Oui")</f>
        <v>0</v>
      </c>
      <c r="F13" s="13">
        <f>COUNTIFS(Tableau1[Date facture],"&gt;="&amp;Synthèse!$A13,Tableau1[Date facture],"&lt;"&amp;Synthèse!$A14,Tableau1[Règlement effectué],"")</f>
        <v>1</v>
      </c>
      <c r="G13" s="37">
        <f>SUMIFS(Tableau1[Montant HT],Tableau1[Date facture],"&gt;="&amp;Synthèse!$A13,Tableau1[Date facture],"&lt;"&amp;Synthèse!$A14)</f>
        <v>4545.2700000000004</v>
      </c>
      <c r="H13" s="37">
        <f>SUMIFS(Tableau1[Montant TTC],Tableau1[Date facture],"&gt;="&amp;Synthèse!$A13,Tableau1[Date facture],"&lt;"&amp;Synthèse!$A14)</f>
        <v>5454.3240000000005</v>
      </c>
      <c r="J13" s="35" cm="1">
        <f t="array" ref="J13">SUMPRODUCT((Tableau1[Montant TTC])*(Tableau1[Règlement effectué]&lt;&gt;"Oui")*(MONTH(Tableau1[Date facture])=MONTH(A13)))</f>
        <v>5454.3240000000005</v>
      </c>
    </row>
    <row r="14" spans="1:10" ht="19.95" customHeight="1">
      <c r="A14" s="31">
        <f t="shared" si="0"/>
        <v>45627</v>
      </c>
      <c r="B14" s="14">
        <f>COUNTIFS(Tableau1[n° bon de livraison],"&lt;&gt;",Tableau1[Date livraison],"&gt;="&amp;Synthèse!$A14)</f>
        <v>0</v>
      </c>
      <c r="C14" s="15">
        <f>SUMIFS(Tableau1[Frais],Tableau1[Date livraison],"&gt;="&amp;Synthèse!$A14)</f>
        <v>0</v>
      </c>
      <c r="D14" s="13">
        <f>COUNTIFS(Tableau1[Date facture],"&gt;="&amp;Synthèse!$A14)</f>
        <v>0</v>
      </c>
      <c r="E14" s="13">
        <f>COUNTIFS(Tableau1[Date facture],"&gt;="&amp;Synthèse!$A14,Tableau1[Règlement effectué],"Oui")</f>
        <v>0</v>
      </c>
      <c r="F14" s="13">
        <f>COUNTIFS(Tableau1[Date facture],"&gt;="&amp;Synthèse!$A14,Tableau1[Règlement effectué],"")</f>
        <v>0</v>
      </c>
      <c r="G14" s="37">
        <f>SUMIFS(Tableau1[Montant HT],Tableau1[Date facture],"&gt;="&amp;Synthèse!$A14)</f>
        <v>0</v>
      </c>
      <c r="H14" s="37">
        <f>SUMIFS(Tableau1[Montant TTC],Tableau1[Date facture],"&gt;="&amp;Synthèse!$A14)</f>
        <v>0</v>
      </c>
      <c r="J14" s="35" cm="1">
        <f t="array" ref="J14">SUMPRODUCT((Tableau1[Montant TTC])*(Tableau1[Règlement effectué]&lt;&gt;"Oui")*(MONTH(Tableau1[Date facture])=MONTH(A14)))</f>
        <v>0</v>
      </c>
    </row>
    <row r="15" spans="1:10" ht="19.95" customHeight="1">
      <c r="A15" s="19" t="s">
        <v>18</v>
      </c>
      <c r="B15" s="16">
        <f>SUM(B3:B14)</f>
        <v>8</v>
      </c>
      <c r="C15" s="17">
        <f t="shared" ref="C15:H15" si="1">SUM(C3:C14)</f>
        <v>0</v>
      </c>
      <c r="D15" s="18">
        <f t="shared" si="1"/>
        <v>7</v>
      </c>
      <c r="E15" s="18">
        <f t="shared" si="1"/>
        <v>2</v>
      </c>
      <c r="F15" s="18">
        <f t="shared" si="1"/>
        <v>5</v>
      </c>
      <c r="G15" s="17">
        <f t="shared" si="1"/>
        <v>21340.579999999998</v>
      </c>
      <c r="H15" s="17">
        <f t="shared" si="1"/>
        <v>25608.696</v>
      </c>
      <c r="J15" s="38">
        <f>SUM(J3:J14)</f>
        <v>25135.595999999998</v>
      </c>
    </row>
    <row r="16" spans="1:10" ht="19.95" customHeight="1">
      <c r="F16" s="34"/>
    </row>
    <row r="17" spans="1:6" ht="19.95" customHeight="1">
      <c r="A17" s="33" t="s">
        <v>24</v>
      </c>
      <c r="B17" s="17">
        <f>IFERROR(G15/D15,"")</f>
        <v>3048.6542857142854</v>
      </c>
      <c r="C17" s="17">
        <f>IFERROR(H15/D15,"")</f>
        <v>3658.3851428571429</v>
      </c>
      <c r="D17" s="44" t="s">
        <v>32</v>
      </c>
      <c r="E17" s="40"/>
      <c r="F17" s="36">
        <f>SUMIFS(Tableau1[Montant TTC],Tableau1[Règlement effectué],"&lt;&gt;"&amp;"Oui")</f>
        <v>25135.595999999998</v>
      </c>
    </row>
    <row r="18" spans="1:6" ht="19.95" customHeight="1">
      <c r="D18" s="39" t="s">
        <v>33</v>
      </c>
      <c r="E18" s="40"/>
      <c r="F18" s="36" cm="1">
        <f t="array" aca="1" ref="F18" ca="1">SUMPRODUCT((Tableau1[Montant TTC])*(Tableau1[Règlement effectué]&lt;&gt;"Oui")*(MONTH(Tableau1[Date facture])&lt;=MONTH(TODAY())-2))</f>
        <v>9290.0759999999991</v>
      </c>
    </row>
  </sheetData>
  <mergeCells count="6">
    <mergeCell ref="D18:E18"/>
    <mergeCell ref="D1:F1"/>
    <mergeCell ref="G1:H1"/>
    <mergeCell ref="B1:C1"/>
    <mergeCell ref="A1:A2"/>
    <mergeCell ref="D17:E17"/>
  </mergeCells>
  <conditionalFormatting sqref="F3:F15">
    <cfRule type="cellIs" dxfId="3" priority="1" operator="greaterThan">
      <formula>0</formula>
    </cfRule>
  </conditionalFormatting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2"/>
  <dimension ref="A1:M201"/>
  <sheetViews>
    <sheetView zoomScale="85" zoomScaleNormal="85" workbookViewId="0">
      <pane ySplit="11" topLeftCell="A165" activePane="bottomLeft" state="frozen"/>
      <selection pane="bottomLeft" activeCell="D6" sqref="D6"/>
    </sheetView>
  </sheetViews>
  <sheetFormatPr baseColWidth="10" defaultColWidth="11.5546875" defaultRowHeight="13.2"/>
  <cols>
    <col min="1" max="1" width="30.6640625" style="1" customWidth="1"/>
    <col min="2" max="4" width="18.6640625" style="1" customWidth="1"/>
    <col min="5" max="5" width="18.88671875" style="1" customWidth="1"/>
    <col min="6" max="6" width="15.6640625" style="1" customWidth="1"/>
    <col min="7" max="7" width="18.6640625" style="1" customWidth="1"/>
    <col min="8" max="8" width="14.6640625" style="5" customWidth="1"/>
    <col min="9" max="9" width="18.6640625" style="1" customWidth="1"/>
    <col min="10" max="10" width="19.44140625" style="6" bestFit="1" customWidth="1"/>
    <col min="11" max="11" width="19.109375" style="1" customWidth="1"/>
    <col min="12" max="13" width="14.6640625" style="5" customWidth="1"/>
    <col min="14" max="16384" width="11.5546875" style="8"/>
  </cols>
  <sheetData>
    <row r="1" spans="1:13" ht="19.95" customHeight="1">
      <c r="A1" s="7"/>
      <c r="B1" s="7"/>
      <c r="C1" s="7"/>
      <c r="D1" s="7"/>
      <c r="E1" s="30">
        <f>COUNTA(E3:E10)</f>
        <v>8</v>
      </c>
      <c r="G1" s="7"/>
      <c r="H1" s="29">
        <f>SUM(Tableau1[Frais])</f>
        <v>0</v>
      </c>
      <c r="I1" s="30">
        <f>COUNTA(Tableau1[n° facture])</f>
        <v>0</v>
      </c>
      <c r="J1" s="9"/>
      <c r="K1" s="30">
        <f>COUNTIF(Tableau1[Règlement effectué],"Oui")</f>
        <v>2</v>
      </c>
      <c r="L1" s="29">
        <f>SUM(Tableau1[Montant HT])</f>
        <v>22368.02</v>
      </c>
      <c r="M1" s="29">
        <f>SUM(Tableau1[Montant TTC])</f>
        <v>26841.624</v>
      </c>
    </row>
    <row r="2" spans="1:13" ht="19.95" customHeight="1">
      <c r="A2" s="23" t="s">
        <v>0</v>
      </c>
      <c r="B2" s="24" t="s">
        <v>1</v>
      </c>
      <c r="C2" s="24" t="s">
        <v>2</v>
      </c>
      <c r="D2" s="24" t="s">
        <v>3</v>
      </c>
      <c r="E2" s="24" t="s">
        <v>4</v>
      </c>
      <c r="F2" s="24" t="s">
        <v>22</v>
      </c>
      <c r="G2" s="24" t="s">
        <v>5</v>
      </c>
      <c r="H2" s="25" t="s">
        <v>10</v>
      </c>
      <c r="I2" s="24" t="s">
        <v>6</v>
      </c>
      <c r="J2" s="26" t="s">
        <v>21</v>
      </c>
      <c r="K2" s="27" t="s">
        <v>7</v>
      </c>
      <c r="L2" s="25" t="s">
        <v>8</v>
      </c>
      <c r="M2" s="28" t="s">
        <v>9</v>
      </c>
    </row>
    <row r="3" spans="1:13" ht="19.95" customHeight="1">
      <c r="A3" s="20" t="s">
        <v>25</v>
      </c>
      <c r="B3" s="2">
        <v>1</v>
      </c>
      <c r="C3" s="2"/>
      <c r="D3" s="2"/>
      <c r="E3" s="2">
        <v>473</v>
      </c>
      <c r="F3" s="4">
        <v>45397</v>
      </c>
      <c r="G3" s="2"/>
      <c r="H3" s="3"/>
      <c r="I3" s="2"/>
      <c r="J3" s="4">
        <v>45397</v>
      </c>
      <c r="K3" s="21"/>
      <c r="L3" s="3">
        <v>2475.61</v>
      </c>
      <c r="M3" s="22">
        <f t="shared" ref="M3:M10" si="0">(L3+H3)*1.2</f>
        <v>2970.732</v>
      </c>
    </row>
    <row r="4" spans="1:13" ht="19.95" customHeight="1">
      <c r="A4" s="20" t="s">
        <v>26</v>
      </c>
      <c r="B4" s="2">
        <v>2</v>
      </c>
      <c r="C4" s="2"/>
      <c r="D4" s="2"/>
      <c r="E4" s="2">
        <v>456</v>
      </c>
      <c r="F4" s="4">
        <v>45431</v>
      </c>
      <c r="G4" s="2"/>
      <c r="H4" s="3"/>
      <c r="I4" s="2"/>
      <c r="J4" s="4">
        <v>45431</v>
      </c>
      <c r="K4" s="21"/>
      <c r="L4" s="3">
        <v>3311.12</v>
      </c>
      <c r="M4" s="22">
        <f t="shared" si="0"/>
        <v>3973.3439999999996</v>
      </c>
    </row>
    <row r="5" spans="1:13" ht="19.95" customHeight="1">
      <c r="A5" s="20" t="s">
        <v>27</v>
      </c>
      <c r="B5" s="2">
        <v>3</v>
      </c>
      <c r="C5" s="2"/>
      <c r="D5" s="2" t="s">
        <v>34</v>
      </c>
      <c r="E5" s="2">
        <v>422</v>
      </c>
      <c r="F5" s="4">
        <v>45433</v>
      </c>
      <c r="G5" s="2"/>
      <c r="H5" s="3"/>
      <c r="I5" s="2"/>
      <c r="J5" s="4"/>
      <c r="K5" s="21"/>
      <c r="L5" s="3">
        <v>1027.44</v>
      </c>
      <c r="M5" s="22">
        <f t="shared" si="0"/>
        <v>1232.9280000000001</v>
      </c>
    </row>
    <row r="6" spans="1:13" ht="19.95" customHeight="1">
      <c r="A6" s="20" t="s">
        <v>28</v>
      </c>
      <c r="B6" s="2">
        <v>4</v>
      </c>
      <c r="D6" s="2"/>
      <c r="E6" s="2">
        <v>478</v>
      </c>
      <c r="F6" s="4">
        <v>45445</v>
      </c>
      <c r="G6" s="2"/>
      <c r="H6" s="3"/>
      <c r="I6" s="2"/>
      <c r="J6" s="4">
        <v>45445</v>
      </c>
      <c r="K6" s="21"/>
      <c r="L6" s="3">
        <v>927.56</v>
      </c>
      <c r="M6" s="22">
        <f t="shared" si="0"/>
        <v>1113.0719999999999</v>
      </c>
    </row>
    <row r="7" spans="1:13" ht="19.95" customHeight="1">
      <c r="A7" s="20" t="s">
        <v>29</v>
      </c>
      <c r="B7" s="2">
        <v>5</v>
      </c>
      <c r="C7" s="32"/>
      <c r="D7" s="2"/>
      <c r="E7" s="2">
        <v>479</v>
      </c>
      <c r="F7" s="4">
        <v>45558</v>
      </c>
      <c r="G7" s="2"/>
      <c r="H7" s="3"/>
      <c r="I7" s="2"/>
      <c r="J7" s="4">
        <v>45558</v>
      </c>
      <c r="K7" s="21" t="s">
        <v>23</v>
      </c>
      <c r="L7" s="3">
        <v>988.69</v>
      </c>
      <c r="M7" s="22">
        <f t="shared" si="0"/>
        <v>1186.4280000000001</v>
      </c>
    </row>
    <row r="8" spans="1:13" ht="19.95" customHeight="1">
      <c r="A8" s="20" t="s">
        <v>30</v>
      </c>
      <c r="B8" s="2">
        <v>6</v>
      </c>
      <c r="C8" s="2"/>
      <c r="D8" s="2"/>
      <c r="E8" s="2">
        <v>533</v>
      </c>
      <c r="F8" s="4">
        <v>45582</v>
      </c>
      <c r="G8" s="2"/>
      <c r="H8" s="3"/>
      <c r="I8" s="2"/>
      <c r="J8" s="4">
        <v>45582</v>
      </c>
      <c r="K8" s="21" t="s">
        <v>23</v>
      </c>
      <c r="L8" s="3">
        <v>433</v>
      </c>
      <c r="M8" s="22">
        <f t="shared" si="0"/>
        <v>519.6</v>
      </c>
    </row>
    <row r="9" spans="1:13" ht="19.95" customHeight="1">
      <c r="A9" s="20" t="s">
        <v>25</v>
      </c>
      <c r="B9" s="2">
        <v>1</v>
      </c>
      <c r="C9" s="2"/>
      <c r="D9" s="2"/>
      <c r="E9" s="2">
        <v>421</v>
      </c>
      <c r="F9" s="4">
        <v>45586</v>
      </c>
      <c r="G9" s="2"/>
      <c r="H9" s="3"/>
      <c r="I9" s="2"/>
      <c r="J9" s="4">
        <v>45586</v>
      </c>
      <c r="K9" s="21"/>
      <c r="L9" s="3">
        <v>8659.33</v>
      </c>
      <c r="M9" s="22">
        <f t="shared" si="0"/>
        <v>10391.196</v>
      </c>
    </row>
    <row r="10" spans="1:13" ht="19.95" customHeight="1">
      <c r="A10" s="20" t="s">
        <v>28</v>
      </c>
      <c r="B10" s="2">
        <v>4</v>
      </c>
      <c r="C10" s="2"/>
      <c r="D10" s="2"/>
      <c r="E10" s="2">
        <v>127</v>
      </c>
      <c r="F10" s="4">
        <v>45608</v>
      </c>
      <c r="G10" s="2"/>
      <c r="H10" s="3"/>
      <c r="I10" s="2"/>
      <c r="J10" s="4">
        <v>45608</v>
      </c>
      <c r="K10" s="21"/>
      <c r="L10" s="3">
        <v>4545.2700000000004</v>
      </c>
      <c r="M10" s="22">
        <f t="shared" si="0"/>
        <v>5454.3240000000005</v>
      </c>
    </row>
    <row r="11" spans="1:13" ht="19.95" customHeight="1"/>
    <row r="12" spans="1:13" ht="19.95" customHeight="1"/>
    <row r="13" spans="1:13" ht="19.95" customHeight="1"/>
    <row r="14" spans="1:13" ht="19.95" customHeight="1"/>
    <row r="15" spans="1:13" ht="19.95" customHeight="1"/>
    <row r="16" spans="1:13" ht="19.95" customHeight="1"/>
    <row r="17" ht="19.95" customHeight="1"/>
    <row r="18" ht="19.95" customHeight="1"/>
    <row r="19" ht="19.95" customHeight="1"/>
    <row r="20" ht="19.95" customHeight="1"/>
    <row r="21" ht="19.95" customHeight="1"/>
    <row r="22" ht="19.95" customHeight="1"/>
    <row r="23" ht="19.95" customHeight="1"/>
    <row r="24" ht="19.95" customHeight="1"/>
    <row r="25" ht="19.95" customHeight="1"/>
    <row r="26" ht="19.95" customHeight="1"/>
    <row r="27" ht="19.95" customHeight="1"/>
    <row r="28" ht="19.95" customHeight="1"/>
    <row r="29" ht="19.95" customHeight="1"/>
    <row r="30" ht="19.95" customHeight="1"/>
    <row r="31" ht="19.95" customHeight="1"/>
    <row r="32" ht="19.95" customHeight="1"/>
    <row r="33" ht="19.95" customHeight="1"/>
    <row r="34" ht="19.95" customHeight="1"/>
    <row r="35" ht="19.95" customHeight="1"/>
    <row r="36" ht="19.95" customHeight="1"/>
    <row r="37" ht="19.95" customHeight="1"/>
    <row r="38" ht="19.95" customHeight="1"/>
    <row r="39" ht="19.95" customHeight="1"/>
    <row r="40" ht="19.95" customHeight="1"/>
    <row r="41" ht="19.95" customHeight="1"/>
    <row r="42" ht="19.95" customHeight="1"/>
    <row r="43" ht="19.95" customHeight="1"/>
    <row r="44" ht="19.95" customHeight="1"/>
    <row r="45" ht="19.95" customHeight="1"/>
    <row r="46" ht="19.95" customHeight="1"/>
    <row r="47" ht="19.95" customHeight="1"/>
    <row r="48" ht="19.95" customHeight="1"/>
    <row r="49" ht="19.95" customHeight="1"/>
    <row r="50" ht="19.95" customHeight="1"/>
    <row r="51" ht="19.95" customHeight="1"/>
    <row r="52" ht="19.95" customHeight="1"/>
    <row r="53" ht="19.95" customHeight="1"/>
    <row r="54" ht="19.95" customHeight="1"/>
    <row r="55" ht="19.95" customHeight="1"/>
    <row r="56" ht="19.95" customHeight="1"/>
    <row r="57" ht="19.95" customHeight="1"/>
    <row r="58" ht="19.95" customHeight="1"/>
    <row r="59" ht="19.95" customHeight="1"/>
    <row r="60" ht="19.95" customHeight="1"/>
    <row r="61" ht="19.95" customHeight="1"/>
    <row r="62" ht="19.95" customHeight="1"/>
    <row r="63" ht="19.95" customHeight="1"/>
    <row r="64" ht="19.95" customHeight="1"/>
    <row r="65" ht="19.95" customHeight="1"/>
    <row r="66" ht="19.95" customHeight="1"/>
    <row r="67" ht="19.95" customHeight="1"/>
    <row r="68" ht="19.95" customHeight="1"/>
    <row r="69" ht="19.95" customHeight="1"/>
    <row r="70" ht="19.95" customHeight="1"/>
    <row r="71" ht="19.95" customHeight="1"/>
    <row r="72" ht="19.95" customHeight="1"/>
    <row r="73" ht="19.95" customHeight="1"/>
    <row r="74" ht="19.95" customHeight="1"/>
    <row r="75" ht="19.95" customHeight="1"/>
    <row r="76" ht="19.95" customHeight="1"/>
    <row r="77" ht="19.95" customHeight="1"/>
    <row r="78" ht="19.95" customHeight="1"/>
    <row r="79" ht="19.95" customHeight="1"/>
    <row r="80" ht="19.95" customHeight="1"/>
    <row r="81" ht="19.95" customHeight="1"/>
    <row r="82" ht="19.95" customHeight="1"/>
    <row r="83" ht="19.95" customHeight="1"/>
    <row r="84" ht="19.95" customHeight="1"/>
    <row r="85" ht="19.95" customHeight="1"/>
    <row r="86" ht="19.95" customHeight="1"/>
    <row r="87" ht="19.95" customHeight="1"/>
    <row r="88" ht="19.95" customHeight="1"/>
    <row r="89" ht="19.95" customHeight="1"/>
    <row r="90" ht="19.95" customHeight="1"/>
    <row r="91" ht="19.95" customHeight="1"/>
    <row r="92" ht="19.95" customHeight="1"/>
    <row r="93" ht="19.95" customHeight="1"/>
    <row r="94" ht="19.95" customHeight="1"/>
    <row r="95" ht="19.95" customHeight="1"/>
    <row r="96" ht="19.95" customHeight="1"/>
    <row r="97" ht="19.95" customHeight="1"/>
    <row r="98" ht="19.95" customHeight="1"/>
    <row r="99" ht="19.95" customHeight="1"/>
    <row r="100" ht="19.95" customHeight="1"/>
    <row r="101" ht="19.95" customHeight="1"/>
    <row r="102" ht="19.95" customHeight="1"/>
    <row r="103" ht="19.95" customHeight="1"/>
    <row r="104" ht="19.95" customHeight="1"/>
    <row r="105" ht="19.95" customHeight="1"/>
    <row r="106" ht="19.95" customHeight="1"/>
    <row r="107" ht="19.95" customHeight="1"/>
    <row r="108" ht="19.95" customHeight="1"/>
    <row r="109" ht="19.95" customHeight="1"/>
    <row r="110" ht="19.95" customHeight="1"/>
    <row r="111" ht="19.95" customHeight="1"/>
    <row r="112" ht="19.95" customHeight="1"/>
    <row r="113" ht="19.95" customHeight="1"/>
    <row r="114" ht="19.95" customHeight="1"/>
    <row r="115" ht="19.95" customHeight="1"/>
    <row r="116" ht="19.95" customHeight="1"/>
    <row r="117" ht="19.95" customHeight="1"/>
    <row r="118" ht="19.95" customHeight="1"/>
    <row r="119" ht="19.95" customHeight="1"/>
    <row r="120" ht="19.95" customHeight="1"/>
    <row r="121" ht="19.95" customHeight="1"/>
    <row r="122" ht="19.95" customHeight="1"/>
    <row r="123" ht="19.95" customHeight="1"/>
    <row r="124" ht="19.95" customHeight="1"/>
    <row r="125" ht="19.95" customHeight="1"/>
    <row r="126" ht="19.95" customHeight="1"/>
    <row r="127" ht="19.95" customHeight="1"/>
    <row r="128" ht="19.95" customHeight="1"/>
    <row r="129" ht="19.95" customHeight="1"/>
    <row r="130" ht="19.95" customHeight="1"/>
    <row r="131" ht="19.95" customHeight="1"/>
    <row r="132" ht="19.95" customHeight="1"/>
    <row r="133" ht="19.95" customHeight="1"/>
    <row r="134" ht="19.95" customHeight="1"/>
    <row r="135" ht="19.95" customHeight="1"/>
    <row r="136" ht="19.95" customHeight="1"/>
    <row r="137" ht="19.95" customHeight="1"/>
    <row r="138" ht="19.95" customHeight="1"/>
    <row r="139" ht="19.95" customHeight="1"/>
    <row r="140" ht="19.95" customHeight="1"/>
    <row r="141" ht="19.95" customHeight="1"/>
    <row r="142" ht="19.95" customHeight="1"/>
    <row r="143" ht="19.95" customHeight="1"/>
    <row r="144" ht="19.95" customHeight="1"/>
    <row r="145" ht="19.95" customHeight="1"/>
    <row r="146" ht="19.95" customHeight="1"/>
    <row r="147" ht="19.95" customHeight="1"/>
    <row r="148" ht="19.95" customHeight="1"/>
    <row r="149" ht="19.95" customHeight="1"/>
    <row r="150" ht="19.95" customHeight="1"/>
    <row r="151" ht="19.95" customHeight="1"/>
    <row r="152" ht="19.95" customHeight="1"/>
    <row r="153" ht="19.95" customHeight="1"/>
    <row r="154" ht="19.95" customHeight="1"/>
    <row r="155" ht="19.95" customHeight="1"/>
    <row r="156" ht="19.95" customHeight="1"/>
    <row r="157" ht="19.95" customHeight="1"/>
    <row r="158" ht="19.95" customHeight="1"/>
    <row r="159" ht="19.95" customHeight="1"/>
    <row r="160" ht="19.95" customHeight="1"/>
    <row r="161" ht="19.95" customHeight="1"/>
    <row r="162" ht="19.95" customHeight="1"/>
    <row r="163" ht="19.95" customHeight="1"/>
    <row r="164" ht="19.95" customHeight="1"/>
    <row r="165" ht="19.95" customHeight="1"/>
    <row r="166" ht="19.95" customHeight="1"/>
    <row r="167" ht="19.95" customHeight="1"/>
    <row r="168" ht="19.95" customHeight="1"/>
    <row r="169" ht="19.95" customHeight="1"/>
    <row r="170" ht="19.95" customHeight="1"/>
    <row r="171" ht="19.95" customHeight="1"/>
    <row r="172" ht="19.95" customHeight="1"/>
    <row r="173" ht="19.95" customHeight="1"/>
    <row r="174" ht="19.95" customHeight="1"/>
    <row r="175" ht="19.95" customHeight="1"/>
    <row r="176" ht="19.95" customHeight="1"/>
    <row r="177" ht="19.95" customHeight="1"/>
    <row r="178" ht="19.95" customHeight="1"/>
    <row r="179" ht="19.95" customHeight="1"/>
    <row r="180" ht="19.95" customHeight="1"/>
    <row r="181" ht="19.95" customHeight="1"/>
    <row r="182" ht="19.95" customHeight="1"/>
    <row r="183" ht="19.95" customHeight="1"/>
    <row r="184" ht="19.95" customHeight="1"/>
    <row r="185" ht="19.95" customHeight="1"/>
    <row r="186" ht="19.95" customHeight="1"/>
    <row r="187" ht="19.95" customHeight="1"/>
    <row r="188" ht="19.95" customHeight="1"/>
    <row r="189" ht="19.95" customHeight="1"/>
    <row r="190" ht="19.95" customHeight="1"/>
    <row r="191" ht="19.95" customHeight="1"/>
    <row r="192" ht="19.95" customHeight="1"/>
    <row r="193" ht="19.95" customHeight="1"/>
    <row r="194" ht="19.95" customHeight="1"/>
    <row r="195" ht="19.95" customHeight="1"/>
    <row r="196" ht="19.95" customHeight="1"/>
    <row r="197" ht="19.95" customHeight="1"/>
    <row r="198" ht="19.95" customHeight="1"/>
    <row r="199" ht="19.95" customHeight="1"/>
    <row r="200" ht="19.95" customHeight="1"/>
    <row r="201" ht="19.95" customHeight="1"/>
  </sheetData>
  <phoneticPr fontId="12" type="noConversion"/>
  <conditionalFormatting sqref="A3:M865">
    <cfRule type="expression" dxfId="2" priority="2">
      <formula>AND($J3="",$E3&gt;0)</formula>
    </cfRule>
    <cfRule type="expression" dxfId="1" priority="3">
      <formula>AND($K3="Oui")</formula>
    </cfRule>
  </conditionalFormatting>
  <conditionalFormatting sqref="J3:J865">
    <cfRule type="expression" dxfId="0" priority="1">
      <formula>IFERROR(AND($K3&lt;1,$J3&lt;EDATE(TODAY(),-2)),"")</formula>
    </cfRule>
  </conditionalFormatting>
  <pageMargins left="0.7" right="0.7" top="0.75" bottom="0.75" header="0.3" footer="0.3"/>
  <drawing r:id="rId1"/>
  <tableParts count="1">
    <tablePart r:id="rId2"/>
  </tableParts>
  <extLst>
    <ext xmlns:x15="http://schemas.microsoft.com/office/spreadsheetml/2010/11/main" uri="{3A4CF648-6AED-40f4-86FF-DC5316D8AED3}">
      <x14:slicerList xmlns:x14="http://schemas.microsoft.com/office/spreadsheetml/2009/9/main">
        <x14:slicer r:id="rId3"/>
      </x14:slicerList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Synthèse</vt:lpstr>
      <vt:lpstr>Facturation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Stessy Haxaire</dc:creator>
  <cp:lastModifiedBy>Stessy HAXAIRE</cp:lastModifiedBy>
  <dcterms:created xsi:type="dcterms:W3CDTF">2015-06-05T18:19:34Z</dcterms:created>
  <dcterms:modified xsi:type="dcterms:W3CDTF">2024-11-20T07:18:57Z</dcterms:modified>
</cp:coreProperties>
</file>