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A392543C-27B0-40B3-A780-6B40F90FC77B}" xr6:coauthVersionLast="47" xr6:coauthVersionMax="47" xr10:uidLastSave="{00000000-0000-0000-0000-000000000000}"/>
  <bookViews>
    <workbookView xWindow="-108" yWindow="-108" windowWidth="23256" windowHeight="12456" tabRatio="894" firstSheet="1" activeTab="2" xr2:uid="{00000000-000D-0000-FFFF-FFFF00000000}"/>
  </bookViews>
  <sheets>
    <sheet name="Liste des choses à faire" sheetId="21" r:id="rId1"/>
    <sheet name="Détails" sheetId="17" r:id="rId2"/>
    <sheet name="Février" sheetId="2" r:id="rId3"/>
  </sheets>
  <definedNames>
    <definedName name="ANNEE">Détails!$A$1</definedName>
    <definedName name="NB_JOURS">Détails!$B$4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E11" i="17" l="1"/>
  <c r="E10" i="17"/>
  <c r="E9" i="17"/>
  <c r="E8" i="17"/>
  <c r="E7" i="17"/>
  <c r="E13" i="17" l="1"/>
  <c r="E12" i="17"/>
  <c r="E14" i="17"/>
  <c r="E4" i="17"/>
  <c r="M1" i="17"/>
  <c r="U7" i="17"/>
  <c r="U2" i="17" l="1"/>
  <c r="Q2" i="17"/>
  <c r="Q3" i="17"/>
  <c r="R2" i="17"/>
  <c r="R3" i="17"/>
  <c r="S2" i="17"/>
  <c r="S3" i="17"/>
  <c r="T11" i="17"/>
  <c r="T12" i="17"/>
  <c r="U11" i="17"/>
  <c r="U12" i="17"/>
  <c r="Q5" i="17"/>
  <c r="R5" i="17"/>
  <c r="S5" i="17"/>
  <c r="T2" i="17"/>
  <c r="Q6" i="17"/>
  <c r="R6" i="17"/>
  <c r="S6" i="17"/>
  <c r="T3" i="17"/>
  <c r="U3" i="17"/>
  <c r="Q7" i="17"/>
  <c r="R7" i="17"/>
  <c r="S7" i="17"/>
  <c r="T4" i="17"/>
  <c r="U4" i="17"/>
  <c r="Q8" i="17"/>
  <c r="R8" i="17"/>
  <c r="S8" i="17"/>
  <c r="T5" i="17"/>
  <c r="U5" i="17"/>
  <c r="Q9" i="17"/>
  <c r="R9" i="17"/>
  <c r="S9" i="17"/>
  <c r="T6" i="17"/>
  <c r="U6" i="17"/>
  <c r="Q10" i="17"/>
  <c r="R10" i="17"/>
  <c r="S10" i="17"/>
  <c r="T7" i="17"/>
  <c r="Q11" i="17"/>
  <c r="R11" i="17"/>
  <c r="S11" i="17"/>
  <c r="T8" i="17"/>
  <c r="U8" i="17"/>
  <c r="Q12" i="17"/>
  <c r="R12" i="17"/>
  <c r="S12" i="17"/>
  <c r="T9" i="17"/>
  <c r="U9" i="17"/>
  <c r="Q13" i="17"/>
  <c r="R13" i="17"/>
  <c r="S13" i="17"/>
  <c r="T10" i="17"/>
  <c r="U10" i="17"/>
  <c r="Q4" i="17"/>
  <c r="R4" i="17"/>
  <c r="S4" i="17"/>
  <c r="T13" i="17"/>
  <c r="U13" i="17"/>
  <c r="B1" i="21" a="1"/>
  <c r="B1" i="21" s="1"/>
  <c r="F2" i="21"/>
  <c r="E2" i="21"/>
  <c r="E3" i="21" s="1"/>
  <c r="C2" i="21" a="1"/>
  <c r="C2" i="21" s="1"/>
  <c r="H7" i="17"/>
  <c r="R14" i="17" l="1"/>
  <c r="U14" i="17"/>
  <c r="Q14" i="17"/>
  <c r="T14" i="17"/>
  <c r="S14" i="17"/>
  <c r="X13" i="17" l="1"/>
  <c r="W13" i="17"/>
  <c r="V13" i="17"/>
  <c r="X12" i="17"/>
  <c r="W12" i="17"/>
  <c r="V12" i="17"/>
  <c r="X11" i="17"/>
  <c r="W11" i="17"/>
  <c r="V11" i="17"/>
  <c r="X10" i="17"/>
  <c r="W10" i="17"/>
  <c r="V10" i="17"/>
  <c r="X9" i="17"/>
  <c r="W9" i="17"/>
  <c r="V9" i="17"/>
  <c r="X8" i="17"/>
  <c r="W8" i="17"/>
  <c r="V8" i="17"/>
  <c r="X7" i="17"/>
  <c r="W7" i="17"/>
  <c r="V7" i="17"/>
  <c r="X6" i="17"/>
  <c r="W6" i="17"/>
  <c r="V6" i="17"/>
  <c r="X5" i="17"/>
  <c r="W5" i="17"/>
  <c r="V5" i="17"/>
  <c r="X4" i="17"/>
  <c r="W4" i="17"/>
  <c r="X3" i="17"/>
  <c r="W3" i="17"/>
  <c r="V4" i="17"/>
  <c r="V3" i="17"/>
  <c r="N13" i="17"/>
  <c r="N12" i="17"/>
  <c r="N11" i="17"/>
  <c r="N10" i="17"/>
  <c r="N9" i="17"/>
  <c r="N8" i="17"/>
  <c r="N7" i="17"/>
  <c r="N6" i="17"/>
  <c r="N5" i="17"/>
  <c r="N4" i="17"/>
  <c r="N3" i="17"/>
  <c r="B3" i="17" l="1"/>
  <c r="B2" i="17"/>
  <c r="B4" i="17" l="1"/>
  <c r="B14" i="17"/>
  <c r="B9" i="17"/>
  <c r="B13" i="17"/>
  <c r="B12" i="17"/>
  <c r="B11" i="17"/>
  <c r="B10" i="17"/>
  <c r="B8" i="17"/>
  <c r="B7" i="17"/>
  <c r="H5" i="17"/>
  <c r="X2" i="17" l="1"/>
  <c r="X14" i="17" s="1"/>
  <c r="V2" i="17"/>
  <c r="V14" i="17" s="1"/>
  <c r="W2" i="17"/>
  <c r="W14" i="17" s="1"/>
  <c r="N2" i="17"/>
  <c r="N14" i="17" s="1"/>
  <c r="K15" i="17" l="1"/>
  <c r="K14" i="17"/>
  <c r="K13" i="17"/>
  <c r="K11" i="17"/>
  <c r="K7" i="17"/>
  <c r="K6" i="17"/>
  <c r="K4" i="17"/>
  <c r="K2" i="17"/>
  <c r="K12" i="17" l="1"/>
  <c r="H2" i="17" l="1"/>
  <c r="K8" i="17" l="1"/>
  <c r="K16" i="17"/>
  <c r="K9" i="17" l="1"/>
  <c r="K5" i="17"/>
  <c r="K3" i="17"/>
  <c r="K10" i="17" l="1"/>
  <c r="AC8" i="17" l="1"/>
  <c r="Z2" i="17"/>
  <c r="Z6" i="17"/>
  <c r="Y11" i="17"/>
  <c r="B16" i="17"/>
  <c r="B17" i="17"/>
  <c r="B18" i="17"/>
  <c r="AB9" i="17"/>
  <c r="Y12" i="17"/>
  <c r="O7" i="17"/>
  <c r="P5" i="17"/>
  <c r="B5" i="17"/>
  <c r="B6" i="17"/>
  <c r="C19" i="17"/>
  <c r="E17" i="17"/>
  <c r="E18" i="17"/>
  <c r="E16" i="17"/>
  <c r="AB10" i="17"/>
  <c r="Y2" i="17"/>
  <c r="P3" i="17"/>
  <c r="P4" i="17"/>
  <c r="Z13" i="17"/>
  <c r="P6" i="17"/>
  <c r="E5" i="17"/>
  <c r="O4" i="17"/>
  <c r="P2" i="17"/>
  <c r="P8" i="17"/>
  <c r="Z8" i="17"/>
  <c r="P12" i="17"/>
  <c r="O10" i="17"/>
  <c r="P9" i="17"/>
  <c r="P13" i="17"/>
  <c r="O9" i="17"/>
  <c r="P11" i="17"/>
  <c r="E19" i="17"/>
  <c r="Z3" i="17"/>
  <c r="B19" i="17"/>
  <c r="P10" i="17"/>
  <c r="O5" i="17"/>
  <c r="P7" i="17"/>
  <c r="E6" i="17"/>
  <c r="O13" i="17"/>
  <c r="Y5" i="17"/>
  <c r="Y3" i="17"/>
  <c r="O3" i="17"/>
  <c r="Z10" i="17"/>
  <c r="Z9" i="17"/>
  <c r="Z12" i="17"/>
  <c r="Z4" i="17"/>
  <c r="Y7" i="17"/>
  <c r="Z7" i="17"/>
  <c r="O12" i="17"/>
  <c r="Z5" i="17"/>
  <c r="O2" i="17"/>
  <c r="O11" i="17"/>
  <c r="Y10" i="17"/>
  <c r="O6" i="17"/>
  <c r="Y6" i="17"/>
  <c r="Y9" i="17"/>
  <c r="Y4" i="17"/>
  <c r="Y8" i="17"/>
  <c r="Z11" i="17"/>
  <c r="AC4" i="17"/>
  <c r="O8" i="17"/>
  <c r="Y13" i="17"/>
  <c r="AA7" i="17"/>
  <c r="AC11" i="17"/>
  <c r="AA8" i="17"/>
  <c r="AB3" i="17"/>
  <c r="AC3" i="17"/>
  <c r="AA9" i="17"/>
  <c r="AA4" i="17"/>
  <c r="AC9" i="17"/>
  <c r="AB6" i="17"/>
  <c r="AA11" i="17"/>
  <c r="AB11" i="17"/>
  <c r="AC5" i="17"/>
  <c r="AC6" i="17"/>
  <c r="AC13" i="17"/>
  <c r="AC12" i="17"/>
  <c r="AC7" i="17"/>
  <c r="AC10" i="17"/>
  <c r="AB12" i="17"/>
  <c r="AC2" i="17"/>
  <c r="AA13" i="17"/>
  <c r="AA10" i="17"/>
  <c r="AA5" i="17"/>
  <c r="AB8" i="17"/>
  <c r="AB13" i="17"/>
  <c r="AB2" i="17"/>
  <c r="AA12" i="17"/>
  <c r="AB7" i="17"/>
  <c r="AA6" i="17"/>
  <c r="AA3" i="17"/>
  <c r="AB4" i="17"/>
  <c r="AB5" i="17"/>
  <c r="AA2" i="17"/>
  <c r="O14" i="17" l="1"/>
  <c r="P14" i="17"/>
  <c r="Y14" i="17"/>
  <c r="AC14" i="17"/>
  <c r="AA14" i="17"/>
  <c r="AB14" i="17"/>
  <c r="Z14" i="17"/>
  <c r="E15" i="17" a="1"/>
  <c r="E15" i="17" l="1"/>
  <c r="B15" i="17" a="1"/>
  <c r="B15" i="17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<sst xmlns="http://schemas.openxmlformats.org/spreadsheetml/2006/main" count="113" uniqueCount="97">
  <si>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</si>
  <si>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</si>
  <si>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</si>
  <si>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</si>
  <si>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</si>
  <si>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</si>
  <si>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</si>
  <si>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</si>
  <si>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</si>
  <si>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</si>
  <si>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</si>
  <si>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</si>
  <si>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</si>
  <si>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</si>
  <si>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</si>
  <si>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</si>
  <si>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</si>
  <si>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</si>
  <si>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</si>
  <si>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</si>
  <si>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</si>
  <si>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</si>
  <si>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</si>
  <si>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</si>
  <si>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</si>
  <si>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</si>
  <si>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</si>
  <si>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</si>
  <si>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</si>
  <si>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</si>
  <si>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</si>
  <si>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</si>
  <si>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</si>
  <si>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</si>
  <si>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</si>
  <si>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</si>
  <si>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</si>
  <si>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</si>
  <si>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</si>
  <si>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</si>
  <si>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</si>
  <si>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</si>
  <si>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</si>
  <si>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</si>
  <si>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</si>
  <si>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</si>
  <si>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</si>
  <si>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</si>
  <si>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</si>
  <si>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</si>
  <si>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</si>
  <si>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</si>
  <si>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</si>
  <si>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</si>
  <si>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</si>
  <si>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</si>
  <si>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</si>
  <si>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</si>
  <si>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</si>
  <si>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Jours fériés</t>
  </si>
  <si>
    <t>Jours fériés le week-end</t>
  </si>
  <si>
    <t>Jour travaillé par semaine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</si>
  <si>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</si>
  <si>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</si>
  <si>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</si>
  <si>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</si>
  <si>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</si>
  <si>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</si>
  <si>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</si>
  <si>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</si>
  <si>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</si>
  <si>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</si>
  <si>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</si>
  <si>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</si>
  <si>
    <t>Jours fériés en semaine</t>
  </si>
  <si>
    <t>Lundi</t>
  </si>
  <si>
    <t>Mardi</t>
  </si>
  <si>
    <t>Mercredi</t>
  </si>
  <si>
    <t>Jeudi</t>
  </si>
  <si>
    <t>Vendredi</t>
  </si>
  <si>
    <t>Jours fériés le samedi</t>
  </si>
  <si>
    <t>Jours fériés le dimanche</t>
  </si>
  <si>
    <t>Jours ouvrés</t>
  </si>
  <si>
    <t>Nombre de jours ouvrables</t>
  </si>
  <si>
    <t>Nombre de jours fériés le samedi</t>
  </si>
  <si>
    <t>Nombre de jours fériés le dimanche</t>
  </si>
  <si>
    <t>Nombre de jours fériés</t>
  </si>
  <si>
    <t>Nombre de samedis</t>
  </si>
  <si>
    <t>Nombre de dimanches</t>
  </si>
  <si>
    <t>Nombre de lundis</t>
  </si>
  <si>
    <t>Nombre de mardis</t>
  </si>
  <si>
    <t>Nombre de mercredis</t>
  </si>
  <si>
    <t>Nombre de jeudis</t>
  </si>
  <si>
    <t>Nombre de vendredis</t>
  </si>
  <si>
    <t>Nombre de samedis et dimanches</t>
  </si>
  <si>
    <t>Samedi et dimanche</t>
  </si>
  <si>
    <t>Congés acquis en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</si>
</sst>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  <font>
      <sz val="11"/>
      <color theme="0"/>
      <name val="Bahnschrift"/>
      <family val="2"/>
    </font>
    <font>
      <sz val="9"/>
      <color rgb="FFFF0000"/>
      <name val="Bahnschrif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gradientFill>
        <stop position="0">
          <color theme="0"/>
        </stop>
        <stop position="0.5">
          <color rgb="FF92D050"/>
        </stop>
        <stop position="1">
          <color theme="0"/>
        </stop>
      </gradient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70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left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24" fillId="5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24" fillId="5" borderId="0" xfId="0" applyFont="1" applyFill="1" applyAlignment="1">
      <alignment horizontal="center" vertical="center" wrapText="1"/>
    </xf>
    <xf numFmtId="1" fontId="24" fillId="5" borderId="0" xfId="0" applyNumberFormat="1" applyFont="1" applyFill="1" applyAlignment="1">
      <alignment horizontal="center" vertical="center"/>
    </xf>
    <xf numFmtId="0" fontId="25" fillId="5" borderId="0" xfId="0" applyFont="1" applyFill="1" applyAlignment="1">
      <alignment horizontal="center" vertical="center"/>
    </xf>
    <xf numFmtId="164" fontId="20" fillId="5" borderId="0" xfId="0" applyNumberFormat="1" applyFont="1" applyFill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45720</xdr:rowOff>
    </xdr:from>
    <xdr:to>
      <xdr:col>10</xdr:col>
      <xdr:colOff>586739</xdr:colOff>
      <xdr:row>9</xdr:row>
      <xdr:rowOff>276225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</xdr:row>
          <xdr:rowOff>60960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2</xdr:row>
          <xdr:rowOff>60960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3</xdr:row>
          <xdr:rowOff>60960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4</xdr:row>
          <xdr:rowOff>60960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5</xdr:row>
          <xdr:rowOff>60960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6</xdr:row>
          <xdr:rowOff>60960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7</xdr:row>
          <xdr:rowOff>60960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8</xdr:row>
          <xdr:rowOff>60960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9</xdr:row>
          <xdr:rowOff>60960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10</xdr:row>
          <xdr:rowOff>60960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8</v>
    <v>1</v>
  </rv>
  <rv s="1">
    <v>0</v>
    <v>8</v>
    <v>28</v>
    <v>5</v>
  </rv>
</rvData>
</file>

<file path=xl/richData/rdrichvaluestructure.xml><?xml version="1.0" encoding="utf-8"?>
<rvStructures xmlns="http://schemas.microsoft.com/office/spreadsheetml/2017/richdata" count="2">
  <s t="_error">
    <k n="errorType" t="i"/>
    <k n="propagated" t="b"/>
  </s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C5700F-39D9-4D9D-B445-973BCE71562B}" name="Février" displayName="Février" ref="A2:L31" totalsRowShown="0" headerRowDxfId="18" dataDxfId="17">
  <sortState xmlns:xlrd2="http://schemas.microsoft.com/office/spreadsheetml/2017/richdata2" ref="A3:L31">
    <sortCondition ref="B2:B31"/>
  </sortState>
  <tableColumns count="12">
    <tableColumn id="1" xr3:uid="{B4320BAD-8B6C-4402-9B33-6DC9C6CBAA49}" name="Semaine" dataDxfId="16"/>
    <tableColumn id="2" xr3:uid="{241220C1-2772-4094-B54F-83025275C82C}" name="Date" dataDxfId="0">
      <calculatedColumnFormula>DATE(Détails!$A$1,1,1)</calculatedColumnFormula>
    </tableColumn>
    <tableColumn id="3" xr3:uid="{51D2967C-F3DD-4013-BD7A-5DCB99652B51}" name="Ordre" dataDxfId="15"/>
    <tableColumn id="4" xr3:uid="{6CB6AFC8-5662-49A7-810B-7183BA912FBC}" name="Ouverture de poste" dataDxfId="14"/>
    <tableColumn id="12" xr3:uid="{1183BA25-5F0B-44D6-B0FB-1019002A46F7}" name="Pause entre 06:00 et 21:00" dataDxfId="13"/>
    <tableColumn id="5" xr3:uid="{1A9856AF-0145-41D7-A332-56DDB17D15B5}" name="Pause entre 21:00 et 06:00" dataDxfId="12"/>
    <tableColumn id="6" xr3:uid="{C710A357-B5C7-405B-9DF8-14A2FB12FDDE}" name="Fermeture de poste" dataDxfId="11"/>
    <tableColumn id="7" xr3:uid="{7D34F368-9DF5-431E-9CE1-15764B0C31AD}" name="Total Heures" dataDxfId="10"/>
    <tableColumn id="8" xr3:uid="{5CB6A4C0-B744-4C95-9151-36DDA2166322}" name="Heures de jour" dataDxfId="9"/>
    <tableColumn id="9" xr3:uid="{A50EF8E1-23C6-4F9F-8945-716B3FBEBCCA}" name="Heures de nuit" dataDxfId="8"/>
    <tableColumn id="10" xr3:uid="{278F9091-8906-4165-970F-191AC2708F3F}" name="Total semaine" dataDxfId="7"/>
    <tableColumn id="11" xr3:uid="{5839DA0B-3A6D-46B2-A1F9-EA4A3D102268}" name="Heures supplémentaires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sheetPr codeName="Feuil2"/>
  <dimension ref="A1:F11"/>
  <sheetViews>
    <sheetView zoomScaleNormal="100" workbookViewId="0">
      <selection activeCell="G1" sqref="G1"/>
    </sheetView>
  </sheetViews>
  <sheetFormatPr baseColWidth="10" defaultColWidth="10.6640625" defaultRowHeight="10.199999999999999" customHeight="1" x14ac:dyDescent="0.3"/>
  <cols>
    <col min="1" max="1" width="60.6640625" style="18" customWidth="1"/>
    <col min="2" max="2" width="10.6640625" style="18"/>
    <col min="3" max="3" width="60.6640625" style="52" customWidth="1"/>
    <col min="4" max="4" width="10.6640625" style="18"/>
    <col min="5" max="6" width="10.6640625" style="18" hidden="1" customWidth="1"/>
    <col min="7" max="16384" width="10.6640625" style="18"/>
  </cols>
  <sheetData>
    <row r="1" spans="1:6" ht="30" customHeight="1" x14ac:dyDescent="0.3">
      <c r="A1" s="57" t="s">
        <v>63</v>
      </c>
      <c r="B1" s="48" t="str" cm="1">
        <f t="array" ref="B1">COUNTIF(B2:B11,TRUE)&amp;"/"&amp;COUNTA(B2:B11="Vrai")</f>
        <v>0/10</v>
      </c>
      <c r="C1" s="56" t="s">
        <v>64</v>
      </c>
      <c r="E1" s="18" t="s">
        <v>65</v>
      </c>
      <c r="F1" s="18" t="s">
        <v>66</v>
      </c>
    </row>
    <row r="2" spans="1:6" ht="30" customHeight="1" x14ac:dyDescent="0.3">
      <c r="A2" s="51" t="s">
        <v>67</v>
      </c>
      <c r="B2" s="49" t="b">
        <v>0</v>
      </c>
      <c r="C2" s="51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3">
      <c r="A3" s="51" t="s">
        <v>70</v>
      </c>
      <c r="B3" s="49" t="b">
        <v>0</v>
      </c>
      <c r="C3" s="51" t="str">
        <v>Renseigner le nombre de jous travaillés en semaine, en cellule Détails!E3.</v>
      </c>
      <c r="E3" s="50">
        <f>E2/COUNTA(B2:B11)</f>
        <v>0</v>
      </c>
    </row>
    <row r="4" spans="1:6" ht="30" customHeight="1" x14ac:dyDescent="0.3">
      <c r="A4" s="51" t="s">
        <v>68</v>
      </c>
      <c r="B4" s="49" t="b">
        <v>0</v>
      </c>
      <c r="C4" s="51" t="str">
        <v>Renseigner le nombre d'heures mensuelles, en cellule Détails!E5.</v>
      </c>
    </row>
    <row r="5" spans="1:6" ht="30" customHeight="1" x14ac:dyDescent="0.3">
      <c r="A5" s="51" t="s">
        <v>72</v>
      </c>
      <c r="B5" s="49" t="b">
        <v>0</v>
      </c>
      <c r="C5" s="51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3">
      <c r="A6" s="51" t="s">
        <v>73</v>
      </c>
      <c r="B6" s="49" t="b">
        <v>0</v>
      </c>
      <c r="C6" s="51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3">
      <c r="A7" s="51" t="s">
        <v>69</v>
      </c>
      <c r="B7" s="49" t="b">
        <v>0</v>
      </c>
      <c r="C7" s="51" t="str">
        <v>Renseigner les heures de nuit, en cellule Détails!D11 et Détails!E11.</v>
      </c>
    </row>
    <row r="8" spans="1:6" ht="30" customHeight="1" x14ac:dyDescent="0.3">
      <c r="A8" s="51" t="s">
        <v>71</v>
      </c>
      <c r="B8" s="49" t="b">
        <v>0</v>
      </c>
      <c r="C8" s="51" t="str">
        <v xml:space="preserve">Repporter le nombre de congés payés N-1 (en cellule Absences!E5) et N (en cellule Absences!E9) acquis. </v>
      </c>
    </row>
    <row r="9" spans="1:6" ht="30" customHeight="1" x14ac:dyDescent="0.3">
      <c r="A9" s="51">
        <v>8</v>
      </c>
      <c r="B9" s="49" t="b">
        <v>0</v>
      </c>
      <c r="C9" s="51">
        <v>8</v>
      </c>
    </row>
    <row r="10" spans="1:6" ht="30" customHeight="1" x14ac:dyDescent="0.3">
      <c r="A10" s="51">
        <v>9</v>
      </c>
      <c r="B10" s="49" t="b">
        <v>0</v>
      </c>
      <c r="C10" s="51">
        <v>9</v>
      </c>
    </row>
    <row r="11" spans="1:6" ht="30" customHeight="1" x14ac:dyDescent="0.3">
      <c r="A11" s="51">
        <v>10</v>
      </c>
      <c r="B11" s="49" t="b">
        <v>0</v>
      </c>
      <c r="C11" s="51">
        <v>10</v>
      </c>
    </row>
  </sheetData>
  <conditionalFormatting sqref="A2:B11">
    <cfRule type="expression" dxfId="5" priority="1">
      <formula>$B2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4" name="Check Box 57">
              <controlPr defaultSize="0" autoFill="0" autoLine="0" autoPict="0">
                <anchor moveWithCells="1">
                  <from>
                    <xdr:col>1</xdr:col>
                    <xdr:colOff>259080</xdr:colOff>
                    <xdr:row>1</xdr:row>
                    <xdr:rowOff>60960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5" name="Check Box 85">
              <controlPr defaultSize="0" autoFill="0" autoLine="0" autoPict="0">
                <anchor moveWithCells="1">
                  <from>
                    <xdr:col>1</xdr:col>
                    <xdr:colOff>259080</xdr:colOff>
                    <xdr:row>2</xdr:row>
                    <xdr:rowOff>60960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6" name="Check Box 86">
              <controlPr defaultSize="0" autoFill="0" autoLine="0" autoPict="0">
                <anchor moveWithCells="1">
                  <from>
                    <xdr:col>1</xdr:col>
                    <xdr:colOff>259080</xdr:colOff>
                    <xdr:row>3</xdr:row>
                    <xdr:rowOff>60960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7" name="Check Box 87">
              <controlPr defaultSize="0" autoFill="0" autoLine="0" autoPict="0">
                <anchor moveWithCells="1">
                  <from>
                    <xdr:col>1</xdr:col>
                    <xdr:colOff>259080</xdr:colOff>
                    <xdr:row>4</xdr:row>
                    <xdr:rowOff>60960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8" name="Check Box 88">
              <controlPr defaultSize="0" autoFill="0" autoLine="0" autoPict="0">
                <anchor moveWithCells="1">
                  <from>
                    <xdr:col>1</xdr:col>
                    <xdr:colOff>259080</xdr:colOff>
                    <xdr:row>5</xdr:row>
                    <xdr:rowOff>60960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9" name="Check Box 89">
              <controlPr defaultSize="0" autoFill="0" autoLine="0" autoPict="0">
                <anchor moveWithCells="1">
                  <from>
                    <xdr:col>1</xdr:col>
                    <xdr:colOff>259080</xdr:colOff>
                    <xdr:row>6</xdr:row>
                    <xdr:rowOff>60960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10" name="Check Box 90">
              <controlPr defaultSize="0" autoFill="0" autoLine="0" autoPict="0">
                <anchor moveWithCells="1">
                  <from>
                    <xdr:col>1</xdr:col>
                    <xdr:colOff>259080</xdr:colOff>
                    <xdr:row>7</xdr:row>
                    <xdr:rowOff>60960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1" name="Check Box 91">
              <controlPr defaultSize="0" autoFill="0" autoLine="0" autoPict="0">
                <anchor moveWithCells="1">
                  <from>
                    <xdr:col>1</xdr:col>
                    <xdr:colOff>259080</xdr:colOff>
                    <xdr:row>8</xdr:row>
                    <xdr:rowOff>60960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2" name="Check Box 92">
              <controlPr defaultSize="0" autoFill="0" autoLine="0" autoPict="0">
                <anchor moveWithCells="1">
                  <from>
                    <xdr:col>1</xdr:col>
                    <xdr:colOff>259080</xdr:colOff>
                    <xdr:row>9</xdr:row>
                    <xdr:rowOff>60960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3" name="Check Box 93">
              <controlPr defaultSize="0" autoFill="0" autoLine="0" autoPict="0">
                <anchor moveWithCells="1">
                  <from>
                    <xdr:col>1</xdr:col>
                    <xdr:colOff>259080</xdr:colOff>
                    <xdr:row>10</xdr:row>
                    <xdr:rowOff>60960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9"/>
  <sheetViews>
    <sheetView zoomScale="85" zoomScaleNormal="85" workbookViewId="0">
      <selection activeCell="A2" sqref="A2"/>
    </sheetView>
  </sheetViews>
  <sheetFormatPr baseColWidth="10" defaultColWidth="11.5546875" defaultRowHeight="11.4" x14ac:dyDescent="0.3"/>
  <cols>
    <col min="1" max="2" width="30.6640625" style="3" customWidth="1"/>
    <col min="3" max="3" width="8.6640625" style="3" customWidth="1"/>
    <col min="4" max="5" width="30.6640625" style="3" customWidth="1"/>
    <col min="6" max="6" width="8.6640625" style="3" customWidth="1"/>
    <col min="7" max="8" width="30.6640625" style="3" customWidth="1"/>
    <col min="9" max="9" width="8.6640625" style="3" customWidth="1"/>
    <col min="10" max="11" width="30.6640625" style="3" customWidth="1"/>
    <col min="12" max="12" width="8.6640625" style="3" customWidth="1"/>
    <col min="13" max="29" width="20.6640625" style="3" customWidth="1"/>
    <col min="30" max="16384" width="11.5546875" style="3"/>
  </cols>
  <sheetData>
    <row r="1" spans="1:29" ht="30" customHeight="1" x14ac:dyDescent="0.3">
      <c r="A1" s="68">
        <v>2024</v>
      </c>
      <c r="B1" s="69"/>
      <c r="C1" s="1"/>
      <c r="D1" s="62" t="s">
        <v>52</v>
      </c>
      <c r="E1" s="63"/>
      <c r="F1" s="1"/>
      <c r="G1" s="65" t="s">
        <v>36</v>
      </c>
      <c r="H1" s="65"/>
      <c r="I1" s="2"/>
      <c r="J1" s="64" t="s">
        <v>20</v>
      </c>
      <c r="K1" s="64"/>
      <c r="M1" s="55">
        <f>A1</f>
        <v>2024</v>
      </c>
      <c r="N1" s="6" t="s">
        <v>55</v>
      </c>
      <c r="O1" s="6" t="s">
        <v>82</v>
      </c>
      <c r="P1" s="6" t="s">
        <v>56</v>
      </c>
      <c r="Q1" s="6" t="s">
        <v>75</v>
      </c>
      <c r="R1" s="6" t="s">
        <v>76</v>
      </c>
      <c r="S1" s="6" t="s">
        <v>77</v>
      </c>
      <c r="T1" s="6" t="s">
        <v>78</v>
      </c>
      <c r="U1" s="6" t="s">
        <v>79</v>
      </c>
      <c r="V1" s="6" t="s">
        <v>57</v>
      </c>
      <c r="W1" s="6" t="s">
        <v>58</v>
      </c>
      <c r="X1" s="6" t="s">
        <v>95</v>
      </c>
      <c r="Y1" s="6" t="s">
        <v>59</v>
      </c>
      <c r="Z1" s="6" t="s">
        <v>74</v>
      </c>
      <c r="AA1" s="6" t="s">
        <v>80</v>
      </c>
      <c r="AB1" s="6" t="s">
        <v>81</v>
      </c>
      <c r="AC1" s="15" t="s">
        <v>60</v>
      </c>
    </row>
    <row r="2" spans="1:29" ht="30" customHeight="1" x14ac:dyDescent="0.3">
      <c r="A2" s="4" t="s">
        <v>46</v>
      </c>
      <c r="B2" s="4">
        <f>DATE(A1,1,1)</f>
        <v>45292</v>
      </c>
      <c r="C2" s="5"/>
      <c r="D2" s="6" t="s">
        <v>44</v>
      </c>
      <c r="E2" s="4">
        <v>45413</v>
      </c>
      <c r="F2" s="5"/>
      <c r="G2" s="6" t="s">
        <v>37</v>
      </c>
      <c r="H2" s="7">
        <f>H4/H3</f>
        <v>0.32500000000000001</v>
      </c>
      <c r="I2" s="8"/>
      <c r="J2" s="9" t="s">
        <v>21</v>
      </c>
      <c r="K2" s="4">
        <f>DATE(A1,1,1)</f>
        <v>45292</v>
      </c>
      <c r="M2" s="6" t="s">
        <v>1</v>
      </c>
      <c r="N2" s="11" t="e">
        <f>DAY(EOMONTH(#REF!,0))</f>
        <v>#REF!</v>
      </c>
      <c r="O2" s="11" t="e">
        <f>NETWORKDAYS.INTL(#REF!,EOMONTH(#REF!,0),,$K$2:$K$16)</f>
        <v>#REF!</v>
      </c>
      <c r="P2" s="11" t="e">
        <f>NETWORKDAYS.INTL(#REF!,EOMONTH(#REF!,0),"0000001",$K$2:$K$16)</f>
        <v>#REF!</v>
      </c>
      <c r="Q2" s="11" t="e">
        <f>NETWORKDAYS.INTL(#REF!,EOMONTH(#REF!,0),"0111111")</f>
        <v>#REF!</v>
      </c>
      <c r="R2" s="11" t="e">
        <f>NETWORKDAYS.INTL(#REF!,EOMONTH(#REF!,0),"1011111")</f>
        <v>#REF!</v>
      </c>
      <c r="S2" s="11" t="e">
        <f>NETWORKDAYS.INTL(#REF!,EOMONTH(#REF!,0),"1101111")</f>
        <v>#REF!</v>
      </c>
      <c r="T2" s="11" t="e">
        <f>NETWORKDAYS.INTL(#REF!,EOMONTH(#REF!,0),"1110111")</f>
        <v>#REF!</v>
      </c>
      <c r="U2" s="11" t="e">
        <f>NETWORKDAYS.INTL(#REF!,EOMONTH(#REF!,0),"1111011")</f>
        <v>#REF!</v>
      </c>
      <c r="V2" s="11" t="e">
        <f>NETWORKDAYS.INTL(#REF!,EOMONTH(#REF!,0),"1111101")</f>
        <v>#REF!</v>
      </c>
      <c r="W2" s="11" t="e">
        <f>NETWORKDAYS.INTL(#REF!,EOMONTH(#REF!,0),"1111110")</f>
        <v>#REF!</v>
      </c>
      <c r="X2" s="11" t="e">
        <f>NETWORKDAYS.INTL(#REF!,EOMONTH(#REF!,0),"1111100")</f>
        <v>#REF!</v>
      </c>
      <c r="Y2" s="11" t="e">
        <f>DAY(EOMONTH(#REF!,0))-NETWORKDAYS.INTL(#REF!,EOMONTH(#REF!,0),"0000000",$K$2:$K$16)</f>
        <v>#REF!</v>
      </c>
      <c r="Z2" s="11" t="e">
        <f>NETWORKDAYS.INTL(#REF!,EOMONTH(#REF!,0),"0000011")-NETWORKDAYS.INTL(#REF!,EOMONTH(#REF!,0),"0000011",$K$2:$K$16)</f>
        <v>#REF!</v>
      </c>
      <c r="AA2" s="11" t="e">
        <f>NETWORKDAYS.INTL(#REF!,EOMONTH(#REF!,0),"1111101")-NETWORKDAYS.INTL(#REF!,EOMONTH(#REF!,0),"1111101",$K$2:$K$16)</f>
        <v>#REF!</v>
      </c>
      <c r="AB2" s="11" t="e">
        <f>NETWORKDAYS.INTL(#REF!,EOMONTH(#REF!,0),"1111110")-NETWORKDAYS.INTL(#REF!,EOMONTH(#REF!,0),"1111110",$K$2:$K$16)</f>
        <v>#REF!</v>
      </c>
      <c r="AC2" s="11" t="e">
        <f>NETWORKDAYS.INTL(#REF!,EOMONTH(#REF!,0),"1111100")-NETWORKDAYS.INTL(#REF!,EOMONTH(#REF!,0),"1111100",$K$2:$K$16)</f>
        <v>#REF!</v>
      </c>
    </row>
    <row r="3" spans="1:29" ht="30" customHeight="1" x14ac:dyDescent="0.3">
      <c r="A3" s="4" t="s">
        <v>47</v>
      </c>
      <c r="B3" s="4">
        <f>DATE(A1,12,31)</f>
        <v>45657</v>
      </c>
      <c r="C3" s="5"/>
      <c r="D3" s="6" t="s">
        <v>45</v>
      </c>
      <c r="E3" s="4">
        <v>45432</v>
      </c>
      <c r="F3" s="5"/>
      <c r="G3" s="6" t="s">
        <v>61</v>
      </c>
      <c r="H3" s="6">
        <v>5</v>
      </c>
      <c r="I3" s="8"/>
      <c r="J3" s="9" t="s">
        <v>22</v>
      </c>
      <c r="K3" s="4">
        <f>K4-2</f>
        <v>45380</v>
      </c>
      <c r="M3" s="6" t="s">
        <v>2</v>
      </c>
      <c r="N3" s="11" t="e" vm="1">
        <f ca="1">DAY(EOMONTH(Février!$B$3,0))</f>
        <v>#VALUE!</v>
      </c>
      <c r="O3" s="11" t="e" vm="1">
        <f ca="1">NETWORKDAYS.INTL(Février!$B$3,EOMONTH(Février!$B$3,0),,$K$2:$K$16)</f>
        <v>#VALUE!</v>
      </c>
      <c r="P3" s="11" t="e" vm="1">
        <f ca="1">NETWORKDAYS.INTL(Février!$B$3,EOMONTH(Février!$B$3,0),"0000001",$K$2:$K$16)</f>
        <v>#VALUE!</v>
      </c>
      <c r="Q3" s="11" t="e" vm="1">
        <f ca="1">NETWORKDAYS.INTL(Février!$B$3,EOMONTH(Février!$B$3,0),"0111111")</f>
        <v>#VALUE!</v>
      </c>
      <c r="R3" s="11" t="e" vm="1">
        <f ca="1">NETWORKDAYS.INTL(Février!$B$3,EOMONTH(Février!$B$3,0),"1011111")</f>
        <v>#VALUE!</v>
      </c>
      <c r="S3" s="11" t="e" vm="1">
        <f ca="1">NETWORKDAYS.INTL(Février!$B$3,EOMONTH(Février!$B$3,0),"1101111")</f>
        <v>#VALUE!</v>
      </c>
      <c r="T3" s="11" t="e" vm="1">
        <f ca="1">NETWORKDAYS.INTL(Février!$B$3,EOMONTH(Février!$B$3,0),"1110111")</f>
        <v>#VALUE!</v>
      </c>
      <c r="U3" s="11" t="e" vm="1">
        <f ca="1">NETWORKDAYS.INTL(Février!$B$3,EOMONTH(Février!$B$3,0),"1111011")</f>
        <v>#VALUE!</v>
      </c>
      <c r="V3" s="11" t="e" vm="1">
        <f ca="1">NETWORKDAYS.INTL(Février!$B$3,EOMONTH(Février!$B$3,0),"1111101")</f>
        <v>#VALUE!</v>
      </c>
      <c r="W3" s="11" t="e" vm="1">
        <f ca="1">NETWORKDAYS.INTL(Février!$B$3,EOMONTH(Février!$B$3,0),"1111110")</f>
        <v>#VALUE!</v>
      </c>
      <c r="X3" s="11" t="e" vm="1">
        <f ca="1">NETWORKDAYS.INTL(Février!$B$3,EOMONTH(Février!$B$3,0),"1111100")</f>
        <v>#VALUE!</v>
      </c>
      <c r="Y3" s="11" t="e" vm="1">
        <f ca="1">DAY(EOMONTH(Février!$B$3,0))-NETWORKDAYS.INTL(Février!$B$3,EOMONTH(Février!$B$3,0),"0000000",$K$2:$K$16)</f>
        <v>#VALUE!</v>
      </c>
      <c r="Z3" s="11" t="e" vm="1">
        <f ca="1">NETWORKDAYS.INTL(Février!$B$3,EOMONTH(Février!$B$3,0),"0000011")-NETWORKDAYS.INTL(Février!$B$3,EOMONTH(Février!$B$3,0),"0000011",$K$2:$K$16)</f>
        <v>#VALUE!</v>
      </c>
      <c r="AA3" s="11" t="e" vm="1">
        <f ca="1">NETWORKDAYS.INTL(Février!$B$3,EOMONTH(Février!$B$3,0),"1111101")-NETWORKDAYS.INTL(Février!$B$3,EOMONTH(Février!$B$3,0),"1111101",$K$2:$K$16)</f>
        <v>#VALUE!</v>
      </c>
      <c r="AB3" s="11" t="e" vm="1">
        <f ca="1">NETWORKDAYS.INTL(Février!$B$3,EOMONTH(Février!$B$3,0),"1111110")-NETWORKDAYS.INTL(Février!$B$3,EOMONTH(Février!$B$3,0),"1111110",$K$2:$K$16)</f>
        <v>#VALUE!</v>
      </c>
      <c r="AC3" s="11" t="e" vm="1">
        <f ca="1">NETWORKDAYS.INTL(Février!$B$3,EOMONTH(Février!$B$3,0),"1111100")-NETWORKDAYS.INTL(Février!$B$3,EOMONTH(Février!$B$3,0),"1111100",$K$2:$K$16)</f>
        <v>#VALUE!</v>
      </c>
    </row>
    <row r="4" spans="1:29" ht="30" customHeight="1" x14ac:dyDescent="0.3">
      <c r="A4" s="6" t="s">
        <v>48</v>
      </c>
      <c r="B4" s="11">
        <f>+$B$3-$B$2+1</f>
        <v>366</v>
      </c>
      <c r="C4" s="12"/>
      <c r="D4" s="6" t="s">
        <v>53</v>
      </c>
      <c r="E4" s="11">
        <f>+$E$3-$E$2+1</f>
        <v>20</v>
      </c>
      <c r="F4" s="12"/>
      <c r="G4" s="6" t="s">
        <v>38</v>
      </c>
      <c r="H4" s="7">
        <v>1.625</v>
      </c>
      <c r="I4" s="13"/>
      <c r="J4" s="9" t="s">
        <v>35</v>
      </c>
      <c r="K4" s="4">
        <f>ROUND(DATE(A1,4,MOD(234-11*MOD($A$1,19),30))/7,)*7-6</f>
        <v>45382</v>
      </c>
      <c r="M4" s="6" t="s">
        <v>3</v>
      </c>
      <c r="N4" s="11" t="e">
        <f>DAY(EOMONTH(#REF!,0))</f>
        <v>#REF!</v>
      </c>
      <c r="O4" s="11" t="e">
        <f>NETWORKDAYS.INTL(#REF!,EOMONTH(#REF!,0),,$K$2:$K$16)</f>
        <v>#REF!</v>
      </c>
      <c r="P4" s="11" t="e">
        <f>NETWORKDAYS.INTL(#REF!,EOMONTH(#REF!,0),"0000001",$K$2:$K$16)</f>
        <v>#REF!</v>
      </c>
      <c r="Q4" s="11" t="e">
        <f>NETWORKDAYS.INTL(#REF!,EOMONTH(#REF!,0),"0111111")</f>
        <v>#REF!</v>
      </c>
      <c r="R4" s="11" t="e">
        <f>NETWORKDAYS.INTL(#REF!,EOMONTH(#REF!,0),"1011111")</f>
        <v>#REF!</v>
      </c>
      <c r="S4" s="11" t="e">
        <f>NETWORKDAYS.INTL(#REF!,EOMONTH(#REF!,0),"1101111")</f>
        <v>#REF!</v>
      </c>
      <c r="T4" s="11" t="e">
        <f>NETWORKDAYS.INTL(#REF!,EOMONTH(#REF!,0),"1110111")</f>
        <v>#REF!</v>
      </c>
      <c r="U4" s="11" t="e">
        <f>NETWORKDAYS.INTL(#REF!,EOMONTH(#REF!,0),"1111011")</f>
        <v>#REF!</v>
      </c>
      <c r="V4" s="11" t="e">
        <f>NETWORKDAYS.INTL(#REF!,EOMONTH(#REF!,0),"1111101")</f>
        <v>#REF!</v>
      </c>
      <c r="W4" s="11" t="e">
        <f>NETWORKDAYS.INTL(#REF!,EOMONTH(#REF!,0),"1111110")</f>
        <v>#REF!</v>
      </c>
      <c r="X4" s="11" t="e">
        <f>NETWORKDAYS.INTL(#REF!,EOMONTH(#REF!,0),"1111100")</f>
        <v>#REF!</v>
      </c>
      <c r="Y4" s="11" t="e">
        <f>DAY(EOMONTH(#REF!,0))-NETWORKDAYS.INTL(#REF!,EOMONTH(#REF!,0),"0000000",$K$2:$K$16)</f>
        <v>#REF!</v>
      </c>
      <c r="Z4" s="11" t="e">
        <f>NETWORKDAYS.INTL(#REF!,EOMONTH(#REF!,0),"0000011")-NETWORKDAYS.INTL(#REF!,EOMONTH(#REF!,0),"0000011",$K$2:$K$16)</f>
        <v>#REF!</v>
      </c>
      <c r="AA4" s="11" t="e">
        <f>NETWORKDAYS.INTL(#REF!,EOMONTH(#REF!,0),"1111101")-NETWORKDAYS.INTL(#REF!,EOMONTH(#REF!,0),"1111101",$K$2:$K$16)</f>
        <v>#REF!</v>
      </c>
      <c r="AB4" s="11" t="e">
        <f>NETWORKDAYS.INTL(#REF!,EOMONTH(#REF!,0),"1111110")-NETWORKDAYS.INTL(#REF!,EOMONTH(#REF!,0),"1111110",$K$2:$K$16)</f>
        <v>#REF!</v>
      </c>
      <c r="AC4" s="11" t="e">
        <f>NETWORKDAYS.INTL(#REF!,EOMONTH(#REF!,0),"1111100")-NETWORKDAYS.INTL(#REF!,EOMONTH(#REF!,0),"1111100",$K$2:$K$16)</f>
        <v>#REF!</v>
      </c>
    </row>
    <row r="5" spans="1:29" ht="30" customHeight="1" x14ac:dyDescent="0.3">
      <c r="A5" s="6" t="s">
        <v>49</v>
      </c>
      <c r="B5" s="6">
        <f>NETWORKDAYS.INTL(B2,B3,,$K$2:$K$16)</f>
        <v>250</v>
      </c>
      <c r="D5" s="6" t="s">
        <v>49</v>
      </c>
      <c r="E5" s="6">
        <f>NETWORKDAYS.INTL($E$2,$E$3,,$K$2:$K$16)</f>
        <v>10</v>
      </c>
      <c r="G5" s="6" t="s">
        <v>39</v>
      </c>
      <c r="H5" s="7">
        <f>H4*4.33333</f>
        <v>7.0416612500000006</v>
      </c>
      <c r="I5" s="8"/>
      <c r="J5" s="9" t="s">
        <v>23</v>
      </c>
      <c r="K5" s="4">
        <f>K4+1</f>
        <v>45383</v>
      </c>
      <c r="M5" s="6" t="s">
        <v>4</v>
      </c>
      <c r="N5" s="11" t="e">
        <f>DAY(EOMONTH(#REF!,0))</f>
        <v>#REF!</v>
      </c>
      <c r="O5" s="11" t="e">
        <f>NETWORKDAYS.INTL(#REF!,EOMONTH(#REF!,0),,$K$2:$K$16)</f>
        <v>#REF!</v>
      </c>
      <c r="P5" s="11" t="e">
        <f>NETWORKDAYS.INTL(#REF!,EOMONTH(#REF!,0),"0000001",$K$2:$K$16)</f>
        <v>#REF!</v>
      </c>
      <c r="Q5" s="11" t="e">
        <f>NETWORKDAYS.INTL(#REF!,EOMONTH(#REF!,0),"0111111")</f>
        <v>#REF!</v>
      </c>
      <c r="R5" s="11" t="e">
        <f>NETWORKDAYS.INTL(#REF!,EOMONTH(#REF!,0),"1011111")</f>
        <v>#REF!</v>
      </c>
      <c r="S5" s="11" t="e">
        <f>NETWORKDAYS.INTL(#REF!,EOMONTH(#REF!,0),"1101111")</f>
        <v>#REF!</v>
      </c>
      <c r="T5" s="11" t="e">
        <f>NETWORKDAYS.INTL(#REF!,EOMONTH(#REF!,0),"1110111")</f>
        <v>#REF!</v>
      </c>
      <c r="U5" s="11" t="e">
        <f>NETWORKDAYS.INTL(#REF!,EOMONTH(#REF!,0),"1111011")</f>
        <v>#REF!</v>
      </c>
      <c r="V5" s="11" t="e">
        <f>NETWORKDAYS.INTL(#REF!,EOMONTH(#REF!,0),"1111101")</f>
        <v>#REF!</v>
      </c>
      <c r="W5" s="11" t="e">
        <f>NETWORKDAYS.INTL(#REF!,EOMONTH(#REF!,0),"1111110")</f>
        <v>#REF!</v>
      </c>
      <c r="X5" s="11" t="e">
        <f>NETWORKDAYS.INTL(#REF!,EOMONTH(#REF!,0),"1111100")</f>
        <v>#REF!</v>
      </c>
      <c r="Y5" s="11" t="e">
        <f>DAY(EOMONTH(#REF!,0))-NETWORKDAYS.INTL(#REF!,EOMONTH(#REF!,0),"0000000",$K$2:$K$16)</f>
        <v>#REF!</v>
      </c>
      <c r="Z5" s="11" t="e">
        <f>NETWORKDAYS.INTL(#REF!,EOMONTH(#REF!,0),"0000011")-NETWORKDAYS.INTL(#REF!,EOMONTH(#REF!,0),"0000011",$K$2:$K$16)</f>
        <v>#REF!</v>
      </c>
      <c r="AA5" s="11" t="e">
        <f>NETWORKDAYS.INTL(#REF!,EOMONTH(#REF!,0),"1111101")-NETWORKDAYS.INTL(#REF!,EOMONTH(#REF!,0),"1111101",$K$2:$K$16)</f>
        <v>#REF!</v>
      </c>
      <c r="AB5" s="11" t="e">
        <f>NETWORKDAYS.INTL(#REF!,EOMONTH(#REF!,0),"1111110")-NETWORKDAYS.INTL(#REF!,EOMONTH(#REF!,0),"1111110",$K$2:$K$16)</f>
        <v>#REF!</v>
      </c>
      <c r="AC5" s="11" t="e">
        <f>NETWORKDAYS.INTL(#REF!,EOMONTH(#REF!,0),"1111100")-NETWORKDAYS.INTL(#REF!,EOMONTH(#REF!,0),"1111100",$K$2:$K$16)</f>
        <v>#REF!</v>
      </c>
    </row>
    <row r="6" spans="1:29" ht="30" customHeight="1" x14ac:dyDescent="0.3">
      <c r="A6" s="6" t="s">
        <v>83</v>
      </c>
      <c r="B6" s="6">
        <f>NETWORKDAYS.INTL($B$2,$B$3,"0000001",$K$2:$K$16)</f>
        <v>302</v>
      </c>
      <c r="D6" s="6" t="s">
        <v>83</v>
      </c>
      <c r="E6" s="6">
        <f>NETWORKDAYS.INTL($E$2,$E$3,"0000001",$K$2:$K$16)</f>
        <v>13</v>
      </c>
      <c r="G6" s="6" t="s">
        <v>62</v>
      </c>
      <c r="H6" s="6">
        <v>218</v>
      </c>
      <c r="I6" s="8"/>
      <c r="J6" s="9" t="s">
        <v>24</v>
      </c>
      <c r="K6" s="4">
        <f>DATE(A1,5,1)</f>
        <v>45413</v>
      </c>
      <c r="M6" s="6" t="s">
        <v>5</v>
      </c>
      <c r="N6" s="11" t="e">
        <f>DAY(EOMONTH(#REF!,0))</f>
        <v>#REF!</v>
      </c>
      <c r="O6" s="11" t="e">
        <f>NETWORKDAYS.INTL(#REF!,EOMONTH(#REF!,0),,$K$2:$K$16)</f>
        <v>#REF!</v>
      </c>
      <c r="P6" s="11" t="e">
        <f>NETWORKDAYS.INTL(#REF!,EOMONTH(#REF!,0),"0000001",$K$2:$K$16)</f>
        <v>#REF!</v>
      </c>
      <c r="Q6" s="11" t="e">
        <f>NETWORKDAYS.INTL(#REF!,EOMONTH(#REF!,0),"0111111")</f>
        <v>#REF!</v>
      </c>
      <c r="R6" s="11" t="e">
        <f>NETWORKDAYS.INTL(#REF!,EOMONTH(#REF!,0),"1011111")</f>
        <v>#REF!</v>
      </c>
      <c r="S6" s="11" t="e">
        <f>NETWORKDAYS.INTL(#REF!,EOMONTH(#REF!,0),"1101111")</f>
        <v>#REF!</v>
      </c>
      <c r="T6" s="11" t="e">
        <f>NETWORKDAYS.INTL(#REF!,EOMONTH(#REF!,0),"1110111")</f>
        <v>#REF!</v>
      </c>
      <c r="U6" s="11" t="e">
        <f>NETWORKDAYS.INTL(#REF!,EOMONTH(#REF!,0),"1111011")</f>
        <v>#REF!</v>
      </c>
      <c r="V6" s="11" t="e">
        <f>NETWORKDAYS.INTL(#REF!,EOMONTH(#REF!,0),"1111101")</f>
        <v>#REF!</v>
      </c>
      <c r="W6" s="11" t="e">
        <f>NETWORKDAYS.INTL(#REF!,EOMONTH(#REF!,0),"1111110")</f>
        <v>#REF!</v>
      </c>
      <c r="X6" s="11" t="e">
        <f>NETWORKDAYS.INTL(#REF!,EOMONTH(#REF!,0),"1111100")</f>
        <v>#REF!</v>
      </c>
      <c r="Y6" s="11" t="e">
        <f>DAY(EOMONTH(#REF!,0))-NETWORKDAYS.INTL(#REF!,EOMONTH(#REF!,0),"0000000",$K$2:$K$16)</f>
        <v>#REF!</v>
      </c>
      <c r="Z6" s="11" t="e">
        <f>NETWORKDAYS.INTL(#REF!,EOMONTH(#REF!,0),"0000011")-NETWORKDAYS.INTL(#REF!,EOMONTH(#REF!,0),"0000011",$K$2:$K$16)</f>
        <v>#REF!</v>
      </c>
      <c r="AA6" s="11" t="e">
        <f>NETWORKDAYS.INTL(#REF!,EOMONTH(#REF!,0),"1111101")-NETWORKDAYS.INTL(#REF!,EOMONTH(#REF!,0),"1111101",$K$2:$K$16)</f>
        <v>#REF!</v>
      </c>
      <c r="AB6" s="11" t="e">
        <f>NETWORKDAYS.INTL(#REF!,EOMONTH(#REF!,0),"1111110")-NETWORKDAYS.INTL(#REF!,EOMONTH(#REF!,0),"1111110",$K$2:$K$16)</f>
        <v>#REF!</v>
      </c>
      <c r="AC6" s="11" t="e">
        <f>NETWORKDAYS.INTL(#REF!,EOMONTH(#REF!,0),"1111100")-NETWORKDAYS.INTL(#REF!,EOMONTH(#REF!,0),"1111100",$K$2:$K$16)</f>
        <v>#REF!</v>
      </c>
    </row>
    <row r="7" spans="1:29" ht="30" customHeight="1" x14ac:dyDescent="0.3">
      <c r="A7" s="6" t="s">
        <v>89</v>
      </c>
      <c r="B7" s="6">
        <f>NETWORKDAYS.INTL($B$2,$B$3,"0111111")</f>
        <v>53</v>
      </c>
      <c r="D7" s="6" t="s">
        <v>89</v>
      </c>
      <c r="E7" s="11">
        <f>NETWORKDAYS.INTL($E$2,$E$3,"0111111")</f>
        <v>3</v>
      </c>
      <c r="G7" s="6" t="s">
        <v>54</v>
      </c>
      <c r="H7" s="6">
        <f>H8*12</f>
        <v>24.999999996</v>
      </c>
      <c r="I7" s="8"/>
      <c r="J7" s="9" t="s">
        <v>30</v>
      </c>
      <c r="K7" s="4">
        <f>DATE(A1,5,8)</f>
        <v>45420</v>
      </c>
      <c r="M7" s="6" t="s">
        <v>6</v>
      </c>
      <c r="N7" s="11" t="e">
        <f>DAY(EOMONTH(#REF!,0))</f>
        <v>#REF!</v>
      </c>
      <c r="O7" s="11" t="e">
        <f>NETWORKDAYS.INTL(#REF!,EOMONTH(#REF!,0),,$K$2:$K$16)</f>
        <v>#REF!</v>
      </c>
      <c r="P7" s="11" t="e">
        <f>NETWORKDAYS.INTL(#REF!,EOMONTH(#REF!,0),"0000001",$K$2:$K$16)</f>
        <v>#REF!</v>
      </c>
      <c r="Q7" s="11" t="e">
        <f>NETWORKDAYS.INTL(#REF!,EOMONTH(#REF!,0),"0111111")</f>
        <v>#REF!</v>
      </c>
      <c r="R7" s="11" t="e">
        <f>NETWORKDAYS.INTL(#REF!,EOMONTH(#REF!,0),"1011111")</f>
        <v>#REF!</v>
      </c>
      <c r="S7" s="11" t="e">
        <f>NETWORKDAYS.INTL(#REF!,EOMONTH(#REF!,0),"1101111")</f>
        <v>#REF!</v>
      </c>
      <c r="T7" s="11" t="e">
        <f>NETWORKDAYS.INTL(#REF!,EOMONTH(#REF!,0),"1110111")</f>
        <v>#REF!</v>
      </c>
      <c r="U7" s="11" t="e">
        <f>NETWORKDAYS.INTL(#REF!,EOMONTH(#REF!,0),"1111011")</f>
        <v>#REF!</v>
      </c>
      <c r="V7" s="11" t="e">
        <f>NETWORKDAYS.INTL(#REF!,EOMONTH(#REF!,0),"1111101")</f>
        <v>#REF!</v>
      </c>
      <c r="W7" s="11" t="e">
        <f>NETWORKDAYS.INTL(#REF!,EOMONTH(#REF!,0),"1111110")</f>
        <v>#REF!</v>
      </c>
      <c r="X7" s="11" t="e">
        <f>NETWORKDAYS.INTL(#REF!,EOMONTH(#REF!,0),"1111100")</f>
        <v>#REF!</v>
      </c>
      <c r="Y7" s="11" t="e">
        <f>DAY(EOMONTH(#REF!,0))-NETWORKDAYS.INTL(#REF!,EOMONTH(#REF!,0),"0000000",$K$2:$K$16)</f>
        <v>#REF!</v>
      </c>
      <c r="Z7" s="11" t="e">
        <f>NETWORKDAYS.INTL(#REF!,EOMONTH(#REF!,0),"0000011")-NETWORKDAYS.INTL(#REF!,EOMONTH(#REF!,0),"0000011",$K$2:$K$16)</f>
        <v>#REF!</v>
      </c>
      <c r="AA7" s="11" t="e">
        <f>NETWORKDAYS.INTL(#REF!,EOMONTH(#REF!,0),"1111101")-NETWORKDAYS.INTL(#REF!,EOMONTH(#REF!,0),"1111101",$K$2:$K$16)</f>
        <v>#REF!</v>
      </c>
      <c r="AB7" s="11" t="e">
        <f>NETWORKDAYS.INTL(#REF!,EOMONTH(#REF!,0),"1111110")-NETWORKDAYS.INTL(#REF!,EOMONTH(#REF!,0),"1111110",$K$2:$K$16)</f>
        <v>#REF!</v>
      </c>
      <c r="AC7" s="11" t="e">
        <f>NETWORKDAYS.INTL(#REF!,EOMONTH(#REF!,0),"1111100")-NETWORKDAYS.INTL(#REF!,EOMONTH(#REF!,0),"1111100",$K$2:$K$16)</f>
        <v>#REF!</v>
      </c>
    </row>
    <row r="8" spans="1:29" ht="30" customHeight="1" x14ac:dyDescent="0.3">
      <c r="A8" s="6" t="s">
        <v>90</v>
      </c>
      <c r="B8" s="6">
        <f>NETWORKDAYS.INTL($B$2,$B$3,"1011111")</f>
        <v>53</v>
      </c>
      <c r="D8" s="6" t="s">
        <v>90</v>
      </c>
      <c r="E8" s="11">
        <f>NETWORKDAYS.INTL($E$2,$E$3,"1011111")</f>
        <v>2</v>
      </c>
      <c r="G8" s="6" t="s">
        <v>96</v>
      </c>
      <c r="H8" s="47">
        <v>2.0833333330000001</v>
      </c>
      <c r="I8" s="8"/>
      <c r="J8" s="9" t="s">
        <v>25</v>
      </c>
      <c r="K8" s="4">
        <f>K4+39</f>
        <v>45421</v>
      </c>
      <c r="M8" s="6" t="s">
        <v>7</v>
      </c>
      <c r="N8" s="11" t="e">
        <f>DAY(EOMONTH(#REF!,0))</f>
        <v>#REF!</v>
      </c>
      <c r="O8" s="11" t="e">
        <f>NETWORKDAYS.INTL(#REF!,EOMONTH(#REF!,0),,$K$2:$K$16)</f>
        <v>#REF!</v>
      </c>
      <c r="P8" s="11" t="e">
        <f>NETWORKDAYS.INTL(#REF!,EOMONTH(#REF!,0),"0000001",$K$2:$K$16)</f>
        <v>#REF!</v>
      </c>
      <c r="Q8" s="11" t="e">
        <f>NETWORKDAYS.INTL(#REF!,EOMONTH(#REF!,0),"0111111")</f>
        <v>#REF!</v>
      </c>
      <c r="R8" s="11" t="e">
        <f>NETWORKDAYS.INTL(#REF!,EOMONTH(#REF!,0),"1011111")</f>
        <v>#REF!</v>
      </c>
      <c r="S8" s="11" t="e">
        <f>NETWORKDAYS.INTL(#REF!,EOMONTH(#REF!,0),"1101111")</f>
        <v>#REF!</v>
      </c>
      <c r="T8" s="11" t="e">
        <f>NETWORKDAYS.INTL(#REF!,EOMONTH(#REF!,0),"1110111")</f>
        <v>#REF!</v>
      </c>
      <c r="U8" s="11" t="e">
        <f>NETWORKDAYS.INTL(#REF!,EOMONTH(#REF!,0),"1111011")</f>
        <v>#REF!</v>
      </c>
      <c r="V8" s="11" t="e">
        <f>NETWORKDAYS.INTL(#REF!,EOMONTH(#REF!,0),"1111101")</f>
        <v>#REF!</v>
      </c>
      <c r="W8" s="11" t="e">
        <f>NETWORKDAYS.INTL(#REF!,EOMONTH(#REF!,0),"1111110")</f>
        <v>#REF!</v>
      </c>
      <c r="X8" s="11" t="e">
        <f>NETWORKDAYS.INTL(#REF!,EOMONTH(#REF!,0),"1111100")</f>
        <v>#REF!</v>
      </c>
      <c r="Y8" s="11" t="e">
        <f>DAY(EOMONTH(#REF!,0))-NETWORKDAYS.INTL(#REF!,EOMONTH(#REF!,0),"0000000",$K$2:$K$16)</f>
        <v>#REF!</v>
      </c>
      <c r="Z8" s="11" t="e">
        <f>NETWORKDAYS.INTL(#REF!,EOMONTH(#REF!,0),"0000011")-NETWORKDAYS.INTL(#REF!,EOMONTH(#REF!,0),"0000011",$K$2:$K$16)</f>
        <v>#REF!</v>
      </c>
      <c r="AA8" s="11" t="e">
        <f>NETWORKDAYS.INTL(#REF!,EOMONTH(#REF!,0),"1111101")-NETWORKDAYS.INTL(#REF!,EOMONTH(#REF!,0),"1111101",$K$2:$K$16)</f>
        <v>#REF!</v>
      </c>
      <c r="AB8" s="11" t="e">
        <f>NETWORKDAYS.INTL(#REF!,EOMONTH(#REF!,0),"1111110")-NETWORKDAYS.INTL(#REF!,EOMONTH(#REF!,0),"1111110",$K$2:$K$16)</f>
        <v>#REF!</v>
      </c>
      <c r="AC8" s="11" t="e">
        <f>NETWORKDAYS.INTL(#REF!,EOMONTH(#REF!,0),"1111100")-NETWORKDAYS.INTL(#REF!,EOMONTH(#REF!,0),"1111100",$K$2:$K$16)</f>
        <v>#REF!</v>
      </c>
    </row>
    <row r="9" spans="1:29" ht="30" customHeight="1" x14ac:dyDescent="0.3">
      <c r="A9" s="6" t="s">
        <v>91</v>
      </c>
      <c r="B9" s="6">
        <f>NETWORKDAYS.INTL($B$2,$B$3,"1101111")</f>
        <v>52</v>
      </c>
      <c r="D9" s="6" t="s">
        <v>91</v>
      </c>
      <c r="E9" s="11">
        <f>NETWORKDAYS.INTL($E$2,$E$3,"1101111")</f>
        <v>3</v>
      </c>
      <c r="G9" s="14"/>
      <c r="I9" s="8"/>
      <c r="J9" s="9" t="s">
        <v>34</v>
      </c>
      <c r="K9" s="4">
        <f>K4+49</f>
        <v>45431</v>
      </c>
      <c r="M9" s="6" t="s">
        <v>8</v>
      </c>
      <c r="N9" s="11" t="e">
        <f>DAY(EOMONTH(#REF!,0))</f>
        <v>#REF!</v>
      </c>
      <c r="O9" s="11" t="e">
        <f>NETWORKDAYS.INTL(#REF!,EOMONTH(#REF!,0),,$K$2:$K$16)</f>
        <v>#REF!</v>
      </c>
      <c r="P9" s="11" t="e">
        <f>NETWORKDAYS.INTL(#REF!,EOMONTH(#REF!,0),"0000001",$K$2:$K$16)</f>
        <v>#REF!</v>
      </c>
      <c r="Q9" s="11" t="e">
        <f>NETWORKDAYS.INTL(#REF!,EOMONTH(#REF!,0),"0111111")</f>
        <v>#REF!</v>
      </c>
      <c r="R9" s="11" t="e">
        <f>NETWORKDAYS.INTL(#REF!,EOMONTH(#REF!,0),"1011111")</f>
        <v>#REF!</v>
      </c>
      <c r="S9" s="11" t="e">
        <f>NETWORKDAYS.INTL(#REF!,EOMONTH(#REF!,0),"1101111")</f>
        <v>#REF!</v>
      </c>
      <c r="T9" s="11" t="e">
        <f>NETWORKDAYS.INTL(#REF!,EOMONTH(#REF!,0),"1110111")</f>
        <v>#REF!</v>
      </c>
      <c r="U9" s="11" t="e">
        <f>NETWORKDAYS.INTL(#REF!,EOMONTH(#REF!,0),"1111011")</f>
        <v>#REF!</v>
      </c>
      <c r="V9" s="11" t="e">
        <f>NETWORKDAYS.INTL(#REF!,EOMONTH(#REF!,0),"1111101")</f>
        <v>#REF!</v>
      </c>
      <c r="W9" s="11" t="e">
        <f>NETWORKDAYS.INTL(#REF!,EOMONTH(#REF!,0),"1111110")</f>
        <v>#REF!</v>
      </c>
      <c r="X9" s="11" t="e">
        <f>NETWORKDAYS.INTL(#REF!,EOMONTH(#REF!,0),"1111100")</f>
        <v>#REF!</v>
      </c>
      <c r="Y9" s="11" t="e">
        <f>DAY(EOMONTH(#REF!,0))-NETWORKDAYS.INTL(#REF!,EOMONTH(#REF!,0),"0000000",$K$2:$K$16)</f>
        <v>#REF!</v>
      </c>
      <c r="Z9" s="11" t="e">
        <f>NETWORKDAYS.INTL(#REF!,EOMONTH(#REF!,0),"0000011")-NETWORKDAYS.INTL(#REF!,EOMONTH(#REF!,0),"0000011",$K$2:$K$16)</f>
        <v>#REF!</v>
      </c>
      <c r="AA9" s="11" t="e">
        <f>NETWORKDAYS.INTL(#REF!,EOMONTH(#REF!,0),"1111101")-NETWORKDAYS.INTL(#REF!,EOMONTH(#REF!,0),"1111101",$K$2:$K$16)</f>
        <v>#REF!</v>
      </c>
      <c r="AB9" s="11" t="e">
        <f>NETWORKDAYS.INTL(#REF!,EOMONTH(#REF!,0),"1111110")-NETWORKDAYS.INTL(#REF!,EOMONTH(#REF!,0),"1111110",$K$2:$K$16)</f>
        <v>#REF!</v>
      </c>
      <c r="AC9" s="11" t="e">
        <f>NETWORKDAYS.INTL(#REF!,EOMONTH(#REF!,0),"1111100")-NETWORKDAYS.INTL(#REF!,EOMONTH(#REF!,0),"1111100",$K$2:$K$16)</f>
        <v>#REF!</v>
      </c>
    </row>
    <row r="10" spans="1:29" ht="30" customHeight="1" x14ac:dyDescent="0.3">
      <c r="A10" s="6" t="s">
        <v>92</v>
      </c>
      <c r="B10" s="6">
        <f>NETWORKDAYS.INTL($B$2,$B$3,"1110111")</f>
        <v>52</v>
      </c>
      <c r="C10" s="8"/>
      <c r="D10" s="6" t="s">
        <v>92</v>
      </c>
      <c r="E10" s="11">
        <f>NETWORKDAYS.INTL($E$2,$E$3,"1110111")</f>
        <v>3</v>
      </c>
      <c r="F10" s="8"/>
      <c r="G10" s="66" t="s">
        <v>15</v>
      </c>
      <c r="H10" s="67"/>
      <c r="I10" s="8"/>
      <c r="J10" s="9" t="s">
        <v>26</v>
      </c>
      <c r="K10" s="4">
        <f>K9+1</f>
        <v>45432</v>
      </c>
      <c r="M10" s="6" t="s">
        <v>9</v>
      </c>
      <c r="N10" s="11" t="e">
        <f>DAY(EOMONTH(#REF!,0))</f>
        <v>#REF!</v>
      </c>
      <c r="O10" s="11" t="e">
        <f>NETWORKDAYS.INTL(#REF!,EOMONTH(#REF!,0),,$K$2:$K$16)</f>
        <v>#REF!</v>
      </c>
      <c r="P10" s="11" t="e">
        <f>NETWORKDAYS.INTL(#REF!,EOMONTH(#REF!,0),"0000001",$K$2:$K$16)</f>
        <v>#REF!</v>
      </c>
      <c r="Q10" s="11" t="e">
        <f>NETWORKDAYS.INTL(#REF!,EOMONTH(#REF!,0),"0111111")</f>
        <v>#REF!</v>
      </c>
      <c r="R10" s="11" t="e">
        <f>NETWORKDAYS.INTL(#REF!,EOMONTH(#REF!,0),"1011111")</f>
        <v>#REF!</v>
      </c>
      <c r="S10" s="11" t="e">
        <f>NETWORKDAYS.INTL(#REF!,EOMONTH(#REF!,0),"1101111")</f>
        <v>#REF!</v>
      </c>
      <c r="T10" s="11" t="e">
        <f>NETWORKDAYS.INTL(#REF!,EOMONTH(#REF!,0),"1110111")</f>
        <v>#REF!</v>
      </c>
      <c r="U10" s="11" t="e">
        <f>NETWORKDAYS.INTL(#REF!,EOMONTH(#REF!,0),"1111011")</f>
        <v>#REF!</v>
      </c>
      <c r="V10" s="11" t="e">
        <f>NETWORKDAYS.INTL(#REF!,EOMONTH(#REF!,0),"1111101")</f>
        <v>#REF!</v>
      </c>
      <c r="W10" s="11" t="e">
        <f>NETWORKDAYS.INTL(#REF!,EOMONTH(#REF!,0),"1111110")</f>
        <v>#REF!</v>
      </c>
      <c r="X10" s="11" t="e">
        <f>NETWORKDAYS.INTL(#REF!,EOMONTH(#REF!,0),"1111100")</f>
        <v>#REF!</v>
      </c>
      <c r="Y10" s="11" t="e">
        <f>DAY(EOMONTH(#REF!,0))-NETWORKDAYS.INTL(#REF!,EOMONTH(#REF!,0),"0000000",$K$2:$K$16)</f>
        <v>#REF!</v>
      </c>
      <c r="Z10" s="11" t="e">
        <f>NETWORKDAYS.INTL(#REF!,EOMONTH(#REF!,0),"0000011")-NETWORKDAYS.INTL(#REF!,EOMONTH(#REF!,0),"0000011",$K$2:$K$16)</f>
        <v>#REF!</v>
      </c>
      <c r="AA10" s="11" t="e">
        <f>NETWORKDAYS.INTL(#REF!,EOMONTH(#REF!,0),"1111101")-NETWORKDAYS.INTL(#REF!,EOMONTH(#REF!,0),"1111101",$K$2:$K$16)</f>
        <v>#REF!</v>
      </c>
      <c r="AB10" s="11" t="e">
        <f>NETWORKDAYS.INTL(#REF!,EOMONTH(#REF!,0),"1111110")-NETWORKDAYS.INTL(#REF!,EOMONTH(#REF!,0),"1111110",$K$2:$K$16)</f>
        <v>#REF!</v>
      </c>
      <c r="AC10" s="11" t="e">
        <f>NETWORKDAYS.INTL(#REF!,EOMONTH(#REF!,0),"1111100")-NETWORKDAYS.INTL(#REF!,EOMONTH(#REF!,0),"1111100",$K$2:$K$16)</f>
        <v>#REF!</v>
      </c>
    </row>
    <row r="11" spans="1:29" ht="30" customHeight="1" x14ac:dyDescent="0.3">
      <c r="A11" s="6" t="s">
        <v>93</v>
      </c>
      <c r="B11" s="6">
        <f>NETWORKDAYS.INTL($B$2,$B$3,"1111011")</f>
        <v>52</v>
      </c>
      <c r="C11" s="60"/>
      <c r="D11" s="6" t="s">
        <v>93</v>
      </c>
      <c r="E11" s="11">
        <f>NETWORKDAYS.INTL($E$2,$E$3,"1111011")</f>
        <v>3</v>
      </c>
      <c r="F11" s="60"/>
      <c r="G11" s="10">
        <v>0.875</v>
      </c>
      <c r="H11" s="10">
        <v>0.25</v>
      </c>
      <c r="I11" s="8"/>
      <c r="J11" s="9" t="s">
        <v>27</v>
      </c>
      <c r="K11" s="4">
        <f>DATE(A1,7,14)</f>
        <v>45487</v>
      </c>
      <c r="M11" s="6" t="s">
        <v>10</v>
      </c>
      <c r="N11" s="11" t="e">
        <f>DAY(EOMONTH(#REF!,0))</f>
        <v>#REF!</v>
      </c>
      <c r="O11" s="11" t="e">
        <f>NETWORKDAYS.INTL(#REF!,EOMONTH(#REF!,0),,$K$2:$K$16)</f>
        <v>#REF!</v>
      </c>
      <c r="P11" s="11" t="e">
        <f>NETWORKDAYS.INTL(#REF!,EOMONTH(#REF!,0),"0000001",$K$2:$K$16)</f>
        <v>#REF!</v>
      </c>
      <c r="Q11" s="11" t="e">
        <f>NETWORKDAYS.INTL(#REF!,EOMONTH(#REF!,0),"0111111")</f>
        <v>#REF!</v>
      </c>
      <c r="R11" s="11" t="e">
        <f>NETWORKDAYS.INTL(#REF!,EOMONTH(#REF!,0),"1011111")</f>
        <v>#REF!</v>
      </c>
      <c r="S11" s="11" t="e">
        <f>NETWORKDAYS.INTL(#REF!,EOMONTH(#REF!,0),"1101111")</f>
        <v>#REF!</v>
      </c>
      <c r="T11" s="11" t="e">
        <f>NETWORKDAYS.INTL(#REF!,EOMONTH(#REF!,0),"1110111")</f>
        <v>#REF!</v>
      </c>
      <c r="U11" s="11" t="e">
        <f>NETWORKDAYS.INTL(#REF!,EOMONTH(#REF!,0),"1111011")</f>
        <v>#REF!</v>
      </c>
      <c r="V11" s="11" t="e">
        <f>NETWORKDAYS.INTL(#REF!,EOMONTH(#REF!,0),"1111101")</f>
        <v>#REF!</v>
      </c>
      <c r="W11" s="11" t="e">
        <f>NETWORKDAYS.INTL(#REF!,EOMONTH(#REF!,0),"1111110")</f>
        <v>#REF!</v>
      </c>
      <c r="X11" s="11" t="e">
        <f>NETWORKDAYS.INTL(#REF!,EOMONTH(#REF!,0),"1111100")</f>
        <v>#REF!</v>
      </c>
      <c r="Y11" s="11" t="e">
        <f>DAY(EOMONTH(#REF!,0))-NETWORKDAYS.INTL(#REF!,EOMONTH(#REF!,0),"0000000",$K$2:$K$16)</f>
        <v>#REF!</v>
      </c>
      <c r="Z11" s="11" t="e">
        <f>NETWORKDAYS.INTL(#REF!,EOMONTH(#REF!,0),"0000011")-NETWORKDAYS.INTL(#REF!,EOMONTH(#REF!,0),"0000011",$K$2:$K$16)</f>
        <v>#REF!</v>
      </c>
      <c r="AA11" s="11" t="e">
        <f>NETWORKDAYS.INTL(#REF!,EOMONTH(#REF!,0),"1111101")-NETWORKDAYS.INTL(#REF!,EOMONTH(#REF!,0),"1111101",$K$2:$K$16)</f>
        <v>#REF!</v>
      </c>
      <c r="AB11" s="11" t="e">
        <f>NETWORKDAYS.INTL(#REF!,EOMONTH(#REF!,0),"1111110")-NETWORKDAYS.INTL(#REF!,EOMONTH(#REF!,0),"1111110",$K$2:$K$16)</f>
        <v>#REF!</v>
      </c>
      <c r="AC11" s="11" t="e">
        <f>NETWORKDAYS.INTL(#REF!,EOMONTH(#REF!,0),"1111100")-NETWORKDAYS.INTL(#REF!,EOMONTH(#REF!,0),"1111100",$K$2:$K$16)</f>
        <v>#REF!</v>
      </c>
    </row>
    <row r="12" spans="1:29" ht="30" customHeight="1" x14ac:dyDescent="0.3">
      <c r="A12" s="6" t="s">
        <v>87</v>
      </c>
      <c r="B12" s="6">
        <f>NETWORKDAYS.INTL($B$2,$B$3,"1111101")</f>
        <v>52</v>
      </c>
      <c r="C12" s="8"/>
      <c r="D12" s="6" t="s">
        <v>87</v>
      </c>
      <c r="E12" s="11">
        <f>NETWORKDAYS.INTL($E$2,$E$3,"1111101")</f>
        <v>3</v>
      </c>
      <c r="F12" s="8"/>
      <c r="I12" s="8"/>
      <c r="J12" s="9" t="s">
        <v>28</v>
      </c>
      <c r="K12" s="4">
        <f>DATE($A$1,8,15)</f>
        <v>45519</v>
      </c>
      <c r="M12" s="6" t="s">
        <v>11</v>
      </c>
      <c r="N12" s="11" t="e">
        <f>DAY(EOMONTH(#REF!,0))</f>
        <v>#REF!</v>
      </c>
      <c r="O12" s="11" t="e">
        <f>NETWORKDAYS.INTL(#REF!,EOMONTH(#REF!,0),,$K$2:$K$16)</f>
        <v>#REF!</v>
      </c>
      <c r="P12" s="11" t="e">
        <f>NETWORKDAYS.INTL(#REF!,EOMONTH(#REF!,0),"0000001",$K$2:$K$16)</f>
        <v>#REF!</v>
      </c>
      <c r="Q12" s="11" t="e">
        <f>NETWORKDAYS.INTL(#REF!,EOMONTH(#REF!,0),"0111111")</f>
        <v>#REF!</v>
      </c>
      <c r="R12" s="11" t="e">
        <f>NETWORKDAYS.INTL(#REF!,EOMONTH(#REF!,0),"1011111")</f>
        <v>#REF!</v>
      </c>
      <c r="S12" s="11" t="e">
        <f>NETWORKDAYS.INTL(#REF!,EOMONTH(#REF!,0),"1101111")</f>
        <v>#REF!</v>
      </c>
      <c r="T12" s="11" t="e">
        <f>NETWORKDAYS.INTL(#REF!,EOMONTH(#REF!,0),"1110111")</f>
        <v>#REF!</v>
      </c>
      <c r="U12" s="11" t="e">
        <f>NETWORKDAYS.INTL(#REF!,EOMONTH(#REF!,0),"1111011")</f>
        <v>#REF!</v>
      </c>
      <c r="V12" s="11" t="e">
        <f>NETWORKDAYS.INTL(#REF!,EOMONTH(#REF!,0),"1111101")</f>
        <v>#REF!</v>
      </c>
      <c r="W12" s="11" t="e">
        <f>NETWORKDAYS.INTL(#REF!,EOMONTH(#REF!,0),"1111110")</f>
        <v>#REF!</v>
      </c>
      <c r="X12" s="11" t="e">
        <f>NETWORKDAYS.INTL(#REF!,EOMONTH(#REF!,0),"1111100")</f>
        <v>#REF!</v>
      </c>
      <c r="Y12" s="11" t="e">
        <f>DAY(EOMONTH(#REF!,0))-NETWORKDAYS.INTL(#REF!,EOMONTH(#REF!,0),"0000000",$K$2:$K$16)</f>
        <v>#REF!</v>
      </c>
      <c r="Z12" s="11" t="e">
        <f>NETWORKDAYS.INTL(#REF!,EOMONTH(#REF!,0),"0000011")-NETWORKDAYS.INTL(#REF!,EOMONTH(#REF!,0),"0000011",$K$2:$K$16)</f>
        <v>#REF!</v>
      </c>
      <c r="AA12" s="11" t="e">
        <f>NETWORKDAYS.INTL(#REF!,EOMONTH(#REF!,0),"1111101")-NETWORKDAYS.INTL(#REF!,EOMONTH(#REF!,0),"1111101",$K$2:$K$16)</f>
        <v>#REF!</v>
      </c>
      <c r="AB12" s="11" t="e">
        <f>NETWORKDAYS.INTL(#REF!,EOMONTH(#REF!,0),"1111110")-NETWORKDAYS.INTL(#REF!,EOMONTH(#REF!,0),"1111110",$K$2:$K$16)</f>
        <v>#REF!</v>
      </c>
      <c r="AC12" s="11" t="e">
        <f>NETWORKDAYS.INTL(#REF!,EOMONTH(#REF!,0),"1111100")-NETWORKDAYS.INTL(#REF!,EOMONTH(#REF!,0),"1111100",$K$2:$K$16)</f>
        <v>#REF!</v>
      </c>
    </row>
    <row r="13" spans="1:29" ht="30" customHeight="1" x14ac:dyDescent="0.3">
      <c r="A13" s="6" t="s">
        <v>88</v>
      </c>
      <c r="B13" s="6">
        <f>NETWORKDAYS.INTL($B$2,$B$3,"1111110")</f>
        <v>52</v>
      </c>
      <c r="C13" s="12"/>
      <c r="D13" s="6" t="s">
        <v>88</v>
      </c>
      <c r="E13" s="11">
        <f>NETWORKDAYS.INTL($E$2,$E$3,"1111110")</f>
        <v>3</v>
      </c>
      <c r="F13" s="12"/>
      <c r="I13" s="8"/>
      <c r="J13" s="9" t="s">
        <v>29</v>
      </c>
      <c r="K13" s="4">
        <f>DATE(A1,11,1)</f>
        <v>45597</v>
      </c>
      <c r="M13" s="6" t="s">
        <v>12</v>
      </c>
      <c r="N13" s="11" t="e">
        <f>DAY(EOMONTH(#REF!,0))</f>
        <v>#REF!</v>
      </c>
      <c r="O13" s="11" t="e">
        <f>NETWORKDAYS.INTL(#REF!,EOMONTH(#REF!,0),,$K$2:$K$16)</f>
        <v>#REF!</v>
      </c>
      <c r="P13" s="11" t="e">
        <f>NETWORKDAYS.INTL(#REF!,EOMONTH(#REF!,0),"0000001",$K$2:$K$16)</f>
        <v>#REF!</v>
      </c>
      <c r="Q13" s="11" t="e">
        <f>NETWORKDAYS.INTL(#REF!,EOMONTH(#REF!,0),"0111111")</f>
        <v>#REF!</v>
      </c>
      <c r="R13" s="11" t="e">
        <f>NETWORKDAYS.INTL(#REF!,EOMONTH(#REF!,0),"1011111")</f>
        <v>#REF!</v>
      </c>
      <c r="S13" s="11" t="e">
        <f>NETWORKDAYS.INTL(#REF!,EOMONTH(#REF!,0),"1101111")</f>
        <v>#REF!</v>
      </c>
      <c r="T13" s="11" t="e">
        <f>NETWORKDAYS.INTL(#REF!,EOMONTH(#REF!,0),"1110111")</f>
        <v>#REF!</v>
      </c>
      <c r="U13" s="11" t="e">
        <f>NETWORKDAYS.INTL(#REF!,EOMONTH(#REF!,0),"1111011")</f>
        <v>#REF!</v>
      </c>
      <c r="V13" s="11" t="e">
        <f>NETWORKDAYS.INTL(#REF!,EOMONTH(#REF!,0),"1111101")</f>
        <v>#REF!</v>
      </c>
      <c r="W13" s="11" t="e">
        <f>NETWORKDAYS.INTL(#REF!,EOMONTH(#REF!,0),"1111110")</f>
        <v>#REF!</v>
      </c>
      <c r="X13" s="11" t="e">
        <f>NETWORKDAYS.INTL(#REF!,EOMONTH(#REF!,0),"1111100")</f>
        <v>#REF!</v>
      </c>
      <c r="Y13" s="11" t="e">
        <f>DAY(EOMONTH(#REF!,0))-NETWORKDAYS.INTL(#REF!,EOMONTH(#REF!,0),"0000000",$K$2:$K$16)</f>
        <v>#REF!</v>
      </c>
      <c r="Z13" s="11" t="e">
        <f>NETWORKDAYS.INTL(#REF!,EOMONTH(#REF!,0),"0000011")-NETWORKDAYS.INTL(#REF!,EOMONTH(#REF!,0),"0000011",$K$2:$K$16)</f>
        <v>#REF!</v>
      </c>
      <c r="AA13" s="11" t="e">
        <f>NETWORKDAYS.INTL(#REF!,EOMONTH(#REF!,0),"1111101")-NETWORKDAYS.INTL(#REF!,EOMONTH(#REF!,0),"1111101",$K$2:$K$16)</f>
        <v>#REF!</v>
      </c>
      <c r="AB13" s="11" t="e">
        <f>NETWORKDAYS.INTL(#REF!,EOMONTH(#REF!,0),"1111110")-NETWORKDAYS.INTL(#REF!,EOMONTH(#REF!,0),"1111110",$K$2:$K$16)</f>
        <v>#REF!</v>
      </c>
      <c r="AC13" s="11" t="e">
        <f>NETWORKDAYS.INTL(#REF!,EOMONTH(#REF!,0),"1111100")-NETWORKDAYS.INTL(#REF!,EOMONTH(#REF!,0),"1111100",$K$2:$K$16)</f>
        <v>#REF!</v>
      </c>
    </row>
    <row r="14" spans="1:29" ht="30" customHeight="1" x14ac:dyDescent="0.3">
      <c r="A14" s="6" t="s">
        <v>94</v>
      </c>
      <c r="B14" s="6">
        <f>NETWORKDAYS.INTL($B$2,$B$3,"1111100")</f>
        <v>104</v>
      </c>
      <c r="D14" s="6" t="s">
        <v>94</v>
      </c>
      <c r="E14" s="11">
        <f>NETWORKDAYS.INTL($E$2,$E$3,"1111100")</f>
        <v>6</v>
      </c>
      <c r="I14" s="8"/>
      <c r="J14" s="9" t="s">
        <v>31</v>
      </c>
      <c r="K14" s="4">
        <f>DATE(A1,11,11)</f>
        <v>45607</v>
      </c>
      <c r="N14" s="11" t="e">
        <f>SUM(N2:N13)</f>
        <v>#REF!</v>
      </c>
      <c r="O14" s="11" t="e">
        <f>SUM(O2:O13)</f>
        <v>#REF!</v>
      </c>
      <c r="P14" s="11" t="e">
        <f>SUM(P2:P13)</f>
        <v>#REF!</v>
      </c>
      <c r="Q14" s="11" t="e">
        <f t="shared" ref="Q14:R14" si="0">SUM(Q2:Q13)</f>
        <v>#REF!</v>
      </c>
      <c r="R14" s="11" t="e">
        <f t="shared" si="0"/>
        <v>#REF!</v>
      </c>
      <c r="S14" s="11" t="e">
        <f t="shared" ref="S14" si="1">SUM(S2:S13)</f>
        <v>#REF!</v>
      </c>
      <c r="T14" s="11" t="e">
        <f t="shared" ref="T14" si="2">SUM(T2:T13)</f>
        <v>#REF!</v>
      </c>
      <c r="U14" s="11" t="e">
        <f t="shared" ref="U14" si="3">SUM(U2:U13)</f>
        <v>#REF!</v>
      </c>
      <c r="V14" s="11" t="e">
        <f t="shared" ref="V14:AC14" si="4">SUM(V2:V13)</f>
        <v>#REF!</v>
      </c>
      <c r="W14" s="11" t="e">
        <f t="shared" si="4"/>
        <v>#REF!</v>
      </c>
      <c r="X14" s="11" t="e">
        <f t="shared" si="4"/>
        <v>#REF!</v>
      </c>
      <c r="Y14" s="11" t="e">
        <f t="shared" si="4"/>
        <v>#REF!</v>
      </c>
      <c r="Z14" s="11" t="e">
        <f t="shared" si="4"/>
        <v>#REF!</v>
      </c>
      <c r="AA14" s="11" t="e">
        <f t="shared" ref="AA14" si="5">SUM(AA2:AA13)</f>
        <v>#REF!</v>
      </c>
      <c r="AB14" s="11" t="e">
        <f t="shared" ref="AB14" si="6">SUM(AB2:AB13)</f>
        <v>#REF!</v>
      </c>
      <c r="AC14" s="11" t="e">
        <f t="shared" si="4"/>
        <v>#REF!</v>
      </c>
    </row>
    <row r="15" spans="1:29" ht="30" customHeight="1" x14ac:dyDescent="0.3">
      <c r="A15" s="6" t="s">
        <v>86</v>
      </c>
      <c r="B15" s="6" cm="1">
        <f t="array" aca="1" ref="B15" ca="1">SUMPRODUCT(--(COUNTIF($K$2:$K$16,ROW(INDIRECT($B$2&amp;":"&amp;$B$3)))=1))</f>
        <v>15</v>
      </c>
      <c r="D15" s="6" t="s">
        <v>86</v>
      </c>
      <c r="E15" s="11" cm="1">
        <f t="array" aca="1" ref="E15" ca="1">SUMPRODUCT(--(COUNTIF($K$2:$K$16,ROW(INDIRECT($E$2&amp;":"&amp;$E$3)))=1))</f>
        <v>5</v>
      </c>
      <c r="I15" s="8"/>
      <c r="J15" s="9" t="s">
        <v>32</v>
      </c>
      <c r="K15" s="4">
        <f>DATE(A1,12,25)</f>
        <v>45651</v>
      </c>
    </row>
    <row r="16" spans="1:29" ht="30" customHeight="1" x14ac:dyDescent="0.3">
      <c r="A16" s="6" t="s">
        <v>50</v>
      </c>
      <c r="B16" s="6">
        <f>NETWORKDAYS.INTL($B$2,$B$3)-NETWORKDAYS.INTL($B$2,$B$3,,$K$2:$K$16)</f>
        <v>12</v>
      </c>
      <c r="D16" s="6" t="s">
        <v>50</v>
      </c>
      <c r="E16" s="11">
        <f>NETWORKDAYS.INTL($E$2,$E$3)-NETWORKDAYS.INTL($E$2,$E$3,,$K$2:$K$16)</f>
        <v>4</v>
      </c>
      <c r="I16" s="8"/>
      <c r="J16" s="9" t="s">
        <v>33</v>
      </c>
      <c r="K16" s="4">
        <f>K15+1</f>
        <v>45652</v>
      </c>
    </row>
    <row r="17" spans="1:9" ht="30" customHeight="1" x14ac:dyDescent="0.3">
      <c r="A17" s="6" t="s">
        <v>84</v>
      </c>
      <c r="B17" s="6">
        <f>NETWORKDAYS.INTL($B$2,$B$3,"1111101")-NETWORKDAYS.INTL($B$2,$B$3,"1111101",$K$2:$K$16)</f>
        <v>0</v>
      </c>
      <c r="D17" s="6" t="s">
        <v>84</v>
      </c>
      <c r="E17" s="6">
        <f>NETWORKDAYS.INTL($E$2,$E$3,"1111101")-NETWORKDAYS.INTL($E$2,$E$3,"1111101",$K$2:$K$16)</f>
        <v>0</v>
      </c>
      <c r="I17" s="8"/>
    </row>
    <row r="18" spans="1:9" ht="30" customHeight="1" x14ac:dyDescent="0.3">
      <c r="A18" s="6" t="s">
        <v>85</v>
      </c>
      <c r="B18" s="6">
        <f>NETWORKDAYS.INTL($B$2,$B$3,"1111110")-NETWORKDAYS.INTL($B$2,$B$3,"1111110",$K$2:$K$16)</f>
        <v>3</v>
      </c>
      <c r="C18" s="8"/>
      <c r="D18" s="6" t="s">
        <v>85</v>
      </c>
      <c r="E18" s="6">
        <f>NETWORKDAYS.INTL($E$2,$E$3,"1111110")-NETWORKDAYS.INTL($E$2,$E$3,"1111110",$K$2:$K$16)</f>
        <v>1</v>
      </c>
      <c r="F18" s="8"/>
      <c r="I18" s="8"/>
    </row>
    <row r="19" spans="1:9" ht="30" customHeight="1" x14ac:dyDescent="0.3">
      <c r="A19" s="6" t="s">
        <v>51</v>
      </c>
      <c r="B19" s="6">
        <f>NETWORKDAYS.INTL(B2,B3,"1111100")-NETWORKDAYS.INTL(B2,B3,"1111100",$K$2:$K$16)</f>
        <v>3</v>
      </c>
      <c r="C19" s="8" t="e">
        <f>DAY(EOMONTH(#REF!,0))-NETWORKDAYS.INTL(#REF!,EOMONTH(#REF!,0),"0000000",$K$2:$K$16)</f>
        <v>#REF!</v>
      </c>
      <c r="D19" s="6" t="s">
        <v>51</v>
      </c>
      <c r="E19" s="6">
        <f>NETWORKDAYS.INTL($E$2,$E$3,"1111100")-NETWORKDAYS.INTL($E$2,$E$3,"1111100",$K$2:$K$16)</f>
        <v>1</v>
      </c>
      <c r="F19" s="8"/>
      <c r="I19" s="8"/>
    </row>
    <row r="20" spans="1:9" ht="30" customHeight="1" x14ac:dyDescent="0.3">
      <c r="C20" s="8"/>
      <c r="F20" s="8"/>
      <c r="G20" s="8"/>
      <c r="H20" s="8"/>
      <c r="I20" s="8"/>
    </row>
    <row r="21" spans="1:9" ht="11.4" customHeight="1" x14ac:dyDescent="0.3">
      <c r="C21" s="60"/>
      <c r="D21" s="60"/>
      <c r="E21" s="60"/>
      <c r="F21" s="60"/>
      <c r="G21" s="8"/>
      <c r="H21" s="8"/>
      <c r="I21" s="8"/>
    </row>
    <row r="22" spans="1:9" ht="11.4" customHeight="1" x14ac:dyDescent="0.3"/>
    <row r="23" spans="1:9" ht="11.4" customHeight="1" x14ac:dyDescent="0.3"/>
    <row r="24" spans="1:9" ht="11.4" customHeight="1" x14ac:dyDescent="0.3"/>
    <row r="25" spans="1:9" ht="11.4" customHeight="1" x14ac:dyDescent="0.3"/>
    <row r="26" spans="1:9" ht="11.4" customHeight="1" x14ac:dyDescent="0.3"/>
    <row r="27" spans="1:9" ht="11.4" customHeight="1" x14ac:dyDescent="0.3"/>
    <row r="28" spans="1:9" ht="11.4" customHeight="1" x14ac:dyDescent="0.3"/>
    <row r="29" spans="1:9" ht="11.4" customHeight="1" x14ac:dyDescent="0.3"/>
  </sheetData>
  <mergeCells count="5">
    <mergeCell ref="D1:E1"/>
    <mergeCell ref="J1:K1"/>
    <mergeCell ref="G1:H1"/>
    <mergeCell ref="G10:H10"/>
    <mergeCell ref="A1:B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P63"/>
  <sheetViews>
    <sheetView tabSelected="1" zoomScale="85" zoomScaleNormal="85" workbookViewId="0">
      <selection activeCell="B3" sqref="B3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37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6" s="16" customFormat="1" ht="30" customHeight="1" x14ac:dyDescent="0.3">
      <c r="A1" s="38"/>
      <c r="B1" s="39"/>
      <c r="C1" s="43"/>
      <c r="D1" s="53"/>
      <c r="E1" s="39"/>
      <c r="F1" s="39"/>
      <c r="G1" s="39"/>
      <c r="H1" s="42"/>
      <c r="I1" s="40"/>
      <c r="J1" s="40"/>
      <c r="K1" s="35"/>
      <c r="L1" s="40"/>
      <c r="N1" s="17"/>
    </row>
    <row r="2" spans="1:16" ht="30" customHeight="1" x14ac:dyDescent="0.3">
      <c r="A2" s="30" t="s">
        <v>40</v>
      </c>
      <c r="B2" s="31" t="s">
        <v>13</v>
      </c>
      <c r="C2" s="44" t="s">
        <v>14</v>
      </c>
      <c r="D2" s="31" t="s">
        <v>18</v>
      </c>
      <c r="E2" s="31" t="s">
        <v>42</v>
      </c>
      <c r="F2" s="31" t="s">
        <v>43</v>
      </c>
      <c r="G2" s="31" t="s">
        <v>16</v>
      </c>
      <c r="H2" s="32" t="s">
        <v>41</v>
      </c>
      <c r="I2" s="32" t="s">
        <v>17</v>
      </c>
      <c r="J2" s="32" t="s">
        <v>15</v>
      </c>
      <c r="K2" s="33" t="s">
        <v>19</v>
      </c>
      <c r="L2" s="34" t="s">
        <v>0</v>
      </c>
    </row>
    <row r="3" spans="1:16" ht="30" customHeight="1" x14ac:dyDescent="0.3">
      <c r="A3" s="19"/>
      <c r="B3" s="20" t="e" cm="1" vm="2">
        <f t="array" aca="1" ref="B3" ca="1">DATE(Détails!A1,2,_xlfn.SEQUENCE(DATE(Détails!A1,3,1)-DATE(Détails!A1,2,1)))</f>
        <v>#VALUE!</v>
      </c>
      <c r="C3" s="45"/>
      <c r="D3" s="21"/>
      <c r="E3" s="22"/>
      <c r="F3" s="22"/>
      <c r="G3" s="21"/>
      <c r="H3" s="23"/>
      <c r="I3" s="23"/>
      <c r="J3" s="23"/>
      <c r="K3" s="36"/>
      <c r="L3" s="24"/>
      <c r="N3" s="58"/>
      <c r="O3" s="25"/>
      <c r="P3" s="25"/>
    </row>
    <row r="4" spans="1:16" ht="30" customHeight="1" x14ac:dyDescent="0.3">
      <c r="A4" s="19"/>
      <c r="B4" s="20"/>
      <c r="C4" s="45"/>
      <c r="D4" s="21"/>
      <c r="E4" s="22"/>
      <c r="F4" s="22"/>
      <c r="G4" s="21"/>
      <c r="H4" s="23"/>
      <c r="I4" s="23"/>
      <c r="J4" s="23"/>
      <c r="K4" s="36"/>
      <c r="L4" s="24"/>
      <c r="N4" s="58"/>
    </row>
    <row r="5" spans="1:16" ht="30" customHeight="1" x14ac:dyDescent="0.3">
      <c r="A5" s="19"/>
      <c r="B5" s="20"/>
      <c r="C5" s="45"/>
      <c r="D5" s="21"/>
      <c r="E5" s="22"/>
      <c r="F5" s="22"/>
      <c r="G5" s="21"/>
      <c r="H5" s="23"/>
      <c r="I5" s="23"/>
      <c r="J5" s="23"/>
      <c r="K5" s="36"/>
      <c r="L5" s="24"/>
      <c r="N5" s="59"/>
    </row>
    <row r="6" spans="1:16" ht="30" customHeight="1" x14ac:dyDescent="0.3">
      <c r="A6" s="19"/>
      <c r="B6" s="20"/>
      <c r="C6" s="45"/>
      <c r="D6" s="21"/>
      <c r="E6" s="22"/>
      <c r="F6" s="22"/>
      <c r="G6" s="21"/>
      <c r="H6" s="23"/>
      <c r="I6" s="23"/>
      <c r="J6" s="23"/>
      <c r="K6" s="36"/>
      <c r="L6" s="24"/>
      <c r="N6" s="54"/>
    </row>
    <row r="7" spans="1:16" ht="30" customHeight="1" x14ac:dyDescent="0.3">
      <c r="A7" s="19"/>
      <c r="B7" s="20"/>
      <c r="C7" s="45"/>
      <c r="D7" s="21"/>
      <c r="E7" s="22"/>
      <c r="F7" s="22"/>
      <c r="G7" s="21"/>
      <c r="H7" s="23"/>
      <c r="I7" s="23"/>
      <c r="J7" s="23"/>
      <c r="K7" s="36"/>
      <c r="L7" s="24"/>
      <c r="N7" s="54"/>
    </row>
    <row r="8" spans="1:16" ht="30" customHeight="1" x14ac:dyDescent="0.3">
      <c r="A8" s="19"/>
      <c r="B8" s="20"/>
      <c r="C8" s="45"/>
      <c r="D8" s="21"/>
      <c r="E8" s="22"/>
      <c r="F8" s="22"/>
      <c r="G8" s="21"/>
      <c r="H8" s="23"/>
      <c r="I8" s="23"/>
      <c r="J8" s="23"/>
      <c r="K8" s="36"/>
      <c r="L8" s="24"/>
      <c r="N8" s="54"/>
    </row>
    <row r="9" spans="1:16" ht="30" customHeight="1" x14ac:dyDescent="0.3">
      <c r="A9" s="19"/>
      <c r="B9" s="20"/>
      <c r="C9" s="45"/>
      <c r="D9" s="21"/>
      <c r="E9" s="22"/>
      <c r="F9" s="22"/>
      <c r="G9" s="21"/>
      <c r="H9" s="23"/>
      <c r="I9" s="23"/>
      <c r="J9" s="23"/>
      <c r="K9" s="36"/>
      <c r="L9" s="41"/>
    </row>
    <row r="10" spans="1:16" ht="30" customHeight="1" x14ac:dyDescent="0.3">
      <c r="A10" s="19"/>
      <c r="B10" s="20"/>
      <c r="C10" s="45"/>
      <c r="D10" s="21"/>
      <c r="E10" s="22"/>
      <c r="F10" s="22"/>
      <c r="G10" s="21"/>
      <c r="H10" s="23"/>
      <c r="I10" s="23"/>
      <c r="J10" s="23"/>
      <c r="K10" s="36"/>
      <c r="L10" s="24"/>
    </row>
    <row r="11" spans="1:16" ht="30" customHeight="1" x14ac:dyDescent="0.3">
      <c r="A11" s="19"/>
      <c r="B11" s="20"/>
      <c r="C11" s="45"/>
      <c r="D11" s="21"/>
      <c r="E11" s="22"/>
      <c r="F11" s="22"/>
      <c r="G11" s="21"/>
      <c r="H11" s="23"/>
      <c r="I11" s="23"/>
      <c r="J11" s="23"/>
      <c r="K11" s="36"/>
      <c r="L11" s="24"/>
      <c r="N11" s="25"/>
    </row>
    <row r="12" spans="1:16" ht="30" customHeight="1" x14ac:dyDescent="0.3">
      <c r="A12" s="19"/>
      <c r="B12" s="20"/>
      <c r="C12" s="45"/>
      <c r="D12" s="21"/>
      <c r="E12" s="22"/>
      <c r="F12" s="22"/>
      <c r="G12" s="21"/>
      <c r="H12" s="23"/>
      <c r="I12" s="23"/>
      <c r="J12" s="23"/>
      <c r="K12" s="36"/>
      <c r="L12" s="24"/>
      <c r="N12" s="25"/>
    </row>
    <row r="13" spans="1:16" ht="30" customHeight="1" x14ac:dyDescent="0.3">
      <c r="A13" s="19"/>
      <c r="B13" s="20"/>
      <c r="C13" s="45"/>
      <c r="D13" s="21"/>
      <c r="E13" s="22"/>
      <c r="F13" s="22"/>
      <c r="G13" s="21"/>
      <c r="H13" s="23"/>
      <c r="I13" s="23"/>
      <c r="J13" s="23"/>
      <c r="K13" s="36"/>
      <c r="L13" s="24"/>
      <c r="N13" s="25"/>
    </row>
    <row r="14" spans="1:16" ht="30" customHeight="1" x14ac:dyDescent="0.3">
      <c r="A14" s="19"/>
      <c r="B14" s="20"/>
      <c r="C14" s="45"/>
      <c r="D14" s="21"/>
      <c r="E14" s="22"/>
      <c r="F14" s="22"/>
      <c r="G14" s="21"/>
      <c r="H14" s="23"/>
      <c r="I14" s="23"/>
      <c r="J14" s="23"/>
      <c r="K14" s="36"/>
      <c r="L14" s="24"/>
      <c r="N14" s="25"/>
    </row>
    <row r="15" spans="1:16" ht="30" customHeight="1" x14ac:dyDescent="0.3">
      <c r="A15" s="19"/>
      <c r="B15" s="20"/>
      <c r="C15" s="45"/>
      <c r="D15" s="21"/>
      <c r="E15" s="22"/>
      <c r="F15" s="22"/>
      <c r="G15" s="21"/>
      <c r="H15" s="23"/>
      <c r="I15" s="23"/>
      <c r="J15" s="23"/>
      <c r="K15" s="36"/>
      <c r="L15" s="24"/>
      <c r="N15" s="25"/>
    </row>
    <row r="16" spans="1:16" ht="30" customHeight="1" x14ac:dyDescent="0.3">
      <c r="A16" s="19"/>
      <c r="B16" s="20"/>
      <c r="C16" s="45"/>
      <c r="D16" s="21"/>
      <c r="E16" s="22"/>
      <c r="F16" s="22"/>
      <c r="G16" s="21"/>
      <c r="H16" s="23"/>
      <c r="I16" s="23"/>
      <c r="J16" s="23"/>
      <c r="K16" s="36"/>
      <c r="L16" s="24"/>
      <c r="N16" s="25"/>
    </row>
    <row r="17" spans="1:14" ht="30" customHeight="1" x14ac:dyDescent="0.3">
      <c r="A17" s="19"/>
      <c r="B17" s="20"/>
      <c r="C17" s="45"/>
      <c r="D17" s="21"/>
      <c r="E17" s="22"/>
      <c r="F17" s="22"/>
      <c r="G17" s="21"/>
      <c r="H17" s="23"/>
      <c r="I17" s="23"/>
      <c r="J17" s="23"/>
      <c r="K17" s="36"/>
      <c r="L17" s="24"/>
      <c r="N17" s="25"/>
    </row>
    <row r="18" spans="1:14" ht="30" customHeight="1" x14ac:dyDescent="0.3">
      <c r="A18" s="19"/>
      <c r="B18" s="20"/>
      <c r="C18" s="45"/>
      <c r="D18" s="21"/>
      <c r="E18" s="22"/>
      <c r="F18" s="22"/>
      <c r="G18" s="21"/>
      <c r="H18" s="23"/>
      <c r="I18" s="23"/>
      <c r="J18" s="23"/>
      <c r="K18" s="36"/>
      <c r="L18" s="24"/>
      <c r="N18" s="25"/>
    </row>
    <row r="19" spans="1:14" ht="30" customHeight="1" x14ac:dyDescent="0.3">
      <c r="A19" s="19"/>
      <c r="B19" s="20"/>
      <c r="C19" s="45"/>
      <c r="D19" s="21"/>
      <c r="E19" s="22"/>
      <c r="F19" s="22"/>
      <c r="G19" s="21"/>
      <c r="H19" s="23"/>
      <c r="I19" s="23"/>
      <c r="J19" s="23"/>
      <c r="K19" s="36"/>
      <c r="L19" s="24"/>
      <c r="N19" s="25"/>
    </row>
    <row r="20" spans="1:14" ht="30" customHeight="1" x14ac:dyDescent="0.3">
      <c r="A20" s="19"/>
      <c r="B20" s="20"/>
      <c r="C20" s="45"/>
      <c r="D20" s="21"/>
      <c r="E20" s="22"/>
      <c r="F20" s="22"/>
      <c r="G20" s="21"/>
      <c r="H20" s="23"/>
      <c r="I20" s="23"/>
      <c r="J20" s="23"/>
      <c r="K20" s="36"/>
      <c r="L20" s="24"/>
      <c r="N20" s="25"/>
    </row>
    <row r="21" spans="1:14" ht="30" customHeight="1" x14ac:dyDescent="0.3">
      <c r="A21" s="19"/>
      <c r="B21" s="20"/>
      <c r="C21" s="45"/>
      <c r="D21" s="21"/>
      <c r="E21" s="22"/>
      <c r="F21" s="22"/>
      <c r="G21" s="21"/>
      <c r="H21" s="23"/>
      <c r="I21" s="23"/>
      <c r="J21" s="23"/>
      <c r="K21" s="36"/>
      <c r="L21" s="24"/>
      <c r="N21" s="25"/>
    </row>
    <row r="22" spans="1:14" ht="30" customHeight="1" x14ac:dyDescent="0.3">
      <c r="A22" s="19"/>
      <c r="B22" s="20"/>
      <c r="C22" s="45"/>
      <c r="D22" s="21"/>
      <c r="E22" s="22"/>
      <c r="F22" s="22"/>
      <c r="G22" s="21"/>
      <c r="H22" s="23"/>
      <c r="I22" s="23"/>
      <c r="J22" s="23"/>
      <c r="K22" s="36"/>
      <c r="L22" s="24"/>
      <c r="N22" s="25"/>
    </row>
    <row r="23" spans="1:14" ht="30" customHeight="1" x14ac:dyDescent="0.3">
      <c r="A23" s="19"/>
      <c r="B23" s="20"/>
      <c r="C23" s="45"/>
      <c r="D23" s="21"/>
      <c r="E23" s="22"/>
      <c r="F23" s="22"/>
      <c r="G23" s="21"/>
      <c r="H23" s="23"/>
      <c r="I23" s="23"/>
      <c r="J23" s="23"/>
      <c r="K23" s="36"/>
      <c r="L23" s="24"/>
    </row>
    <row r="24" spans="1:14" ht="30" customHeight="1" x14ac:dyDescent="0.3">
      <c r="A24" s="19"/>
      <c r="B24" s="20"/>
      <c r="C24" s="45"/>
      <c r="D24" s="21"/>
      <c r="E24" s="22"/>
      <c r="F24" s="22"/>
      <c r="G24" s="21"/>
      <c r="H24" s="23"/>
      <c r="I24" s="23"/>
      <c r="J24" s="23"/>
      <c r="K24" s="36"/>
      <c r="L24" s="24"/>
    </row>
    <row r="25" spans="1:14" ht="30" customHeight="1" x14ac:dyDescent="0.3">
      <c r="A25" s="19"/>
      <c r="B25" s="20"/>
      <c r="C25" s="45"/>
      <c r="D25" s="21"/>
      <c r="E25" s="22"/>
      <c r="F25" s="22"/>
      <c r="G25" s="21"/>
      <c r="H25" s="23"/>
      <c r="I25" s="23"/>
      <c r="J25" s="23"/>
      <c r="K25" s="36"/>
      <c r="L25" s="24"/>
    </row>
    <row r="26" spans="1:14" ht="30" customHeight="1" x14ac:dyDescent="0.3">
      <c r="A26" s="19"/>
      <c r="B26" s="20"/>
      <c r="C26" s="45"/>
      <c r="D26" s="21"/>
      <c r="E26" s="22"/>
      <c r="F26" s="22"/>
      <c r="G26" s="21"/>
      <c r="H26" s="23"/>
      <c r="I26" s="23"/>
      <c r="J26" s="23"/>
      <c r="K26" s="36"/>
      <c r="L26" s="24"/>
    </row>
    <row r="27" spans="1:14" ht="30" customHeight="1" x14ac:dyDescent="0.3">
      <c r="A27" s="19"/>
      <c r="B27" s="20"/>
      <c r="C27" s="45"/>
      <c r="D27" s="21"/>
      <c r="E27" s="22"/>
      <c r="F27" s="22"/>
      <c r="G27" s="21"/>
      <c r="H27" s="23"/>
      <c r="I27" s="23"/>
      <c r="J27" s="23"/>
      <c r="K27" s="36"/>
      <c r="L27" s="24"/>
    </row>
    <row r="28" spans="1:14" ht="30" customHeight="1" x14ac:dyDescent="0.3">
      <c r="A28" s="19"/>
      <c r="B28" s="20"/>
      <c r="C28" s="45"/>
      <c r="D28" s="21"/>
      <c r="E28" s="22"/>
      <c r="F28" s="22"/>
      <c r="G28" s="21"/>
      <c r="H28" s="23"/>
      <c r="I28" s="23"/>
      <c r="J28" s="23"/>
      <c r="K28" s="36"/>
      <c r="L28" s="24"/>
    </row>
    <row r="29" spans="1:14" ht="30" customHeight="1" x14ac:dyDescent="0.3">
      <c r="A29" s="19"/>
      <c r="B29" s="20"/>
      <c r="C29" s="45"/>
      <c r="D29" s="21"/>
      <c r="E29" s="22"/>
      <c r="F29" s="22"/>
      <c r="G29" s="21"/>
      <c r="H29" s="23"/>
      <c r="I29" s="23"/>
      <c r="J29" s="23"/>
      <c r="K29" s="36"/>
      <c r="L29" s="24"/>
    </row>
    <row r="30" spans="1:14" ht="30" customHeight="1" x14ac:dyDescent="0.3">
      <c r="A30" s="19"/>
      <c r="B30" s="20"/>
      <c r="C30" s="45"/>
      <c r="D30" s="21"/>
      <c r="E30" s="22"/>
      <c r="F30" s="22"/>
      <c r="G30" s="21"/>
      <c r="H30" s="23"/>
      <c r="I30" s="23"/>
      <c r="J30" s="23"/>
      <c r="K30" s="36"/>
      <c r="L30" s="24"/>
    </row>
    <row r="31" spans="1:14" ht="30" customHeight="1" x14ac:dyDescent="0.3">
      <c r="A31" s="19"/>
      <c r="B31" s="20"/>
      <c r="C31" s="45"/>
      <c r="D31" s="21"/>
      <c r="E31" s="22"/>
      <c r="F31" s="22"/>
      <c r="G31" s="21"/>
      <c r="H31" s="23"/>
      <c r="I31" s="23"/>
      <c r="J31" s="23"/>
      <c r="K31" s="36"/>
      <c r="L31" s="24"/>
    </row>
    <row r="35" spans="3:3" x14ac:dyDescent="0.3">
      <c r="C35" s="61"/>
    </row>
    <row r="36" spans="3:3" ht="30" customHeight="1" x14ac:dyDescent="0.3">
      <c r="C36" s="61"/>
    </row>
    <row r="37" spans="3:3" x14ac:dyDescent="0.3">
      <c r="C37" s="61"/>
    </row>
    <row r="38" spans="3:3" x14ac:dyDescent="0.3">
      <c r="C38" s="61"/>
    </row>
    <row r="39" spans="3:3" x14ac:dyDescent="0.3">
      <c r="C39" s="61"/>
    </row>
    <row r="40" spans="3:3" x14ac:dyDescent="0.3">
      <c r="C40" s="61"/>
    </row>
    <row r="41" spans="3:3" x14ac:dyDescent="0.3">
      <c r="C41" s="61"/>
    </row>
    <row r="42" spans="3:3" x14ac:dyDescent="0.3">
      <c r="C42" s="61"/>
    </row>
    <row r="43" spans="3:3" x14ac:dyDescent="0.3">
      <c r="C43" s="61"/>
    </row>
    <row r="44" spans="3:3" x14ac:dyDescent="0.3">
      <c r="C44" s="61"/>
    </row>
    <row r="45" spans="3:3" x14ac:dyDescent="0.3">
      <c r="C45" s="61"/>
    </row>
    <row r="46" spans="3:3" x14ac:dyDescent="0.3">
      <c r="C46" s="61"/>
    </row>
    <row r="47" spans="3:3" x14ac:dyDescent="0.3">
      <c r="C47" s="61"/>
    </row>
    <row r="48" spans="3:3" x14ac:dyDescent="0.3">
      <c r="C48" s="61"/>
    </row>
    <row r="49" spans="3:3" x14ac:dyDescent="0.3">
      <c r="C49" s="61"/>
    </row>
    <row r="50" spans="3:3" x14ac:dyDescent="0.3">
      <c r="C50" s="61"/>
    </row>
    <row r="51" spans="3:3" x14ac:dyDescent="0.3">
      <c r="C51" s="61"/>
    </row>
    <row r="52" spans="3:3" x14ac:dyDescent="0.3">
      <c r="C52" s="61"/>
    </row>
    <row r="53" spans="3:3" x14ac:dyDescent="0.3">
      <c r="C53" s="61"/>
    </row>
    <row r="54" spans="3:3" x14ac:dyDescent="0.3">
      <c r="C54" s="61"/>
    </row>
    <row r="55" spans="3:3" x14ac:dyDescent="0.3">
      <c r="C55" s="61"/>
    </row>
    <row r="56" spans="3:3" x14ac:dyDescent="0.3">
      <c r="C56" s="61"/>
    </row>
    <row r="57" spans="3:3" x14ac:dyDescent="0.3">
      <c r="C57" s="61"/>
    </row>
    <row r="58" spans="3:3" x14ac:dyDescent="0.3">
      <c r="C58" s="61"/>
    </row>
    <row r="59" spans="3:3" x14ac:dyDescent="0.3">
      <c r="C59" s="61"/>
    </row>
    <row r="60" spans="3:3" x14ac:dyDescent="0.3">
      <c r="C60" s="61"/>
    </row>
    <row r="61" spans="3:3" x14ac:dyDescent="0.3">
      <c r="C61" s="61"/>
    </row>
    <row r="62" spans="3:3" x14ac:dyDescent="0.3">
      <c r="C62" s="61"/>
    </row>
    <row r="63" spans="3:3" x14ac:dyDescent="0.3">
      <c r="C63" s="61"/>
    </row>
  </sheetData>
  <conditionalFormatting sqref="A3:L31">
    <cfRule type="expression" dxfId="4" priority="1">
      <formula>OR($C3="Arrêt maladie",$C3="Accident du travail")</formula>
    </cfRule>
    <cfRule type="expression" dxfId="3" priority="2">
      <formula>OR($C3="Congé",$C3="Congé pour évènement familial")</formula>
    </cfRule>
    <cfRule type="expression" dxfId="2" priority="4">
      <formula>WEEKDAY($B3,2)&gt;5</formula>
    </cfRule>
  </conditionalFormatting>
  <dataValidations count="1">
    <dataValidation type="list" errorStyle="information" allowBlank="1" showInputMessage="1" sqref="C3:C31" xr:uid="{DCBC8C90-82A8-4450-A37E-B303704C1491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BD405CB-77D3-4E98-9936-6C90E8826A59}">
            <xm:f>NOT(ISNA(VLOOKUP($B3,Détails!$K$2:$K$16,1,0)))</xm:f>
            <x14:dxf>
              <fill>
                <patternFill>
                  <bgColor rgb="FF92D050"/>
                </patternFill>
              </fill>
            </x14:dxf>
          </x14:cfRule>
          <xm:sqref>A3:L31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C46E09-905B-45F6-A0F8-36A8B2E07C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des choses à faire</vt:lpstr>
      <vt:lpstr>Détails</vt:lpstr>
      <vt:lpstr>Février</vt:lpstr>
      <vt:lpstr>ANNEE</vt:lpstr>
      <vt:lpstr>NB_JOURS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2024-06-18T13:55:36Z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