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D:\Excel\Suivi des heures\"/>
    </mc:Choice>
  </mc:AlternateContent>
  <xr:revisionPtr revIDLastSave="0" documentId="13_ncr:1_{8C2FEB34-6A61-49C6-B6AF-70FEF2310349}" xr6:coauthVersionLast="47" xr6:coauthVersionMax="47" xr10:uidLastSave="{00000000-0000-0000-0000-000000000000}"/>
  <bookViews>
    <workbookView xWindow="-108" yWindow="-108" windowWidth="23256" windowHeight="12456" tabRatio="894" firstSheet="1" activeTab="2" xr2:uid="{00000000-000D-0000-FFFF-FFFF00000000}"/>
  </bookViews>
  <sheets>
    <sheet name="Liste des choses à faire" sheetId="21" r:id="rId1"/>
    <sheet name="Détails" sheetId="17" r:id="rId2"/>
    <sheet name="Janvier" sheetId="1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4" l="1"/>
  <c r="C3" i="14" a="1"/>
  <c r="C3" i="14" s="1"/>
  <c r="J1" i="17"/>
  <c r="D1" i="14"/>
  <c r="O3" i="14" l="1"/>
  <c r="B4" i="14"/>
  <c r="B1" i="21" a="1"/>
  <c r="B1" i="21" s="1"/>
  <c r="F2" i="21"/>
  <c r="E2" i="21"/>
  <c r="E3" i="21" s="1"/>
  <c r="C2" i="21" a="1"/>
  <c r="C2" i="21" s="1"/>
  <c r="E7" i="17"/>
  <c r="C4" i="14" l="1" a="1"/>
  <c r="C4" i="14" s="1"/>
  <c r="N3" i="14" a="1"/>
  <c r="N3" i="14" s="1"/>
  <c r="B5" i="14"/>
  <c r="B6" i="14" s="1"/>
  <c r="B7" i="14" s="1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" i="14"/>
  <c r="F1" i="14" l="1"/>
  <c r="E1" i="14"/>
  <c r="O13" i="17" l="1"/>
  <c r="N13" i="17"/>
  <c r="M13" i="17"/>
  <c r="O12" i="17"/>
  <c r="N12" i="17"/>
  <c r="M12" i="17"/>
  <c r="O11" i="17"/>
  <c r="N11" i="17"/>
  <c r="M11" i="17"/>
  <c r="O10" i="17"/>
  <c r="N10" i="17"/>
  <c r="M10" i="17"/>
  <c r="O9" i="17"/>
  <c r="N9" i="17"/>
  <c r="M9" i="17"/>
  <c r="O8" i="17"/>
  <c r="N8" i="17"/>
  <c r="M8" i="17"/>
  <c r="O7" i="17"/>
  <c r="N7" i="17"/>
  <c r="M7" i="17"/>
  <c r="O6" i="17"/>
  <c r="N6" i="17"/>
  <c r="M6" i="17"/>
  <c r="O5" i="17"/>
  <c r="N5" i="17"/>
  <c r="M5" i="17"/>
  <c r="O4" i="17"/>
  <c r="N4" i="17"/>
  <c r="O3" i="17"/>
  <c r="N3" i="17"/>
  <c r="M4" i="17"/>
  <c r="M3" i="17"/>
  <c r="K13" i="17"/>
  <c r="K12" i="17"/>
  <c r="K11" i="17"/>
  <c r="K10" i="17"/>
  <c r="K9" i="17"/>
  <c r="K8" i="17"/>
  <c r="K7" i="17"/>
  <c r="K6" i="17"/>
  <c r="K5" i="17"/>
  <c r="K4" i="17"/>
  <c r="K3" i="17"/>
  <c r="B13" i="17"/>
  <c r="B15" i="17" l="1"/>
  <c r="B3" i="17"/>
  <c r="B2" i="17"/>
  <c r="B4" i="17" l="1"/>
  <c r="B6" i="17"/>
  <c r="E5" i="17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O2" i="17" l="1"/>
  <c r="M2" i="17"/>
  <c r="N2" i="17"/>
  <c r="K2" i="17"/>
  <c r="H1" i="14"/>
  <c r="I1" i="14"/>
  <c r="A3" i="14"/>
  <c r="O4" i="14" l="1"/>
  <c r="H15" i="17"/>
  <c r="H14" i="17"/>
  <c r="H13" i="17"/>
  <c r="H11" i="17"/>
  <c r="H7" i="17"/>
  <c r="H6" i="17"/>
  <c r="H4" i="17"/>
  <c r="H2" i="17"/>
  <c r="G1" i="14"/>
  <c r="C5" i="14" l="1" a="1"/>
  <c r="C5" i="14" s="1"/>
  <c r="O5" i="14"/>
  <c r="A4" i="14"/>
  <c r="C6" i="14" l="1" a="1"/>
  <c r="C6" i="14" s="1"/>
  <c r="O6" i="14"/>
  <c r="K6" i="14"/>
  <c r="L6" i="14" s="1"/>
  <c r="A5" i="14"/>
  <c r="C7" i="14" l="1" a="1"/>
  <c r="C7" i="14" s="1"/>
  <c r="O7" i="14"/>
  <c r="A6" i="14"/>
  <c r="C8" i="14" l="1" a="1"/>
  <c r="C8" i="14" s="1"/>
  <c r="O8" i="14"/>
  <c r="K8" i="14"/>
  <c r="L8" i="14" s="1"/>
  <c r="A7" i="14"/>
  <c r="C9" i="14" l="1" a="1"/>
  <c r="C9" i="14" s="1"/>
  <c r="O9" i="14"/>
  <c r="A8" i="14"/>
  <c r="H12" i="17"/>
  <c r="A19" i="17"/>
  <c r="A20" i="17" s="1"/>
  <c r="C10" i="14" l="1" a="1"/>
  <c r="C10" i="14" s="1"/>
  <c r="O10" i="14"/>
  <c r="A9" i="14"/>
  <c r="E2" i="17"/>
  <c r="C11" i="14" l="1" a="1"/>
  <c r="C11" i="14" s="1"/>
  <c r="O11" i="14"/>
  <c r="A10" i="14"/>
  <c r="H8" i="17"/>
  <c r="H16" i="17"/>
  <c r="C12" i="14" l="1" a="1"/>
  <c r="C12" i="14" s="1"/>
  <c r="O12" i="14"/>
  <c r="A11" i="14"/>
  <c r="H9" i="17"/>
  <c r="H10" i="17" s="1"/>
  <c r="H5" i="17"/>
  <c r="H3" i="17"/>
  <c r="C13" i="14" l="1" a="1"/>
  <c r="C13" i="14" s="1"/>
  <c r="O13" i="14"/>
  <c r="B16" i="17"/>
  <c r="Q3" i="17"/>
  <c r="L13" i="17"/>
  <c r="P3" i="17"/>
  <c r="Q2" i="17"/>
  <c r="P13" i="17"/>
  <c r="Q8" i="17"/>
  <c r="L4" i="17"/>
  <c r="P12" i="17"/>
  <c r="B8" i="17"/>
  <c r="E38" i="14"/>
  <c r="B7" i="17"/>
  <c r="B14" i="17"/>
  <c r="B17" i="17"/>
  <c r="Q7" i="17"/>
  <c r="Q13" i="17"/>
  <c r="Q4" i="17"/>
  <c r="Q11" i="17"/>
  <c r="P5" i="17"/>
  <c r="Q10" i="17"/>
  <c r="Q9" i="17"/>
  <c r="P8" i="17"/>
  <c r="P2" i="17"/>
  <c r="L7" i="17"/>
  <c r="L9" i="17"/>
  <c r="B5" i="17"/>
  <c r="L11" i="17"/>
  <c r="P10" i="17"/>
  <c r="P7" i="17"/>
  <c r="P9" i="17"/>
  <c r="Q12" i="17"/>
  <c r="L8" i="17"/>
  <c r="P6" i="17"/>
  <c r="L12" i="17"/>
  <c r="L6" i="17"/>
  <c r="Q5" i="17"/>
  <c r="L3" i="17"/>
  <c r="L5" i="17"/>
  <c r="Q6" i="17"/>
  <c r="P11" i="17"/>
  <c r="L2" i="17"/>
  <c r="P4" i="17"/>
  <c r="L10" i="17"/>
  <c r="K13" i="14"/>
  <c r="L13" i="14" s="1"/>
  <c r="A12" i="14"/>
  <c r="C14" i="14" l="1" a="1"/>
  <c r="C14" i="14" s="1"/>
  <c r="O14" i="14"/>
  <c r="A13" i="14"/>
  <c r="C15" i="14" l="1" a="1"/>
  <c r="C15" i="14" s="1"/>
  <c r="O15" i="14"/>
  <c r="K15" i="14"/>
  <c r="L15" i="14" s="1"/>
  <c r="A14" i="14"/>
  <c r="C16" i="14" l="1" a="1"/>
  <c r="C16" i="14" s="1"/>
  <c r="O16" i="14"/>
  <c r="A15" i="14"/>
  <c r="C17" i="14" l="1" a="1"/>
  <c r="C17" i="14" s="1"/>
  <c r="O17" i="14"/>
  <c r="A16" i="14"/>
  <c r="C18" i="14" l="1" a="1"/>
  <c r="C18" i="14" s="1"/>
  <c r="O18" i="14"/>
  <c r="A17" i="14"/>
  <c r="C19" i="14" l="1" a="1"/>
  <c r="C19" i="14" s="1"/>
  <c r="O19" i="14"/>
  <c r="A18" i="14"/>
  <c r="C20" i="14" l="1" a="1"/>
  <c r="C20" i="14" s="1"/>
  <c r="O20" i="14"/>
  <c r="K20" i="14"/>
  <c r="L20" i="14" s="1"/>
  <c r="A19" i="14"/>
  <c r="C21" i="14" l="1" a="1"/>
  <c r="C21" i="14" s="1"/>
  <c r="O21" i="14"/>
  <c r="A20" i="14"/>
  <c r="C22" i="14" l="1" a="1"/>
  <c r="C22" i="14" s="1"/>
  <c r="O22" i="14"/>
  <c r="K22" i="14"/>
  <c r="L22" i="14" s="1"/>
  <c r="A21" i="14"/>
  <c r="C23" i="14" l="1" a="1"/>
  <c r="C23" i="14" s="1"/>
  <c r="O23" i="14"/>
  <c r="A22" i="14"/>
  <c r="C24" i="14" l="1" a="1"/>
  <c r="C24" i="14" s="1"/>
  <c r="O24" i="14"/>
  <c r="A23" i="14"/>
  <c r="C25" i="14" l="1" a="1"/>
  <c r="C25" i="14" s="1"/>
  <c r="O25" i="14"/>
  <c r="A24" i="14"/>
  <c r="C26" i="14" l="1" a="1"/>
  <c r="C26" i="14" s="1"/>
  <c r="O26" i="14"/>
  <c r="A25" i="14"/>
  <c r="C27" i="14" l="1" a="1"/>
  <c r="C27" i="14" s="1"/>
  <c r="O27" i="14"/>
  <c r="K27" i="14"/>
  <c r="L27" i="14" s="1"/>
  <c r="A26" i="14"/>
  <c r="C28" i="14" l="1" a="1"/>
  <c r="C28" i="14" s="1"/>
  <c r="O28" i="14"/>
  <c r="A27" i="14"/>
  <c r="C29" i="14" l="1" a="1"/>
  <c r="C29" i="14" s="1"/>
  <c r="O29" i="14"/>
  <c r="K29" i="14"/>
  <c r="L29" i="14" s="1"/>
  <c r="A28" i="14"/>
  <c r="C30" i="14" l="1" a="1"/>
  <c r="C30" i="14" s="1"/>
  <c r="O30" i="14"/>
  <c r="A29" i="14"/>
  <c r="C31" i="14" l="1" a="1"/>
  <c r="C31" i="14" s="1"/>
  <c r="O31" i="14"/>
  <c r="A30" i="14"/>
  <c r="C32" i="14" l="1" a="1"/>
  <c r="C32" i="14" s="1"/>
  <c r="O32" i="14"/>
  <c r="A31" i="14"/>
  <c r="N7" i="14" l="1"/>
  <c r="O33" i="14"/>
  <c r="N8" i="14" s="1"/>
  <c r="C33" i="14" a="1"/>
  <c r="C33" i="14" s="1"/>
  <c r="N5" i="14" a="1"/>
  <c r="N5" i="14" s="1"/>
  <c r="A32" i="14"/>
  <c r="A33" i="14" l="1"/>
  <c r="K30" i="14" s="1"/>
  <c r="L30" i="14" s="1"/>
  <c r="B1" i="14"/>
  <c r="K32" i="14" l="1"/>
  <c r="L32" i="14" s="1"/>
  <c r="K4" i="14"/>
  <c r="L4" i="14" s="1"/>
  <c r="K11" i="14"/>
  <c r="L11" i="14" s="1"/>
  <c r="K18" i="14"/>
  <c r="L18" i="14" s="1"/>
  <c r="K25" i="14"/>
  <c r="L25" i="14" s="1"/>
  <c r="K3" i="14"/>
  <c r="K10" i="14"/>
  <c r="L10" i="14" s="1"/>
  <c r="K17" i="14"/>
  <c r="L17" i="14" s="1"/>
  <c r="K24" i="14"/>
  <c r="L24" i="14" s="1"/>
  <c r="K31" i="14"/>
  <c r="L31" i="14" s="1"/>
  <c r="K7" i="14"/>
  <c r="L7" i="14" s="1"/>
  <c r="K14" i="14"/>
  <c r="L14" i="14" s="1"/>
  <c r="K21" i="14"/>
  <c r="L21" i="14" s="1"/>
  <c r="K28" i="14"/>
  <c r="L28" i="14" s="1"/>
  <c r="K9" i="14"/>
  <c r="L9" i="14" s="1"/>
  <c r="K16" i="14"/>
  <c r="L16" i="14" s="1"/>
  <c r="K23" i="14"/>
  <c r="L23" i="14" s="1"/>
  <c r="K5" i="14"/>
  <c r="L5" i="14" s="1"/>
  <c r="K12" i="14"/>
  <c r="L12" i="14" s="1"/>
  <c r="K19" i="14"/>
  <c r="L19" i="14" s="1"/>
  <c r="K26" i="14"/>
  <c r="L26" i="14" s="1"/>
  <c r="K33" i="14"/>
  <c r="L33" i="14" s="1"/>
  <c r="J1" i="14"/>
  <c r="L3" i="14" l="1"/>
  <c r="L1" i="14" s="1"/>
  <c r="K1" i="14"/>
  <c r="N6" i="14"/>
  <c r="N4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<sst xmlns="http://schemas.openxmlformats.org/spreadsheetml/2006/main" count="82" uniqueCount="77">
  <si>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</si>
  <si>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</si>
  <si>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</si>
  <si>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</si>
  <si>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</si>
  <si>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</si>
  <si>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</si>
  <si>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</si>
  <si>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</si>
  <si>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</si>
  <si>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</si>
  <si>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</si>
  <si>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</si>
  <si>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</si>
  <si>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Ordre</t>
  </si>
  <si>
    <t>Heures de nuit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</si>
  <si>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</si>
  <si>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</si>
  <si>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</si>
  <si>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</si>
  <si>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</si>
  <si>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</si>
  <si>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</si>
  <si>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</si>
  <si>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</si>
  <si>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</si>
  <si>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</si>
  <si>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</si>
  <si>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</si>
  <si>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</si>
  <si>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</si>
  <si>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</si>
  <si>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</si>
  <si>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</si>
  <si>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</si>
  <si>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</si>
  <si>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</si>
  <si>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</si>
  <si>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</si>
  <si>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</si>
  <si>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</si>
  <si>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</si>
  <si>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</si>
  <si>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</si>
  <si>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</si>
  <si>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</si>
  <si>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</si>
  <si>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</si>
  <si>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</si>
  <si>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</si>
  <si>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</si>
  <si>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</si>
  <si>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</si>
  <si>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Calcul entre deux dates</t>
  </si>
  <si>
    <t>Nombre de jours</t>
  </si>
  <si>
    <t>Congés annuel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</si>
  <si>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</si>
  <si>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</si>
  <si>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</si>
  <si>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</si>
  <si>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</si>
  <si>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</si>
  <si>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</si>
  <si>
    <t>Jour travaillé par semaine</t>
  </si>
  <si>
    <t>Congés acquis fin de mois</t>
  </si>
  <si>
    <t>Jour de travail prévu par la convention</t>
  </si>
  <si>
    <t>Liste de contrôle</t>
  </si>
  <si>
    <t>À faire</t>
  </si>
  <si>
    <t>Réalisées</t>
  </si>
  <si>
    <t>Restantes</t>
  </si>
  <si>
    <t xml:space="preserve"> Renseigner le nombre d'heures journalières, en cellule Détails!E2.</t>
  </si>
  <si>
    <t>Renseigner le nombre d'heures mensuelles, en cellule Détails!E5.</t>
  </si>
  <si>
    <t>Renseigner les heures de nuit, en cellule Détails!D11 et Détails!E11.</t>
  </si>
  <si>
    <t>Renseigner le nombre de jous travaillés en semaine, en cellule Détails!E3.</t>
  </si>
  <si>
    <t xml:space="preserve">Repporter le nombre de congés payés N-1 (en cellule Absences!E5) et N (en cellule Absences!E9) acquis. </t>
  </si>
  <si>
    <t xml:space="preserve">Renseigner le nombre de jour de congés payés acquis en fin de mois, en cellule Détails!E8. Si celui-ci est de 2,08, indiquer 2,083333333 en cellule Détails!E8. </t>
  </si>
  <si>
    <t>Si le nombre de congés annuel en cellule Détails!E7 est de 30, renseigner cette formule en cellule Absences!C2 =NB.JOURS.OUVRES.INTL(A2;B2;11;Détails!H$2:H$16).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</si>
</sst>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#,##0.00\ _€"/>
    <numFmt numFmtId="169" formatCode=";;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  <font>
      <b/>
      <sz val="10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b/>
      <sz val="14"/>
      <color theme="0"/>
      <name val="Bahnschrift"/>
      <family val="2"/>
    </font>
    <font>
      <b/>
      <sz val="11"/>
      <color rgb="FF92D050"/>
      <name val="Bahnschrift"/>
      <family val="2"/>
    </font>
    <font>
      <sz val="7"/>
      <color theme="1"/>
      <name val="Bahnschrift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gradientFill>
        <stop position="0">
          <color theme="0"/>
        </stop>
        <stop position="0.5">
          <color rgb="FF92D050"/>
        </stop>
        <stop position="1">
          <color theme="0"/>
        </stop>
      </gradient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64">
    <xf numFmtId="0" fontId="0" fillId="0" borderId="0" xfId="0"/>
    <xf numFmtId="0" fontId="2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6" fontId="3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168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20" fontId="7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left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/>
    </xf>
    <xf numFmtId="167" fontId="5" fillId="5" borderId="1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1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167" fontId="1" fillId="5" borderId="0" xfId="0" applyNumberFormat="1" applyFont="1" applyFill="1" applyAlignment="1">
      <alignment horizontal="center" vertical="center"/>
    </xf>
    <xf numFmtId="167" fontId="5" fillId="5" borderId="0" xfId="0" applyNumberFormat="1" applyFont="1" applyFill="1" applyAlignment="1">
      <alignment horizontal="center" vertical="center"/>
    </xf>
    <xf numFmtId="1" fontId="1" fillId="6" borderId="2" xfId="0" applyNumberFormat="1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167" fontId="8" fillId="6" borderId="3" xfId="0" applyNumberFormat="1" applyFont="1" applyFill="1" applyBorder="1" applyAlignment="1">
      <alignment horizontal="center" vertical="center" wrapText="1"/>
    </xf>
    <xf numFmtId="167" fontId="12" fillId="6" borderId="3" xfId="0" applyNumberFormat="1" applyFont="1" applyFill="1" applyBorder="1" applyAlignment="1">
      <alignment horizontal="center" vertical="center" wrapText="1"/>
    </xf>
    <xf numFmtId="167" fontId="12" fillId="6" borderId="4" xfId="0" applyNumberFormat="1" applyFont="1" applyFill="1" applyBorder="1" applyAlignment="1">
      <alignment horizontal="center" vertical="center" wrapText="1"/>
    </xf>
    <xf numFmtId="167" fontId="13" fillId="5" borderId="0" xfId="0" applyNumberFormat="1" applyFont="1" applyFill="1" applyAlignment="1">
      <alignment horizontal="center" vertical="center" shrinkToFit="1"/>
    </xf>
    <xf numFmtId="167" fontId="15" fillId="5" borderId="1" xfId="0" applyNumberFormat="1" applyFont="1" applyFill="1" applyBorder="1" applyAlignment="1">
      <alignment horizontal="center" vertical="center"/>
    </xf>
    <xf numFmtId="167" fontId="15" fillId="5" borderId="0" xfId="0" applyNumberFormat="1" applyFont="1" applyFill="1" applyAlignment="1">
      <alignment horizontal="center" vertical="center"/>
    </xf>
    <xf numFmtId="1" fontId="13" fillId="5" borderId="0" xfId="0" applyNumberFormat="1" applyFont="1" applyFill="1" applyAlignment="1">
      <alignment horizontal="center" vertical="center" shrinkToFit="1"/>
    </xf>
    <xf numFmtId="0" fontId="14" fillId="5" borderId="0" xfId="0" applyFont="1" applyFill="1" applyAlignment="1">
      <alignment horizontal="center" vertical="center" shrinkToFit="1"/>
    </xf>
    <xf numFmtId="167" fontId="16" fillId="5" borderId="0" xfId="0" applyNumberFormat="1" applyFont="1" applyFill="1" applyAlignment="1">
      <alignment horizontal="center" vertical="center" shrinkToFit="1"/>
    </xf>
    <xf numFmtId="167" fontId="17" fillId="5" borderId="1" xfId="0" applyNumberFormat="1" applyFont="1" applyFill="1" applyBorder="1" applyAlignment="1">
      <alignment horizontal="center" vertical="center"/>
    </xf>
    <xf numFmtId="167" fontId="14" fillId="5" borderId="0" xfId="0" applyNumberFormat="1" applyFont="1" applyFill="1" applyAlignment="1">
      <alignment horizontal="center" vertical="center" shrinkToFit="1"/>
    </xf>
    <xf numFmtId="0" fontId="18" fillId="5" borderId="0" xfId="0" applyFont="1" applyFill="1" applyAlignment="1">
      <alignment horizontal="center" vertical="center" wrapText="1" shrinkToFit="1"/>
    </xf>
    <xf numFmtId="0" fontId="19" fillId="6" borderId="3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0" fillId="5" borderId="0" xfId="0" applyFont="1" applyFill="1" applyAlignment="1">
      <alignment horizontal="center" vertical="center" wrapText="1"/>
    </xf>
    <xf numFmtId="2" fontId="3" fillId="5" borderId="1" xfId="0" applyNumberFormat="1" applyFont="1" applyFill="1" applyBorder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169" fontId="1" fillId="5" borderId="0" xfId="0" applyNumberFormat="1" applyFont="1" applyFill="1" applyAlignment="1">
      <alignment horizontal="center" vertical="center"/>
    </xf>
    <xf numFmtId="9" fontId="1" fillId="5" borderId="0" xfId="0" applyNumberFormat="1" applyFont="1" applyFill="1" applyAlignment="1">
      <alignment horizontal="center" vertical="center"/>
    </xf>
    <xf numFmtId="0" fontId="23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14" fillId="5" borderId="0" xfId="1" applyNumberFormat="1" applyFont="1" applyFill="1" applyAlignment="1" applyProtection="1">
      <alignment horizontal="center" vertical="center" shrinkToFit="1"/>
      <protection locked="0"/>
    </xf>
    <xf numFmtId="0" fontId="10" fillId="4" borderId="1" xfId="0" applyFont="1" applyFill="1" applyBorder="1" applyAlignment="1">
      <alignment horizontal="center" vertical="center"/>
    </xf>
    <xf numFmtId="0" fontId="21" fillId="7" borderId="0" xfId="0" applyFont="1" applyFill="1" applyAlignment="1">
      <alignment horizontal="center" vertical="center" wrapText="1"/>
    </xf>
    <xf numFmtId="0" fontId="21" fillId="7" borderId="0" xfId="0" applyFont="1" applyFill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9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strike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417979002624673"/>
          <c:y val="0"/>
          <c:w val="0.91072640868974886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E35E-4637-BD8D-A961A9C3F16E}"/>
              </c:ext>
            </c:extLst>
          </c:dPt>
          <c:dPt>
            <c:idx val="1"/>
            <c:bubble3D val="0"/>
            <c:spPr>
              <a:solidFill>
                <a:srgbClr val="92D050">
                  <a:alpha val="5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5E-4637-BD8D-A961A9C3F16E}"/>
              </c:ext>
            </c:extLst>
          </c:dPt>
          <c:cat>
            <c:strRef>
              <c:f>'Liste des choses à faire'!$E$1:$F$1</c:f>
              <c:strCache>
                <c:ptCount val="2"/>
                <c:pt idx="0">
                  <c:v>Réalisées</c:v>
                </c:pt>
                <c:pt idx="1">
                  <c:v>Restantes</c:v>
                </c:pt>
              </c:strCache>
            </c:strRef>
          </c:cat>
          <c:val>
            <c:numRef>
              <c:f>'Liste des choses à faire'!$E$2:$F$2</c:f>
              <c:numCache>
                <c:formatCode>General</c:formatCode>
                <c:ptCount val="2"/>
                <c:pt idx="0">
                  <c:v>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5E-4637-BD8D-A961A9C3F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B9" lockText="1" noThreeD="1"/>
</file>

<file path=xl/ctrlProps/ctrlProp9.xml><?xml version="1.0" encoding="utf-8"?>
<formControlPr xmlns="http://schemas.microsoft.com/office/spreadsheetml/2009/9/main" objectType="CheckBox" fmlaLink="B10" lockText="1" noThreeD="1"/>
</file>

<file path=xl/ctrlProps/ctrlProp10.xml><?xml version="1.0" encoding="utf-8"?>
<formControlPr xmlns="http://schemas.microsoft.com/office/spreadsheetml/2009/9/main" objectType="CheckBox" fmlaLink="B1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2</xdr:row>
      <xdr:rowOff>45720</xdr:rowOff>
    </xdr:from>
    <xdr:to>
      <xdr:col>10</xdr:col>
      <xdr:colOff>586739</xdr:colOff>
      <xdr:row>9</xdr:row>
      <xdr:rowOff>276225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</xdr:row>
          <xdr:rowOff>60960</xdr:rowOff>
        </xdr:from>
        <xdr:to>
          <xdr:col>1</xdr:col>
          <xdr:colOff>457200</xdr:colOff>
          <xdr:row>1</xdr:row>
          <xdr:rowOff>266700</xdr:rowOff>
        </xdr:to>
        <xdr:sp macro="" textlink="">
          <xdr:nvSpPr>
            <xdr:cNvPr id="34873" name="Check Box 57" hidden="1">
              <a:extLst>
                <a:ext uri="{63B3BB69-23CF-44E3-9099-C40C66FF867C}">
                  <a14:compatExt spid="_x0000_s34873"/>
                </a:ext>
                <a:ext uri="{FF2B5EF4-FFF2-40B4-BE49-F238E27FC236}">
                  <a16:creationId xmlns:a16="http://schemas.microsoft.com/office/drawing/2014/main" id="{00000000-0008-0000-0000-00003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2</xdr:row>
          <xdr:rowOff>60960</xdr:rowOff>
        </xdr:from>
        <xdr:to>
          <xdr:col>1</xdr:col>
          <xdr:colOff>457200</xdr:colOff>
          <xdr:row>2</xdr:row>
          <xdr:rowOff>266700</xdr:rowOff>
        </xdr:to>
        <xdr:sp macro="" textlink="">
          <xdr:nvSpPr>
            <xdr:cNvPr id="34901" name="Check Box 85" hidden="1">
              <a:extLst>
                <a:ext uri="{63B3BB69-23CF-44E3-9099-C40C66FF867C}">
                  <a14:compatExt spid="_x0000_s34901"/>
                </a:ext>
                <a:ext uri="{FF2B5EF4-FFF2-40B4-BE49-F238E27FC236}">
                  <a16:creationId xmlns:a16="http://schemas.microsoft.com/office/drawing/2014/main" id="{00000000-0008-0000-0000-00005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3</xdr:row>
          <xdr:rowOff>60960</xdr:rowOff>
        </xdr:from>
        <xdr:to>
          <xdr:col>1</xdr:col>
          <xdr:colOff>457200</xdr:colOff>
          <xdr:row>3</xdr:row>
          <xdr:rowOff>266700</xdr:rowOff>
        </xdr:to>
        <xdr:sp macro="" textlink="">
          <xdr:nvSpPr>
            <xdr:cNvPr id="34902" name="Check Box 86" hidden="1">
              <a:extLst>
                <a:ext uri="{63B3BB69-23CF-44E3-9099-C40C66FF867C}">
                  <a14:compatExt spid="_x0000_s34902"/>
                </a:ext>
                <a:ext uri="{FF2B5EF4-FFF2-40B4-BE49-F238E27FC236}">
                  <a16:creationId xmlns:a16="http://schemas.microsoft.com/office/drawing/2014/main" id="{00000000-0008-0000-0000-00005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4</xdr:row>
          <xdr:rowOff>60960</xdr:rowOff>
        </xdr:from>
        <xdr:to>
          <xdr:col>1</xdr:col>
          <xdr:colOff>457200</xdr:colOff>
          <xdr:row>4</xdr:row>
          <xdr:rowOff>266700</xdr:rowOff>
        </xdr:to>
        <xdr:sp macro="" textlink="">
          <xdr:nvSpPr>
            <xdr:cNvPr id="34903" name="Check Box 87" hidden="1">
              <a:extLst>
                <a:ext uri="{63B3BB69-23CF-44E3-9099-C40C66FF867C}">
                  <a14:compatExt spid="_x0000_s34903"/>
                </a:ext>
                <a:ext uri="{FF2B5EF4-FFF2-40B4-BE49-F238E27FC236}">
                  <a16:creationId xmlns:a16="http://schemas.microsoft.com/office/drawing/2014/main" id="{00000000-0008-0000-0000-00005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5</xdr:row>
          <xdr:rowOff>60960</xdr:rowOff>
        </xdr:from>
        <xdr:to>
          <xdr:col>1</xdr:col>
          <xdr:colOff>457200</xdr:colOff>
          <xdr:row>5</xdr:row>
          <xdr:rowOff>266700</xdr:rowOff>
        </xdr:to>
        <xdr:sp macro="" textlink="">
          <xdr:nvSpPr>
            <xdr:cNvPr id="34904" name="Check Box 88" hidden="1">
              <a:extLst>
                <a:ext uri="{63B3BB69-23CF-44E3-9099-C40C66FF867C}">
                  <a14:compatExt spid="_x0000_s34904"/>
                </a:ext>
                <a:ext uri="{FF2B5EF4-FFF2-40B4-BE49-F238E27FC236}">
                  <a16:creationId xmlns:a16="http://schemas.microsoft.com/office/drawing/2014/main" id="{00000000-0008-0000-0000-00005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6</xdr:row>
          <xdr:rowOff>60960</xdr:rowOff>
        </xdr:from>
        <xdr:to>
          <xdr:col>1</xdr:col>
          <xdr:colOff>457200</xdr:colOff>
          <xdr:row>6</xdr:row>
          <xdr:rowOff>266700</xdr:rowOff>
        </xdr:to>
        <xdr:sp macro="" textlink="">
          <xdr:nvSpPr>
            <xdr:cNvPr id="34905" name="Check Box 89" hidden="1">
              <a:extLst>
                <a:ext uri="{63B3BB69-23CF-44E3-9099-C40C66FF867C}">
                  <a14:compatExt spid="_x0000_s34905"/>
                </a:ext>
                <a:ext uri="{FF2B5EF4-FFF2-40B4-BE49-F238E27FC236}">
                  <a16:creationId xmlns:a16="http://schemas.microsoft.com/office/drawing/2014/main" id="{00000000-0008-0000-0000-00005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7</xdr:row>
          <xdr:rowOff>60960</xdr:rowOff>
        </xdr:from>
        <xdr:to>
          <xdr:col>1</xdr:col>
          <xdr:colOff>457200</xdr:colOff>
          <xdr:row>7</xdr:row>
          <xdr:rowOff>266700</xdr:rowOff>
        </xdr:to>
        <xdr:sp macro="" textlink="">
          <xdr:nvSpPr>
            <xdr:cNvPr id="34906" name="Check Box 90" hidden="1">
              <a:extLst>
                <a:ext uri="{63B3BB69-23CF-44E3-9099-C40C66FF867C}">
                  <a14:compatExt spid="_x0000_s34906"/>
                </a:ext>
                <a:ext uri="{FF2B5EF4-FFF2-40B4-BE49-F238E27FC236}">
                  <a16:creationId xmlns:a16="http://schemas.microsoft.com/office/drawing/2014/main" id="{00000000-0008-0000-0000-00005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8</xdr:row>
          <xdr:rowOff>60960</xdr:rowOff>
        </xdr:from>
        <xdr:to>
          <xdr:col>1</xdr:col>
          <xdr:colOff>457200</xdr:colOff>
          <xdr:row>8</xdr:row>
          <xdr:rowOff>266700</xdr:rowOff>
        </xdr:to>
        <xdr:sp macro="" textlink="">
          <xdr:nvSpPr>
            <xdr:cNvPr id="34907" name="Check Box 91" hidden="1">
              <a:extLst>
                <a:ext uri="{63B3BB69-23CF-44E3-9099-C40C66FF867C}">
                  <a14:compatExt spid="_x0000_s34907"/>
                </a:ext>
                <a:ext uri="{FF2B5EF4-FFF2-40B4-BE49-F238E27FC236}">
                  <a16:creationId xmlns:a16="http://schemas.microsoft.com/office/drawing/2014/main" id="{00000000-0008-0000-0000-00005B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9</xdr:row>
          <xdr:rowOff>60960</xdr:rowOff>
        </xdr:from>
        <xdr:to>
          <xdr:col>1</xdr:col>
          <xdr:colOff>457200</xdr:colOff>
          <xdr:row>9</xdr:row>
          <xdr:rowOff>266700</xdr:rowOff>
        </xdr:to>
        <xdr:sp macro="" textlink="">
          <xdr:nvSpPr>
            <xdr:cNvPr id="34908" name="Check Box 92" hidden="1">
              <a:extLst>
                <a:ext uri="{63B3BB69-23CF-44E3-9099-C40C66FF867C}">
                  <a14:compatExt spid="_x0000_s34908"/>
                </a:ext>
                <a:ext uri="{FF2B5EF4-FFF2-40B4-BE49-F238E27FC236}">
                  <a16:creationId xmlns:a16="http://schemas.microsoft.com/office/drawing/2014/main" id="{00000000-0008-0000-0000-00005C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10</xdr:row>
          <xdr:rowOff>60960</xdr:rowOff>
        </xdr:from>
        <xdr:to>
          <xdr:col>1</xdr:col>
          <xdr:colOff>457200</xdr:colOff>
          <xdr:row>10</xdr:row>
          <xdr:rowOff>266700</xdr:rowOff>
        </xdr:to>
        <xdr:sp macro="" textlink="">
          <xdr:nvSpPr>
            <xdr:cNvPr id="34909" name="Check Box 93" hidden="1">
              <a:extLst>
                <a:ext uri="{63B3BB69-23CF-44E3-9099-C40C66FF867C}">
                  <a14:compatExt spid="_x0000_s34909"/>
                </a:ext>
                <a:ext uri="{FF2B5EF4-FFF2-40B4-BE49-F238E27FC236}">
                  <a16:creationId xmlns:a16="http://schemas.microsoft.com/office/drawing/2014/main" id="{00000000-0008-0000-0000-00005D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0.33436</cdr:x>
      <cdr:y>0.28941</cdr:y>
    </cdr:from>
    <cdr:to>
      <cdr:x>0.76997</cdr:x>
      <cdr:y>0.68537</cdr:y>
    </cdr:to>
    <cdr:sp macro="" textlink="'Liste des choses à faire'!$E$3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85C5BD04-5F0E-CE37-8CF4-951050E18473}"/>
            </a:ext>
          </a:extLst>
        </cdr:cNvPr>
        <cdr:cNvSpPr txBox="1"/>
      </cdr:nvSpPr>
      <cdr:spPr>
        <a:xfrm xmlns:a="http://schemas.openxmlformats.org/drawingml/2006/main">
          <a:off x="1182189" y="853440"/>
          <a:ext cx="1540165" cy="1167679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 horzOverflow="clip" wrap="square" rtlCol="0" anchor="ctr">
          <a:noAutofit/>
        </a:bodyPr>
        <a:lstStyle xmlns:a="http://schemas.openxmlformats.org/drawingml/2006/main"/>
        <a:p xmlns:a="http://schemas.openxmlformats.org/drawingml/2006/main">
          <a:pPr algn="ctr"/>
          <a:fld id="{5BDD0F10-E5EC-4273-81C8-CACA2C6FE7EB}" type="TxLink">
            <a:rPr lang="en-US" sz="2400" b="0" i="0" u="none" strike="noStrike">
              <a:solidFill>
                <a:srgbClr val="92D050"/>
              </a:solidFill>
              <a:latin typeface="Bahnschrift"/>
            </a:rPr>
            <a:pPr algn="ctr"/>
            <a:t>0%</a:t>
          </a:fld>
          <a:endParaRPr lang="fr-FR" sz="4000" b="0" i="0" u="none" strike="noStrike">
            <a:solidFill>
              <a:srgbClr val="92D050"/>
            </a:solidFill>
            <a:latin typeface="Bahnschrift"/>
          </a:endParaRP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18" dataDxfId="17">
  <autoFilter ref="A2:L33" xr:uid="{00000000-0009-0000-0100-000001000000}"/>
  <sortState xmlns:xlrd2="http://schemas.microsoft.com/office/spreadsheetml/2017/richdata2" ref="A3:L33">
    <sortCondition ref="B2:B33"/>
  </sortState>
  <tableColumns count="12">
    <tableColumn id="1" xr3:uid="{00000000-0010-0000-0000-000001000000}" name="Semaine" dataDxfId="16">
      <calculatedColumnFormula>""&amp;WEEKNUM(B3,2)</calculatedColumnFormula>
    </tableColumn>
    <tableColumn id="2" xr3:uid="{00000000-0010-0000-0000-000002000000}" name="Date" dataDxfId="15">
      <calculatedColumnFormula>DATE(Détails!$A$1,1,1)</calculatedColumnFormula>
    </tableColumn>
    <tableColumn id="3" xr3:uid="{00000000-0010-0000-0000-000003000000}" name="Ordre" dataDxfId="14">
      <calculatedColumnFormula array="1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familial",IFERROR(IF(VLOOKUP($B3,Détails!$H$2:$H$16,1,0),"Férié",""),""))))))</calculatedColumnFormula>
    </tableColumn>
    <tableColumn id="4" xr3:uid="{00000000-0010-0000-0000-000004000000}" name="Ouverture de poste" dataDxfId="13"/>
    <tableColumn id="12" xr3:uid="{00000000-0010-0000-0000-00000C000000}" name="Pause entre 06:00 et 21:00" dataDxfId="12">
      <calculatedColumnFormula>IF(ISNUMBER(Tabel1[[#This Row],[Ouverture de poste]]),"En poste","" )</calculatedColumnFormula>
    </tableColumn>
    <tableColumn id="5" xr3:uid="{00000000-0010-0000-0000-000005000000}" name="Pause entre 21:00 et 06:00" dataDxfId="11"/>
    <tableColumn id="6" xr3:uid="{00000000-0010-0000-0000-000006000000}" name="Fermeture de poste" dataDxfId="10"/>
    <tableColumn id="7" xr3:uid="{00000000-0010-0000-0000-000007000000}" name="Total Heures" dataDxfId="9">
      <calculatedColumnFormula>IF(OR(D3&lt;&gt;"",G3&lt;&gt;""),MOD(G3-D3-F3-E3,1),"")</calculatedColumnFormula>
    </tableColumn>
    <tableColumn id="8" xr3:uid="{00000000-0010-0000-0000-000008000000}" name="Heures de jour" dataDxfId="8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00000000-0010-0000-0000-000009000000}" name="Heures de nuit" dataDxfId="7">
      <calculatedColumnFormula>MOD($G3-$D3,1)-($G3&lt;$D3)*(Détails!$D$11-Détails!$E$11)-MEDIAN($G3,Détails!$E$11,Détails!$D$11)+MEDIAN($D3,Détails!$E$11,Détails!$D$11)-$F3</calculatedColumnFormula>
    </tableColumn>
    <tableColumn id="10" xr3:uid="{00000000-0010-0000-0000-00000A000000}" name="Total semaine" dataDxfId="6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5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</a:spPr>
      <a:bodyPr vertOverflow="clip" horzOverflow="clip" wrap="square" rtlCol="0" anchor="ctr">
        <a:noAutofit/>
      </a:bodyPr>
      <a:lstStyle>
        <a:defPPr algn="ctr">
          <a:defRPr sz="1100" b="0" i="0" u="none" strike="noStrike">
            <a:solidFill>
              <a:srgbClr val="000000"/>
            </a:solidFill>
            <a:latin typeface="Bahnschrift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1F73A-424D-470D-8B92-27F0C705D13F}">
  <dimension ref="A1:F11"/>
  <sheetViews>
    <sheetView zoomScaleNormal="100" workbookViewId="0">
      <selection activeCell="O5" sqref="O5"/>
    </sheetView>
  </sheetViews>
  <sheetFormatPr baseColWidth="10" defaultColWidth="10.6640625" defaultRowHeight="10.199999999999999" customHeight="1" x14ac:dyDescent="0.3"/>
  <cols>
    <col min="1" max="1" width="60.6640625" style="18" customWidth="1"/>
    <col min="2" max="2" width="10.6640625" style="18"/>
    <col min="3" max="3" width="60.6640625" style="52" customWidth="1"/>
    <col min="4" max="4" width="10.6640625" style="18"/>
    <col min="5" max="6" width="10.6640625" style="18" hidden="1" customWidth="1"/>
    <col min="7" max="16384" width="10.6640625" style="18"/>
  </cols>
  <sheetData>
    <row r="1" spans="1:6" ht="30" customHeight="1" x14ac:dyDescent="0.3">
      <c r="A1" s="56" t="s">
        <v>66</v>
      </c>
      <c r="B1" s="48" t="str" cm="1">
        <f t="array" ref="B1">COUNTIF(B2:B11,TRUE)&amp;"/"&amp;COUNTA(B2:B11="Vrai")</f>
        <v>0/10</v>
      </c>
      <c r="C1" s="55" t="s">
        <v>67</v>
      </c>
      <c r="E1" s="18" t="s">
        <v>68</v>
      </c>
      <c r="F1" s="18" t="s">
        <v>69</v>
      </c>
    </row>
    <row r="2" spans="1:6" ht="30" customHeight="1" x14ac:dyDescent="0.3">
      <c r="A2" s="51" t="s">
        <v>70</v>
      </c>
      <c r="B2" s="49" t="b">
        <v>0</v>
      </c>
      <c r="C2" s="51" t="str" cm="1">
        <f t="array" ref="C2:C11">_xlfn._xlws.FILTER(A2:A11,B2:B11=FALSE,"Aucune")</f>
        <v xml:space="preserve"> Renseigner le nombre d'heures journalières, en cellule Détails!E2.</v>
      </c>
      <c r="E2" s="18">
        <f>COUNTIF(B2:B11,TRUE)</f>
        <v>0</v>
      </c>
      <c r="F2" s="18">
        <f>COUNTIF(B2:B11,FALSE)</f>
        <v>10</v>
      </c>
    </row>
    <row r="3" spans="1:6" ht="30" customHeight="1" x14ac:dyDescent="0.3">
      <c r="A3" s="51" t="s">
        <v>73</v>
      </c>
      <c r="B3" s="49" t="b">
        <v>0</v>
      </c>
      <c r="C3" s="51" t="str">
        <v>Renseigner le nombre de jous travaillés en semaine, en cellule Détails!E3.</v>
      </c>
      <c r="E3" s="50">
        <f>E2/COUNTA(B2:B11)</f>
        <v>0</v>
      </c>
    </row>
    <row r="4" spans="1:6" ht="30" customHeight="1" x14ac:dyDescent="0.3">
      <c r="A4" s="51" t="s">
        <v>71</v>
      </c>
      <c r="B4" s="49" t="b">
        <v>0</v>
      </c>
      <c r="C4" s="51" t="str">
        <v>Renseigner le nombre d'heures mensuelles, en cellule Détails!E5.</v>
      </c>
    </row>
    <row r="5" spans="1:6" ht="30" customHeight="1" x14ac:dyDescent="0.3">
      <c r="A5" s="51" t="s">
        <v>75</v>
      </c>
      <c r="B5" s="49" t="b">
        <v>0</v>
      </c>
      <c r="C5" s="51" t="str">
        <v xml:space="preserve">Renseigner le nombre de jour de congés payés acquis en fin de mois, en cellule Détails!E8. Si celui-ci est de 2,08, indiquer 2,083333333 en cellule Détails!E8. </v>
      </c>
    </row>
    <row r="6" spans="1:6" ht="30" customHeight="1" x14ac:dyDescent="0.3">
      <c r="A6" s="51" t="s">
        <v>76</v>
      </c>
      <c r="B6" s="49" t="b">
        <v>0</v>
      </c>
      <c r="C6" s="51" t="str">
        <v>Si le nombre de congés annuel en cellule Détails!E7 est de 30, renseigner cette formule en cellule Absences!C2 =NB.JOURS.OUVRES.INTL(A2;B2;11;Détails!H$2:H$16).</v>
      </c>
    </row>
    <row r="7" spans="1:6" ht="30" customHeight="1" x14ac:dyDescent="0.3">
      <c r="A7" s="51" t="s">
        <v>72</v>
      </c>
      <c r="B7" s="49" t="b">
        <v>0</v>
      </c>
      <c r="C7" s="51" t="str">
        <v>Renseigner les heures de nuit, en cellule Détails!D11 et Détails!E11.</v>
      </c>
    </row>
    <row r="8" spans="1:6" ht="30" customHeight="1" x14ac:dyDescent="0.3">
      <c r="A8" s="51" t="s">
        <v>74</v>
      </c>
      <c r="B8" s="49" t="b">
        <v>0</v>
      </c>
      <c r="C8" s="51" t="str">
        <v xml:space="preserve">Repporter le nombre de congés payés N-1 (en cellule Absences!E5) et N (en cellule Absences!E9) acquis. </v>
      </c>
    </row>
    <row r="9" spans="1:6" ht="30" customHeight="1" x14ac:dyDescent="0.3">
      <c r="A9" s="51">
        <v>8</v>
      </c>
      <c r="B9" s="49" t="b">
        <v>0</v>
      </c>
      <c r="C9" s="51">
        <v>8</v>
      </c>
    </row>
    <row r="10" spans="1:6" ht="30" customHeight="1" x14ac:dyDescent="0.3">
      <c r="A10" s="51">
        <v>9</v>
      </c>
      <c r="B10" s="49" t="b">
        <v>0</v>
      </c>
      <c r="C10" s="51">
        <v>9</v>
      </c>
    </row>
    <row r="11" spans="1:6" ht="30" customHeight="1" x14ac:dyDescent="0.3">
      <c r="A11" s="51">
        <v>10</v>
      </c>
      <c r="B11" s="49" t="b">
        <v>0</v>
      </c>
      <c r="C11" s="51">
        <v>10</v>
      </c>
    </row>
  </sheetData>
  <conditionalFormatting sqref="A2:B11">
    <cfRule type="expression" dxfId="4" priority="1">
      <formula>$B2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73" r:id="rId4" name="Check Box 57">
              <controlPr defaultSize="0" autoFill="0" autoLine="0" autoPict="0">
                <anchor moveWithCells="1">
                  <from>
                    <xdr:col>1</xdr:col>
                    <xdr:colOff>259080</xdr:colOff>
                    <xdr:row>1</xdr:row>
                    <xdr:rowOff>60960</xdr:rowOff>
                  </from>
                  <to>
                    <xdr:col>1</xdr:col>
                    <xdr:colOff>457200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1" r:id="rId5" name="Check Box 85">
              <controlPr defaultSize="0" autoFill="0" autoLine="0" autoPict="0">
                <anchor moveWithCells="1">
                  <from>
                    <xdr:col>1</xdr:col>
                    <xdr:colOff>259080</xdr:colOff>
                    <xdr:row>2</xdr:row>
                    <xdr:rowOff>60960</xdr:rowOff>
                  </from>
                  <to>
                    <xdr:col>1</xdr:col>
                    <xdr:colOff>457200</xdr:colOff>
                    <xdr:row>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2" r:id="rId6" name="Check Box 86">
              <controlPr defaultSize="0" autoFill="0" autoLine="0" autoPict="0">
                <anchor moveWithCells="1">
                  <from>
                    <xdr:col>1</xdr:col>
                    <xdr:colOff>259080</xdr:colOff>
                    <xdr:row>3</xdr:row>
                    <xdr:rowOff>60960</xdr:rowOff>
                  </from>
                  <to>
                    <xdr:col>1</xdr:col>
                    <xdr:colOff>457200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3" r:id="rId7" name="Check Box 87">
              <controlPr defaultSize="0" autoFill="0" autoLine="0" autoPict="0">
                <anchor moveWithCells="1">
                  <from>
                    <xdr:col>1</xdr:col>
                    <xdr:colOff>259080</xdr:colOff>
                    <xdr:row>4</xdr:row>
                    <xdr:rowOff>60960</xdr:rowOff>
                  </from>
                  <to>
                    <xdr:col>1</xdr:col>
                    <xdr:colOff>457200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4" r:id="rId8" name="Check Box 88">
              <controlPr defaultSize="0" autoFill="0" autoLine="0" autoPict="0">
                <anchor moveWithCells="1">
                  <from>
                    <xdr:col>1</xdr:col>
                    <xdr:colOff>259080</xdr:colOff>
                    <xdr:row>5</xdr:row>
                    <xdr:rowOff>60960</xdr:rowOff>
                  </from>
                  <to>
                    <xdr:col>1</xdr:col>
                    <xdr:colOff>457200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5" r:id="rId9" name="Check Box 89">
              <controlPr defaultSize="0" autoFill="0" autoLine="0" autoPict="0">
                <anchor moveWithCells="1">
                  <from>
                    <xdr:col>1</xdr:col>
                    <xdr:colOff>259080</xdr:colOff>
                    <xdr:row>6</xdr:row>
                    <xdr:rowOff>60960</xdr:rowOff>
                  </from>
                  <to>
                    <xdr:col>1</xdr:col>
                    <xdr:colOff>457200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6" r:id="rId10" name="Check Box 90">
              <controlPr defaultSize="0" autoFill="0" autoLine="0" autoPict="0">
                <anchor moveWithCells="1">
                  <from>
                    <xdr:col>1</xdr:col>
                    <xdr:colOff>259080</xdr:colOff>
                    <xdr:row>7</xdr:row>
                    <xdr:rowOff>60960</xdr:rowOff>
                  </from>
                  <to>
                    <xdr:col>1</xdr:col>
                    <xdr:colOff>457200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7" r:id="rId11" name="Check Box 91">
              <controlPr defaultSize="0" autoFill="0" autoLine="0" autoPict="0">
                <anchor moveWithCells="1">
                  <from>
                    <xdr:col>1</xdr:col>
                    <xdr:colOff>259080</xdr:colOff>
                    <xdr:row>8</xdr:row>
                    <xdr:rowOff>60960</xdr:rowOff>
                  </from>
                  <to>
                    <xdr:col>1</xdr:col>
                    <xdr:colOff>457200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8" r:id="rId12" name="Check Box 92">
              <controlPr defaultSize="0" autoFill="0" autoLine="0" autoPict="0">
                <anchor moveWithCells="1">
                  <from>
                    <xdr:col>1</xdr:col>
                    <xdr:colOff>259080</xdr:colOff>
                    <xdr:row>9</xdr:row>
                    <xdr:rowOff>60960</xdr:rowOff>
                  </from>
                  <to>
                    <xdr:col>1</xdr:col>
                    <xdr:colOff>457200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9" r:id="rId13" name="Check Box 93">
              <controlPr defaultSize="0" autoFill="0" autoLine="0" autoPict="0">
                <anchor moveWithCells="1">
                  <from>
                    <xdr:col>1</xdr:col>
                    <xdr:colOff>259080</xdr:colOff>
                    <xdr:row>10</xdr:row>
                    <xdr:rowOff>60960</xdr:rowOff>
                  </from>
                  <to>
                    <xdr:col>1</xdr:col>
                    <xdr:colOff>457200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0"/>
  <sheetViews>
    <sheetView zoomScaleNormal="100" workbookViewId="0">
      <selection activeCell="E8" sqref="E8"/>
    </sheetView>
  </sheetViews>
  <sheetFormatPr baseColWidth="10" defaultColWidth="11.5546875" defaultRowHeight="11.4" x14ac:dyDescent="0.3"/>
  <cols>
    <col min="1" max="2" width="30.6640625" style="3" customWidth="1"/>
    <col min="3" max="3" width="8.6640625" style="3" customWidth="1"/>
    <col min="4" max="5" width="30.6640625" style="3" customWidth="1"/>
    <col min="6" max="6" width="8.6640625" style="3" customWidth="1"/>
    <col min="7" max="8" width="30.6640625" style="3" customWidth="1"/>
    <col min="9" max="9" width="8.6640625" style="3" customWidth="1"/>
    <col min="10" max="17" width="20.6640625" style="3" customWidth="1"/>
    <col min="18" max="16384" width="11.5546875" style="3"/>
  </cols>
  <sheetData>
    <row r="1" spans="1:17" ht="30" customHeight="1" x14ac:dyDescent="0.3">
      <c r="A1" s="61">
        <v>2024</v>
      </c>
      <c r="B1" s="61"/>
      <c r="C1" s="1"/>
      <c r="D1" s="59" t="s">
        <v>36</v>
      </c>
      <c r="E1" s="59"/>
      <c r="F1" s="2"/>
      <c r="G1" s="58" t="s">
        <v>20</v>
      </c>
      <c r="H1" s="58"/>
      <c r="J1" s="54">
        <f>A1</f>
        <v>2024</v>
      </c>
      <c r="K1" s="6" t="s">
        <v>56</v>
      </c>
      <c r="L1" s="6" t="s">
        <v>57</v>
      </c>
      <c r="M1" s="6" t="s">
        <v>58</v>
      </c>
      <c r="N1" s="6" t="s">
        <v>59</v>
      </c>
      <c r="O1" s="6" t="s">
        <v>60</v>
      </c>
      <c r="P1" s="6" t="s">
        <v>61</v>
      </c>
      <c r="Q1" s="15" t="s">
        <v>62</v>
      </c>
    </row>
    <row r="2" spans="1:17" ht="30" customHeight="1" x14ac:dyDescent="0.3">
      <c r="A2" s="4" t="s">
        <v>46</v>
      </c>
      <c r="B2" s="4">
        <f>DATE(A1,1,1)</f>
        <v>45292</v>
      </c>
      <c r="C2" s="5"/>
      <c r="D2" s="6" t="s">
        <v>37</v>
      </c>
      <c r="E2" s="7">
        <f>E4/E3</f>
        <v>0.32500000000000001</v>
      </c>
      <c r="F2" s="8"/>
      <c r="G2" s="9" t="s">
        <v>21</v>
      </c>
      <c r="H2" s="4">
        <f>DATE(A1,1,1)</f>
        <v>45292</v>
      </c>
      <c r="J2" s="6" t="s">
        <v>1</v>
      </c>
      <c r="K2" s="11">
        <f>DAY(EOMONTH(Janvier!$B$3,0))</f>
        <v>30</v>
      </c>
      <c r="L2" s="11">
        <f>NETWORKDAYS.INTL(Janvier!$B$3,EOMONTH(Janvier!$B$3,0),,H2:H16)</f>
        <v>20</v>
      </c>
      <c r="M2" s="11">
        <f>NETWORKDAYS.INTL(Janvier!$B$3,EOMONTH(Janvier!$B$3,0),"1111101")</f>
        <v>5</v>
      </c>
      <c r="N2" s="11">
        <f>NETWORKDAYS.INTL(Janvier!$B$3,EOMONTH(Janvier!$B$3,0),"1111110")</f>
        <v>5</v>
      </c>
      <c r="O2" s="11">
        <f>NETWORKDAYS.INTL(Janvier!$B$3,EOMONTH(Janvier!$B$3,0),"1111100")</f>
        <v>10</v>
      </c>
      <c r="P2" s="11">
        <f>DAY(EOMONTH(Janvier!$B$3,0))-NETWORKDAYS.INTL(Janvier!$B$3,EOMONTH(Janvier!$B$3,0),"0000000",H2:H16)</f>
        <v>0</v>
      </c>
      <c r="Q2" s="11">
        <f>NETWORKDAYS.INTL(Janvier!$B$3,EOMONTH(Janvier!$B$3,0),"1111100")-NETWORKDAYS.INTL(Janvier!$B$3,EOMONTH(Janvier!$B$3,0),"1111100",H2:H16)</f>
        <v>0</v>
      </c>
    </row>
    <row r="3" spans="1:17" ht="30" customHeight="1" x14ac:dyDescent="0.3">
      <c r="A3" s="4" t="s">
        <v>47</v>
      </c>
      <c r="B3" s="4">
        <f>DATE(A1,12,31)</f>
        <v>45657</v>
      </c>
      <c r="C3" s="5"/>
      <c r="D3" s="6" t="s">
        <v>63</v>
      </c>
      <c r="E3" s="6">
        <v>5</v>
      </c>
      <c r="F3" s="8"/>
      <c r="G3" s="9" t="s">
        <v>22</v>
      </c>
      <c r="H3" s="4">
        <f>H4-2</f>
        <v>45380</v>
      </c>
      <c r="J3" s="6" t="s">
        <v>2</v>
      </c>
      <c r="K3" s="11" t="e">
        <f>DAY(EOMONTH(#REF!,0))</f>
        <v>#REF!</v>
      </c>
      <c r="L3" s="11" t="e">
        <f>NETWORKDAYS.INTL(#REF!,EOMONTH(#REF!,0),,H2:H16)</f>
        <v>#REF!</v>
      </c>
      <c r="M3" s="11" t="e">
        <f>NETWORKDAYS.INTL(#REF!,EOMONTH(#REF!,0),"1111101")</f>
        <v>#REF!</v>
      </c>
      <c r="N3" s="11" t="e">
        <f>NETWORKDAYS.INTL(#REF!,EOMONTH(#REF!,0),"1111110")</f>
        <v>#REF!</v>
      </c>
      <c r="O3" s="11" t="e">
        <f>NETWORKDAYS.INTL(#REF!,EOMONTH(#REF!,0),"1111100")</f>
        <v>#REF!</v>
      </c>
      <c r="P3" s="11" t="e">
        <f>DAY(EOMONTH(#REF!,0))-NETWORKDAYS.INTL(#REF!,EOMONTH(#REF!,0),"0000000",H2:H16)</f>
        <v>#REF!</v>
      </c>
      <c r="Q3" s="11" t="e">
        <f>NETWORKDAYS.INTL(#REF!,EOMONTH(#REF!,0),"1111100")-NETWORKDAYS.INTL(#REF!,EOMONTH(#REF!,0),"1111100",H2:H16)</f>
        <v>#REF!</v>
      </c>
    </row>
    <row r="4" spans="1:17" ht="30" customHeight="1" x14ac:dyDescent="0.3">
      <c r="A4" s="6" t="s">
        <v>48</v>
      </c>
      <c r="B4" s="11">
        <f>+B3-B2+1</f>
        <v>366</v>
      </c>
      <c r="C4" s="12"/>
      <c r="D4" s="6" t="s">
        <v>38</v>
      </c>
      <c r="E4" s="7">
        <v>1.625</v>
      </c>
      <c r="F4" s="13"/>
      <c r="G4" s="9" t="s">
        <v>35</v>
      </c>
      <c r="H4" s="4">
        <f>ROUND(DATE(A1,4,MOD(234-11*MOD($A$1,19),30))/7,)*7-6</f>
        <v>45382</v>
      </c>
      <c r="J4" s="6" t="s">
        <v>3</v>
      </c>
      <c r="K4" s="11" t="e">
        <f>DAY(EOMONTH(#REF!,0))</f>
        <v>#REF!</v>
      </c>
      <c r="L4" s="11" t="e">
        <f>NETWORKDAYS.INTL(#REF!,EOMONTH(#REF!,0),,H2:H16)</f>
        <v>#REF!</v>
      </c>
      <c r="M4" s="11" t="e">
        <f>NETWORKDAYS.INTL(#REF!,EOMONTH(#REF!,0),"1111101")</f>
        <v>#REF!</v>
      </c>
      <c r="N4" s="11" t="e">
        <f>NETWORKDAYS.INTL(#REF!,EOMONTH(#REF!,0),"1111110")</f>
        <v>#REF!</v>
      </c>
      <c r="O4" s="11" t="e">
        <f>NETWORKDAYS.INTL(#REF!,EOMONTH(#REF!,0),"1111100")</f>
        <v>#REF!</v>
      </c>
      <c r="P4" s="11" t="e">
        <f>DAY(EOMONTH(#REF!,0))-NETWORKDAYS.INTL(#REF!,EOMONTH(#REF!,0),"0000000",H2:H16)</f>
        <v>#REF!</v>
      </c>
      <c r="Q4" s="11" t="e">
        <f>NETWORKDAYS.INTL(#REF!,EOMONTH(#REF!,0),"1111100")-NETWORKDAYS.INTL(#REF!,EOMONTH(#REF!,0),"1111100",H2:H16)</f>
        <v>#REF!</v>
      </c>
    </row>
    <row r="5" spans="1:17" ht="30" customHeight="1" x14ac:dyDescent="0.3">
      <c r="A5" s="6" t="s">
        <v>50</v>
      </c>
      <c r="B5" s="6">
        <f>NETWORKDAYS.INTL(B2,B3,,H2:H16)</f>
        <v>250</v>
      </c>
      <c r="D5" s="6" t="s">
        <v>39</v>
      </c>
      <c r="E5" s="7">
        <f>E4*4.33333</f>
        <v>7.0416612500000006</v>
      </c>
      <c r="F5" s="8"/>
      <c r="G5" s="9" t="s">
        <v>23</v>
      </c>
      <c r="H5" s="4">
        <f>H4+1</f>
        <v>45383</v>
      </c>
      <c r="J5" s="6" t="s">
        <v>4</v>
      </c>
      <c r="K5" s="11" t="e">
        <f>DAY(EOMONTH(#REF!,0))</f>
        <v>#REF!</v>
      </c>
      <c r="L5" s="11" t="e">
        <f>NETWORKDAYS.INTL(#REF!,EOMONTH(#REF!,0),,H2:H16)</f>
        <v>#REF!</v>
      </c>
      <c r="M5" s="11" t="e">
        <f>NETWORKDAYS.INTL(#REF!,EOMONTH(#REF!,0),"1111101")</f>
        <v>#REF!</v>
      </c>
      <c r="N5" s="11" t="e">
        <f>NETWORKDAYS.INTL(#REF!,EOMONTH(#REF!,0),"1111110")</f>
        <v>#REF!</v>
      </c>
      <c r="O5" s="11" t="e">
        <f>NETWORKDAYS.INTL(#REF!,EOMONTH(#REF!,0),"1111100")</f>
        <v>#REF!</v>
      </c>
      <c r="P5" s="11" t="e">
        <f>DAY(EOMONTH(#REF!,0))-NETWORKDAYS.INTL(#REF!,EOMONTH(#REF!,0),"0000000",H2:H16)</f>
        <v>#REF!</v>
      </c>
      <c r="Q5" s="11" t="e">
        <f>NETWORKDAYS.INTL(#REF!,EOMONTH(#REF!,0),"1111100")-NETWORKDAYS.INTL(#REF!,EOMONTH(#REF!,0),"1111100",H2:H16)</f>
        <v>#REF!</v>
      </c>
    </row>
    <row r="6" spans="1:17" ht="30" customHeight="1" x14ac:dyDescent="0.3">
      <c r="A6" s="6" t="s">
        <v>49</v>
      </c>
      <c r="B6" s="11">
        <f>NETWORKDAYS.INTL(B2,B3,"1111100")</f>
        <v>104</v>
      </c>
      <c r="D6" s="6" t="s">
        <v>65</v>
      </c>
      <c r="E6" s="6">
        <v>218</v>
      </c>
      <c r="F6" s="8"/>
      <c r="G6" s="9" t="s">
        <v>24</v>
      </c>
      <c r="H6" s="4">
        <f>DATE(A1,5,1)</f>
        <v>45413</v>
      </c>
      <c r="J6" s="6" t="s">
        <v>5</v>
      </c>
      <c r="K6" s="11" t="e">
        <f>DAY(EOMONTH(#REF!,0))</f>
        <v>#REF!</v>
      </c>
      <c r="L6" s="11" t="e">
        <f>NETWORKDAYS.INTL(#REF!,EOMONTH(#REF!,0),,H2:H16)</f>
        <v>#REF!</v>
      </c>
      <c r="M6" s="11" t="e">
        <f>NETWORKDAYS.INTL(#REF!,EOMONTH(#REF!,0),"1111101")</f>
        <v>#REF!</v>
      </c>
      <c r="N6" s="11" t="e">
        <f>NETWORKDAYS.INTL(#REF!,EOMONTH(#REF!,0),"1111110")</f>
        <v>#REF!</v>
      </c>
      <c r="O6" s="11" t="e">
        <f>NETWORKDAYS.INTL(#REF!,EOMONTH(#REF!,0),"1111100")</f>
        <v>#REF!</v>
      </c>
      <c r="P6" s="11" t="e">
        <f>DAY(EOMONTH(#REF!,0))-NETWORKDAYS.INTL(#REF!,EOMONTH(#REF!,0),"0000000",H2:H16)</f>
        <v>#REF!</v>
      </c>
      <c r="Q6" s="11" t="e">
        <f>NETWORKDAYS.INTL(#REF!,EOMONTH(#REF!,0),"1111100")-NETWORKDAYS.INTL(#REF!,EOMONTH(#REF!,0),"1111100",H2:H16)</f>
        <v>#REF!</v>
      </c>
    </row>
    <row r="7" spans="1:17" ht="30" customHeight="1" x14ac:dyDescent="0.3">
      <c r="A7" s="6" t="s">
        <v>51</v>
      </c>
      <c r="B7" s="6">
        <f>NETWORKDAYS.INTL(B2,B3)-NETWORKDAYS.INTL(B2,B3,,H2:H16)</f>
        <v>12</v>
      </c>
      <c r="D7" s="6" t="s">
        <v>55</v>
      </c>
      <c r="E7" s="6">
        <f>E8*12</f>
        <v>24.999999996</v>
      </c>
      <c r="F7" s="8"/>
      <c r="G7" s="9" t="s">
        <v>30</v>
      </c>
      <c r="H7" s="4">
        <f>DATE(A1,5,8)</f>
        <v>45420</v>
      </c>
      <c r="J7" s="6" t="s">
        <v>6</v>
      </c>
      <c r="K7" s="11" t="e">
        <f>DAY(EOMONTH(#REF!,0))</f>
        <v>#REF!</v>
      </c>
      <c r="L7" s="11" t="e">
        <f>NETWORKDAYS.INTL(#REF!,EOMONTH(#REF!,0),,H2:H16)</f>
        <v>#REF!</v>
      </c>
      <c r="M7" s="11" t="e">
        <f>NETWORKDAYS.INTL(#REF!,EOMONTH(#REF!,0),"1111101")</f>
        <v>#REF!</v>
      </c>
      <c r="N7" s="11" t="e">
        <f>NETWORKDAYS.INTL(#REF!,EOMONTH(#REF!,0),"1111110")</f>
        <v>#REF!</v>
      </c>
      <c r="O7" s="11" t="e">
        <f>NETWORKDAYS.INTL(#REF!,EOMONTH(#REF!,0),"1111100")</f>
        <v>#REF!</v>
      </c>
      <c r="P7" s="11" t="e">
        <f>DAY(EOMONTH(#REF!,0))-NETWORKDAYS.INTL(#REF!,EOMONTH(#REF!,0),"0000000",H2:H16)</f>
        <v>#REF!</v>
      </c>
      <c r="Q7" s="11" t="e">
        <f>NETWORKDAYS.INTL(#REF!,EOMONTH(#REF!,0),"1111100")-NETWORKDAYS.INTL(#REF!,EOMONTH(#REF!,0),"1111100",H2:H16)</f>
        <v>#REF!</v>
      </c>
    </row>
    <row r="8" spans="1:17" ht="30" customHeight="1" x14ac:dyDescent="0.3">
      <c r="A8" s="6" t="s">
        <v>52</v>
      </c>
      <c r="B8" s="6">
        <f>NETWORKDAYS.INTL(B2,B3,"1111100")-NETWORKDAYS.INTL(B2,B3,"1111100",H2:H16)</f>
        <v>3</v>
      </c>
      <c r="D8" s="6" t="s">
        <v>64</v>
      </c>
      <c r="E8" s="47">
        <v>2.0833333330000001</v>
      </c>
      <c r="F8" s="8"/>
      <c r="G8" s="9" t="s">
        <v>25</v>
      </c>
      <c r="H8" s="4">
        <f>H4+39</f>
        <v>45421</v>
      </c>
      <c r="J8" s="6" t="s">
        <v>7</v>
      </c>
      <c r="K8" s="11" t="e">
        <f>DAY(EOMONTH(#REF!,0))</f>
        <v>#REF!</v>
      </c>
      <c r="L8" s="11" t="e">
        <f>NETWORKDAYS.INTL(#REF!,EOMONTH(#REF!,0),,H2:H16)</f>
        <v>#REF!</v>
      </c>
      <c r="M8" s="11" t="e">
        <f>NETWORKDAYS.INTL(#REF!,EOMONTH(#REF!,0),"1111101")</f>
        <v>#REF!</v>
      </c>
      <c r="N8" s="11" t="e">
        <f>NETWORKDAYS.INTL(#REF!,EOMONTH(#REF!,0),"1111110")</f>
        <v>#REF!</v>
      </c>
      <c r="O8" s="11" t="e">
        <f>NETWORKDAYS.INTL(#REF!,EOMONTH(#REF!,0),"1111100")</f>
        <v>#REF!</v>
      </c>
      <c r="P8" s="11" t="e">
        <f>DAY(EOMONTH(#REF!,0))-NETWORKDAYS.INTL(#REF!,EOMONTH(#REF!,0),"0000000",H2:H16)</f>
        <v>#REF!</v>
      </c>
      <c r="Q8" s="11" t="e">
        <f>NETWORKDAYS.INTL(#REF!,EOMONTH(#REF!,0),"1111100")-NETWORKDAYS.INTL(#REF!,EOMONTH(#REF!,0),"1111100",H2:H16)</f>
        <v>#REF!</v>
      </c>
    </row>
    <row r="9" spans="1:17" ht="30" customHeight="1" x14ac:dyDescent="0.3">
      <c r="A9" s="60"/>
      <c r="B9" s="60"/>
      <c r="D9" s="14"/>
      <c r="F9" s="8"/>
      <c r="G9" s="9" t="s">
        <v>34</v>
      </c>
      <c r="H9" s="4">
        <f>H4+49</f>
        <v>45431</v>
      </c>
      <c r="J9" s="6" t="s">
        <v>8</v>
      </c>
      <c r="K9" s="11" t="e">
        <f>DAY(EOMONTH(#REF!,0))</f>
        <v>#REF!</v>
      </c>
      <c r="L9" s="11" t="e">
        <f>NETWORKDAYS.INTL(#REF!,EOMONTH(#REF!,0),,H2:H16)</f>
        <v>#REF!</v>
      </c>
      <c r="M9" s="11" t="e">
        <f>NETWORKDAYS.INTL(#REF!,EOMONTH(#REF!,0),"1111101")</f>
        <v>#REF!</v>
      </c>
      <c r="N9" s="11" t="e">
        <f>NETWORKDAYS.INTL(#REF!,EOMONTH(#REF!,0),"1111110")</f>
        <v>#REF!</v>
      </c>
      <c r="O9" s="11" t="e">
        <f>NETWORKDAYS.INTL(#REF!,EOMONTH(#REF!,0),"1111100")</f>
        <v>#REF!</v>
      </c>
      <c r="P9" s="11" t="e">
        <f>DAY(EOMONTH(#REF!,0))-NETWORKDAYS.INTL(#REF!,EOMONTH(#REF!,0),"0000000",H2:H16)</f>
        <v>#REF!</v>
      </c>
      <c r="Q9" s="11" t="e">
        <f>NETWORKDAYS.INTL(#REF!,EOMONTH(#REF!,0),"1111100")-NETWORKDAYS.INTL(#REF!,EOMONTH(#REF!,0),"1111100",H2:H16)</f>
        <v>#REF!</v>
      </c>
    </row>
    <row r="10" spans="1:17" ht="30" customHeight="1" x14ac:dyDescent="0.3">
      <c r="A10" s="57" t="s">
        <v>53</v>
      </c>
      <c r="B10" s="57"/>
      <c r="C10" s="8"/>
      <c r="D10" s="62" t="s">
        <v>15</v>
      </c>
      <c r="E10" s="63"/>
      <c r="F10" s="8"/>
      <c r="G10" s="9" t="s">
        <v>26</v>
      </c>
      <c r="H10" s="4">
        <f>H9+1</f>
        <v>45432</v>
      </c>
      <c r="J10" s="6" t="s">
        <v>9</v>
      </c>
      <c r="K10" s="11" t="e">
        <f>DAY(EOMONTH(#REF!,0))</f>
        <v>#REF!</v>
      </c>
      <c r="L10" s="11" t="e">
        <f>NETWORKDAYS.INTL(#REF!,EOMONTH(#REF!,0),,H2:H16)</f>
        <v>#REF!</v>
      </c>
      <c r="M10" s="11" t="e">
        <f>NETWORKDAYS.INTL(#REF!,EOMONTH(#REF!,0),"1111101")</f>
        <v>#REF!</v>
      </c>
      <c r="N10" s="11" t="e">
        <f>NETWORKDAYS.INTL(#REF!,EOMONTH(#REF!,0),"1111110")</f>
        <v>#REF!</v>
      </c>
      <c r="O10" s="11" t="e">
        <f>NETWORKDAYS.INTL(#REF!,EOMONTH(#REF!,0),"1111100")</f>
        <v>#REF!</v>
      </c>
      <c r="P10" s="11" t="e">
        <f>DAY(EOMONTH(#REF!,0))-NETWORKDAYS.INTL(#REF!,EOMONTH(#REF!,0),"0000000",H2:H16)</f>
        <v>#REF!</v>
      </c>
      <c r="Q10" s="11" t="e">
        <f>NETWORKDAYS.INTL(#REF!,EOMONTH(#REF!,0),"1111100")-NETWORKDAYS.INTL(#REF!,EOMONTH(#REF!,0),"1111100",H2:H16)</f>
        <v>#REF!</v>
      </c>
    </row>
    <row r="11" spans="1:17" ht="30" customHeight="1" x14ac:dyDescent="0.3">
      <c r="A11" s="6" t="s">
        <v>44</v>
      </c>
      <c r="B11" s="4">
        <v>45413</v>
      </c>
      <c r="C11" s="8"/>
      <c r="D11" s="10">
        <v>0.875</v>
      </c>
      <c r="E11" s="10">
        <v>0.25</v>
      </c>
      <c r="F11" s="8"/>
      <c r="G11" s="9" t="s">
        <v>27</v>
      </c>
      <c r="H11" s="4">
        <f>DATE(A1,7,14)</f>
        <v>45487</v>
      </c>
      <c r="J11" s="6" t="s">
        <v>10</v>
      </c>
      <c r="K11" s="11" t="e">
        <f>DAY(EOMONTH(#REF!,0))</f>
        <v>#REF!</v>
      </c>
      <c r="L11" s="11" t="e">
        <f>NETWORKDAYS.INTL(#REF!,EOMONTH(#REF!,0),,H2:H16)</f>
        <v>#REF!</v>
      </c>
      <c r="M11" s="11" t="e">
        <f>NETWORKDAYS.INTL(#REF!,EOMONTH(#REF!,0),"1111101")</f>
        <v>#REF!</v>
      </c>
      <c r="N11" s="11" t="e">
        <f>NETWORKDAYS.INTL(#REF!,EOMONTH(#REF!,0),"1111110")</f>
        <v>#REF!</v>
      </c>
      <c r="O11" s="11" t="e">
        <f>NETWORKDAYS.INTL(#REF!,EOMONTH(#REF!,0),"1111100")</f>
        <v>#REF!</v>
      </c>
      <c r="P11" s="11" t="e">
        <f>DAY(EOMONTH(#REF!,0))-NETWORKDAYS.INTL(#REF!,EOMONTH(#REF!,0),"0000000",H2:H16)</f>
        <v>#REF!</v>
      </c>
      <c r="Q11" s="11" t="e">
        <f>NETWORKDAYS.INTL(#REF!,EOMONTH(#REF!,0),"1111100")-NETWORKDAYS.INTL(#REF!,EOMONTH(#REF!,0),"1111100",H2:H16)</f>
        <v>#REF!</v>
      </c>
    </row>
    <row r="12" spans="1:17" ht="30" customHeight="1" x14ac:dyDescent="0.3">
      <c r="A12" s="6" t="s">
        <v>45</v>
      </c>
      <c r="B12" s="4">
        <v>45432</v>
      </c>
      <c r="C12" s="8"/>
      <c r="F12" s="8"/>
      <c r="G12" s="9" t="s">
        <v>28</v>
      </c>
      <c r="H12" s="4">
        <f>DATE($A$1,8,15)</f>
        <v>45519</v>
      </c>
      <c r="J12" s="6" t="s">
        <v>11</v>
      </c>
      <c r="K12" s="11" t="e">
        <f>DAY(EOMONTH(#REF!,0))</f>
        <v>#REF!</v>
      </c>
      <c r="L12" s="11" t="e">
        <f>NETWORKDAYS.INTL(#REF!,EOMONTH(#REF!,0),,H2:H16)</f>
        <v>#REF!</v>
      </c>
      <c r="M12" s="11" t="e">
        <f>NETWORKDAYS.INTL(#REF!,EOMONTH(#REF!,0),"1111101")</f>
        <v>#REF!</v>
      </c>
      <c r="N12" s="11" t="e">
        <f>NETWORKDAYS.INTL(#REF!,EOMONTH(#REF!,0),"1111110")</f>
        <v>#REF!</v>
      </c>
      <c r="O12" s="11" t="e">
        <f>NETWORKDAYS.INTL(#REF!,EOMONTH(#REF!,0),"1111100")</f>
        <v>#REF!</v>
      </c>
      <c r="P12" s="11" t="e">
        <f>DAY(EOMONTH(#REF!,0))-NETWORKDAYS.INTL(#REF!,EOMONTH(#REF!,0),"0000000",H2:H16)</f>
        <v>#REF!</v>
      </c>
      <c r="Q12" s="11" t="e">
        <f>NETWORKDAYS.INTL(#REF!,EOMONTH(#REF!,0),"1111100")-NETWORKDAYS.INTL(#REF!,EOMONTH(#REF!,0),"1111100",H2:H16)</f>
        <v>#REF!</v>
      </c>
    </row>
    <row r="13" spans="1:17" ht="30" customHeight="1" x14ac:dyDescent="0.3">
      <c r="A13" s="6" t="s">
        <v>54</v>
      </c>
      <c r="B13" s="11">
        <f>+B12-B11+1</f>
        <v>20</v>
      </c>
      <c r="C13" s="12"/>
      <c r="F13" s="8"/>
      <c r="G13" s="9" t="s">
        <v>29</v>
      </c>
      <c r="H13" s="4">
        <f>DATE(A1,11,1)</f>
        <v>45597</v>
      </c>
      <c r="J13" s="6" t="s">
        <v>12</v>
      </c>
      <c r="K13" s="11" t="e">
        <f>DAY(EOMONTH(#REF!,0))</f>
        <v>#REF!</v>
      </c>
      <c r="L13" s="11" t="e">
        <f>NETWORKDAYS.INTL(#REF!,EOMONTH(#REF!,0),,H2:H16)</f>
        <v>#REF!</v>
      </c>
      <c r="M13" s="11" t="e">
        <f>NETWORKDAYS.INTL(#REF!,EOMONTH(#REF!,0),"1111101")</f>
        <v>#REF!</v>
      </c>
      <c r="N13" s="11" t="e">
        <f>NETWORKDAYS.INTL(#REF!,EOMONTH(#REF!,0),"1111110")</f>
        <v>#REF!</v>
      </c>
      <c r="O13" s="11" t="e">
        <f>NETWORKDAYS.INTL(#REF!,EOMONTH(#REF!,0),"1111100")</f>
        <v>#REF!</v>
      </c>
      <c r="P13" s="11" t="e">
        <f>DAY(EOMONTH(#REF!,0))-NETWORKDAYS.INTL(#REF!,EOMONTH(#REF!,0),"0000000",H2:H16)</f>
        <v>#REF!</v>
      </c>
      <c r="Q13" s="11" t="e">
        <f>NETWORKDAYS.INTL(#REF!,EOMONTH(#REF!,0),"1111100")-NETWORKDAYS.INTL(#REF!,EOMONTH(#REF!,0),"1111100",H2:H16)</f>
        <v>#REF!</v>
      </c>
    </row>
    <row r="14" spans="1:17" ht="30" customHeight="1" x14ac:dyDescent="0.3">
      <c r="A14" s="6" t="s">
        <v>50</v>
      </c>
      <c r="B14" s="6">
        <f>NETWORKDAYS.INTL(B11,B12,,H2:H16)</f>
        <v>10</v>
      </c>
      <c r="F14" s="8"/>
      <c r="G14" s="9" t="s">
        <v>31</v>
      </c>
      <c r="H14" s="4">
        <f>DATE(A1,11,11)</f>
        <v>45607</v>
      </c>
    </row>
    <row r="15" spans="1:17" ht="30" customHeight="1" x14ac:dyDescent="0.3">
      <c r="A15" s="6" t="s">
        <v>49</v>
      </c>
      <c r="B15" s="11">
        <f>NETWORKDAYS.INTL(B11,B12,"1111100")</f>
        <v>6</v>
      </c>
      <c r="F15" s="8"/>
      <c r="G15" s="9" t="s">
        <v>32</v>
      </c>
      <c r="H15" s="4">
        <f>DATE(A1,12,25)</f>
        <v>45651</v>
      </c>
    </row>
    <row r="16" spans="1:17" ht="30" customHeight="1" x14ac:dyDescent="0.3">
      <c r="A16" s="6" t="s">
        <v>51</v>
      </c>
      <c r="B16" s="11">
        <f>NETWORKDAYS.INTL(B11,B12)-NETWORKDAYS.INTL(B11,B12,,H2:H16)</f>
        <v>4</v>
      </c>
      <c r="F16" s="8"/>
      <c r="G16" s="9" t="s">
        <v>33</v>
      </c>
      <c r="H16" s="4">
        <f>H15+1</f>
        <v>45652</v>
      </c>
    </row>
    <row r="17" spans="1:6" ht="30" customHeight="1" x14ac:dyDescent="0.3">
      <c r="A17" s="6" t="s">
        <v>52</v>
      </c>
      <c r="B17" s="6">
        <f>NETWORKDAYS.INTL(B11,B12,"1111100")-NETWORKDAYS.INTL(B11,B12,"1111100",H2:H16)</f>
        <v>1</v>
      </c>
      <c r="F17" s="8"/>
    </row>
    <row r="18" spans="1:6" ht="30" customHeight="1" x14ac:dyDescent="0.3">
      <c r="A18" s="8"/>
      <c r="C18" s="8"/>
      <c r="F18" s="8"/>
    </row>
    <row r="19" spans="1:6" ht="19.95" customHeight="1" x14ac:dyDescent="0.3">
      <c r="A19" s="8" t="e">
        <f>#REF!+1</f>
        <v>#REF!</v>
      </c>
      <c r="B19" s="8"/>
      <c r="C19" s="8"/>
      <c r="D19" s="8"/>
      <c r="E19" s="8"/>
      <c r="F19" s="8"/>
    </row>
    <row r="20" spans="1:6" ht="19.95" customHeight="1" x14ac:dyDescent="0.3">
      <c r="A20" s="8" t="e">
        <f t="shared" ref="A20" si="0">A19+1</f>
        <v>#REF!</v>
      </c>
      <c r="B20" s="8"/>
      <c r="C20" s="8"/>
      <c r="D20" s="8"/>
      <c r="E20" s="8"/>
      <c r="F20" s="8"/>
    </row>
  </sheetData>
  <mergeCells count="6">
    <mergeCell ref="A10:B10"/>
    <mergeCell ref="G1:H1"/>
    <mergeCell ref="D1:E1"/>
    <mergeCell ref="A9:B9"/>
    <mergeCell ref="A1:B1"/>
    <mergeCell ref="D10:E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38"/>
  <sheetViews>
    <sheetView tabSelected="1" zoomScaleNormal="100" workbookViewId="0">
      <selection activeCell="N8" sqref="N8"/>
    </sheetView>
  </sheetViews>
  <sheetFormatPr baseColWidth="10" defaultColWidth="11.5546875" defaultRowHeight="30" customHeight="1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3" width="11.5546875" style="18" customWidth="1"/>
    <col min="14" max="14" width="11.5546875" style="18"/>
    <col min="15" max="15" width="11.5546875" style="18" customWidth="1"/>
    <col min="16" max="16384" width="11.5546875" style="18"/>
  </cols>
  <sheetData>
    <row r="1" spans="1:17" s="16" customFormat="1" ht="30" customHeight="1" x14ac:dyDescent="0.3">
      <c r="A1" s="38"/>
      <c r="B1" s="39">
        <f>SUBTOTAL(102,Tabel1[Date])</f>
        <v>31</v>
      </c>
      <c r="C1" s="43"/>
      <c r="D1" s="53">
        <f>SUBTOTAL(102,Tabel1[Ouverture de poste])</f>
        <v>9</v>
      </c>
      <c r="E1" s="39">
        <f>SUBTOTAL(102,Tabel1[Pause entre 06:00 et 21:00])</f>
        <v>9</v>
      </c>
      <c r="F1" s="39">
        <f>SUBTOTAL(102,Tabel1[Pause entre 21:00 et 06:00])</f>
        <v>0</v>
      </c>
      <c r="G1" s="39">
        <f>SUBTOTAL(102,Tabel1[Fermeture de poste])</f>
        <v>9</v>
      </c>
      <c r="H1" s="42">
        <f>SUBTOTAL(109,Tabel1[Total Heures])</f>
        <v>2.6250000000000009</v>
      </c>
      <c r="I1" s="40">
        <f>SUBTOTAL(109,Tabel1[Heures de jour])</f>
        <v>2.6250000000000009</v>
      </c>
      <c r="J1" s="40">
        <f>SUBTOTAL(109,Tabel1[Heures de nuit])</f>
        <v>0</v>
      </c>
      <c r="K1" s="35">
        <f>SUBTOTAL(109,Tabel1[Total semaine])</f>
        <v>2.6250000000000009</v>
      </c>
      <c r="L1" s="40">
        <f>SUBTOTAL(109,Tabel1[Heures supplémentaires])</f>
        <v>0</v>
      </c>
      <c r="N1" s="17"/>
    </row>
    <row r="2" spans="1:17" ht="30" customHeight="1" x14ac:dyDescent="0.3">
      <c r="A2" s="30" t="s">
        <v>40</v>
      </c>
      <c r="B2" s="31" t="s">
        <v>13</v>
      </c>
      <c r="C2" s="44" t="s">
        <v>14</v>
      </c>
      <c r="D2" s="31" t="s">
        <v>18</v>
      </c>
      <c r="E2" s="31" t="s">
        <v>42</v>
      </c>
      <c r="F2" s="31" t="s">
        <v>43</v>
      </c>
      <c r="G2" s="31" t="s">
        <v>16</v>
      </c>
      <c r="H2" s="32" t="s">
        <v>41</v>
      </c>
      <c r="I2" s="32" t="s">
        <v>17</v>
      </c>
      <c r="J2" s="32" t="s">
        <v>15</v>
      </c>
      <c r="K2" s="33" t="s">
        <v>19</v>
      </c>
      <c r="L2" s="34" t="s">
        <v>0</v>
      </c>
      <c r="O2" s="26"/>
    </row>
    <row r="3" spans="1:17" ht="30" customHeight="1" x14ac:dyDescent="0.3">
      <c r="A3" s="19" t="str">
        <f t="shared" ref="A3:A33" si="0">""&amp;WEEKNUM(B3,2)</f>
        <v>22</v>
      </c>
      <c r="B3" s="20">
        <f>DATE(Détails!A1,6,1)</f>
        <v>45444</v>
      </c>
      <c r="C3" s="45" t="str" cm="1">
        <f t="array" ref="C3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familial",IFERROR(IF(VLOOKUP($B3,Détails!$H$2:$H$16,1,0),"Férié",""),""))))))</f>
        <v/>
      </c>
      <c r="D3" s="21"/>
      <c r="E3" s="22"/>
      <c r="F3" s="22"/>
      <c r="G3" s="21"/>
      <c r="H3" s="23" t="str">
        <f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IF(OR(WEEKDAY(Tabel1[[#This Row],[Date]],2)=7, DAY(Tabel1[[#This Row],[Date]])=DAY(EOMONTH(Tabel1[[#This Row],[Date]],0))),SUMIF(Tabel1[Semaine],Tabel1[[#This Row],[Semaine]],Tabel1[Total Heures]),0)</f>
        <v>0</v>
      </c>
      <c r="L3" s="24" t="str">
        <f>IFERROR(IF(K3&gt;Détails!E$4,K3-Détails!E$4,""),0)</f>
        <v/>
      </c>
      <c r="N3" s="52" cm="1">
        <f t="array" ref="N3" xml:space="preserve"> SUMPRODUCT((Tabel1[Ouverture de poste]="")*(WEEKDAY(Tabel1[Date],2)&lt;=7))</f>
        <v>22</v>
      </c>
      <c r="O3" s="26">
        <f ca="1">--IF(B3&lt;TODAY()-1,COUNTBLANK(D3))</f>
        <v>1</v>
      </c>
      <c r="P3" s="25"/>
      <c r="Q3" s="25"/>
    </row>
    <row r="4" spans="1:17" ht="30" customHeight="1" x14ac:dyDescent="0.3">
      <c r="A4" s="19" t="str">
        <f t="shared" si="0"/>
        <v>22</v>
      </c>
      <c r="B4" s="20">
        <f t="shared" ref="B4:B33" si="1">B3+1</f>
        <v>45445</v>
      </c>
      <c r="C4" s="45" t="str" cm="1">
        <f t="array" ref="C4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familial",IFERROR(IF(VLOOKUP($B4,Détails!$H$2:$H$16,1,0),"Férié",""),""))))))</f>
        <v/>
      </c>
      <c r="D4" s="21"/>
      <c r="E4" s="22"/>
      <c r="F4" s="22"/>
      <c r="G4" s="21"/>
      <c r="H4" s="23" t="str">
        <f>IF(OR(D4&lt;&gt;"",G4&lt;&gt;""),MOD(G4-D4-F4-E4,1),"")</f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IF(OR(WEEKDAY(Tabel1[[#This Row],[Date]],2)=7, DAY(Tabel1[[#This Row],[Date]])=DAY(EOMONTH(Tabel1[[#This Row],[Date]],0))),SUMIF(Tabel1[Semaine],Tabel1[[#This Row],[Semaine]],Tabel1[Total Heures]),0)</f>
        <v>0</v>
      </c>
      <c r="L4" s="24" t="str">
        <f>IFERROR(IF(K4&gt;Détails!E$4,K4-Détails!E$4,""),0)</f>
        <v/>
      </c>
      <c r="N4" s="52">
        <f>COUNTIFS(Tabel1[Ordre],"Férié")</f>
        <v>0</v>
      </c>
      <c r="O4" s="26">
        <f ca="1">--IF(B4&lt;TODAY()-1,COUNTBLANK(D4))</f>
        <v>1</v>
      </c>
    </row>
    <row r="5" spans="1:17" ht="30" customHeight="1" x14ac:dyDescent="0.3">
      <c r="A5" s="19" t="str">
        <f t="shared" si="0"/>
        <v>23</v>
      </c>
      <c r="B5" s="20">
        <f t="shared" si="1"/>
        <v>45446</v>
      </c>
      <c r="C5" s="45" t="str" cm="1">
        <f t="array" ref="C5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familial",IFERROR(IF(VLOOKUP($B5,Détails!$H$2:$H$16,1,0),"Férié",""),""))))))</f>
        <v>En poste</v>
      </c>
      <c r="D5" s="21">
        <v>0.33333333333333331</v>
      </c>
      <c r="E5" s="22">
        <v>2.0833333333333332E-2</v>
      </c>
      <c r="F5" s="22"/>
      <c r="G5" s="21">
        <v>0.64583333333333337</v>
      </c>
      <c r="H5" s="23">
        <f t="shared" ref="H5:H33" si="2">IF(OR(D5&lt;&gt;"",G5&lt;&gt;""),MOD(G5-D5-F5-E5,1),"")</f>
        <v>0.29166666666666674</v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0.29166666666666674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IF(OR(WEEKDAY(Tabel1[[#This Row],[Date]],2)=7, DAY(Tabel1[[#This Row],[Date]])=DAY(EOMONTH(Tabel1[[#This Row],[Date]],0))),SUMIF(Tabel1[Semaine],Tabel1[[#This Row],[Semaine]],Tabel1[Total Heures]),0)</f>
        <v>0</v>
      </c>
      <c r="L5" s="24" t="str">
        <f>IFERROR(IF(K5&gt;Détails!E$4,K5-Détails!E$4,""),0)</f>
        <v/>
      </c>
      <c r="N5" s="26" cm="1">
        <f t="array" ref="N5">SUMPRODUCT(ISNUMBER(MATCH(Tabel1[Date],Détails!H2:H16,0))*(ISNUMBER(Tabel1[Ouverture de poste])))</f>
        <v>0</v>
      </c>
      <c r="O5" s="26">
        <f t="shared" ref="O5:O33" ca="1" si="3">--IF(B5&lt;TODAY()-1,COUNTBLANK(D5))</f>
        <v>0</v>
      </c>
    </row>
    <row r="6" spans="1:17" ht="30" customHeight="1" x14ac:dyDescent="0.3">
      <c r="A6" s="19" t="str">
        <f t="shared" si="0"/>
        <v>23</v>
      </c>
      <c r="B6" s="20">
        <f t="shared" si="1"/>
        <v>45447</v>
      </c>
      <c r="C6" s="45" t="str" cm="1">
        <f t="array" ref="C6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familial",IFERROR(IF(VLOOKUP($B6,Détails!$H$2:$H$16,1,0),"Férié",""),""))))))</f>
        <v>En poste</v>
      </c>
      <c r="D6" s="21">
        <v>0.33333333333333331</v>
      </c>
      <c r="E6" s="22">
        <v>2.0833333333333332E-2</v>
      </c>
      <c r="F6" s="22"/>
      <c r="G6" s="21">
        <v>0.64583333333333337</v>
      </c>
      <c r="H6" s="23">
        <f t="shared" si="2"/>
        <v>0.29166666666666674</v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0.29166666666666674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IF(OR(WEEKDAY(Tabel1[[#This Row],[Date]],2)=7, DAY(Tabel1[[#This Row],[Date]])=DAY(EOMONTH(Tabel1[[#This Row],[Date]],0))),SUMIF(Tabel1[Semaine],Tabel1[[#This Row],[Semaine]],Tabel1[Total Heures]),0)</f>
        <v>0</v>
      </c>
      <c r="L6" s="24" t="str">
        <f>IFERROR(IF(K6&gt;Détails!E$4,K6-Détails!E$4,""),0)</f>
        <v/>
      </c>
      <c r="N6" s="52">
        <f>COUNTIFS(Tabel1[Ordre],"Repos")</f>
        <v>0</v>
      </c>
      <c r="O6" s="26">
        <f t="shared" ca="1" si="3"/>
        <v>0</v>
      </c>
    </row>
    <row r="7" spans="1:17" ht="30" customHeight="1" x14ac:dyDescent="0.3">
      <c r="A7" s="19" t="str">
        <f t="shared" si="0"/>
        <v>23</v>
      </c>
      <c r="B7" s="20">
        <f t="shared" si="1"/>
        <v>45448</v>
      </c>
      <c r="C7" s="45" t="str" cm="1">
        <f t="array" ref="C7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familial",IFERROR(IF(VLOOKUP($B7,Détails!$H$2:$H$16,1,0),"Férié",""),""))))))</f>
        <v>En poste</v>
      </c>
      <c r="D7" s="21">
        <v>0.33333333333333331</v>
      </c>
      <c r="E7" s="22">
        <v>2.0833333333333332E-2</v>
      </c>
      <c r="F7" s="22"/>
      <c r="G7" s="21">
        <v>0.64583333333333337</v>
      </c>
      <c r="H7" s="23">
        <f>IF(OR(D7&lt;&gt;"",G7&lt;&gt;""),MOD(G7-D7-F7-E7,1),"")</f>
        <v>0.29166666666666674</v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0.29166666666666674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IF(OR(WEEKDAY(Tabel1[[#This Row],[Date]],2)=7, DAY(Tabel1[[#This Row],[Date]])=DAY(EOMONTH(Tabel1[[#This Row],[Date]],0))),SUMIF(Tabel1[Semaine],Tabel1[[#This Row],[Semaine]],Tabel1[Total Heures]),0)</f>
        <v>0</v>
      </c>
      <c r="L7" s="24" t="str">
        <f>IFERROR(IF(K7&gt;Détails!E$4,K7-Détails!E$4,""),0)</f>
        <v/>
      </c>
      <c r="N7" s="26">
        <f ca="1">--IF(B33&lt;TODAY()-1,COUNTBLANK(Tabel1[Ouverture de poste]))</f>
        <v>0</v>
      </c>
      <c r="O7" s="26">
        <f t="shared" ca="1" si="3"/>
        <v>0</v>
      </c>
    </row>
    <row r="8" spans="1:17" ht="30" customHeight="1" x14ac:dyDescent="0.3">
      <c r="A8" s="19" t="str">
        <f t="shared" si="0"/>
        <v>23</v>
      </c>
      <c r="B8" s="20">
        <f t="shared" si="1"/>
        <v>45449</v>
      </c>
      <c r="C8" s="45" t="str" cm="1">
        <f t="array" ref="C8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familial",IFERROR(IF(VLOOKUP($B8,Détails!$H$2:$H$16,1,0),"Férié",""),""))))))</f>
        <v/>
      </c>
      <c r="D8" s="21"/>
      <c r="E8" s="22"/>
      <c r="F8" s="22"/>
      <c r="G8" s="21"/>
      <c r="H8" s="23" t="str">
        <f t="shared" si="2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IF(OR(WEEKDAY(Tabel1[[#This Row],[Date]],2)=7, DAY(Tabel1[[#This Row],[Date]])=DAY(EOMONTH(Tabel1[[#This Row],[Date]],0))),SUMIF(Tabel1[Semaine],Tabel1[[#This Row],[Semaine]],Tabel1[Total Heures]),0)</f>
        <v>0</v>
      </c>
      <c r="L8" s="24" t="str">
        <f>IFERROR(IF(K8&gt;Détails!E$4,K8-Détails!E$4,""),0)</f>
        <v/>
      </c>
      <c r="N8" s="26">
        <f ca="1">SUM(O3:O33)</f>
        <v>7</v>
      </c>
      <c r="O8" s="26">
        <f t="shared" ca="1" si="3"/>
        <v>1</v>
      </c>
    </row>
    <row r="9" spans="1:17" ht="30" customHeight="1" x14ac:dyDescent="0.3">
      <c r="A9" s="19" t="str">
        <f t="shared" si="0"/>
        <v>23</v>
      </c>
      <c r="B9" s="20">
        <f t="shared" si="1"/>
        <v>45450</v>
      </c>
      <c r="C9" s="45" t="str" cm="1">
        <f t="array" ref="C9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familial",IFERROR(IF(VLOOKUP($B9,Détails!$H$2:$H$16,1,0),"Férié",""),""))))))</f>
        <v>En poste</v>
      </c>
      <c r="D9" s="21">
        <v>0.33333333333333331</v>
      </c>
      <c r="E9" s="22">
        <v>2.0833333333333332E-2</v>
      </c>
      <c r="F9" s="22"/>
      <c r="G9" s="21">
        <v>0.64583333333333337</v>
      </c>
      <c r="H9" s="23">
        <f t="shared" si="2"/>
        <v>0.29166666666666674</v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0.29166666666666674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IF(OR(WEEKDAY(Tabel1[[#This Row],[Date]],2)=7, DAY(Tabel1[[#This Row],[Date]])=DAY(EOMONTH(Tabel1[[#This Row],[Date]],0))),SUMIF(Tabel1[Semaine],Tabel1[[#This Row],[Semaine]],Tabel1[Total Heures]),0)</f>
        <v>0</v>
      </c>
      <c r="L9" s="41" t="str">
        <f>IFERROR(IF(K9&gt;Détails!E$4,K9-Détails!E$4,""),0)</f>
        <v/>
      </c>
      <c r="N9" s="26"/>
      <c r="O9" s="26">
        <f t="shared" ca="1" si="3"/>
        <v>0</v>
      </c>
    </row>
    <row r="10" spans="1:17" ht="30" customHeight="1" x14ac:dyDescent="0.3">
      <c r="A10" s="19" t="str">
        <f t="shared" si="0"/>
        <v>23</v>
      </c>
      <c r="B10" s="20">
        <f t="shared" si="1"/>
        <v>45451</v>
      </c>
      <c r="C10" s="45" t="str" cm="1">
        <f t="array" ref="C10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familial",IFERROR(IF(VLOOKUP($B10,Détails!$H$2:$H$16,1,0),"Férié",""),""))))))</f>
        <v/>
      </c>
      <c r="D10" s="21"/>
      <c r="E10" s="22"/>
      <c r="F10" s="22"/>
      <c r="G10" s="21"/>
      <c r="H10" s="23" t="str">
        <f t="shared" si="2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IF(OR(WEEKDAY(Tabel1[[#This Row],[Date]],2)=7, DAY(Tabel1[[#This Row],[Date]])=DAY(EOMONTH(Tabel1[[#This Row],[Date]],0))),SUMIF(Tabel1[Semaine],Tabel1[[#This Row],[Semaine]],Tabel1[Total Heures]),0)</f>
        <v>0</v>
      </c>
      <c r="L10" s="24" t="str">
        <f>IFERROR(IF(K10&gt;Détails!E$4,K10-Détails!E$4,""),0)</f>
        <v/>
      </c>
      <c r="N10" s="26"/>
      <c r="O10" s="26">
        <f t="shared" ca="1" si="3"/>
        <v>1</v>
      </c>
    </row>
    <row r="11" spans="1:17" ht="30" customHeight="1" x14ac:dyDescent="0.3">
      <c r="A11" s="19" t="str">
        <f t="shared" si="0"/>
        <v>23</v>
      </c>
      <c r="B11" s="20">
        <f t="shared" si="1"/>
        <v>45452</v>
      </c>
      <c r="C11" s="45" t="str" cm="1">
        <f t="array" ref="C11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familial",IFERROR(IF(VLOOKUP($B11,Détails!$H$2:$H$16,1,0),"Férié",""),""))))))</f>
        <v/>
      </c>
      <c r="D11" s="21"/>
      <c r="E11" s="22"/>
      <c r="F11" s="22"/>
      <c r="G11" s="21"/>
      <c r="H11" s="23" t="str">
        <f t="shared" si="2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IF(OR(WEEKDAY(Tabel1[[#This Row],[Date]],2)=7, DAY(Tabel1[[#This Row],[Date]])=DAY(EOMONTH(Tabel1[[#This Row],[Date]],0))),SUMIF(Tabel1[Semaine],Tabel1[[#This Row],[Semaine]],Tabel1[Total Heures]),0)</f>
        <v>1.166666666666667</v>
      </c>
      <c r="L11" s="24" t="str">
        <f>IFERROR(IF(K11&gt;Détails!E$4,K11-Détails!E$4,""),0)</f>
        <v/>
      </c>
      <c r="N11" s="25"/>
      <c r="O11" s="26">
        <f t="shared" ca="1" si="3"/>
        <v>1</v>
      </c>
    </row>
    <row r="12" spans="1:17" ht="30" customHeight="1" x14ac:dyDescent="0.3">
      <c r="A12" s="19" t="str">
        <f t="shared" si="0"/>
        <v>24</v>
      </c>
      <c r="B12" s="20">
        <f t="shared" si="1"/>
        <v>45453</v>
      </c>
      <c r="C12" s="45" t="str" cm="1">
        <f t="array" ref="C12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familial",IFERROR(IF(VLOOKUP($B12,Détails!$H$2:$H$16,1,0),"Férié",""),""))))))</f>
        <v>En poste</v>
      </c>
      <c r="D12" s="21">
        <v>0.33333333333333331</v>
      </c>
      <c r="E12" s="22">
        <v>2.0833333333333332E-2</v>
      </c>
      <c r="F12" s="22"/>
      <c r="G12" s="21">
        <v>0.64583333333333337</v>
      </c>
      <c r="H12" s="23">
        <f t="shared" si="2"/>
        <v>0.29166666666666674</v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0.29166666666666674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IF(OR(WEEKDAY(Tabel1[[#This Row],[Date]],2)=7, DAY(Tabel1[[#This Row],[Date]])=DAY(EOMONTH(Tabel1[[#This Row],[Date]],0))),SUMIF(Tabel1[Semaine],Tabel1[[#This Row],[Semaine]],Tabel1[Total Heures]),0)</f>
        <v>0</v>
      </c>
      <c r="L12" s="24" t="str">
        <f>IFERROR(IF(K12&gt;Détails!E$4,K12-Détails!E$4,""),0)</f>
        <v/>
      </c>
      <c r="N12" s="25"/>
      <c r="O12" s="26">
        <f t="shared" ca="1" si="3"/>
        <v>0</v>
      </c>
    </row>
    <row r="13" spans="1:17" ht="30" customHeight="1" x14ac:dyDescent="0.3">
      <c r="A13" s="19" t="str">
        <f t="shared" si="0"/>
        <v>24</v>
      </c>
      <c r="B13" s="20">
        <f t="shared" si="1"/>
        <v>45454</v>
      </c>
      <c r="C13" s="45" t="str" cm="1">
        <f t="array" ref="C13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familial",IFERROR(IF(VLOOKUP($B13,Détails!$H$2:$H$16,1,0),"Férié",""),""))))))</f>
        <v>En poste</v>
      </c>
      <c r="D13" s="21">
        <v>0.33333333333333331</v>
      </c>
      <c r="E13" s="22">
        <v>2.0833333333333332E-2</v>
      </c>
      <c r="F13" s="22"/>
      <c r="G13" s="21">
        <v>0.64583333333333337</v>
      </c>
      <c r="H13" s="23">
        <f t="shared" si="2"/>
        <v>0.29166666666666674</v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0.29166666666666674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IF(OR(WEEKDAY(Tabel1[[#This Row],[Date]],2)=7, DAY(Tabel1[[#This Row],[Date]])=DAY(EOMONTH(Tabel1[[#This Row],[Date]],0))),SUMIF(Tabel1[Semaine],Tabel1[[#This Row],[Semaine]],Tabel1[Total Heures]),0)</f>
        <v>0</v>
      </c>
      <c r="L13" s="24" t="str">
        <f>IFERROR(IF(K13&gt;Détails!E$4,K13-Détails!E$4,""),0)</f>
        <v/>
      </c>
      <c r="N13" s="25"/>
      <c r="O13" s="26">
        <f t="shared" ca="1" si="3"/>
        <v>0</v>
      </c>
    </row>
    <row r="14" spans="1:17" ht="30" customHeight="1" x14ac:dyDescent="0.3">
      <c r="A14" s="19" t="str">
        <f t="shared" si="0"/>
        <v>24</v>
      </c>
      <c r="B14" s="20">
        <f t="shared" si="1"/>
        <v>45455</v>
      </c>
      <c r="C14" s="45" t="str" cm="1">
        <f t="array" ref="C14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familial",IFERROR(IF(VLOOKUP($B14,Détails!$H$2:$H$16,1,0),"Férié",""),""))))))</f>
        <v>En poste</v>
      </c>
      <c r="D14" s="21">
        <v>0.33333333333333331</v>
      </c>
      <c r="E14" s="22">
        <v>2.0833333333333332E-2</v>
      </c>
      <c r="F14" s="22"/>
      <c r="G14" s="21">
        <v>0.64583333333333337</v>
      </c>
      <c r="H14" s="23">
        <f t="shared" si="2"/>
        <v>0.29166666666666674</v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0.29166666666666674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IF(OR(WEEKDAY(Tabel1[[#This Row],[Date]],2)=7, DAY(Tabel1[[#This Row],[Date]])=DAY(EOMONTH(Tabel1[[#This Row],[Date]],0))),SUMIF(Tabel1[Semaine],Tabel1[[#This Row],[Semaine]],Tabel1[Total Heures]),0)</f>
        <v>0</v>
      </c>
      <c r="L14" s="24" t="str">
        <f>IFERROR(IF(K14&gt;Détails!E$4,K14-Détails!E$4,""),0)</f>
        <v/>
      </c>
      <c r="N14" s="25"/>
      <c r="O14" s="26">
        <f t="shared" ca="1" si="3"/>
        <v>0</v>
      </c>
    </row>
    <row r="15" spans="1:17" ht="30" customHeight="1" x14ac:dyDescent="0.3">
      <c r="A15" s="19" t="str">
        <f t="shared" si="0"/>
        <v>24</v>
      </c>
      <c r="B15" s="20">
        <f t="shared" si="1"/>
        <v>45456</v>
      </c>
      <c r="C15" s="45" t="str" cm="1">
        <f t="array" ref="C15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familial",IFERROR(IF(VLOOKUP($B15,Détails!$H$2:$H$16,1,0),"Férié",""),""))))))</f>
        <v/>
      </c>
      <c r="D15" s="21"/>
      <c r="E15" s="22"/>
      <c r="F15" s="22"/>
      <c r="G15" s="21"/>
      <c r="H15" s="23" t="str">
        <f t="shared" si="2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IF(OR(WEEKDAY(Tabel1[[#This Row],[Date]],2)=7, DAY(Tabel1[[#This Row],[Date]])=DAY(EOMONTH(Tabel1[[#This Row],[Date]],0))),SUMIF(Tabel1[Semaine],Tabel1[[#This Row],[Semaine]],Tabel1[Total Heures]),0)</f>
        <v>0</v>
      </c>
      <c r="L15" s="24" t="str">
        <f>IFERROR(IF(K15&gt;Détails!E$4,K15-Détails!E$4,""),0)</f>
        <v/>
      </c>
      <c r="N15" s="25"/>
      <c r="O15" s="26">
        <f t="shared" ca="1" si="3"/>
        <v>1</v>
      </c>
    </row>
    <row r="16" spans="1:17" ht="30" customHeight="1" x14ac:dyDescent="0.3">
      <c r="A16" s="19" t="str">
        <f t="shared" si="0"/>
        <v>24</v>
      </c>
      <c r="B16" s="20">
        <f t="shared" si="1"/>
        <v>45457</v>
      </c>
      <c r="C16" s="45" t="str" cm="1">
        <f t="array" ref="C16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familial",IFERROR(IF(VLOOKUP($B16,Détails!$H$2:$H$16,1,0),"Férié",""),""))))))</f>
        <v>En poste</v>
      </c>
      <c r="D16" s="21">
        <v>0.33333333333333331</v>
      </c>
      <c r="E16" s="22">
        <v>2.0833333333333332E-2</v>
      </c>
      <c r="F16" s="22"/>
      <c r="G16" s="21">
        <v>0.64583333333333337</v>
      </c>
      <c r="H16" s="23">
        <f t="shared" si="2"/>
        <v>0.29166666666666674</v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0.29166666666666674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IF(OR(WEEKDAY(Tabel1[[#This Row],[Date]],2)=7, DAY(Tabel1[[#This Row],[Date]])=DAY(EOMONTH(Tabel1[[#This Row],[Date]],0))),SUMIF(Tabel1[Semaine],Tabel1[[#This Row],[Semaine]],Tabel1[Total Heures]),0)</f>
        <v>0</v>
      </c>
      <c r="L16" s="24" t="str">
        <f>IFERROR(IF(K16&gt;Détails!E$4,K16-Détails!E$4,""),0)</f>
        <v/>
      </c>
      <c r="N16" s="25"/>
      <c r="O16" s="26">
        <f t="shared" ca="1" si="3"/>
        <v>0</v>
      </c>
    </row>
    <row r="17" spans="1:15" ht="30" customHeight="1" x14ac:dyDescent="0.3">
      <c r="A17" s="19" t="str">
        <f t="shared" si="0"/>
        <v>24</v>
      </c>
      <c r="B17" s="20">
        <f t="shared" si="1"/>
        <v>45458</v>
      </c>
      <c r="C17" s="45" t="str" cm="1">
        <f t="array" ref="C17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familial",IFERROR(IF(VLOOKUP($B17,Détails!$H$2:$H$16,1,0),"Férié",""),""))))))</f>
        <v/>
      </c>
      <c r="D17" s="21"/>
      <c r="E17" s="22"/>
      <c r="F17" s="22"/>
      <c r="G17" s="21"/>
      <c r="H17" s="23" t="str">
        <f t="shared" si="2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IF(OR(WEEKDAY(Tabel1[[#This Row],[Date]],2)=7, DAY(Tabel1[[#This Row],[Date]])=DAY(EOMONTH(Tabel1[[#This Row],[Date]],0))),SUMIF(Tabel1[Semaine],Tabel1[[#This Row],[Semaine]],Tabel1[Total Heures]),0)</f>
        <v>0</v>
      </c>
      <c r="L17" s="24" t="str">
        <f>IFERROR(IF(K17&gt;Détails!E$4,K17-Détails!E$4,""),0)</f>
        <v/>
      </c>
      <c r="N17" s="25"/>
      <c r="O17" s="26">
        <f t="shared" ca="1" si="3"/>
        <v>1</v>
      </c>
    </row>
    <row r="18" spans="1:15" ht="30" customHeight="1" x14ac:dyDescent="0.3">
      <c r="A18" s="19" t="str">
        <f t="shared" si="0"/>
        <v>24</v>
      </c>
      <c r="B18" s="20">
        <f t="shared" si="1"/>
        <v>45459</v>
      </c>
      <c r="C18" s="45" t="str" cm="1">
        <f t="array" ref="C18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familial",IFERROR(IF(VLOOKUP($B18,Détails!$H$2:$H$16,1,0),"Férié",""),""))))))</f>
        <v/>
      </c>
      <c r="D18" s="21"/>
      <c r="E18" s="22"/>
      <c r="F18" s="22"/>
      <c r="G18" s="21"/>
      <c r="H18" s="23" t="str">
        <f t="shared" si="2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IF(OR(WEEKDAY(Tabel1[[#This Row],[Date]],2)=7, DAY(Tabel1[[#This Row],[Date]])=DAY(EOMONTH(Tabel1[[#This Row],[Date]],0))),SUMIF(Tabel1[Semaine],Tabel1[[#This Row],[Semaine]],Tabel1[Total Heures]),0)</f>
        <v>1.166666666666667</v>
      </c>
      <c r="L18" s="24" t="str">
        <f>IFERROR(IF(K18&gt;Détails!E$4,K18-Détails!E$4,""),0)</f>
        <v/>
      </c>
      <c r="N18" s="25"/>
      <c r="O18" s="26">
        <f t="shared" ca="1" si="3"/>
        <v>0</v>
      </c>
    </row>
    <row r="19" spans="1:15" ht="30" customHeight="1" x14ac:dyDescent="0.3">
      <c r="A19" s="19" t="str">
        <f t="shared" si="0"/>
        <v>25</v>
      </c>
      <c r="B19" s="20">
        <f t="shared" si="1"/>
        <v>45460</v>
      </c>
      <c r="C19" s="45" t="str" cm="1">
        <f t="array" ref="C19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familial",IFERROR(IF(VLOOKUP($B19,Détails!$H$2:$H$16,1,0),"Férié",""),""))))))</f>
        <v>En poste</v>
      </c>
      <c r="D19" s="21">
        <v>0.33333333333333331</v>
      </c>
      <c r="E19" s="22">
        <v>2.0833333333333332E-2</v>
      </c>
      <c r="F19" s="22"/>
      <c r="G19" s="21">
        <v>0.64583333333333337</v>
      </c>
      <c r="H19" s="23">
        <f t="shared" si="2"/>
        <v>0.29166666666666674</v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0.29166666666666674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IF(OR(WEEKDAY(Tabel1[[#This Row],[Date]],2)=7, DAY(Tabel1[[#This Row],[Date]])=DAY(EOMONTH(Tabel1[[#This Row],[Date]],0))),SUMIF(Tabel1[Semaine],Tabel1[[#This Row],[Semaine]],Tabel1[Total Heures]),0)</f>
        <v>0</v>
      </c>
      <c r="L19" s="24" t="str">
        <f>IFERROR(IF(K19&gt;Détails!E$4,K19-Détails!E$4,""),0)</f>
        <v/>
      </c>
      <c r="N19" s="25"/>
      <c r="O19" s="26">
        <f t="shared" ca="1" si="3"/>
        <v>0</v>
      </c>
    </row>
    <row r="20" spans="1:15" ht="30" customHeight="1" x14ac:dyDescent="0.3">
      <c r="A20" s="19" t="str">
        <f t="shared" si="0"/>
        <v>25</v>
      </c>
      <c r="B20" s="20">
        <f t="shared" si="1"/>
        <v>45461</v>
      </c>
      <c r="C20" s="45" t="str" cm="1">
        <f t="array" ref="C20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familial",IFERROR(IF(VLOOKUP($B20,Détails!$H$2:$H$16,1,0),"Férié",""),""))))))</f>
        <v/>
      </c>
      <c r="D20" s="21"/>
      <c r="E20" s="22"/>
      <c r="F20" s="22"/>
      <c r="G20" s="21"/>
      <c r="H20" s="23" t="str">
        <f t="shared" si="2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IF(OR(WEEKDAY(Tabel1[[#This Row],[Date]],2)=7, DAY(Tabel1[[#This Row],[Date]])=DAY(EOMONTH(Tabel1[[#This Row],[Date]],0))),SUMIF(Tabel1[Semaine],Tabel1[[#This Row],[Semaine]],Tabel1[Total Heures]),0)</f>
        <v>0</v>
      </c>
      <c r="L20" s="24" t="str">
        <f>IFERROR(IF(K20&gt;Détails!E$4,K20-Détails!E$4,""),0)</f>
        <v/>
      </c>
      <c r="N20" s="25"/>
      <c r="O20" s="26">
        <f t="shared" ca="1" si="3"/>
        <v>0</v>
      </c>
    </row>
    <row r="21" spans="1:15" ht="30" customHeight="1" x14ac:dyDescent="0.3">
      <c r="A21" s="19" t="str">
        <f t="shared" si="0"/>
        <v>25</v>
      </c>
      <c r="B21" s="20">
        <f t="shared" si="1"/>
        <v>45462</v>
      </c>
      <c r="C21" s="45" t="str" cm="1">
        <f t="array" ref="C21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familial",IFERROR(IF(VLOOKUP($B21,Détails!$H$2:$H$16,1,0),"Férié",""),""))))))</f>
        <v/>
      </c>
      <c r="D21" s="21"/>
      <c r="E21" s="22"/>
      <c r="F21" s="22"/>
      <c r="G21" s="21"/>
      <c r="H21" s="23" t="str">
        <f t="shared" si="2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IF(OR(WEEKDAY(Tabel1[[#This Row],[Date]],2)=7, DAY(Tabel1[[#This Row],[Date]])=DAY(EOMONTH(Tabel1[[#This Row],[Date]],0))),SUMIF(Tabel1[Semaine],Tabel1[[#This Row],[Semaine]],Tabel1[Total Heures]),0)</f>
        <v>0</v>
      </c>
      <c r="L21" s="24" t="str">
        <f>IFERROR(IF(K21&gt;Détails!E$4,K21-Détails!E$4,""),0)</f>
        <v/>
      </c>
      <c r="N21" s="25"/>
      <c r="O21" s="26">
        <f t="shared" ca="1" si="3"/>
        <v>0</v>
      </c>
    </row>
    <row r="22" spans="1:15" ht="30" customHeight="1" x14ac:dyDescent="0.3">
      <c r="A22" s="19" t="str">
        <f t="shared" si="0"/>
        <v>25</v>
      </c>
      <c r="B22" s="20">
        <f t="shared" si="1"/>
        <v>45463</v>
      </c>
      <c r="C22" s="45" t="str" cm="1">
        <f t="array" ref="C22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familial",IFERROR(IF(VLOOKUP($B22,Détails!$H$2:$H$16,1,0),"Férié",""),""))))))</f>
        <v/>
      </c>
      <c r="D22" s="21"/>
      <c r="E22" s="22"/>
      <c r="F22" s="22"/>
      <c r="G22" s="21"/>
      <c r="H22" s="23" t="str">
        <f t="shared" si="2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IF(OR(WEEKDAY(Tabel1[[#This Row],[Date]],2)=7, DAY(Tabel1[[#This Row],[Date]])=DAY(EOMONTH(Tabel1[[#This Row],[Date]],0))),SUMIF(Tabel1[Semaine],Tabel1[[#This Row],[Semaine]],Tabel1[Total Heures]),0)</f>
        <v>0</v>
      </c>
      <c r="L22" s="24" t="str">
        <f>IFERROR(IF(K22&gt;Détails!E$4,K22-Détails!E$4,""),0)</f>
        <v/>
      </c>
      <c r="N22" s="25"/>
      <c r="O22" s="26">
        <f t="shared" ca="1" si="3"/>
        <v>0</v>
      </c>
    </row>
    <row r="23" spans="1:15" ht="30" customHeight="1" x14ac:dyDescent="0.3">
      <c r="A23" s="19" t="str">
        <f t="shared" si="0"/>
        <v>25</v>
      </c>
      <c r="B23" s="20">
        <f t="shared" si="1"/>
        <v>45464</v>
      </c>
      <c r="C23" s="45" t="str" cm="1">
        <f t="array" ref="C23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familial",IFERROR(IF(VLOOKUP($B23,Détails!$H$2:$H$16,1,0),"Férié",""),""))))))</f>
        <v/>
      </c>
      <c r="D23" s="21"/>
      <c r="E23" s="22"/>
      <c r="F23" s="22"/>
      <c r="G23" s="21"/>
      <c r="H23" s="23" t="str">
        <f t="shared" si="2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IF(OR(WEEKDAY(Tabel1[[#This Row],[Date]],2)=7, DAY(Tabel1[[#This Row],[Date]])=DAY(EOMONTH(Tabel1[[#This Row],[Date]],0))),SUMIF(Tabel1[Semaine],Tabel1[[#This Row],[Semaine]],Tabel1[Total Heures]),0)</f>
        <v>0</v>
      </c>
      <c r="L23" s="24" t="str">
        <f>IFERROR(IF(K23&gt;Détails!E$4,K23-Détails!E$4,""),0)</f>
        <v/>
      </c>
      <c r="O23" s="26">
        <f t="shared" ca="1" si="3"/>
        <v>0</v>
      </c>
    </row>
    <row r="24" spans="1:15" ht="30" customHeight="1" x14ac:dyDescent="0.3">
      <c r="A24" s="19" t="str">
        <f t="shared" si="0"/>
        <v>25</v>
      </c>
      <c r="B24" s="20">
        <f t="shared" si="1"/>
        <v>45465</v>
      </c>
      <c r="C24" s="45" t="str" cm="1">
        <f t="array" ref="C24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familial",IFERROR(IF(VLOOKUP($B24,Détails!$H$2:$H$16,1,0),"Férié",""),""))))))</f>
        <v/>
      </c>
      <c r="D24" s="21"/>
      <c r="E24" s="22"/>
      <c r="F24" s="22"/>
      <c r="G24" s="21"/>
      <c r="H24" s="23" t="str">
        <f t="shared" si="2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IF(OR(WEEKDAY(Tabel1[[#This Row],[Date]],2)=7, DAY(Tabel1[[#This Row],[Date]])=DAY(EOMONTH(Tabel1[[#This Row],[Date]],0))),SUMIF(Tabel1[Semaine],Tabel1[[#This Row],[Semaine]],Tabel1[Total Heures]),0)</f>
        <v>0</v>
      </c>
      <c r="L24" s="24" t="str">
        <f>IFERROR(IF(K24&gt;Détails!E$4,K24-Détails!E$4,""),0)</f>
        <v/>
      </c>
      <c r="O24" s="26">
        <f t="shared" ca="1" si="3"/>
        <v>0</v>
      </c>
    </row>
    <row r="25" spans="1:15" ht="30" customHeight="1" x14ac:dyDescent="0.3">
      <c r="A25" s="19" t="str">
        <f t="shared" si="0"/>
        <v>25</v>
      </c>
      <c r="B25" s="20">
        <f t="shared" si="1"/>
        <v>45466</v>
      </c>
      <c r="C25" s="45" t="str" cm="1">
        <f t="array" ref="C25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familial",IFERROR(IF(VLOOKUP($B25,Détails!$H$2:$H$16,1,0),"Férié",""),""))))))</f>
        <v/>
      </c>
      <c r="D25" s="21"/>
      <c r="E25" s="22"/>
      <c r="F25" s="22"/>
      <c r="G25" s="21"/>
      <c r="H25" s="23" t="str">
        <f t="shared" si="2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IF(OR(WEEKDAY(Tabel1[[#This Row],[Date]],2)=7, DAY(Tabel1[[#This Row],[Date]])=DAY(EOMONTH(Tabel1[[#This Row],[Date]],0))),SUMIF(Tabel1[Semaine],Tabel1[[#This Row],[Semaine]],Tabel1[Total Heures]),0)</f>
        <v>0.29166666666666674</v>
      </c>
      <c r="L25" s="24" t="str">
        <f>IFERROR(IF(K25&gt;Détails!E$4,K25-Détails!E$4,""),0)</f>
        <v/>
      </c>
      <c r="O25" s="26">
        <f t="shared" ca="1" si="3"/>
        <v>0</v>
      </c>
    </row>
    <row r="26" spans="1:15" ht="30" customHeight="1" x14ac:dyDescent="0.3">
      <c r="A26" s="19" t="str">
        <f t="shared" si="0"/>
        <v>26</v>
      </c>
      <c r="B26" s="20">
        <f t="shared" si="1"/>
        <v>45467</v>
      </c>
      <c r="C26" s="45" t="str" cm="1">
        <f t="array" ref="C26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familial",IFERROR(IF(VLOOKUP($B26,Détails!$H$2:$H$16,1,0),"Férié",""),""))))))</f>
        <v/>
      </c>
      <c r="D26" s="21"/>
      <c r="E26" s="22"/>
      <c r="F26" s="22"/>
      <c r="G26" s="21"/>
      <c r="H26" s="23" t="str">
        <f t="shared" si="2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IF(OR(WEEKDAY(Tabel1[[#This Row],[Date]],2)=7, DAY(Tabel1[[#This Row],[Date]])=DAY(EOMONTH(Tabel1[[#This Row],[Date]],0))),SUMIF(Tabel1[Semaine],Tabel1[[#This Row],[Semaine]],Tabel1[Total Heures]),0)</f>
        <v>0</v>
      </c>
      <c r="L26" s="24" t="str">
        <f>IFERROR(IF(K26&gt;Détails!E$4,K26-Détails!E$4,""),0)</f>
        <v/>
      </c>
      <c r="O26" s="26">
        <f t="shared" ca="1" si="3"/>
        <v>0</v>
      </c>
    </row>
    <row r="27" spans="1:15" ht="30" customHeight="1" x14ac:dyDescent="0.3">
      <c r="A27" s="19" t="str">
        <f t="shared" si="0"/>
        <v>26</v>
      </c>
      <c r="B27" s="20">
        <f t="shared" si="1"/>
        <v>45468</v>
      </c>
      <c r="C27" s="45" t="str" cm="1">
        <f t="array" ref="C27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familial",IFERROR(IF(VLOOKUP($B27,Détails!$H$2:$H$16,1,0),"Férié",""),""))))))</f>
        <v/>
      </c>
      <c r="D27" s="21"/>
      <c r="E27" s="22"/>
      <c r="F27" s="22"/>
      <c r="G27" s="21"/>
      <c r="H27" s="23" t="str">
        <f t="shared" si="2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IF(OR(WEEKDAY(Tabel1[[#This Row],[Date]],2)=7, DAY(Tabel1[[#This Row],[Date]])=DAY(EOMONTH(Tabel1[[#This Row],[Date]],0))),SUMIF(Tabel1[Semaine],Tabel1[[#This Row],[Semaine]],Tabel1[Total Heures]),0)</f>
        <v>0</v>
      </c>
      <c r="L27" s="24" t="str">
        <f>IFERROR(IF(K27&gt;Détails!E$4,K27-Détails!E$4,""),0)</f>
        <v/>
      </c>
      <c r="O27" s="26">
        <f t="shared" ca="1" si="3"/>
        <v>0</v>
      </c>
    </row>
    <row r="28" spans="1:15" ht="30" customHeight="1" x14ac:dyDescent="0.3">
      <c r="A28" s="19" t="str">
        <f t="shared" si="0"/>
        <v>26</v>
      </c>
      <c r="B28" s="20">
        <f t="shared" si="1"/>
        <v>45469</v>
      </c>
      <c r="C28" s="45" t="str" cm="1">
        <f t="array" ref="C28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familial",IFERROR(IF(VLOOKUP($B28,Détails!$H$2:$H$16,1,0),"Férié",""),""))))))</f>
        <v/>
      </c>
      <c r="D28" s="21"/>
      <c r="E28" s="22"/>
      <c r="F28" s="22"/>
      <c r="G28" s="21"/>
      <c r="H28" s="23" t="str">
        <f t="shared" si="2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IF(OR(WEEKDAY(Tabel1[[#This Row],[Date]],2)=7, DAY(Tabel1[[#This Row],[Date]])=DAY(EOMONTH(Tabel1[[#This Row],[Date]],0))),SUMIF(Tabel1[Semaine],Tabel1[[#This Row],[Semaine]],Tabel1[Total Heures]),0)</f>
        <v>0</v>
      </c>
      <c r="L28" s="24" t="str">
        <f>IFERROR(IF(K28&gt;Détails!E$4,K28-Détails!E$4,""),0)</f>
        <v/>
      </c>
      <c r="O28" s="26">
        <f t="shared" ca="1" si="3"/>
        <v>0</v>
      </c>
    </row>
    <row r="29" spans="1:15" ht="30" customHeight="1" x14ac:dyDescent="0.3">
      <c r="A29" s="19" t="str">
        <f t="shared" si="0"/>
        <v>26</v>
      </c>
      <c r="B29" s="20">
        <f t="shared" si="1"/>
        <v>45470</v>
      </c>
      <c r="C29" s="45" t="str" cm="1">
        <f t="array" ref="C29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familial",IFERROR(IF(VLOOKUP($B29,Détails!$H$2:$H$16,1,0),"Férié",""),""))))))</f>
        <v/>
      </c>
      <c r="D29" s="21"/>
      <c r="E29" s="22"/>
      <c r="F29" s="22"/>
      <c r="G29" s="21"/>
      <c r="H29" s="23" t="str">
        <f t="shared" si="2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IF(OR(WEEKDAY(Tabel1[[#This Row],[Date]],2)=7, DAY(Tabel1[[#This Row],[Date]])=DAY(EOMONTH(Tabel1[[#This Row],[Date]],0))),SUMIF(Tabel1[Semaine],Tabel1[[#This Row],[Semaine]],Tabel1[Total Heures]),0)</f>
        <v>0</v>
      </c>
      <c r="L29" s="24" t="str">
        <f>IFERROR(IF(K29&gt;Détails!E$4,K29-Détails!E$4,""),0)</f>
        <v/>
      </c>
      <c r="O29" s="26">
        <f t="shared" ca="1" si="3"/>
        <v>0</v>
      </c>
    </row>
    <row r="30" spans="1:15" ht="30" customHeight="1" x14ac:dyDescent="0.3">
      <c r="A30" s="19" t="str">
        <f t="shared" si="0"/>
        <v>26</v>
      </c>
      <c r="B30" s="20">
        <f t="shared" si="1"/>
        <v>45471</v>
      </c>
      <c r="C30" s="45" t="str" cm="1">
        <f t="array" ref="C30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familial",IFERROR(IF(VLOOKUP($B30,Détails!$H$2:$H$16,1,0),"Férié",""),""))))))</f>
        <v/>
      </c>
      <c r="D30" s="21"/>
      <c r="E30" s="22"/>
      <c r="F30" s="22"/>
      <c r="G30" s="21"/>
      <c r="H30" s="23" t="str">
        <f t="shared" si="2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IF(OR(WEEKDAY(Tabel1[[#This Row],[Date]],2)=7, DAY(Tabel1[[#This Row],[Date]])=DAY(EOMONTH(Tabel1[[#This Row],[Date]],0))),SUMIF(Tabel1[Semaine],Tabel1[[#This Row],[Semaine]],Tabel1[Total Heures]),0)</f>
        <v>0</v>
      </c>
      <c r="L30" s="24" t="str">
        <f>IFERROR(IF(K30&gt;Détails!E$4,K30-Détails!E$4,""),0)</f>
        <v/>
      </c>
      <c r="O30" s="26">
        <f t="shared" ca="1" si="3"/>
        <v>0</v>
      </c>
    </row>
    <row r="31" spans="1:15" ht="30" customHeight="1" x14ac:dyDescent="0.3">
      <c r="A31" s="19" t="str">
        <f t="shared" si="0"/>
        <v>26</v>
      </c>
      <c r="B31" s="20">
        <f t="shared" si="1"/>
        <v>45472</v>
      </c>
      <c r="C31" s="45" t="str" cm="1">
        <f t="array" ref="C31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familial",IFERROR(IF(VLOOKUP($B31,Détails!$H$2:$H$16,1,0),"Férié",""),""))))))</f>
        <v/>
      </c>
      <c r="D31" s="21"/>
      <c r="E31" s="22"/>
      <c r="F31" s="22"/>
      <c r="G31" s="21"/>
      <c r="H31" s="23" t="str">
        <f t="shared" si="2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IF(OR(WEEKDAY(Tabel1[[#This Row],[Date]],2)=7, DAY(Tabel1[[#This Row],[Date]])=DAY(EOMONTH(Tabel1[[#This Row],[Date]],0))),SUMIF(Tabel1[Semaine],Tabel1[[#This Row],[Semaine]],Tabel1[Total Heures]),0)</f>
        <v>0</v>
      </c>
      <c r="L31" s="24" t="str">
        <f>IFERROR(IF(K31&gt;Détails!E$4,K31-Détails!E$4,""),0)</f>
        <v/>
      </c>
      <c r="O31" s="26">
        <f t="shared" ca="1" si="3"/>
        <v>0</v>
      </c>
    </row>
    <row r="32" spans="1:15" ht="30" customHeight="1" x14ac:dyDescent="0.3">
      <c r="A32" s="19" t="str">
        <f t="shared" si="0"/>
        <v>26</v>
      </c>
      <c r="B32" s="20">
        <f t="shared" si="1"/>
        <v>45473</v>
      </c>
      <c r="C32" s="45" t="str" cm="1">
        <f t="array" ref="C32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familial",IFERROR(IF(VLOOKUP($B32,Détails!$H$2:$H$16,1,0),"Férié",""),""))))))</f>
        <v/>
      </c>
      <c r="D32" s="21"/>
      <c r="E32" s="22"/>
      <c r="F32" s="22"/>
      <c r="G32" s="21"/>
      <c r="H32" s="23" t="str">
        <f t="shared" si="2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IF(OR(WEEKDAY(Tabel1[[#This Row],[Date]],2)=7, DAY(Tabel1[[#This Row],[Date]])=DAY(EOMONTH(Tabel1[[#This Row],[Date]],0))),SUMIF(Tabel1[Semaine],Tabel1[[#This Row],[Semaine]],Tabel1[Total Heures]),0)</f>
        <v>0</v>
      </c>
      <c r="L32" s="24" t="str">
        <f>IFERROR(IF(K32&gt;Détails!E$4,K32-Détails!E$4,""),0)</f>
        <v/>
      </c>
      <c r="O32" s="26">
        <f t="shared" ca="1" si="3"/>
        <v>0</v>
      </c>
    </row>
    <row r="33" spans="1:15" ht="30" customHeight="1" x14ac:dyDescent="0.3">
      <c r="A33" s="19" t="str">
        <f t="shared" si="0"/>
        <v>27</v>
      </c>
      <c r="B33" s="20">
        <f t="shared" si="1"/>
        <v>45474</v>
      </c>
      <c r="C33" s="45" t="str" cm="1">
        <f t="array" ref="C33">IF(ISNUMBER(Tabel1[[#This Row],[Ouverture de poste]]),"En poste",IF(ISNUMBER(_xlfn.AGGREGATE(15,6,ROW(#REF!)/((#REF!&lt;=Tabel1[[#This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familial",IFERROR(IF(VLOOKUP($B33,Détails!$H$2:$H$16,1,0),"Férié",""),""))))))</f>
        <v/>
      </c>
      <c r="D33" s="21"/>
      <c r="E33" s="22"/>
      <c r="F33" s="22"/>
      <c r="G33" s="21"/>
      <c r="H33" s="23" t="str">
        <f t="shared" si="2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IF(OR(WEEKDAY(Tabel1[[#This Row],[Date]],2)=7, DAY(Tabel1[[#This Row],[Date]])=DAY(EOMONTH(Tabel1[[#This Row],[Date]],0))),SUMIF(Tabel1[Semaine],Tabel1[[#This Row],[Semaine]],Tabel1[Total Heures]),0)</f>
        <v>0</v>
      </c>
      <c r="L33" s="24" t="str">
        <f>IFERROR(IF(K33&gt;Détails!E$4,K33-Détails!E$4,""),0)</f>
        <v/>
      </c>
      <c r="O33" s="26">
        <f t="shared" ca="1" si="3"/>
        <v>0</v>
      </c>
    </row>
    <row r="38" spans="1:15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3" priority="2">
      <formula>OR($C3="Arrêt maladie",$C3="Accident du travail")</formula>
    </cfRule>
    <cfRule type="expression" dxfId="2" priority="3">
      <formula>OR($C3="Congé",$C3="Congé pour évènement familial")</formula>
    </cfRule>
    <cfRule type="expression" dxfId="0" priority="10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4DA6ADA2-7745-44DB-B05B-B41EC8257AEE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choses à faire</vt:lpstr>
      <vt:lpstr>Détails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2024-06-17T08:10:04Z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