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D:\Excel\Suivi des heures\"/>
    </mc:Choice>
  </mc:AlternateContent>
  <xr:revisionPtr revIDLastSave="0" documentId="13_ncr:1_{F14FA3CD-E2C9-4250-9438-A53B8A2FA1CE}" xr6:coauthVersionLast="47" xr6:coauthVersionMax="47" xr10:uidLastSave="{00000000-0000-0000-0000-000000000000}"/>
  <bookViews>
    <workbookView xWindow="-108" yWindow="-108" windowWidth="23256" windowHeight="12456" tabRatio="894" activeTab="1" xr2:uid="{00000000-000D-0000-FFFF-FFFF00000000}"/>
  </bookViews>
  <sheets>
    <sheet name="Détails" sheetId="17" r:id="rId1"/>
    <sheet name="Janvier" sheetId="1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4" l="1"/>
  <c r="O3" i="14" s="1"/>
  <c r="J1" i="17"/>
  <c r="D1" i="14"/>
  <c r="C3" i="14" l="1" a="1"/>
  <c r="C3" i="14" s="1"/>
  <c r="B4" i="14"/>
  <c r="B5" i="14" s="1"/>
  <c r="B6" i="14" s="1"/>
  <c r="B7" i="14" s="1"/>
  <c r="B8" i="14" s="1"/>
  <c r="B9" i="14" s="1"/>
  <c r="B10" i="14" s="1"/>
  <c r="B11" i="14" s="1"/>
  <c r="B12" i="14" s="1"/>
  <c r="B13" i="14" s="1"/>
  <c r="B14" i="14" s="1"/>
  <c r="B15" i="14" s="1"/>
  <c r="B16" i="14" s="1"/>
  <c r="B17" i="14" s="1"/>
  <c r="B18" i="14" s="1"/>
  <c r="B19" i="14" s="1"/>
  <c r="B20" i="14" s="1"/>
  <c r="B21" i="14" s="1"/>
  <c r="B22" i="14" s="1"/>
  <c r="B23" i="14" s="1"/>
  <c r="B24" i="14" s="1"/>
  <c r="B25" i="14" s="1"/>
  <c r="B26" i="14" s="1"/>
  <c r="B27" i="14" s="1"/>
  <c r="B28" i="14" s="1"/>
  <c r="B29" i="14" s="1"/>
  <c r="B30" i="14" s="1"/>
  <c r="B31" i="14" s="1"/>
  <c r="B32" i="14" s="1"/>
  <c r="B33" i="14" s="1"/>
  <c r="E7" i="17"/>
  <c r="J4" i="14" l="1"/>
  <c r="J5" i="14"/>
  <c r="J6" i="14"/>
  <c r="J7" i="14"/>
  <c r="J8" i="14"/>
  <c r="J9" i="14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31" i="14"/>
  <c r="J32" i="14"/>
  <c r="J33" i="14"/>
  <c r="J3" i="14"/>
  <c r="I4" i="14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3" i="14"/>
  <c r="I24" i="14"/>
  <c r="I25" i="14"/>
  <c r="I26" i="14"/>
  <c r="I27" i="14"/>
  <c r="I28" i="14"/>
  <c r="I29" i="14"/>
  <c r="I30" i="14"/>
  <c r="I31" i="14"/>
  <c r="I32" i="14"/>
  <c r="I33" i="14"/>
  <c r="I3" i="14"/>
  <c r="F1" i="14" l="1"/>
  <c r="E1" i="14"/>
  <c r="O13" i="17" l="1"/>
  <c r="N13" i="17"/>
  <c r="M13" i="17"/>
  <c r="O12" i="17"/>
  <c r="N12" i="17"/>
  <c r="M12" i="17"/>
  <c r="O11" i="17"/>
  <c r="N11" i="17"/>
  <c r="M11" i="17"/>
  <c r="O10" i="17"/>
  <c r="N10" i="17"/>
  <c r="M10" i="17"/>
  <c r="O9" i="17"/>
  <c r="N9" i="17"/>
  <c r="M9" i="17"/>
  <c r="O8" i="17"/>
  <c r="N8" i="17"/>
  <c r="M8" i="17"/>
  <c r="O7" i="17"/>
  <c r="N7" i="17"/>
  <c r="M7" i="17"/>
  <c r="O6" i="17"/>
  <c r="N6" i="17"/>
  <c r="M6" i="17"/>
  <c r="O5" i="17"/>
  <c r="N5" i="17"/>
  <c r="M5" i="17"/>
  <c r="O4" i="17"/>
  <c r="N4" i="17"/>
  <c r="O3" i="17"/>
  <c r="N3" i="17"/>
  <c r="M4" i="17"/>
  <c r="M3" i="17"/>
  <c r="K13" i="17"/>
  <c r="K12" i="17"/>
  <c r="K11" i="17"/>
  <c r="K10" i="17"/>
  <c r="K9" i="17"/>
  <c r="K8" i="17"/>
  <c r="K7" i="17"/>
  <c r="K6" i="17"/>
  <c r="K5" i="17"/>
  <c r="K4" i="17"/>
  <c r="K3" i="17"/>
  <c r="B13" i="17"/>
  <c r="B15" i="17" l="1"/>
  <c r="B3" i="17"/>
  <c r="B2" i="17"/>
  <c r="B4" i="17" l="1"/>
  <c r="B6" i="17"/>
  <c r="E5" i="17"/>
  <c r="H4" i="14"/>
  <c r="H5" i="14"/>
  <c r="H6" i="14"/>
  <c r="H7" i="14"/>
  <c r="H8" i="14"/>
  <c r="H9" i="14"/>
  <c r="H10" i="14"/>
  <c r="H11" i="14"/>
  <c r="H12" i="14"/>
  <c r="H13" i="14"/>
  <c r="H14" i="14"/>
  <c r="H15" i="14"/>
  <c r="H16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" i="14"/>
  <c r="O2" i="17" l="1"/>
  <c r="M2" i="17"/>
  <c r="N2" i="17"/>
  <c r="K2" i="17"/>
  <c r="H1" i="14"/>
  <c r="I1" i="14"/>
  <c r="A3" i="14"/>
  <c r="C4" i="14" l="1" a="1"/>
  <c r="C4" i="14" s="1"/>
  <c r="O4" i="14"/>
  <c r="H15" i="17"/>
  <c r="H14" i="17"/>
  <c r="H13" i="17"/>
  <c r="H11" i="17"/>
  <c r="H7" i="17"/>
  <c r="H6" i="17"/>
  <c r="H4" i="17"/>
  <c r="H2" i="17"/>
  <c r="G1" i="14"/>
  <c r="C5" i="14" l="1" a="1"/>
  <c r="C5" i="14" s="1"/>
  <c r="O5" i="14"/>
  <c r="A4" i="14"/>
  <c r="C6" i="14" l="1" a="1"/>
  <c r="C6" i="14" s="1"/>
  <c r="O6" i="14"/>
  <c r="K6" i="14"/>
  <c r="L6" i="14" s="1"/>
  <c r="A5" i="14"/>
  <c r="C7" i="14" l="1" a="1"/>
  <c r="C7" i="14" s="1"/>
  <c r="O7" i="14"/>
  <c r="A6" i="14"/>
  <c r="C8" i="14" l="1" a="1"/>
  <c r="C8" i="14" s="1"/>
  <c r="O8" i="14"/>
  <c r="K8" i="14"/>
  <c r="L8" i="14" s="1"/>
  <c r="A7" i="14"/>
  <c r="C9" i="14" l="1" a="1"/>
  <c r="C9" i="14" s="1"/>
  <c r="O9" i="14"/>
  <c r="A8" i="14"/>
  <c r="H12" i="17"/>
  <c r="A19" i="17"/>
  <c r="A20" i="17" s="1"/>
  <c r="C10" i="14" l="1" a="1"/>
  <c r="C10" i="14" s="1"/>
  <c r="O10" i="14"/>
  <c r="A9" i="14"/>
  <c r="E2" i="17"/>
  <c r="C11" i="14" l="1" a="1"/>
  <c r="C11" i="14" s="1"/>
  <c r="O11" i="14"/>
  <c r="A10" i="14"/>
  <c r="H8" i="17"/>
  <c r="H16" i="17"/>
  <c r="C12" i="14" l="1" a="1"/>
  <c r="C12" i="14" s="1"/>
  <c r="O12" i="14"/>
  <c r="A11" i="14"/>
  <c r="H9" i="17"/>
  <c r="H10" i="17" s="1"/>
  <c r="H5" i="17"/>
  <c r="H3" i="17"/>
  <c r="C13" i="14" l="1" a="1"/>
  <c r="C13" i="14" s="1"/>
  <c r="O13" i="14"/>
  <c r="B16" i="17"/>
  <c r="Q3" i="17"/>
  <c r="L13" i="17"/>
  <c r="P3" i="17"/>
  <c r="Q2" i="17"/>
  <c r="P13" i="17"/>
  <c r="Q8" i="17"/>
  <c r="L4" i="17"/>
  <c r="P12" i="17"/>
  <c r="B8" i="17"/>
  <c r="E38" i="14"/>
  <c r="B7" i="17"/>
  <c r="B14" i="17"/>
  <c r="B17" i="17"/>
  <c r="Q7" i="17"/>
  <c r="Q13" i="17"/>
  <c r="Q4" i="17"/>
  <c r="Q11" i="17"/>
  <c r="P5" i="17"/>
  <c r="Q10" i="17"/>
  <c r="Q9" i="17"/>
  <c r="P8" i="17"/>
  <c r="P2" i="17"/>
  <c r="L7" i="17"/>
  <c r="L9" i="17"/>
  <c r="B5" i="17"/>
  <c r="L11" i="17"/>
  <c r="P10" i="17"/>
  <c r="P7" i="17"/>
  <c r="P9" i="17"/>
  <c r="Q12" i="17"/>
  <c r="L8" i="17"/>
  <c r="P6" i="17"/>
  <c r="L12" i="17"/>
  <c r="L6" i="17"/>
  <c r="Q5" i="17"/>
  <c r="L3" i="17"/>
  <c r="L5" i="17"/>
  <c r="Q6" i="17"/>
  <c r="P11" i="17"/>
  <c r="L2" i="17"/>
  <c r="P4" i="17"/>
  <c r="L10" i="17"/>
  <c r="K13" i="14"/>
  <c r="L13" i="14" s="1"/>
  <c r="A12" i="14"/>
  <c r="C14" i="14" l="1" a="1"/>
  <c r="C14" i="14" s="1"/>
  <c r="O14" i="14"/>
  <c r="A13" i="14"/>
  <c r="C15" i="14" l="1" a="1"/>
  <c r="C15" i="14" s="1"/>
  <c r="O15" i="14"/>
  <c r="K15" i="14"/>
  <c r="L15" i="14" s="1"/>
  <c r="A14" i="14"/>
  <c r="C16" i="14" l="1" a="1"/>
  <c r="C16" i="14" s="1"/>
  <c r="O16" i="14"/>
  <c r="A15" i="14"/>
  <c r="C17" i="14" l="1" a="1"/>
  <c r="C17" i="14" s="1"/>
  <c r="O17" i="14"/>
  <c r="A16" i="14"/>
  <c r="C18" i="14" l="1" a="1"/>
  <c r="C18" i="14" s="1"/>
  <c r="O18" i="14"/>
  <c r="A17" i="14"/>
  <c r="C19" i="14" l="1" a="1"/>
  <c r="C19" i="14" s="1"/>
  <c r="O19" i="14"/>
  <c r="A18" i="14"/>
  <c r="C20" i="14" l="1" a="1"/>
  <c r="C20" i="14" s="1"/>
  <c r="O20" i="14"/>
  <c r="K20" i="14"/>
  <c r="L20" i="14" s="1"/>
  <c r="A19" i="14"/>
  <c r="C21" i="14" l="1" a="1"/>
  <c r="C21" i="14" s="1"/>
  <c r="O21" i="14"/>
  <c r="A20" i="14"/>
  <c r="C22" i="14" l="1" a="1"/>
  <c r="C22" i="14" s="1"/>
  <c r="O22" i="14"/>
  <c r="K22" i="14"/>
  <c r="L22" i="14" s="1"/>
  <c r="A21" i="14"/>
  <c r="C23" i="14" l="1" a="1"/>
  <c r="C23" i="14" s="1"/>
  <c r="O23" i="14"/>
  <c r="A22" i="14"/>
  <c r="C24" i="14" l="1" a="1"/>
  <c r="C24" i="14" s="1"/>
  <c r="O24" i="14"/>
  <c r="A23" i="14"/>
  <c r="C25" i="14" l="1" a="1"/>
  <c r="C25" i="14" s="1"/>
  <c r="O25" i="14"/>
  <c r="A24" i="14"/>
  <c r="C26" i="14" l="1" a="1"/>
  <c r="C26" i="14" s="1"/>
  <c r="O26" i="14"/>
  <c r="A25" i="14"/>
  <c r="C27" i="14" l="1" a="1"/>
  <c r="C27" i="14" s="1"/>
  <c r="O27" i="14"/>
  <c r="K27" i="14"/>
  <c r="L27" i="14" s="1"/>
  <c r="A26" i="14"/>
  <c r="C28" i="14" l="1" a="1"/>
  <c r="C28" i="14" s="1"/>
  <c r="O28" i="14"/>
  <c r="A27" i="14"/>
  <c r="C29" i="14" l="1" a="1"/>
  <c r="C29" i="14" s="1"/>
  <c r="O29" i="14"/>
  <c r="K29" i="14"/>
  <c r="L29" i="14" s="1"/>
  <c r="A28" i="14"/>
  <c r="C30" i="14" l="1" a="1"/>
  <c r="C30" i="14" s="1"/>
  <c r="O30" i="14"/>
  <c r="A29" i="14"/>
  <c r="C31" i="14" l="1" a="1"/>
  <c r="C31" i="14" s="1"/>
  <c r="O31" i="14"/>
  <c r="A30" i="14"/>
  <c r="C32" i="14" l="1" a="1"/>
  <c r="C32" i="14" s="1"/>
  <c r="O32" i="14"/>
  <c r="A31" i="14"/>
  <c r="N7" i="14" l="1"/>
  <c r="O33" i="14"/>
  <c r="N8" i="14" s="1"/>
  <c r="C33" i="14" a="1"/>
  <c r="C33" i="14" s="1"/>
  <c r="N5" i="14" a="1"/>
  <c r="N5" i="14" s="1"/>
  <c r="A32" i="14"/>
  <c r="A33" i="14" l="1"/>
  <c r="K30" i="14" s="1"/>
  <c r="L30" i="14" s="1"/>
  <c r="B1" i="14"/>
  <c r="K32" i="14" l="1"/>
  <c r="L32" i="14" s="1"/>
  <c r="K4" i="14"/>
  <c r="L4" i="14" s="1"/>
  <c r="K11" i="14"/>
  <c r="L11" i="14" s="1"/>
  <c r="K18" i="14"/>
  <c r="L18" i="14" s="1"/>
  <c r="K25" i="14"/>
  <c r="L25" i="14" s="1"/>
  <c r="K3" i="14"/>
  <c r="K10" i="14"/>
  <c r="L10" i="14" s="1"/>
  <c r="K17" i="14"/>
  <c r="L17" i="14" s="1"/>
  <c r="K24" i="14"/>
  <c r="L24" i="14" s="1"/>
  <c r="K31" i="14"/>
  <c r="L31" i="14" s="1"/>
  <c r="K7" i="14"/>
  <c r="L7" i="14" s="1"/>
  <c r="K14" i="14"/>
  <c r="L14" i="14" s="1"/>
  <c r="K21" i="14"/>
  <c r="L21" i="14" s="1"/>
  <c r="K28" i="14"/>
  <c r="L28" i="14" s="1"/>
  <c r="K9" i="14"/>
  <c r="L9" i="14" s="1"/>
  <c r="K16" i="14"/>
  <c r="L16" i="14" s="1"/>
  <c r="K23" i="14"/>
  <c r="L23" i="14" s="1"/>
  <c r="K5" i="14"/>
  <c r="L5" i="14" s="1"/>
  <c r="K12" i="14"/>
  <c r="L12" i="14" s="1"/>
  <c r="K19" i="14"/>
  <c r="L19" i="14" s="1"/>
  <c r="K26" i="14"/>
  <c r="L26" i="14" s="1"/>
  <c r="K33" i="14"/>
  <c r="L33" i="14" s="1"/>
  <c r="J1" i="14"/>
  <c r="L3" i="14" l="1"/>
  <c r="L1" i="14" s="1"/>
  <c r="K1" i="14"/>
  <c r="N3" i="14"/>
  <c r="N6" i="14"/>
  <c r="N4" i="1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<sst xmlns="http://schemas.openxmlformats.org/spreadsheetml/2006/main" count="71" uniqueCount="66">
  <si>
    <t>Heures supplémentaires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</si>
  <si>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</si>
  <si>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</si>
  <si>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</si>
  <si>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</si>
  <si>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</si>
  <si>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</si>
  <si>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</si>
  <si>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</si>
  <si>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</si>
  <si>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</si>
  <si>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</si>
  <si>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</si>
  <si>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</si>
  <si>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Ordre</t>
  </si>
  <si>
    <t>Heures de nuit</t>
  </si>
  <si>
    <t>Fermeture de poste</t>
  </si>
  <si>
    <t>Heures de jour</t>
  </si>
  <si>
    <t>Ouverture de poste</t>
  </si>
  <si>
    <t>Total semaine</t>
  </si>
  <si>
    <t xml:space="preserve">Jours fériés </t>
  </si>
  <si>
    <t>Jour de l'an</t>
  </si>
  <si>
    <t>Vendredi saint</t>
  </si>
  <si>
    <t>Lundi de Pâques</t>
  </si>
  <si>
    <t>Fête du travail</t>
  </si>
  <si>
    <t xml:space="preserve">Ascension </t>
  </si>
  <si>
    <t>Lundi de Pentecôte</t>
  </si>
  <si>
    <t>Fête Nationale</t>
  </si>
  <si>
    <t>Assomption</t>
  </si>
  <si>
    <t>Toussaint</t>
  </si>
  <si>
    <t>Commémoration de la victoire de 1945</t>
  </si>
  <si>
    <t>Commémoration de la victoire de 1918</t>
  </si>
  <si>
    <t>Noël</t>
  </si>
  <si>
    <t>Saint-Étienne</t>
  </si>
  <si>
    <t>Pentecôte</t>
  </si>
  <si>
    <t>Pâques</t>
  </si>
  <si>
    <t>Contrat</t>
  </si>
  <si>
    <t>Journalier</t>
  </si>
  <si>
    <t>Hedomadaire</t>
  </si>
  <si>
    <t>Mensuel</t>
  </si>
  <si>
    <t>Semaine</t>
  </si>
  <si>
    <t>Total Heures</t>
  </si>
  <si>
    <t>Pause entre 06:00 et 21:00</t>
  </si>
  <si>
    <t>Pause entre 21:00 et 06:00</t>
  </si>
  <si>
    <t>du</t>
  </si>
  <si>
    <t>au</t>
  </si>
  <si>
    <t>Premier jour de l'année</t>
  </si>
  <si>
    <t>Dernier jour de l'année</t>
  </si>
  <si>
    <t>Nombre de jour dans l'année</t>
  </si>
  <si>
    <t>Nombre de samedi et dimanche</t>
  </si>
  <si>
    <t>Nombre de jours ouvrés</t>
  </si>
  <si>
    <t>Nombre de jours fériés en semaine</t>
  </si>
  <si>
    <t>Nombre de jours fériés le week-end</t>
  </si>
  <si>
    <t>Calcul entre deux dates</t>
  </si>
  <si>
    <t>Nombre de jours</t>
  </si>
  <si>
    <t>Congés annuel</t>
  </si>
  <si>
    <t>Jours</t>
  </si>
  <si>
    <t>Jours ouvrables</t>
  </si>
  <si>
    <t>Samedi</t>
  </si>
  <si>
    <t>Dimanche</t>
  </si>
  <si>
    <t>Week-end</t>
  </si>
  <si>
    <t>Jours fériés</t>
  </si>
  <si>
    <t>Jours fériés le week-end</t>
  </si>
  <si>
    <t>Jour travaillé par semaine</t>
  </si>
  <si>
    <t>Congés acquis fin de mois</t>
  </si>
  <si>
    <t>Jour de travail prévu par la convention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</si>
</sst>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F800]dddd\,\ mmmm\ dd\,\ yyyy"/>
    <numFmt numFmtId="165" formatCode="h:mm;@"/>
    <numFmt numFmtId="166" formatCode="[hh]:mm"/>
    <numFmt numFmtId="167" formatCode="[hh]:mm;\-0.000;"/>
    <numFmt numFmtId="168" formatCode="#,##0.00\ _€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Bahnschrift"/>
      <family val="2"/>
    </font>
    <font>
      <b/>
      <sz val="9"/>
      <color theme="1"/>
      <name val="Bahnschrift"/>
      <family val="2"/>
    </font>
    <font>
      <sz val="9"/>
      <color theme="1"/>
      <name val="Bahnschrift"/>
      <family val="2"/>
    </font>
    <font>
      <sz val="9"/>
      <color theme="0"/>
      <name val="Bahnschrift"/>
      <family val="2"/>
    </font>
    <font>
      <sz val="11"/>
      <color rgb="FFFF0000"/>
      <name val="Bahnschrift"/>
      <family val="2"/>
    </font>
    <font>
      <b/>
      <sz val="12"/>
      <color theme="1"/>
      <name val="Bahnschrift"/>
      <family val="2"/>
    </font>
    <font>
      <b/>
      <sz val="14"/>
      <color rgb="FFFF0000"/>
      <name val="Bahnschrift"/>
      <family val="2"/>
    </font>
    <font>
      <b/>
      <sz val="11"/>
      <color theme="1"/>
      <name val="Bahnschrift"/>
      <family val="2"/>
    </font>
    <font>
      <sz val="11"/>
      <color theme="1"/>
      <name val="Calibri"/>
      <family val="2"/>
      <scheme val="minor"/>
    </font>
    <font>
      <b/>
      <sz val="16"/>
      <color theme="0"/>
      <name val="Bahnschrift"/>
      <family val="2"/>
    </font>
    <font>
      <b/>
      <sz val="12"/>
      <color theme="0"/>
      <name val="Bahnschrift"/>
      <family val="2"/>
    </font>
    <font>
      <b/>
      <sz val="11"/>
      <color theme="0"/>
      <name val="Bahnschrift"/>
      <family val="2"/>
    </font>
    <font>
      <b/>
      <sz val="20"/>
      <name val="Bahnschrift"/>
      <family val="2"/>
    </font>
    <font>
      <b/>
      <sz val="20"/>
      <color theme="0"/>
      <name val="Bahnschrift"/>
      <family val="2"/>
    </font>
    <font>
      <sz val="20"/>
      <color rgb="FFFF0000"/>
      <name val="Bahnschrift"/>
      <family val="2"/>
    </font>
    <font>
      <b/>
      <sz val="20"/>
      <color theme="1"/>
      <name val="Bahnschrift"/>
      <family val="2"/>
    </font>
    <font>
      <b/>
      <sz val="11"/>
      <color rgb="FFFF0000"/>
      <name val="Bahnschrift"/>
      <family val="2"/>
    </font>
    <font>
      <b/>
      <sz val="10"/>
      <name val="Bahnschrift"/>
      <family val="2"/>
    </font>
    <font>
      <b/>
      <sz val="10"/>
      <color theme="1"/>
      <name val="Bahnschrift"/>
      <family val="2"/>
    </font>
    <font>
      <sz val="10"/>
      <color theme="1"/>
      <name val="Bahnschrift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58">
    <xf numFmtId="0" fontId="0" fillId="0" borderId="0" xfId="0"/>
    <xf numFmtId="0" fontId="2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164" fontId="3" fillId="5" borderId="0" xfId="0" applyNumberFormat="1" applyFont="1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66" fontId="3" fillId="5" borderId="1" xfId="0" applyNumberFormat="1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65" fontId="3" fillId="5" borderId="1" xfId="0" applyNumberFormat="1" applyFont="1" applyFill="1" applyBorder="1" applyAlignment="1">
      <alignment horizontal="center" vertical="center"/>
    </xf>
    <xf numFmtId="1" fontId="3" fillId="5" borderId="1" xfId="0" applyNumberFormat="1" applyFont="1" applyFill="1" applyBorder="1" applyAlignment="1">
      <alignment horizontal="center" vertical="center"/>
    </xf>
    <xf numFmtId="1" fontId="3" fillId="5" borderId="0" xfId="0" applyNumberFormat="1" applyFont="1" applyFill="1" applyAlignment="1">
      <alignment horizontal="center" vertical="center"/>
    </xf>
    <xf numFmtId="168" fontId="3" fillId="5" borderId="0" xfId="0" applyNumberFormat="1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/>
    </xf>
    <xf numFmtId="20" fontId="7" fillId="5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" fontId="1" fillId="5" borderId="1" xfId="0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left" vertical="center"/>
    </xf>
    <xf numFmtId="165" fontId="1" fillId="5" borderId="1" xfId="0" applyNumberFormat="1" applyFont="1" applyFill="1" applyBorder="1" applyAlignment="1">
      <alignment horizontal="center" vertical="center"/>
    </xf>
    <xf numFmtId="165" fontId="8" fillId="5" borderId="1" xfId="0" applyNumberFormat="1" applyFont="1" applyFill="1" applyBorder="1" applyAlignment="1">
      <alignment horizontal="center" vertical="center"/>
    </xf>
    <xf numFmtId="167" fontId="1" fillId="5" borderId="1" xfId="0" applyNumberFormat="1" applyFont="1" applyFill="1" applyBorder="1" applyAlignment="1">
      <alignment horizontal="center" vertical="center"/>
    </xf>
    <xf numFmtId="167" fontId="5" fillId="5" borderId="1" xfId="0" applyNumberFormat="1" applyFont="1" applyFill="1" applyBorder="1" applyAlignment="1">
      <alignment horizontal="center" vertical="center"/>
    </xf>
    <xf numFmtId="165" fontId="1" fillId="5" borderId="0" xfId="0" applyNumberFormat="1" applyFont="1" applyFill="1" applyAlignment="1">
      <alignment horizontal="center" vertical="center"/>
    </xf>
    <xf numFmtId="1" fontId="1" fillId="5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left" vertical="center"/>
    </xf>
    <xf numFmtId="167" fontId="1" fillId="5" borderId="0" xfId="0" applyNumberFormat="1" applyFont="1" applyFill="1" applyAlignment="1">
      <alignment horizontal="center" vertical="center"/>
    </xf>
    <xf numFmtId="167" fontId="5" fillId="5" borderId="0" xfId="0" applyNumberFormat="1" applyFont="1" applyFill="1" applyAlignment="1">
      <alignment horizontal="center" vertical="center"/>
    </xf>
    <xf numFmtId="1" fontId="1" fillId="6" borderId="2" xfId="0" applyNumberFormat="1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167" fontId="8" fillId="6" borderId="3" xfId="0" applyNumberFormat="1" applyFont="1" applyFill="1" applyBorder="1" applyAlignment="1">
      <alignment horizontal="center" vertical="center" wrapText="1"/>
    </xf>
    <xf numFmtId="167" fontId="12" fillId="6" borderId="3" xfId="0" applyNumberFormat="1" applyFont="1" applyFill="1" applyBorder="1" applyAlignment="1">
      <alignment horizontal="center" vertical="center" wrapText="1"/>
    </xf>
    <xf numFmtId="167" fontId="12" fillId="6" borderId="4" xfId="0" applyNumberFormat="1" applyFont="1" applyFill="1" applyBorder="1" applyAlignment="1">
      <alignment horizontal="center" vertical="center" wrapText="1"/>
    </xf>
    <xf numFmtId="167" fontId="13" fillId="5" borderId="0" xfId="0" applyNumberFormat="1" applyFont="1" applyFill="1" applyAlignment="1">
      <alignment horizontal="center" vertical="center" shrinkToFit="1"/>
    </xf>
    <xf numFmtId="167" fontId="15" fillId="5" borderId="1" xfId="0" applyNumberFormat="1" applyFont="1" applyFill="1" applyBorder="1" applyAlignment="1">
      <alignment horizontal="center" vertical="center"/>
    </xf>
    <xf numFmtId="167" fontId="15" fillId="5" borderId="0" xfId="0" applyNumberFormat="1" applyFont="1" applyFill="1" applyAlignment="1">
      <alignment horizontal="center" vertical="center"/>
    </xf>
    <xf numFmtId="1" fontId="13" fillId="5" borderId="0" xfId="0" applyNumberFormat="1" applyFont="1" applyFill="1" applyAlignment="1">
      <alignment horizontal="center" vertical="center" shrinkToFit="1"/>
    </xf>
    <xf numFmtId="0" fontId="14" fillId="5" borderId="0" xfId="0" applyFont="1" applyFill="1" applyAlignment="1">
      <alignment horizontal="center" vertical="center" shrinkToFit="1"/>
    </xf>
    <xf numFmtId="167" fontId="16" fillId="5" borderId="0" xfId="0" applyNumberFormat="1" applyFont="1" applyFill="1" applyAlignment="1">
      <alignment horizontal="center" vertical="center" shrinkToFit="1"/>
    </xf>
    <xf numFmtId="167" fontId="17" fillId="5" borderId="1" xfId="0" applyNumberFormat="1" applyFont="1" applyFill="1" applyBorder="1" applyAlignment="1">
      <alignment horizontal="center" vertical="center"/>
    </xf>
    <xf numFmtId="167" fontId="14" fillId="5" borderId="0" xfId="0" applyNumberFormat="1" applyFont="1" applyFill="1" applyAlignment="1">
      <alignment horizontal="center" vertical="center" shrinkToFit="1"/>
    </xf>
    <xf numFmtId="0" fontId="18" fillId="5" borderId="0" xfId="0" applyFont="1" applyFill="1" applyAlignment="1">
      <alignment horizontal="center" vertical="center" wrapText="1" shrinkToFit="1"/>
    </xf>
    <xf numFmtId="0" fontId="19" fillId="6" borderId="3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20" fillId="5" borderId="0" xfId="0" applyFont="1" applyFill="1" applyAlignment="1">
      <alignment horizontal="center" vertical="center" wrapText="1"/>
    </xf>
    <xf numFmtId="2" fontId="3" fillId="5" borderId="1" xfId="0" applyNumberFormat="1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 wrapText="1"/>
    </xf>
    <xf numFmtId="0" fontId="14" fillId="5" borderId="0" xfId="1" applyNumberFormat="1" applyFont="1" applyFill="1" applyAlignment="1" applyProtection="1">
      <alignment horizontal="center" vertical="center" shrinkToFit="1"/>
      <protection locked="0"/>
    </xf>
    <xf numFmtId="0" fontId="10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8"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Bahnschrift"/>
        <family val="2"/>
        <scheme val="none"/>
      </font>
      <numFmt numFmtId="167" formatCode="[hh]:mm;\-0.000;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FF0000"/>
        <name val="Bahnschrift"/>
        <family val="2"/>
        <scheme val="none"/>
      </font>
      <numFmt numFmtId="167" formatCode="[hh]:mm;\-0.000;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7" formatCode="[hh]:mm;\-0.000;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7" formatCode="[hh]:mm;\-0.000;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7" formatCode="[hh]:mm;\-0.000;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fill>
        <patternFill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0" formatCode="General"/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4" formatCode="[$-F800]dddd\,\ mmmm\ dd\,\ yyyy"/>
      <fill>
        <patternFill patternType="none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family val="2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1" displayName="Tabel1" ref="A2:L33" totalsRowShown="0" headerRowDxfId="17" dataDxfId="16">
  <autoFilter ref="A2:L33" xr:uid="{00000000-0009-0000-0100-000001000000}"/>
  <sortState xmlns:xlrd2="http://schemas.microsoft.com/office/spreadsheetml/2017/richdata2" ref="A3:L33">
    <sortCondition ref="B2:B33"/>
  </sortState>
  <tableColumns count="12">
    <tableColumn id="1" xr3:uid="{00000000-0010-0000-0000-000001000000}" name="Semaine" dataDxfId="15">
      <calculatedColumnFormula>""&amp;WEEKNUM(B3,2)</calculatedColumnFormula>
    </tableColumn>
    <tableColumn id="2" xr3:uid="{00000000-0010-0000-0000-000002000000}" name="Date" dataDxfId="14">
      <calculatedColumnFormula>DATE(Détails!$A$1,1,1)</calculatedColumnFormula>
    </tableColumn>
    <tableColumn id="3" xr3:uid="{00000000-0010-0000-0000-000003000000}" name="Ordre" dataDxfId="13">
      <calculatedColumnFormula array="1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familial",IFERROR(IF(VLOOKUP($B3,Détails!$H$2:$H$16,1,0),"Férié",""),""))))))</calculatedColumnFormula>
    </tableColumn>
    <tableColumn id="4" xr3:uid="{00000000-0010-0000-0000-000004000000}" name="Ouverture de poste" dataDxfId="12"/>
    <tableColumn id="12" xr3:uid="{00000000-0010-0000-0000-00000C000000}" name="Pause entre 06:00 et 21:00" dataDxfId="11">
      <calculatedColumnFormula>IF(ISNUMBER(Tabel1[[#This Row],[Ouverture de poste]]),"En poste","" )</calculatedColumnFormula>
    </tableColumn>
    <tableColumn id="5" xr3:uid="{00000000-0010-0000-0000-000005000000}" name="Pause entre 21:00 et 06:00" dataDxfId="10"/>
    <tableColumn id="6" xr3:uid="{00000000-0010-0000-0000-000006000000}" name="Fermeture de poste" dataDxfId="9"/>
    <tableColumn id="7" xr3:uid="{00000000-0010-0000-0000-000007000000}" name="Total Heures" dataDxfId="8">
      <calculatedColumnFormula>IF(OR(D3&lt;&gt;"",G3&lt;&gt;""),MOD(G3-D3-F3-E3,1),"")</calculatedColumnFormula>
    </tableColumn>
    <tableColumn id="8" xr3:uid="{00000000-0010-0000-0000-000008000000}" name="Heures de jour" dataDxfId="7">
      <calculatedColumnFormula>IF($G3&gt;$D3,MEDIAN($G3,Détails!$D$11,Détails!$E$11)-MEDIAN($D3,Détails!$D$11,Détails!$E$11),($G3&lt;$D3)*(Détails!$D$11-Détails!$E$11)+MEDIAN($G3,Détails!$E$11,Détails!$D$11)-MEDIAN($D3,Détails!$E$11,Détails!$D$11))-$E3</calculatedColumnFormula>
    </tableColumn>
    <tableColumn id="9" xr3:uid="{00000000-0010-0000-0000-000009000000}" name="Heures de nuit" dataDxfId="6">
      <calculatedColumnFormula>MOD($G3-$D3,1)-($G3&lt;$D3)*(Détails!$D$11-Détails!$E$11)-MEDIAN($G3,Détails!$E$11,Détails!$D$11)+MEDIAN($D3,Détails!$E$11,Détails!$D$11)-$F3</calculatedColumnFormula>
    </tableColumn>
    <tableColumn id="10" xr3:uid="{00000000-0010-0000-0000-00000A000000}" name="Total semaine" dataDxfId="5">
      <calculatedColumnFormula>IF(OR(WEEKDAY(Tabel1[[#This Row],[Date]],2)=7, DAY(Tabel1[[#This Row],[Date]])=DAY(EOMONTH(Tabel1[[#This Row],[Date]],0))),SUMIF(Tabel1[Semaine],Tabel1[[#This Row],[Semaine]],Tabel1[Total Heures]),0)</calculatedColumnFormula>
    </tableColumn>
    <tableColumn id="11" xr3:uid="{00000000-0010-0000-0000-00000B000000}" name="Heures supplémentaires" dataDxfId="4">
      <calculatedColumnFormula>IFERROR(IF(K3&gt;Détails!E$4,K3-Détails!E$4,""),0)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noFill/>
      </a:spPr>
      <a:bodyPr vertOverflow="clip" horzOverflow="clip" wrap="square" rtlCol="0" anchor="ctr">
        <a:noAutofit/>
      </a:bodyPr>
      <a:lstStyle>
        <a:defPPr algn="ctr">
          <a:defRPr sz="1100" b="0" i="0" u="none" strike="noStrike">
            <a:solidFill>
              <a:srgbClr val="000000"/>
            </a:solidFill>
            <a:latin typeface="Bahnschrift"/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20"/>
  <sheetViews>
    <sheetView zoomScaleNormal="100" workbookViewId="0">
      <selection activeCell="E8" sqref="E8"/>
    </sheetView>
  </sheetViews>
  <sheetFormatPr baseColWidth="10" defaultColWidth="11.5546875" defaultRowHeight="11.4" x14ac:dyDescent="0.3"/>
  <cols>
    <col min="1" max="2" width="30.6640625" style="3" customWidth="1"/>
    <col min="3" max="3" width="8.6640625" style="3" customWidth="1"/>
    <col min="4" max="5" width="30.6640625" style="3" customWidth="1"/>
    <col min="6" max="6" width="8.6640625" style="3" customWidth="1"/>
    <col min="7" max="8" width="30.6640625" style="3" customWidth="1"/>
    <col min="9" max="9" width="8.6640625" style="3" customWidth="1"/>
    <col min="10" max="17" width="20.6640625" style="3" customWidth="1"/>
    <col min="18" max="16384" width="11.5546875" style="3"/>
  </cols>
  <sheetData>
    <row r="1" spans="1:17" ht="30" customHeight="1" x14ac:dyDescent="0.3">
      <c r="A1" s="55">
        <v>2024</v>
      </c>
      <c r="B1" s="55"/>
      <c r="C1" s="1"/>
      <c r="D1" s="53" t="s">
        <v>36</v>
      </c>
      <c r="E1" s="53"/>
      <c r="F1" s="2"/>
      <c r="G1" s="52" t="s">
        <v>20</v>
      </c>
      <c r="H1" s="52"/>
      <c r="J1" s="50">
        <f>A1</f>
        <v>2024</v>
      </c>
      <c r="K1" s="6" t="s">
        <v>56</v>
      </c>
      <c r="L1" s="6" t="s">
        <v>57</v>
      </c>
      <c r="M1" s="6" t="s">
        <v>58</v>
      </c>
      <c r="N1" s="6" t="s">
        <v>59</v>
      </c>
      <c r="O1" s="6" t="s">
        <v>60</v>
      </c>
      <c r="P1" s="6" t="s">
        <v>61</v>
      </c>
      <c r="Q1" s="15" t="s">
        <v>62</v>
      </c>
    </row>
    <row r="2" spans="1:17" ht="30" customHeight="1" x14ac:dyDescent="0.3">
      <c r="A2" s="4" t="s">
        <v>46</v>
      </c>
      <c r="B2" s="4">
        <f>DATE(A1,1,1)</f>
        <v>45292</v>
      </c>
      <c r="C2" s="5"/>
      <c r="D2" s="6" t="s">
        <v>37</v>
      </c>
      <c r="E2" s="7">
        <f>E4/E3</f>
        <v>0.32500000000000001</v>
      </c>
      <c r="F2" s="8"/>
      <c r="G2" s="9" t="s">
        <v>21</v>
      </c>
      <c r="H2" s="4">
        <f>DATE(A1,1,1)</f>
        <v>45292</v>
      </c>
      <c r="J2" s="6" t="s">
        <v>1</v>
      </c>
      <c r="K2" s="11">
        <f>DAY(EOMONTH(Janvier!$B$3,0))</f>
        <v>31</v>
      </c>
      <c r="L2" s="11">
        <f>NETWORKDAYS.INTL(Janvier!$B$3,EOMONTH(Janvier!$B$3,0),,H2:H16)</f>
        <v>22</v>
      </c>
      <c r="M2" s="11">
        <f>NETWORKDAYS.INTL(Janvier!$B$3,EOMONTH(Janvier!$B$3,0),"1111101")</f>
        <v>4</v>
      </c>
      <c r="N2" s="11">
        <f>NETWORKDAYS.INTL(Janvier!$B$3,EOMONTH(Janvier!$B$3,0),"1111110")</f>
        <v>4</v>
      </c>
      <c r="O2" s="11">
        <f>NETWORKDAYS.INTL(Janvier!$B$3,EOMONTH(Janvier!$B$3,0),"1111100")</f>
        <v>8</v>
      </c>
      <c r="P2" s="11">
        <f>DAY(EOMONTH(Janvier!$B$3,0))-NETWORKDAYS.INTL(Janvier!$B$3,EOMONTH(Janvier!$B$3,0),"0000000",H2:H16)</f>
        <v>1</v>
      </c>
      <c r="Q2" s="11">
        <f>NETWORKDAYS.INTL(Janvier!$B$3,EOMONTH(Janvier!$B$3,0),"1111100")-NETWORKDAYS.INTL(Janvier!$B$3,EOMONTH(Janvier!$B$3,0),"1111100",H2:H16)</f>
        <v>0</v>
      </c>
    </row>
    <row r="3" spans="1:17" ht="30" customHeight="1" x14ac:dyDescent="0.3">
      <c r="A3" s="4" t="s">
        <v>47</v>
      </c>
      <c r="B3" s="4">
        <f>DATE(A1,12,31)</f>
        <v>45657</v>
      </c>
      <c r="C3" s="5"/>
      <c r="D3" s="6" t="s">
        <v>63</v>
      </c>
      <c r="E3" s="6">
        <v>5</v>
      </c>
      <c r="F3" s="8"/>
      <c r="G3" s="9" t="s">
        <v>22</v>
      </c>
      <c r="H3" s="4">
        <f>H4-2</f>
        <v>45380</v>
      </c>
      <c r="J3" s="6" t="s">
        <v>2</v>
      </c>
      <c r="K3" s="11" t="e">
        <f>DAY(EOMONTH(#REF!,0))</f>
        <v>#REF!</v>
      </c>
      <c r="L3" s="11" t="e">
        <f>NETWORKDAYS.INTL(#REF!,EOMONTH(#REF!,0),,H2:H16)</f>
        <v>#REF!</v>
      </c>
      <c r="M3" s="11" t="e">
        <f>NETWORKDAYS.INTL(#REF!,EOMONTH(#REF!,0),"1111101")</f>
        <v>#REF!</v>
      </c>
      <c r="N3" s="11" t="e">
        <f>NETWORKDAYS.INTL(#REF!,EOMONTH(#REF!,0),"1111110")</f>
        <v>#REF!</v>
      </c>
      <c r="O3" s="11" t="e">
        <f>NETWORKDAYS.INTL(#REF!,EOMONTH(#REF!,0),"1111100")</f>
        <v>#REF!</v>
      </c>
      <c r="P3" s="11" t="e">
        <f>DAY(EOMONTH(#REF!,0))-NETWORKDAYS.INTL(#REF!,EOMONTH(#REF!,0),"0000000",H2:H16)</f>
        <v>#REF!</v>
      </c>
      <c r="Q3" s="11" t="e">
        <f>NETWORKDAYS.INTL(#REF!,EOMONTH(#REF!,0),"1111100")-NETWORKDAYS.INTL(#REF!,EOMONTH(#REF!,0),"1111100",H2:H16)</f>
        <v>#REF!</v>
      </c>
    </row>
    <row r="4" spans="1:17" ht="30" customHeight="1" x14ac:dyDescent="0.3">
      <c r="A4" s="6" t="s">
        <v>48</v>
      </c>
      <c r="B4" s="11">
        <f>+B3-B2+1</f>
        <v>366</v>
      </c>
      <c r="C4" s="12"/>
      <c r="D4" s="6" t="s">
        <v>38</v>
      </c>
      <c r="E4" s="7">
        <v>1.625</v>
      </c>
      <c r="F4" s="13"/>
      <c r="G4" s="9" t="s">
        <v>35</v>
      </c>
      <c r="H4" s="4">
        <f>ROUND(DATE(A1,4,MOD(234-11*MOD($A$1,19),30))/7,)*7-6</f>
        <v>45382</v>
      </c>
      <c r="J4" s="6" t="s">
        <v>3</v>
      </c>
      <c r="K4" s="11" t="e">
        <f>DAY(EOMONTH(#REF!,0))</f>
        <v>#REF!</v>
      </c>
      <c r="L4" s="11" t="e">
        <f>NETWORKDAYS.INTL(#REF!,EOMONTH(#REF!,0),,H2:H16)</f>
        <v>#REF!</v>
      </c>
      <c r="M4" s="11" t="e">
        <f>NETWORKDAYS.INTL(#REF!,EOMONTH(#REF!,0),"1111101")</f>
        <v>#REF!</v>
      </c>
      <c r="N4" s="11" t="e">
        <f>NETWORKDAYS.INTL(#REF!,EOMONTH(#REF!,0),"1111110")</f>
        <v>#REF!</v>
      </c>
      <c r="O4" s="11" t="e">
        <f>NETWORKDAYS.INTL(#REF!,EOMONTH(#REF!,0),"1111100")</f>
        <v>#REF!</v>
      </c>
      <c r="P4" s="11" t="e">
        <f>DAY(EOMONTH(#REF!,0))-NETWORKDAYS.INTL(#REF!,EOMONTH(#REF!,0),"0000000",H2:H16)</f>
        <v>#REF!</v>
      </c>
      <c r="Q4" s="11" t="e">
        <f>NETWORKDAYS.INTL(#REF!,EOMONTH(#REF!,0),"1111100")-NETWORKDAYS.INTL(#REF!,EOMONTH(#REF!,0),"1111100",H2:H16)</f>
        <v>#REF!</v>
      </c>
    </row>
    <row r="5" spans="1:17" ht="30" customHeight="1" x14ac:dyDescent="0.3">
      <c r="A5" s="6" t="s">
        <v>50</v>
      </c>
      <c r="B5" s="6">
        <f>NETWORKDAYS.INTL(B2,B3,,H2:H16)</f>
        <v>250</v>
      </c>
      <c r="D5" s="6" t="s">
        <v>39</v>
      </c>
      <c r="E5" s="7">
        <f>E4*4.33333</f>
        <v>7.0416612500000006</v>
      </c>
      <c r="F5" s="8"/>
      <c r="G5" s="9" t="s">
        <v>23</v>
      </c>
      <c r="H5" s="4">
        <f>H4+1</f>
        <v>45383</v>
      </c>
      <c r="J5" s="6" t="s">
        <v>4</v>
      </c>
      <c r="K5" s="11" t="e">
        <f>DAY(EOMONTH(#REF!,0))</f>
        <v>#REF!</v>
      </c>
      <c r="L5" s="11" t="e">
        <f>NETWORKDAYS.INTL(#REF!,EOMONTH(#REF!,0),,H2:H16)</f>
        <v>#REF!</v>
      </c>
      <c r="M5" s="11" t="e">
        <f>NETWORKDAYS.INTL(#REF!,EOMONTH(#REF!,0),"1111101")</f>
        <v>#REF!</v>
      </c>
      <c r="N5" s="11" t="e">
        <f>NETWORKDAYS.INTL(#REF!,EOMONTH(#REF!,0),"1111110")</f>
        <v>#REF!</v>
      </c>
      <c r="O5" s="11" t="e">
        <f>NETWORKDAYS.INTL(#REF!,EOMONTH(#REF!,0),"1111100")</f>
        <v>#REF!</v>
      </c>
      <c r="P5" s="11" t="e">
        <f>DAY(EOMONTH(#REF!,0))-NETWORKDAYS.INTL(#REF!,EOMONTH(#REF!,0),"0000000",H2:H16)</f>
        <v>#REF!</v>
      </c>
      <c r="Q5" s="11" t="e">
        <f>NETWORKDAYS.INTL(#REF!,EOMONTH(#REF!,0),"1111100")-NETWORKDAYS.INTL(#REF!,EOMONTH(#REF!,0),"1111100",H2:H16)</f>
        <v>#REF!</v>
      </c>
    </row>
    <row r="6" spans="1:17" ht="30" customHeight="1" x14ac:dyDescent="0.3">
      <c r="A6" s="6" t="s">
        <v>49</v>
      </c>
      <c r="B6" s="11">
        <f>NETWORKDAYS.INTL(B2,B3,"1111100")</f>
        <v>104</v>
      </c>
      <c r="D6" s="6" t="s">
        <v>65</v>
      </c>
      <c r="E6" s="6">
        <v>218</v>
      </c>
      <c r="F6" s="8"/>
      <c r="G6" s="9" t="s">
        <v>24</v>
      </c>
      <c r="H6" s="4">
        <f>DATE(A1,5,1)</f>
        <v>45413</v>
      </c>
      <c r="J6" s="6" t="s">
        <v>5</v>
      </c>
      <c r="K6" s="11" t="e">
        <f>DAY(EOMONTH(#REF!,0))</f>
        <v>#REF!</v>
      </c>
      <c r="L6" s="11" t="e">
        <f>NETWORKDAYS.INTL(#REF!,EOMONTH(#REF!,0),,H2:H16)</f>
        <v>#REF!</v>
      </c>
      <c r="M6" s="11" t="e">
        <f>NETWORKDAYS.INTL(#REF!,EOMONTH(#REF!,0),"1111101")</f>
        <v>#REF!</v>
      </c>
      <c r="N6" s="11" t="e">
        <f>NETWORKDAYS.INTL(#REF!,EOMONTH(#REF!,0),"1111110")</f>
        <v>#REF!</v>
      </c>
      <c r="O6" s="11" t="e">
        <f>NETWORKDAYS.INTL(#REF!,EOMONTH(#REF!,0),"1111100")</f>
        <v>#REF!</v>
      </c>
      <c r="P6" s="11" t="e">
        <f>DAY(EOMONTH(#REF!,0))-NETWORKDAYS.INTL(#REF!,EOMONTH(#REF!,0),"0000000",H2:H16)</f>
        <v>#REF!</v>
      </c>
      <c r="Q6" s="11" t="e">
        <f>NETWORKDAYS.INTL(#REF!,EOMONTH(#REF!,0),"1111100")-NETWORKDAYS.INTL(#REF!,EOMONTH(#REF!,0),"1111100",H2:H16)</f>
        <v>#REF!</v>
      </c>
    </row>
    <row r="7" spans="1:17" ht="30" customHeight="1" x14ac:dyDescent="0.3">
      <c r="A7" s="6" t="s">
        <v>51</v>
      </c>
      <c r="B7" s="6">
        <f>NETWORKDAYS.INTL(B2,B3)-NETWORKDAYS.INTL(B2,B3,,H2:H16)</f>
        <v>12</v>
      </c>
      <c r="D7" s="6" t="s">
        <v>55</v>
      </c>
      <c r="E7" s="6">
        <f>E8*12</f>
        <v>24.999999996</v>
      </c>
      <c r="F7" s="8"/>
      <c r="G7" s="9" t="s">
        <v>30</v>
      </c>
      <c r="H7" s="4">
        <f>DATE(A1,5,8)</f>
        <v>45420</v>
      </c>
      <c r="J7" s="6" t="s">
        <v>6</v>
      </c>
      <c r="K7" s="11" t="e">
        <f>DAY(EOMONTH(#REF!,0))</f>
        <v>#REF!</v>
      </c>
      <c r="L7" s="11" t="e">
        <f>NETWORKDAYS.INTL(#REF!,EOMONTH(#REF!,0),,H2:H16)</f>
        <v>#REF!</v>
      </c>
      <c r="M7" s="11" t="e">
        <f>NETWORKDAYS.INTL(#REF!,EOMONTH(#REF!,0),"1111101")</f>
        <v>#REF!</v>
      </c>
      <c r="N7" s="11" t="e">
        <f>NETWORKDAYS.INTL(#REF!,EOMONTH(#REF!,0),"1111110")</f>
        <v>#REF!</v>
      </c>
      <c r="O7" s="11" t="e">
        <f>NETWORKDAYS.INTL(#REF!,EOMONTH(#REF!,0),"1111100")</f>
        <v>#REF!</v>
      </c>
      <c r="P7" s="11" t="e">
        <f>DAY(EOMONTH(#REF!,0))-NETWORKDAYS.INTL(#REF!,EOMONTH(#REF!,0),"0000000",H2:H16)</f>
        <v>#REF!</v>
      </c>
      <c r="Q7" s="11" t="e">
        <f>NETWORKDAYS.INTL(#REF!,EOMONTH(#REF!,0),"1111100")-NETWORKDAYS.INTL(#REF!,EOMONTH(#REF!,0),"1111100",H2:H16)</f>
        <v>#REF!</v>
      </c>
    </row>
    <row r="8" spans="1:17" ht="30" customHeight="1" x14ac:dyDescent="0.3">
      <c r="A8" s="6" t="s">
        <v>52</v>
      </c>
      <c r="B8" s="6">
        <f>NETWORKDAYS.INTL(B2,B3,"1111100")-NETWORKDAYS.INTL(B2,B3,"1111100",H2:H16)</f>
        <v>3</v>
      </c>
      <c r="D8" s="6" t="s">
        <v>64</v>
      </c>
      <c r="E8" s="47">
        <v>2.0833333330000001</v>
      </c>
      <c r="F8" s="8"/>
      <c r="G8" s="9" t="s">
        <v>25</v>
      </c>
      <c r="H8" s="4">
        <f>H4+39</f>
        <v>45421</v>
      </c>
      <c r="J8" s="6" t="s">
        <v>7</v>
      </c>
      <c r="K8" s="11" t="e">
        <f>DAY(EOMONTH(#REF!,0))</f>
        <v>#REF!</v>
      </c>
      <c r="L8" s="11" t="e">
        <f>NETWORKDAYS.INTL(#REF!,EOMONTH(#REF!,0),,H2:H16)</f>
        <v>#REF!</v>
      </c>
      <c r="M8" s="11" t="e">
        <f>NETWORKDAYS.INTL(#REF!,EOMONTH(#REF!,0),"1111101")</f>
        <v>#REF!</v>
      </c>
      <c r="N8" s="11" t="e">
        <f>NETWORKDAYS.INTL(#REF!,EOMONTH(#REF!,0),"1111110")</f>
        <v>#REF!</v>
      </c>
      <c r="O8" s="11" t="e">
        <f>NETWORKDAYS.INTL(#REF!,EOMONTH(#REF!,0),"1111100")</f>
        <v>#REF!</v>
      </c>
      <c r="P8" s="11" t="e">
        <f>DAY(EOMONTH(#REF!,0))-NETWORKDAYS.INTL(#REF!,EOMONTH(#REF!,0),"0000000",H2:H16)</f>
        <v>#REF!</v>
      </c>
      <c r="Q8" s="11" t="e">
        <f>NETWORKDAYS.INTL(#REF!,EOMONTH(#REF!,0),"1111100")-NETWORKDAYS.INTL(#REF!,EOMONTH(#REF!,0),"1111100",H2:H16)</f>
        <v>#REF!</v>
      </c>
    </row>
    <row r="9" spans="1:17" ht="30" customHeight="1" x14ac:dyDescent="0.3">
      <c r="A9" s="54"/>
      <c r="B9" s="54"/>
      <c r="D9" s="14"/>
      <c r="F9" s="8"/>
      <c r="G9" s="9" t="s">
        <v>34</v>
      </c>
      <c r="H9" s="4">
        <f>H4+49</f>
        <v>45431</v>
      </c>
      <c r="J9" s="6" t="s">
        <v>8</v>
      </c>
      <c r="K9" s="11" t="e">
        <f>DAY(EOMONTH(#REF!,0))</f>
        <v>#REF!</v>
      </c>
      <c r="L9" s="11" t="e">
        <f>NETWORKDAYS.INTL(#REF!,EOMONTH(#REF!,0),,H2:H16)</f>
        <v>#REF!</v>
      </c>
      <c r="M9" s="11" t="e">
        <f>NETWORKDAYS.INTL(#REF!,EOMONTH(#REF!,0),"1111101")</f>
        <v>#REF!</v>
      </c>
      <c r="N9" s="11" t="e">
        <f>NETWORKDAYS.INTL(#REF!,EOMONTH(#REF!,0),"1111110")</f>
        <v>#REF!</v>
      </c>
      <c r="O9" s="11" t="e">
        <f>NETWORKDAYS.INTL(#REF!,EOMONTH(#REF!,0),"1111100")</f>
        <v>#REF!</v>
      </c>
      <c r="P9" s="11" t="e">
        <f>DAY(EOMONTH(#REF!,0))-NETWORKDAYS.INTL(#REF!,EOMONTH(#REF!,0),"0000000",H2:H16)</f>
        <v>#REF!</v>
      </c>
      <c r="Q9" s="11" t="e">
        <f>NETWORKDAYS.INTL(#REF!,EOMONTH(#REF!,0),"1111100")-NETWORKDAYS.INTL(#REF!,EOMONTH(#REF!,0),"1111100",H2:H16)</f>
        <v>#REF!</v>
      </c>
    </row>
    <row r="10" spans="1:17" ht="30" customHeight="1" x14ac:dyDescent="0.3">
      <c r="A10" s="51" t="s">
        <v>53</v>
      </c>
      <c r="B10" s="51"/>
      <c r="C10" s="8"/>
      <c r="D10" s="56" t="s">
        <v>15</v>
      </c>
      <c r="E10" s="57"/>
      <c r="F10" s="8"/>
      <c r="G10" s="9" t="s">
        <v>26</v>
      </c>
      <c r="H10" s="4">
        <f>H9+1</f>
        <v>45432</v>
      </c>
      <c r="J10" s="6" t="s">
        <v>9</v>
      </c>
      <c r="K10" s="11" t="e">
        <f>DAY(EOMONTH(#REF!,0))</f>
        <v>#REF!</v>
      </c>
      <c r="L10" s="11" t="e">
        <f>NETWORKDAYS.INTL(#REF!,EOMONTH(#REF!,0),,H2:H16)</f>
        <v>#REF!</v>
      </c>
      <c r="M10" s="11" t="e">
        <f>NETWORKDAYS.INTL(#REF!,EOMONTH(#REF!,0),"1111101")</f>
        <v>#REF!</v>
      </c>
      <c r="N10" s="11" t="e">
        <f>NETWORKDAYS.INTL(#REF!,EOMONTH(#REF!,0),"1111110")</f>
        <v>#REF!</v>
      </c>
      <c r="O10" s="11" t="e">
        <f>NETWORKDAYS.INTL(#REF!,EOMONTH(#REF!,0),"1111100")</f>
        <v>#REF!</v>
      </c>
      <c r="P10" s="11" t="e">
        <f>DAY(EOMONTH(#REF!,0))-NETWORKDAYS.INTL(#REF!,EOMONTH(#REF!,0),"0000000",H2:H16)</f>
        <v>#REF!</v>
      </c>
      <c r="Q10" s="11" t="e">
        <f>NETWORKDAYS.INTL(#REF!,EOMONTH(#REF!,0),"1111100")-NETWORKDAYS.INTL(#REF!,EOMONTH(#REF!,0),"1111100",H2:H16)</f>
        <v>#REF!</v>
      </c>
    </row>
    <row r="11" spans="1:17" ht="30" customHeight="1" x14ac:dyDescent="0.3">
      <c r="A11" s="6" t="s">
        <v>44</v>
      </c>
      <c r="B11" s="4">
        <v>45413</v>
      </c>
      <c r="C11" s="8"/>
      <c r="D11" s="10">
        <v>0.875</v>
      </c>
      <c r="E11" s="10">
        <v>0.25</v>
      </c>
      <c r="F11" s="8"/>
      <c r="G11" s="9" t="s">
        <v>27</v>
      </c>
      <c r="H11" s="4">
        <f>DATE(A1,7,14)</f>
        <v>45487</v>
      </c>
      <c r="J11" s="6" t="s">
        <v>10</v>
      </c>
      <c r="K11" s="11" t="e">
        <f>DAY(EOMONTH(#REF!,0))</f>
        <v>#REF!</v>
      </c>
      <c r="L11" s="11" t="e">
        <f>NETWORKDAYS.INTL(#REF!,EOMONTH(#REF!,0),,H2:H16)</f>
        <v>#REF!</v>
      </c>
      <c r="M11" s="11" t="e">
        <f>NETWORKDAYS.INTL(#REF!,EOMONTH(#REF!,0),"1111101")</f>
        <v>#REF!</v>
      </c>
      <c r="N11" s="11" t="e">
        <f>NETWORKDAYS.INTL(#REF!,EOMONTH(#REF!,0),"1111110")</f>
        <v>#REF!</v>
      </c>
      <c r="O11" s="11" t="e">
        <f>NETWORKDAYS.INTL(#REF!,EOMONTH(#REF!,0),"1111100")</f>
        <v>#REF!</v>
      </c>
      <c r="P11" s="11" t="e">
        <f>DAY(EOMONTH(#REF!,0))-NETWORKDAYS.INTL(#REF!,EOMONTH(#REF!,0),"0000000",H2:H16)</f>
        <v>#REF!</v>
      </c>
      <c r="Q11" s="11" t="e">
        <f>NETWORKDAYS.INTL(#REF!,EOMONTH(#REF!,0),"1111100")-NETWORKDAYS.INTL(#REF!,EOMONTH(#REF!,0),"1111100",H2:H16)</f>
        <v>#REF!</v>
      </c>
    </row>
    <row r="12" spans="1:17" ht="30" customHeight="1" x14ac:dyDescent="0.3">
      <c r="A12" s="6" t="s">
        <v>45</v>
      </c>
      <c r="B12" s="4">
        <v>45432</v>
      </c>
      <c r="C12" s="8"/>
      <c r="F12" s="8"/>
      <c r="G12" s="9" t="s">
        <v>28</v>
      </c>
      <c r="H12" s="4">
        <f>DATE($A$1,8,15)</f>
        <v>45519</v>
      </c>
      <c r="J12" s="6" t="s">
        <v>11</v>
      </c>
      <c r="K12" s="11" t="e">
        <f>DAY(EOMONTH(#REF!,0))</f>
        <v>#REF!</v>
      </c>
      <c r="L12" s="11" t="e">
        <f>NETWORKDAYS.INTL(#REF!,EOMONTH(#REF!,0),,H2:H16)</f>
        <v>#REF!</v>
      </c>
      <c r="M12" s="11" t="e">
        <f>NETWORKDAYS.INTL(#REF!,EOMONTH(#REF!,0),"1111101")</f>
        <v>#REF!</v>
      </c>
      <c r="N12" s="11" t="e">
        <f>NETWORKDAYS.INTL(#REF!,EOMONTH(#REF!,0),"1111110")</f>
        <v>#REF!</v>
      </c>
      <c r="O12" s="11" t="e">
        <f>NETWORKDAYS.INTL(#REF!,EOMONTH(#REF!,0),"1111100")</f>
        <v>#REF!</v>
      </c>
      <c r="P12" s="11" t="e">
        <f>DAY(EOMONTH(#REF!,0))-NETWORKDAYS.INTL(#REF!,EOMONTH(#REF!,0),"0000000",H2:H16)</f>
        <v>#REF!</v>
      </c>
      <c r="Q12" s="11" t="e">
        <f>NETWORKDAYS.INTL(#REF!,EOMONTH(#REF!,0),"1111100")-NETWORKDAYS.INTL(#REF!,EOMONTH(#REF!,0),"1111100",H2:H16)</f>
        <v>#REF!</v>
      </c>
    </row>
    <row r="13" spans="1:17" ht="30" customHeight="1" x14ac:dyDescent="0.3">
      <c r="A13" s="6" t="s">
        <v>54</v>
      </c>
      <c r="B13" s="11">
        <f>+B12-B11+1</f>
        <v>20</v>
      </c>
      <c r="C13" s="12"/>
      <c r="F13" s="8"/>
      <c r="G13" s="9" t="s">
        <v>29</v>
      </c>
      <c r="H13" s="4">
        <f>DATE(A1,11,1)</f>
        <v>45597</v>
      </c>
      <c r="J13" s="6" t="s">
        <v>12</v>
      </c>
      <c r="K13" s="11" t="e">
        <f>DAY(EOMONTH(#REF!,0))</f>
        <v>#REF!</v>
      </c>
      <c r="L13" s="11" t="e">
        <f>NETWORKDAYS.INTL(#REF!,EOMONTH(#REF!,0),,H2:H16)</f>
        <v>#REF!</v>
      </c>
      <c r="M13" s="11" t="e">
        <f>NETWORKDAYS.INTL(#REF!,EOMONTH(#REF!,0),"1111101")</f>
        <v>#REF!</v>
      </c>
      <c r="N13" s="11" t="e">
        <f>NETWORKDAYS.INTL(#REF!,EOMONTH(#REF!,0),"1111110")</f>
        <v>#REF!</v>
      </c>
      <c r="O13" s="11" t="e">
        <f>NETWORKDAYS.INTL(#REF!,EOMONTH(#REF!,0),"1111100")</f>
        <v>#REF!</v>
      </c>
      <c r="P13" s="11" t="e">
        <f>DAY(EOMONTH(#REF!,0))-NETWORKDAYS.INTL(#REF!,EOMONTH(#REF!,0),"0000000",H2:H16)</f>
        <v>#REF!</v>
      </c>
      <c r="Q13" s="11" t="e">
        <f>NETWORKDAYS.INTL(#REF!,EOMONTH(#REF!,0),"1111100")-NETWORKDAYS.INTL(#REF!,EOMONTH(#REF!,0),"1111100",H2:H16)</f>
        <v>#REF!</v>
      </c>
    </row>
    <row r="14" spans="1:17" ht="30" customHeight="1" x14ac:dyDescent="0.3">
      <c r="A14" s="6" t="s">
        <v>50</v>
      </c>
      <c r="B14" s="6">
        <f>NETWORKDAYS.INTL(B11,B12,,H2:H16)</f>
        <v>10</v>
      </c>
      <c r="F14" s="8"/>
      <c r="G14" s="9" t="s">
        <v>31</v>
      </c>
      <c r="H14" s="4">
        <f>DATE(A1,11,11)</f>
        <v>45607</v>
      </c>
    </row>
    <row r="15" spans="1:17" ht="30" customHeight="1" x14ac:dyDescent="0.3">
      <c r="A15" s="6" t="s">
        <v>49</v>
      </c>
      <c r="B15" s="11">
        <f>NETWORKDAYS.INTL(B11,B12,"1111100")</f>
        <v>6</v>
      </c>
      <c r="F15" s="8"/>
      <c r="G15" s="9" t="s">
        <v>32</v>
      </c>
      <c r="H15" s="4">
        <f>DATE(A1,12,25)</f>
        <v>45651</v>
      </c>
    </row>
    <row r="16" spans="1:17" ht="30" customHeight="1" x14ac:dyDescent="0.3">
      <c r="A16" s="6" t="s">
        <v>51</v>
      </c>
      <c r="B16" s="11">
        <f>NETWORKDAYS.INTL(B11,B12)-NETWORKDAYS.INTL(B11,B12,,H2:H16)</f>
        <v>4</v>
      </c>
      <c r="F16" s="8"/>
      <c r="G16" s="9" t="s">
        <v>33</v>
      </c>
      <c r="H16" s="4">
        <f>H15+1</f>
        <v>45652</v>
      </c>
    </row>
    <row r="17" spans="1:6" ht="30" customHeight="1" x14ac:dyDescent="0.3">
      <c r="A17" s="6" t="s">
        <v>52</v>
      </c>
      <c r="B17" s="6">
        <f>NETWORKDAYS.INTL(B11,B12,"1111100")-NETWORKDAYS.INTL(B11,B12,"1111100",H2:H16)</f>
        <v>1</v>
      </c>
      <c r="F17" s="8"/>
    </row>
    <row r="18" spans="1:6" ht="30" customHeight="1" x14ac:dyDescent="0.3">
      <c r="A18" s="8"/>
      <c r="C18" s="8"/>
      <c r="F18" s="8"/>
    </row>
    <row r="19" spans="1:6" ht="19.95" customHeight="1" x14ac:dyDescent="0.3">
      <c r="A19" s="8" t="e">
        <f>#REF!+1</f>
        <v>#REF!</v>
      </c>
      <c r="B19" s="8"/>
      <c r="C19" s="8"/>
      <c r="D19" s="8"/>
      <c r="E19" s="8"/>
      <c r="F19" s="8"/>
    </row>
    <row r="20" spans="1:6" ht="19.95" customHeight="1" x14ac:dyDescent="0.3">
      <c r="A20" s="8" t="e">
        <f t="shared" ref="A20" si="0">A19+1</f>
        <v>#REF!</v>
      </c>
      <c r="B20" s="8"/>
      <c r="C20" s="8"/>
      <c r="D20" s="8"/>
      <c r="E20" s="8"/>
      <c r="F20" s="8"/>
    </row>
  </sheetData>
  <mergeCells count="6">
    <mergeCell ref="A10:B10"/>
    <mergeCell ref="G1:H1"/>
    <mergeCell ref="D1:E1"/>
    <mergeCell ref="A9:B9"/>
    <mergeCell ref="A1:B1"/>
    <mergeCell ref="D10:E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8"/>
  <sheetViews>
    <sheetView tabSelected="1" topLeftCell="F1" zoomScaleNormal="100" workbookViewId="0">
      <selection activeCell="N8" sqref="N8"/>
    </sheetView>
  </sheetViews>
  <sheetFormatPr baseColWidth="10" defaultColWidth="11.5546875" defaultRowHeight="30" customHeight="1" x14ac:dyDescent="0.3"/>
  <cols>
    <col min="1" max="1" width="10.6640625" style="26" customWidth="1"/>
    <col min="2" max="2" width="30.6640625" style="27" customWidth="1"/>
    <col min="3" max="3" width="20.6640625" style="46" customWidth="1"/>
    <col min="4" max="7" width="20.6640625" style="18" customWidth="1"/>
    <col min="8" max="10" width="20.6640625" style="28" customWidth="1"/>
    <col min="11" max="11" width="20.6640625" style="37" customWidth="1"/>
    <col min="12" max="12" width="20.6640625" style="29" customWidth="1"/>
    <col min="13" max="13" width="11.5546875" style="18" customWidth="1"/>
    <col min="14" max="14" width="11.5546875" style="18"/>
    <col min="15" max="15" width="11.5546875" style="18" customWidth="1"/>
    <col min="16" max="16384" width="11.5546875" style="18"/>
  </cols>
  <sheetData>
    <row r="1" spans="1:17" s="16" customFormat="1" ht="30" customHeight="1" x14ac:dyDescent="0.3">
      <c r="A1" s="38"/>
      <c r="B1" s="39">
        <f>SUBTOTAL(102,Tabel1[Date])</f>
        <v>31</v>
      </c>
      <c r="C1" s="43"/>
      <c r="D1" s="49">
        <f>SUBTOTAL(102,Tabel1[Ouverture de poste])</f>
        <v>23</v>
      </c>
      <c r="E1" s="39">
        <f>SUBTOTAL(102,Tabel1[Pause entre 06:00 et 21:00])</f>
        <v>23</v>
      </c>
      <c r="F1" s="39">
        <f>SUBTOTAL(102,Tabel1[Pause entre 21:00 et 06:00])</f>
        <v>0</v>
      </c>
      <c r="G1" s="39">
        <f>SUBTOTAL(102,Tabel1[Fermeture de poste])</f>
        <v>23</v>
      </c>
      <c r="H1" s="42">
        <f>SUBTOTAL(109,Tabel1[Total Heures])</f>
        <v>7.5625000000000036</v>
      </c>
      <c r="I1" s="40">
        <f>SUBTOTAL(109,Tabel1[Heures de jour])</f>
        <v>7.5625000000000036</v>
      </c>
      <c r="J1" s="40">
        <f>SUBTOTAL(109,Tabel1[Heures de nuit])</f>
        <v>0</v>
      </c>
      <c r="K1" s="35">
        <f>SUBTOTAL(109,Tabel1[Total semaine])</f>
        <v>7.5625000000000009</v>
      </c>
      <c r="L1" s="40">
        <f>SUBTOTAL(109,Tabel1[Heures supplémentaires])</f>
        <v>0</v>
      </c>
      <c r="N1" s="17"/>
    </row>
    <row r="2" spans="1:17" ht="30" customHeight="1" x14ac:dyDescent="0.3">
      <c r="A2" s="30" t="s">
        <v>40</v>
      </c>
      <c r="B2" s="31" t="s">
        <v>13</v>
      </c>
      <c r="C2" s="44" t="s">
        <v>14</v>
      </c>
      <c r="D2" s="31" t="s">
        <v>18</v>
      </c>
      <c r="E2" s="31" t="s">
        <v>42</v>
      </c>
      <c r="F2" s="31" t="s">
        <v>43</v>
      </c>
      <c r="G2" s="31" t="s">
        <v>16</v>
      </c>
      <c r="H2" s="32" t="s">
        <v>41</v>
      </c>
      <c r="I2" s="32" t="s">
        <v>17</v>
      </c>
      <c r="J2" s="32" t="s">
        <v>15</v>
      </c>
      <c r="K2" s="33" t="s">
        <v>19</v>
      </c>
      <c r="L2" s="34" t="s">
        <v>0</v>
      </c>
      <c r="O2" s="26"/>
    </row>
    <row r="3" spans="1:17" ht="30" customHeight="1" x14ac:dyDescent="0.3">
      <c r="A3" s="19" t="str">
        <f t="shared" ref="A3:A33" si="0">""&amp;WEEKNUM(B3,2)</f>
        <v>1</v>
      </c>
      <c r="B3" s="20">
        <f>DATE(Détails!A1,1,1)</f>
        <v>45292</v>
      </c>
      <c r="C3" s="45" t="str" cm="1">
        <f t="array" ref="C3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familial",IFERROR(IF(VLOOKUP($B3,Détails!$H$2:$H$16,1,0),"Férié",""),""))))))</f>
        <v>En poste</v>
      </c>
      <c r="D3" s="21">
        <v>0.33333333333333331</v>
      </c>
      <c r="E3" s="22">
        <v>2.0833333333333332E-2</v>
      </c>
      <c r="F3" s="22"/>
      <c r="G3" s="21">
        <v>0.70833333333333337</v>
      </c>
      <c r="H3" s="23">
        <f t="shared" ref="H3:H33" si="1">IF(OR(D3&lt;&gt;"",G3&lt;&gt;""),MOD(G3-D3-F3-E3,1),"")</f>
        <v>0.35416666666666674</v>
      </c>
      <c r="I3" s="23">
        <f>IF($G3&gt;$D3,MEDIAN($G3,Détails!$D$11,Détails!$E$11)-MEDIAN($D3,Détails!$D$11,Détails!$E$11),($G3&lt;$D3)*(Détails!$D$11-Détails!$E$11)+MEDIAN($G3,Détails!$E$11,Détails!$D$11)-MEDIAN($D3,Détails!$E$11,Détails!$D$11))-$E3</f>
        <v>0.35416666666666674</v>
      </c>
      <c r="J3" s="23">
        <f>MOD($G3-$D3,1)-($G3&lt;$D3)*(Détails!$D$11-Détails!$E$11)-MEDIAN($G3,Détails!$E$11,Détails!$D$11)+MEDIAN($D3,Détails!$E$11,Détails!$D$11)-$F3</f>
        <v>0</v>
      </c>
      <c r="K3" s="36">
        <f>IF(OR(WEEKDAY(Tabel1[[#This Row],[Date]],2)=7, DAY(Tabel1[[#This Row],[Date]])=DAY(EOMONTH(Tabel1[[#This Row],[Date]],0))),SUMIF(Tabel1[Semaine],Tabel1[[#This Row],[Semaine]],Tabel1[Total Heures]),0)</f>
        <v>0</v>
      </c>
      <c r="L3" s="24" t="str">
        <f>IFERROR(IF(K3&gt;Détails!E$4,K3-Détails!E$4,""),0)</f>
        <v/>
      </c>
      <c r="N3" s="48">
        <f>COUNTIFS(Tabel1[Ordre],"En poste")</f>
        <v>23</v>
      </c>
      <c r="O3" s="26">
        <f ca="1">--IF(B3&lt;TODAY()-1,COUNTBLANK(D3))</f>
        <v>0</v>
      </c>
      <c r="P3" s="25"/>
      <c r="Q3" s="25"/>
    </row>
    <row r="4" spans="1:17" ht="30" customHeight="1" x14ac:dyDescent="0.3">
      <c r="A4" s="19" t="str">
        <f t="shared" si="0"/>
        <v>1</v>
      </c>
      <c r="B4" s="20">
        <f t="shared" ref="B4:B33" si="2">B3+1</f>
        <v>45293</v>
      </c>
      <c r="C4" s="45" t="str" cm="1">
        <f t="array" ref="C4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familial",IFERROR(IF(VLOOKUP($B4,Détails!$H$2:$H$16,1,0),"Férié",""),""))))))</f>
        <v>En poste</v>
      </c>
      <c r="D4" s="21">
        <v>0.33333333333333331</v>
      </c>
      <c r="E4" s="22">
        <v>2.0833333333333332E-2</v>
      </c>
      <c r="F4" s="22"/>
      <c r="G4" s="21">
        <v>0.70833333333333337</v>
      </c>
      <c r="H4" s="23">
        <f>IF(OR(D4&lt;&gt;"",G4&lt;&gt;""),MOD(G4-D4-F4-E4,1),"")</f>
        <v>0.35416666666666674</v>
      </c>
      <c r="I4" s="23">
        <f>IF($G4&gt;$D4,MEDIAN($G4,Détails!$D$11,Détails!$E$11)-MEDIAN($D4,Détails!$D$11,Détails!$E$11),($G4&lt;$D4)*(Détails!$D$11-Détails!$E$11)+MEDIAN($G4,Détails!$E$11,Détails!$D$11)-MEDIAN($D4,Détails!$E$11,Détails!$D$11))-$E4</f>
        <v>0.35416666666666674</v>
      </c>
      <c r="J4" s="23">
        <f>MOD($G4-$D4,1)-($G4&lt;$D4)*(Détails!$D$11-Détails!$E$11)-MEDIAN($G4,Détails!$E$11,Détails!$D$11)+MEDIAN($D4,Détails!$E$11,Détails!$D$11)-$F4</f>
        <v>0</v>
      </c>
      <c r="K4" s="36">
        <f>IF(OR(WEEKDAY(Tabel1[[#This Row],[Date]],2)=7, DAY(Tabel1[[#This Row],[Date]])=DAY(EOMONTH(Tabel1[[#This Row],[Date]],0))),SUMIF(Tabel1[Semaine],Tabel1[[#This Row],[Semaine]],Tabel1[Total Heures]),0)</f>
        <v>0</v>
      </c>
      <c r="L4" s="24" t="str">
        <f>IFERROR(IF(K4&gt;Détails!E$4,K4-Détails!E$4,""),0)</f>
        <v/>
      </c>
      <c r="N4" s="48">
        <f>COUNTIFS(Tabel1[Ordre],"Férié")</f>
        <v>0</v>
      </c>
      <c r="O4" s="26">
        <f ca="1">--IF(B4&lt;TODAY()-1,COUNTBLANK(D4))</f>
        <v>0</v>
      </c>
    </row>
    <row r="5" spans="1:17" ht="30" customHeight="1" x14ac:dyDescent="0.3">
      <c r="A5" s="19" t="str">
        <f t="shared" si="0"/>
        <v>1</v>
      </c>
      <c r="B5" s="20">
        <f t="shared" si="2"/>
        <v>45294</v>
      </c>
      <c r="C5" s="45" t="str" cm="1">
        <f t="array" ref="C5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familial",IFERROR(IF(VLOOKUP($B5,Détails!$H$2:$H$16,1,0),"Férié",""),""))))))</f>
        <v>En poste</v>
      </c>
      <c r="D5" s="21">
        <v>0.33333333333333331</v>
      </c>
      <c r="E5" s="22">
        <v>2.0833333333333332E-2</v>
      </c>
      <c r="F5" s="22"/>
      <c r="G5" s="21">
        <v>0.70833333333333337</v>
      </c>
      <c r="H5" s="23">
        <f t="shared" si="1"/>
        <v>0.35416666666666674</v>
      </c>
      <c r="I5" s="23">
        <f>IF($G5&gt;$D5,MEDIAN($G5,Détails!$D$11,Détails!$E$11)-MEDIAN($D5,Détails!$D$11,Détails!$E$11),($G5&lt;$D5)*(Détails!$D$11-Détails!$E$11)+MEDIAN($G5,Détails!$E$11,Détails!$D$11)-MEDIAN($D5,Détails!$E$11,Détails!$D$11))-$E5</f>
        <v>0.35416666666666674</v>
      </c>
      <c r="J5" s="23">
        <f>MOD($G5-$D5,1)-($G5&lt;$D5)*(Détails!$D$11-Détails!$E$11)-MEDIAN($G5,Détails!$E$11,Détails!$D$11)+MEDIAN($D5,Détails!$E$11,Détails!$D$11)-$F5</f>
        <v>0</v>
      </c>
      <c r="K5" s="36">
        <f>IF(OR(WEEKDAY(Tabel1[[#This Row],[Date]],2)=7, DAY(Tabel1[[#This Row],[Date]])=DAY(EOMONTH(Tabel1[[#This Row],[Date]],0))),SUMIF(Tabel1[Semaine],Tabel1[[#This Row],[Semaine]],Tabel1[Total Heures]),0)</f>
        <v>0</v>
      </c>
      <c r="L5" s="24" t="str">
        <f>IFERROR(IF(K5&gt;Détails!E$4,K5-Détails!E$4,""),0)</f>
        <v/>
      </c>
      <c r="N5" s="26" cm="1">
        <f t="array" ref="N5">SUMPRODUCT(ISNUMBER(MATCH(Tabel1[Date],Détails!H2:H16,0))*(ISNUMBER(Tabel1[Ouverture de poste])))</f>
        <v>1</v>
      </c>
      <c r="O5" s="26">
        <f t="shared" ref="O5:O33" ca="1" si="3">--IF(B5&lt;TODAY()-1,COUNTBLANK(D5))</f>
        <v>0</v>
      </c>
    </row>
    <row r="6" spans="1:17" ht="30" customHeight="1" x14ac:dyDescent="0.3">
      <c r="A6" s="19" t="str">
        <f t="shared" si="0"/>
        <v>1</v>
      </c>
      <c r="B6" s="20">
        <f t="shared" si="2"/>
        <v>45295</v>
      </c>
      <c r="C6" s="45" t="str" cm="1">
        <f t="array" ref="C6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familial",IFERROR(IF(VLOOKUP($B6,Détails!$H$2:$H$16,1,0),"Férié",""),""))))))</f>
        <v>En poste</v>
      </c>
      <c r="D6" s="21">
        <v>0.33333333333333331</v>
      </c>
      <c r="E6" s="22">
        <v>2.0833333333333332E-2</v>
      </c>
      <c r="F6" s="22"/>
      <c r="G6" s="21">
        <v>0.70833333333333337</v>
      </c>
      <c r="H6" s="23">
        <f t="shared" si="1"/>
        <v>0.35416666666666674</v>
      </c>
      <c r="I6" s="23">
        <f>IF($G6&gt;$D6,MEDIAN($G6,Détails!$D$11,Détails!$E$11)-MEDIAN($D6,Détails!$D$11,Détails!$E$11),($G6&lt;$D6)*(Détails!$D$11-Détails!$E$11)+MEDIAN($G6,Détails!$E$11,Détails!$D$11)-MEDIAN($D6,Détails!$E$11,Détails!$D$11))-$E6</f>
        <v>0.35416666666666674</v>
      </c>
      <c r="J6" s="23">
        <f>MOD($G6-$D6,1)-($G6&lt;$D6)*(Détails!$D$11-Détails!$E$11)-MEDIAN($G6,Détails!$E$11,Détails!$D$11)+MEDIAN($D6,Détails!$E$11,Détails!$D$11)-$F6</f>
        <v>0</v>
      </c>
      <c r="K6" s="36">
        <f>IF(OR(WEEKDAY(Tabel1[[#This Row],[Date]],2)=7, DAY(Tabel1[[#This Row],[Date]])=DAY(EOMONTH(Tabel1[[#This Row],[Date]],0))),SUMIF(Tabel1[Semaine],Tabel1[[#This Row],[Semaine]],Tabel1[Total Heures]),0)</f>
        <v>0</v>
      </c>
      <c r="L6" s="24" t="str">
        <f>IFERROR(IF(K6&gt;Détails!E$4,K6-Détails!E$4,""),0)</f>
        <v/>
      </c>
      <c r="N6" s="48">
        <f>COUNTIFS(Tabel1[Ordre],"Repos")</f>
        <v>0</v>
      </c>
      <c r="O6" s="26">
        <f t="shared" ca="1" si="3"/>
        <v>0</v>
      </c>
    </row>
    <row r="7" spans="1:17" ht="30" customHeight="1" x14ac:dyDescent="0.3">
      <c r="A7" s="19" t="str">
        <f t="shared" si="0"/>
        <v>1</v>
      </c>
      <c r="B7" s="20">
        <f t="shared" si="2"/>
        <v>45296</v>
      </c>
      <c r="C7" s="45" t="str" cm="1">
        <f t="array" ref="C7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familial",IFERROR(IF(VLOOKUP($B7,Détails!$H$2:$H$16,1,0),"Férié",""),""))))))</f>
        <v>En poste</v>
      </c>
      <c r="D7" s="21">
        <v>0.33333333333333331</v>
      </c>
      <c r="E7" s="22">
        <v>2.0833333333333332E-2</v>
      </c>
      <c r="F7" s="22"/>
      <c r="G7" s="21">
        <v>0.5625</v>
      </c>
      <c r="H7" s="23">
        <f>IF(OR(D7&lt;&gt;"",G7&lt;&gt;""),MOD(G7-D7-F7-E7,1),"")</f>
        <v>0.20833333333333334</v>
      </c>
      <c r="I7" s="23">
        <f>IF($G7&gt;$D7,MEDIAN($G7,Détails!$D$11,Détails!$E$11)-MEDIAN($D7,Détails!$D$11,Détails!$E$11),($G7&lt;$D7)*(Détails!$D$11-Détails!$E$11)+MEDIAN($G7,Détails!$E$11,Détails!$D$11)-MEDIAN($D7,Détails!$E$11,Détails!$D$11))-$E7</f>
        <v>0.20833333333333334</v>
      </c>
      <c r="J7" s="23">
        <f>MOD($G7-$D7,1)-($G7&lt;$D7)*(Détails!$D$11-Détails!$E$11)-MEDIAN($G7,Détails!$E$11,Détails!$D$11)+MEDIAN($D7,Détails!$E$11,Détails!$D$11)-$F7</f>
        <v>0</v>
      </c>
      <c r="K7" s="36">
        <f>IF(OR(WEEKDAY(Tabel1[[#This Row],[Date]],2)=7, DAY(Tabel1[[#This Row],[Date]])=DAY(EOMONTH(Tabel1[[#This Row],[Date]],0))),SUMIF(Tabel1[Semaine],Tabel1[[#This Row],[Semaine]],Tabel1[Total Heures]),0)</f>
        <v>0</v>
      </c>
      <c r="L7" s="24" t="str">
        <f>IFERROR(IF(K7&gt;Détails!E$4,K7-Détails!E$4,""),0)</f>
        <v/>
      </c>
      <c r="N7" s="26">
        <f ca="1">--IF(B33&lt;TODAY()-1,COUNTBLANK(Tabel1[Ouverture de poste]))</f>
        <v>8</v>
      </c>
      <c r="O7" s="26">
        <f t="shared" ca="1" si="3"/>
        <v>0</v>
      </c>
    </row>
    <row r="8" spans="1:17" ht="30" customHeight="1" x14ac:dyDescent="0.3">
      <c r="A8" s="19" t="str">
        <f t="shared" si="0"/>
        <v>1</v>
      </c>
      <c r="B8" s="20">
        <f t="shared" si="2"/>
        <v>45297</v>
      </c>
      <c r="C8" s="45" t="str" cm="1">
        <f t="array" ref="C8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familial",IFERROR(IF(VLOOKUP($B8,Détails!$H$2:$H$16,1,0),"Férié",""),""))))))</f>
        <v/>
      </c>
      <c r="D8" s="21"/>
      <c r="E8" s="22"/>
      <c r="F8" s="22"/>
      <c r="G8" s="21"/>
      <c r="H8" s="23" t="str">
        <f t="shared" si="1"/>
        <v/>
      </c>
      <c r="I8" s="23">
        <f>IF($G8&gt;$D8,MEDIAN($G8,Détails!$D$11,Détails!$E$11)-MEDIAN($D8,Détails!$D$11,Détails!$E$11),($G8&lt;$D8)*(Détails!$D$11-Détails!$E$11)+MEDIAN($G8,Détails!$E$11,Détails!$D$11)-MEDIAN($D8,Détails!$E$11,Détails!$D$11))-$E8</f>
        <v>0</v>
      </c>
      <c r="J8" s="23">
        <f>MOD($G8-$D8,1)-($G8&lt;$D8)*(Détails!$D$11-Détails!$E$11)-MEDIAN($G8,Détails!$E$11,Détails!$D$11)+MEDIAN($D8,Détails!$E$11,Détails!$D$11)-$F8</f>
        <v>0</v>
      </c>
      <c r="K8" s="36">
        <f>IF(OR(WEEKDAY(Tabel1[[#This Row],[Date]],2)=7, DAY(Tabel1[[#This Row],[Date]])=DAY(EOMONTH(Tabel1[[#This Row],[Date]],0))),SUMIF(Tabel1[Semaine],Tabel1[[#This Row],[Semaine]],Tabel1[Total Heures]),0)</f>
        <v>0</v>
      </c>
      <c r="L8" s="24" t="str">
        <f>IFERROR(IF(K8&gt;Détails!E$4,K8-Détails!E$4,""),0)</f>
        <v/>
      </c>
      <c r="N8" s="26">
        <f ca="1">SUM(O3:O33)</f>
        <v>8</v>
      </c>
      <c r="O8" s="26">
        <f t="shared" ca="1" si="3"/>
        <v>1</v>
      </c>
    </row>
    <row r="9" spans="1:17" ht="30" customHeight="1" x14ac:dyDescent="0.3">
      <c r="A9" s="19" t="str">
        <f t="shared" si="0"/>
        <v>1</v>
      </c>
      <c r="B9" s="20">
        <f t="shared" si="2"/>
        <v>45298</v>
      </c>
      <c r="C9" s="45" t="str" cm="1">
        <f t="array" ref="C9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familial",IFERROR(IF(VLOOKUP($B9,Détails!$H$2:$H$16,1,0),"Férié",""),""))))))</f>
        <v/>
      </c>
      <c r="D9" s="21"/>
      <c r="E9" s="22"/>
      <c r="F9" s="22"/>
      <c r="G9" s="21"/>
      <c r="H9" s="23" t="str">
        <f t="shared" si="1"/>
        <v/>
      </c>
      <c r="I9" s="23">
        <f>IF($G9&gt;$D9,MEDIAN($G9,Détails!$D$11,Détails!$E$11)-MEDIAN($D9,Détails!$D$11,Détails!$E$11),($G9&lt;$D9)*(Détails!$D$11-Détails!$E$11)+MEDIAN($G9,Détails!$E$11,Détails!$D$11)-MEDIAN($D9,Détails!$E$11,Détails!$D$11))-$E9</f>
        <v>0</v>
      </c>
      <c r="J9" s="23">
        <f>MOD($G9-$D9,1)-($G9&lt;$D9)*(Détails!$D$11-Détails!$E$11)-MEDIAN($G9,Détails!$E$11,Détails!$D$11)+MEDIAN($D9,Détails!$E$11,Détails!$D$11)-$F9</f>
        <v>0</v>
      </c>
      <c r="K9" s="36">
        <f>IF(OR(WEEKDAY(Tabel1[[#This Row],[Date]],2)=7, DAY(Tabel1[[#This Row],[Date]])=DAY(EOMONTH(Tabel1[[#This Row],[Date]],0))),SUMIF(Tabel1[Semaine],Tabel1[[#This Row],[Semaine]],Tabel1[Total Heures]),0)</f>
        <v>1.6250000000000002</v>
      </c>
      <c r="L9" s="41" t="str">
        <f>IFERROR(IF(K9&gt;Détails!E$4,K9-Détails!E$4,""),0)</f>
        <v/>
      </c>
      <c r="N9" s="25"/>
      <c r="O9" s="26">
        <f t="shared" ca="1" si="3"/>
        <v>1</v>
      </c>
    </row>
    <row r="10" spans="1:17" ht="30" customHeight="1" x14ac:dyDescent="0.3">
      <c r="A10" s="19" t="str">
        <f t="shared" si="0"/>
        <v>2</v>
      </c>
      <c r="B10" s="20">
        <f t="shared" si="2"/>
        <v>45299</v>
      </c>
      <c r="C10" s="45" t="str" cm="1">
        <f t="array" ref="C10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familial",IFERROR(IF(VLOOKUP($B10,Détails!$H$2:$H$16,1,0),"Férié",""),""))))))</f>
        <v>En poste</v>
      </c>
      <c r="D10" s="21">
        <v>0.33333333333333331</v>
      </c>
      <c r="E10" s="22">
        <v>2.0833333333333332E-2</v>
      </c>
      <c r="F10" s="22"/>
      <c r="G10" s="21">
        <v>0.70833333333333337</v>
      </c>
      <c r="H10" s="23">
        <f t="shared" si="1"/>
        <v>0.35416666666666674</v>
      </c>
      <c r="I10" s="23">
        <f>IF($G10&gt;$D10,MEDIAN($G10,Détails!$D$11,Détails!$E$11)-MEDIAN($D10,Détails!$D$11,Détails!$E$11),($G10&lt;$D10)*(Détails!$D$11-Détails!$E$11)+MEDIAN($G10,Détails!$E$11,Détails!$D$11)-MEDIAN($D10,Détails!$E$11,Détails!$D$11))-$E10</f>
        <v>0.35416666666666674</v>
      </c>
      <c r="J10" s="23">
        <f>MOD($G10-$D10,1)-($G10&lt;$D10)*(Détails!$D$11-Détails!$E$11)-MEDIAN($G10,Détails!$E$11,Détails!$D$11)+MEDIAN($D10,Détails!$E$11,Détails!$D$11)-$F10</f>
        <v>0</v>
      </c>
      <c r="K10" s="36">
        <f>IF(OR(WEEKDAY(Tabel1[[#This Row],[Date]],2)=7, DAY(Tabel1[[#This Row],[Date]])=DAY(EOMONTH(Tabel1[[#This Row],[Date]],0))),SUMIF(Tabel1[Semaine],Tabel1[[#This Row],[Semaine]],Tabel1[Total Heures]),0)</f>
        <v>0</v>
      </c>
      <c r="L10" s="24" t="str">
        <f>IFERROR(IF(K10&gt;Détails!E$4,K10-Détails!E$4,""),0)</f>
        <v/>
      </c>
      <c r="N10" s="25"/>
      <c r="O10" s="26">
        <f t="shared" ca="1" si="3"/>
        <v>0</v>
      </c>
    </row>
    <row r="11" spans="1:17" ht="30" customHeight="1" x14ac:dyDescent="0.3">
      <c r="A11" s="19" t="str">
        <f t="shared" si="0"/>
        <v>2</v>
      </c>
      <c r="B11" s="20">
        <f t="shared" si="2"/>
        <v>45300</v>
      </c>
      <c r="C11" s="45" t="str" cm="1">
        <f t="array" ref="C11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familial",IFERROR(IF(VLOOKUP($B11,Détails!$H$2:$H$16,1,0),"Férié",""),""))))))</f>
        <v>En poste</v>
      </c>
      <c r="D11" s="21">
        <v>0.33333333333333331</v>
      </c>
      <c r="E11" s="22">
        <v>2.0833333333333332E-2</v>
      </c>
      <c r="F11" s="22"/>
      <c r="G11" s="21">
        <v>0.70833333333333337</v>
      </c>
      <c r="H11" s="23">
        <f t="shared" si="1"/>
        <v>0.35416666666666674</v>
      </c>
      <c r="I11" s="23">
        <f>IF($G11&gt;$D11,MEDIAN($G11,Détails!$D$11,Détails!$E$11)-MEDIAN($D11,Détails!$D$11,Détails!$E$11),($G11&lt;$D11)*(Détails!$D$11-Détails!$E$11)+MEDIAN($G11,Détails!$E$11,Détails!$D$11)-MEDIAN($D11,Détails!$E$11,Détails!$D$11))-$E11</f>
        <v>0.35416666666666674</v>
      </c>
      <c r="J11" s="23">
        <f>MOD($G11-$D11,1)-($G11&lt;$D11)*(Détails!$D$11-Détails!$E$11)-MEDIAN($G11,Détails!$E$11,Détails!$D$11)+MEDIAN($D11,Détails!$E$11,Détails!$D$11)-$F11</f>
        <v>0</v>
      </c>
      <c r="K11" s="36">
        <f>IF(OR(WEEKDAY(Tabel1[[#This Row],[Date]],2)=7, DAY(Tabel1[[#This Row],[Date]])=DAY(EOMONTH(Tabel1[[#This Row],[Date]],0))),SUMIF(Tabel1[Semaine],Tabel1[[#This Row],[Semaine]],Tabel1[Total Heures]),0)</f>
        <v>0</v>
      </c>
      <c r="L11" s="24" t="str">
        <f>IFERROR(IF(K11&gt;Détails!E$4,K11-Détails!E$4,""),0)</f>
        <v/>
      </c>
      <c r="N11" s="25"/>
      <c r="O11" s="26">
        <f t="shared" ca="1" si="3"/>
        <v>0</v>
      </c>
    </row>
    <row r="12" spans="1:17" ht="30" customHeight="1" x14ac:dyDescent="0.3">
      <c r="A12" s="19" t="str">
        <f t="shared" si="0"/>
        <v>2</v>
      </c>
      <c r="B12" s="20">
        <f t="shared" si="2"/>
        <v>45301</v>
      </c>
      <c r="C12" s="45" t="str" cm="1">
        <f t="array" ref="C12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familial",IFERROR(IF(VLOOKUP($B12,Détails!$H$2:$H$16,1,0),"Férié",""),""))))))</f>
        <v>En poste</v>
      </c>
      <c r="D12" s="21">
        <v>0.33333333333333331</v>
      </c>
      <c r="E12" s="22">
        <v>2.0833333333333332E-2</v>
      </c>
      <c r="F12" s="22"/>
      <c r="G12" s="21">
        <v>0.70833333333333337</v>
      </c>
      <c r="H12" s="23">
        <f t="shared" si="1"/>
        <v>0.35416666666666674</v>
      </c>
      <c r="I12" s="23">
        <f>IF($G12&gt;$D12,MEDIAN($G12,Détails!$D$11,Détails!$E$11)-MEDIAN($D12,Détails!$D$11,Détails!$E$11),($G12&lt;$D12)*(Détails!$D$11-Détails!$E$11)+MEDIAN($G12,Détails!$E$11,Détails!$D$11)-MEDIAN($D12,Détails!$E$11,Détails!$D$11))-$E12</f>
        <v>0.35416666666666674</v>
      </c>
      <c r="J12" s="23">
        <f>MOD($G12-$D12,1)-($G12&lt;$D12)*(Détails!$D$11-Détails!$E$11)-MEDIAN($G12,Détails!$E$11,Détails!$D$11)+MEDIAN($D12,Détails!$E$11,Détails!$D$11)-$F12</f>
        <v>0</v>
      </c>
      <c r="K12" s="36">
        <f>IF(OR(WEEKDAY(Tabel1[[#This Row],[Date]],2)=7, DAY(Tabel1[[#This Row],[Date]])=DAY(EOMONTH(Tabel1[[#This Row],[Date]],0))),SUMIF(Tabel1[Semaine],Tabel1[[#This Row],[Semaine]],Tabel1[Total Heures]),0)</f>
        <v>0</v>
      </c>
      <c r="L12" s="24" t="str">
        <f>IFERROR(IF(K12&gt;Détails!E$4,K12-Détails!E$4,""),0)</f>
        <v/>
      </c>
      <c r="N12" s="25"/>
      <c r="O12" s="26">
        <f t="shared" ca="1" si="3"/>
        <v>0</v>
      </c>
    </row>
    <row r="13" spans="1:17" ht="30" customHeight="1" x14ac:dyDescent="0.3">
      <c r="A13" s="19" t="str">
        <f t="shared" si="0"/>
        <v>2</v>
      </c>
      <c r="B13" s="20">
        <f t="shared" si="2"/>
        <v>45302</v>
      </c>
      <c r="C13" s="45" t="str" cm="1">
        <f t="array" ref="C13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familial",IFERROR(IF(VLOOKUP($B13,Détails!$H$2:$H$16,1,0),"Férié",""),""))))))</f>
        <v>En poste</v>
      </c>
      <c r="D13" s="21">
        <v>0.33333333333333331</v>
      </c>
      <c r="E13" s="22">
        <v>2.0833333333333332E-2</v>
      </c>
      <c r="F13" s="22"/>
      <c r="G13" s="21">
        <v>0.70833333333333337</v>
      </c>
      <c r="H13" s="23">
        <f t="shared" si="1"/>
        <v>0.35416666666666674</v>
      </c>
      <c r="I13" s="23">
        <f>IF($G13&gt;$D13,MEDIAN($G13,Détails!$D$11,Détails!$E$11)-MEDIAN($D13,Détails!$D$11,Détails!$E$11),($G13&lt;$D13)*(Détails!$D$11-Détails!$E$11)+MEDIAN($G13,Détails!$E$11,Détails!$D$11)-MEDIAN($D13,Détails!$E$11,Détails!$D$11))-$E13</f>
        <v>0.35416666666666674</v>
      </c>
      <c r="J13" s="23">
        <f>MOD($G13-$D13,1)-($G13&lt;$D13)*(Détails!$D$11-Détails!$E$11)-MEDIAN($G13,Détails!$E$11,Détails!$D$11)+MEDIAN($D13,Détails!$E$11,Détails!$D$11)-$F13</f>
        <v>0</v>
      </c>
      <c r="K13" s="36">
        <f>IF(OR(WEEKDAY(Tabel1[[#This Row],[Date]],2)=7, DAY(Tabel1[[#This Row],[Date]])=DAY(EOMONTH(Tabel1[[#This Row],[Date]],0))),SUMIF(Tabel1[Semaine],Tabel1[[#This Row],[Semaine]],Tabel1[Total Heures]),0)</f>
        <v>0</v>
      </c>
      <c r="L13" s="24" t="str">
        <f>IFERROR(IF(K13&gt;Détails!E$4,K13-Détails!E$4,""),0)</f>
        <v/>
      </c>
      <c r="N13" s="25"/>
      <c r="O13" s="26">
        <f t="shared" ca="1" si="3"/>
        <v>0</v>
      </c>
    </row>
    <row r="14" spans="1:17" ht="30" customHeight="1" x14ac:dyDescent="0.3">
      <c r="A14" s="19" t="str">
        <f t="shared" si="0"/>
        <v>2</v>
      </c>
      <c r="B14" s="20">
        <f t="shared" si="2"/>
        <v>45303</v>
      </c>
      <c r="C14" s="45" t="str" cm="1">
        <f t="array" ref="C14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familial",IFERROR(IF(VLOOKUP($B14,Détails!$H$2:$H$16,1,0),"Férié",""),""))))))</f>
        <v>En poste</v>
      </c>
      <c r="D14" s="21">
        <v>0.33333333333333331</v>
      </c>
      <c r="E14" s="22">
        <v>2.0833333333333332E-2</v>
      </c>
      <c r="F14" s="22"/>
      <c r="G14" s="21">
        <v>0.5625</v>
      </c>
      <c r="H14" s="23">
        <f t="shared" si="1"/>
        <v>0.20833333333333334</v>
      </c>
      <c r="I14" s="23">
        <f>IF($G14&gt;$D14,MEDIAN($G14,Détails!$D$11,Détails!$E$11)-MEDIAN($D14,Détails!$D$11,Détails!$E$11),($G14&lt;$D14)*(Détails!$D$11-Détails!$E$11)+MEDIAN($G14,Détails!$E$11,Détails!$D$11)-MEDIAN($D14,Détails!$E$11,Détails!$D$11))-$E14</f>
        <v>0.20833333333333334</v>
      </c>
      <c r="J14" s="23">
        <f>MOD($G14-$D14,1)-($G14&lt;$D14)*(Détails!$D$11-Détails!$E$11)-MEDIAN($G14,Détails!$E$11,Détails!$D$11)+MEDIAN($D14,Détails!$E$11,Détails!$D$11)-$F14</f>
        <v>0</v>
      </c>
      <c r="K14" s="36">
        <f>IF(OR(WEEKDAY(Tabel1[[#This Row],[Date]],2)=7, DAY(Tabel1[[#This Row],[Date]])=DAY(EOMONTH(Tabel1[[#This Row],[Date]],0))),SUMIF(Tabel1[Semaine],Tabel1[[#This Row],[Semaine]],Tabel1[Total Heures]),0)</f>
        <v>0</v>
      </c>
      <c r="L14" s="24" t="str">
        <f>IFERROR(IF(K14&gt;Détails!E$4,K14-Détails!E$4,""),0)</f>
        <v/>
      </c>
      <c r="N14" s="25"/>
      <c r="O14" s="26">
        <f t="shared" ca="1" si="3"/>
        <v>0</v>
      </c>
    </row>
    <row r="15" spans="1:17" ht="30" customHeight="1" x14ac:dyDescent="0.3">
      <c r="A15" s="19" t="str">
        <f t="shared" si="0"/>
        <v>2</v>
      </c>
      <c r="B15" s="20">
        <f t="shared" si="2"/>
        <v>45304</v>
      </c>
      <c r="C15" s="45" t="str" cm="1">
        <f t="array" ref="C15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familial",IFERROR(IF(VLOOKUP($B15,Détails!$H$2:$H$16,1,0),"Férié",""),""))))))</f>
        <v/>
      </c>
      <c r="D15" s="21"/>
      <c r="E15" s="22"/>
      <c r="F15" s="22"/>
      <c r="G15" s="21"/>
      <c r="H15" s="23" t="str">
        <f t="shared" si="1"/>
        <v/>
      </c>
      <c r="I15" s="23">
        <f>IF($G15&gt;$D15,MEDIAN($G15,Détails!$D$11,Détails!$E$11)-MEDIAN($D15,Détails!$D$11,Détails!$E$11),($G15&lt;$D15)*(Détails!$D$11-Détails!$E$11)+MEDIAN($G15,Détails!$E$11,Détails!$D$11)-MEDIAN($D15,Détails!$E$11,Détails!$D$11))-$E15</f>
        <v>0</v>
      </c>
      <c r="J15" s="23">
        <f>MOD($G15-$D15,1)-($G15&lt;$D15)*(Détails!$D$11-Détails!$E$11)-MEDIAN($G15,Détails!$E$11,Détails!$D$11)+MEDIAN($D15,Détails!$E$11,Détails!$D$11)-$F15</f>
        <v>0</v>
      </c>
      <c r="K15" s="36">
        <f>IF(OR(WEEKDAY(Tabel1[[#This Row],[Date]],2)=7, DAY(Tabel1[[#This Row],[Date]])=DAY(EOMONTH(Tabel1[[#This Row],[Date]],0))),SUMIF(Tabel1[Semaine],Tabel1[[#This Row],[Semaine]],Tabel1[Total Heures]),0)</f>
        <v>0</v>
      </c>
      <c r="L15" s="24" t="str">
        <f>IFERROR(IF(K15&gt;Détails!E$4,K15-Détails!E$4,""),0)</f>
        <v/>
      </c>
      <c r="N15" s="25"/>
      <c r="O15" s="26">
        <f t="shared" ca="1" si="3"/>
        <v>1</v>
      </c>
    </row>
    <row r="16" spans="1:17" ht="30" customHeight="1" x14ac:dyDescent="0.3">
      <c r="A16" s="19" t="str">
        <f t="shared" si="0"/>
        <v>2</v>
      </c>
      <c r="B16" s="20">
        <f t="shared" si="2"/>
        <v>45305</v>
      </c>
      <c r="C16" s="45" t="str" cm="1">
        <f t="array" ref="C16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familial",IFERROR(IF(VLOOKUP($B16,Détails!$H$2:$H$16,1,0),"Férié",""),""))))))</f>
        <v/>
      </c>
      <c r="D16" s="21"/>
      <c r="E16" s="22"/>
      <c r="F16" s="22"/>
      <c r="G16" s="21"/>
      <c r="H16" s="23" t="str">
        <f t="shared" si="1"/>
        <v/>
      </c>
      <c r="I16" s="23">
        <f>IF($G16&gt;$D16,MEDIAN($G16,Détails!$D$11,Détails!$E$11)-MEDIAN($D16,Détails!$D$11,Détails!$E$11),($G16&lt;$D16)*(Détails!$D$11-Détails!$E$11)+MEDIAN($G16,Détails!$E$11,Détails!$D$11)-MEDIAN($D16,Détails!$E$11,Détails!$D$11))-$E16</f>
        <v>0</v>
      </c>
      <c r="J16" s="23">
        <f>MOD($G16-$D16,1)-($G16&lt;$D16)*(Détails!$D$11-Détails!$E$11)-MEDIAN($G16,Détails!$E$11,Détails!$D$11)+MEDIAN($D16,Détails!$E$11,Détails!$D$11)-$F16</f>
        <v>0</v>
      </c>
      <c r="K16" s="36">
        <f>IF(OR(WEEKDAY(Tabel1[[#This Row],[Date]],2)=7, DAY(Tabel1[[#This Row],[Date]])=DAY(EOMONTH(Tabel1[[#This Row],[Date]],0))),SUMIF(Tabel1[Semaine],Tabel1[[#This Row],[Semaine]],Tabel1[Total Heures]),0)</f>
        <v>1.6250000000000002</v>
      </c>
      <c r="L16" s="24" t="str">
        <f>IFERROR(IF(K16&gt;Détails!E$4,K16-Détails!E$4,""),0)</f>
        <v/>
      </c>
      <c r="N16" s="25"/>
      <c r="O16" s="26">
        <f t="shared" ca="1" si="3"/>
        <v>1</v>
      </c>
    </row>
    <row r="17" spans="1:15" ht="30" customHeight="1" x14ac:dyDescent="0.3">
      <c r="A17" s="19" t="str">
        <f t="shared" si="0"/>
        <v>3</v>
      </c>
      <c r="B17" s="20">
        <f t="shared" si="2"/>
        <v>45306</v>
      </c>
      <c r="C17" s="45" t="str" cm="1">
        <f t="array" ref="C17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familial",IFERROR(IF(VLOOKUP($B17,Détails!$H$2:$H$16,1,0),"Férié",""),""))))))</f>
        <v>En poste</v>
      </c>
      <c r="D17" s="21">
        <v>0.33333333333333331</v>
      </c>
      <c r="E17" s="22">
        <v>2.0833333333333332E-2</v>
      </c>
      <c r="F17" s="22"/>
      <c r="G17" s="21">
        <v>0.70833333333333337</v>
      </c>
      <c r="H17" s="23">
        <f t="shared" si="1"/>
        <v>0.35416666666666674</v>
      </c>
      <c r="I17" s="23">
        <f>IF($G17&gt;$D17,MEDIAN($G17,Détails!$D$11,Détails!$E$11)-MEDIAN($D17,Détails!$D$11,Détails!$E$11),($G17&lt;$D17)*(Détails!$D$11-Détails!$E$11)+MEDIAN($G17,Détails!$E$11,Détails!$D$11)-MEDIAN($D17,Détails!$E$11,Détails!$D$11))-$E17</f>
        <v>0.35416666666666674</v>
      </c>
      <c r="J17" s="23">
        <f>MOD($G17-$D17,1)-($G17&lt;$D17)*(Détails!$D$11-Détails!$E$11)-MEDIAN($G17,Détails!$E$11,Détails!$D$11)+MEDIAN($D17,Détails!$E$11,Détails!$D$11)-$F17</f>
        <v>0</v>
      </c>
      <c r="K17" s="36">
        <f>IF(OR(WEEKDAY(Tabel1[[#This Row],[Date]],2)=7, DAY(Tabel1[[#This Row],[Date]])=DAY(EOMONTH(Tabel1[[#This Row],[Date]],0))),SUMIF(Tabel1[Semaine],Tabel1[[#This Row],[Semaine]],Tabel1[Total Heures]),0)</f>
        <v>0</v>
      </c>
      <c r="L17" s="24" t="str">
        <f>IFERROR(IF(K17&gt;Détails!E$4,K17-Détails!E$4,""),0)</f>
        <v/>
      </c>
      <c r="N17" s="25"/>
      <c r="O17" s="26">
        <f t="shared" ca="1" si="3"/>
        <v>0</v>
      </c>
    </row>
    <row r="18" spans="1:15" ht="30" customHeight="1" x14ac:dyDescent="0.3">
      <c r="A18" s="19" t="str">
        <f t="shared" si="0"/>
        <v>3</v>
      </c>
      <c r="B18" s="20">
        <f t="shared" si="2"/>
        <v>45307</v>
      </c>
      <c r="C18" s="45" t="str" cm="1">
        <f t="array" ref="C18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familial",IFERROR(IF(VLOOKUP($B18,Détails!$H$2:$H$16,1,0),"Férié",""),""))))))</f>
        <v>En poste</v>
      </c>
      <c r="D18" s="21">
        <v>0.33333333333333331</v>
      </c>
      <c r="E18" s="22">
        <v>2.0833333333333332E-2</v>
      </c>
      <c r="F18" s="22"/>
      <c r="G18" s="21">
        <v>0.70833333333333337</v>
      </c>
      <c r="H18" s="23">
        <f t="shared" si="1"/>
        <v>0.35416666666666674</v>
      </c>
      <c r="I18" s="23">
        <f>IF($G18&gt;$D18,MEDIAN($G18,Détails!$D$11,Détails!$E$11)-MEDIAN($D18,Détails!$D$11,Détails!$E$11),($G18&lt;$D18)*(Détails!$D$11-Détails!$E$11)+MEDIAN($G18,Détails!$E$11,Détails!$D$11)-MEDIAN($D18,Détails!$E$11,Détails!$D$11))-$E18</f>
        <v>0.35416666666666674</v>
      </c>
      <c r="J18" s="23">
        <f>MOD($G18-$D18,1)-($G18&lt;$D18)*(Détails!$D$11-Détails!$E$11)-MEDIAN($G18,Détails!$E$11,Détails!$D$11)+MEDIAN($D18,Détails!$E$11,Détails!$D$11)-$F18</f>
        <v>0</v>
      </c>
      <c r="K18" s="36">
        <f>IF(OR(WEEKDAY(Tabel1[[#This Row],[Date]],2)=7, DAY(Tabel1[[#This Row],[Date]])=DAY(EOMONTH(Tabel1[[#This Row],[Date]],0))),SUMIF(Tabel1[Semaine],Tabel1[[#This Row],[Semaine]],Tabel1[Total Heures]),0)</f>
        <v>0</v>
      </c>
      <c r="L18" s="24" t="str">
        <f>IFERROR(IF(K18&gt;Détails!E$4,K18-Détails!E$4,""),0)</f>
        <v/>
      </c>
      <c r="N18" s="25"/>
      <c r="O18" s="26">
        <f t="shared" ca="1" si="3"/>
        <v>0</v>
      </c>
    </row>
    <row r="19" spans="1:15" ht="30" customHeight="1" x14ac:dyDescent="0.3">
      <c r="A19" s="19" t="str">
        <f t="shared" si="0"/>
        <v>3</v>
      </c>
      <c r="B19" s="20">
        <f t="shared" si="2"/>
        <v>45308</v>
      </c>
      <c r="C19" s="45" t="str" cm="1">
        <f t="array" ref="C19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familial",IFERROR(IF(VLOOKUP($B19,Détails!$H$2:$H$16,1,0),"Férié",""),""))))))</f>
        <v>En poste</v>
      </c>
      <c r="D19" s="21">
        <v>0.33333333333333331</v>
      </c>
      <c r="E19" s="22">
        <v>2.0833333333333332E-2</v>
      </c>
      <c r="F19" s="22"/>
      <c r="G19" s="21">
        <v>0.70833333333333337</v>
      </c>
      <c r="H19" s="23">
        <f t="shared" si="1"/>
        <v>0.35416666666666674</v>
      </c>
      <c r="I19" s="23">
        <f>IF($G19&gt;$D19,MEDIAN($G19,Détails!$D$11,Détails!$E$11)-MEDIAN($D19,Détails!$D$11,Détails!$E$11),($G19&lt;$D19)*(Détails!$D$11-Détails!$E$11)+MEDIAN($G19,Détails!$E$11,Détails!$D$11)-MEDIAN($D19,Détails!$E$11,Détails!$D$11))-$E19</f>
        <v>0.35416666666666674</v>
      </c>
      <c r="J19" s="23">
        <f>MOD($G19-$D19,1)-($G19&lt;$D19)*(Détails!$D$11-Détails!$E$11)-MEDIAN($G19,Détails!$E$11,Détails!$D$11)+MEDIAN($D19,Détails!$E$11,Détails!$D$11)-$F19</f>
        <v>0</v>
      </c>
      <c r="K19" s="36">
        <f>IF(OR(WEEKDAY(Tabel1[[#This Row],[Date]],2)=7, DAY(Tabel1[[#This Row],[Date]])=DAY(EOMONTH(Tabel1[[#This Row],[Date]],0))),SUMIF(Tabel1[Semaine],Tabel1[[#This Row],[Semaine]],Tabel1[Total Heures]),0)</f>
        <v>0</v>
      </c>
      <c r="L19" s="24" t="str">
        <f>IFERROR(IF(K19&gt;Détails!E$4,K19-Détails!E$4,""),0)</f>
        <v/>
      </c>
      <c r="N19" s="25"/>
      <c r="O19" s="26">
        <f t="shared" ca="1" si="3"/>
        <v>0</v>
      </c>
    </row>
    <row r="20" spans="1:15" ht="30" customHeight="1" x14ac:dyDescent="0.3">
      <c r="A20" s="19" t="str">
        <f t="shared" si="0"/>
        <v>3</v>
      </c>
      <c r="B20" s="20">
        <f t="shared" si="2"/>
        <v>45309</v>
      </c>
      <c r="C20" s="45" t="str" cm="1">
        <f t="array" ref="C20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familial",IFERROR(IF(VLOOKUP($B20,Détails!$H$2:$H$16,1,0),"Férié",""),""))))))</f>
        <v>En poste</v>
      </c>
      <c r="D20" s="21">
        <v>0.33333333333333331</v>
      </c>
      <c r="E20" s="22">
        <v>2.0833333333333332E-2</v>
      </c>
      <c r="F20" s="22"/>
      <c r="G20" s="21">
        <v>0.70833333333333337</v>
      </c>
      <c r="H20" s="23">
        <f t="shared" si="1"/>
        <v>0.35416666666666674</v>
      </c>
      <c r="I20" s="23">
        <f>IF($G20&gt;$D20,MEDIAN($G20,Détails!$D$11,Détails!$E$11)-MEDIAN($D20,Détails!$D$11,Détails!$E$11),($G20&lt;$D20)*(Détails!$D$11-Détails!$E$11)+MEDIAN($G20,Détails!$E$11,Détails!$D$11)-MEDIAN($D20,Détails!$E$11,Détails!$D$11))-$E20</f>
        <v>0.35416666666666674</v>
      </c>
      <c r="J20" s="23">
        <f>MOD($G20-$D20,1)-($G20&lt;$D20)*(Détails!$D$11-Détails!$E$11)-MEDIAN($G20,Détails!$E$11,Détails!$D$11)+MEDIAN($D20,Détails!$E$11,Détails!$D$11)-$F20</f>
        <v>0</v>
      </c>
      <c r="K20" s="36">
        <f>IF(OR(WEEKDAY(Tabel1[[#This Row],[Date]],2)=7, DAY(Tabel1[[#This Row],[Date]])=DAY(EOMONTH(Tabel1[[#This Row],[Date]],0))),SUMIF(Tabel1[Semaine],Tabel1[[#This Row],[Semaine]],Tabel1[Total Heures]),0)</f>
        <v>0</v>
      </c>
      <c r="L20" s="24" t="str">
        <f>IFERROR(IF(K20&gt;Détails!E$4,K20-Détails!E$4,""),0)</f>
        <v/>
      </c>
      <c r="N20" s="25"/>
      <c r="O20" s="26">
        <f t="shared" ca="1" si="3"/>
        <v>0</v>
      </c>
    </row>
    <row r="21" spans="1:15" ht="30" customHeight="1" x14ac:dyDescent="0.3">
      <c r="A21" s="19" t="str">
        <f t="shared" si="0"/>
        <v>3</v>
      </c>
      <c r="B21" s="20">
        <f t="shared" si="2"/>
        <v>45310</v>
      </c>
      <c r="C21" s="45" t="str" cm="1">
        <f t="array" ref="C21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familial",IFERROR(IF(VLOOKUP($B21,Détails!$H$2:$H$16,1,0),"Férié",""),""))))))</f>
        <v>En poste</v>
      </c>
      <c r="D21" s="21">
        <v>0.33333333333333331</v>
      </c>
      <c r="E21" s="22">
        <v>2.0833333333333332E-2</v>
      </c>
      <c r="F21" s="22"/>
      <c r="G21" s="21">
        <v>0.5625</v>
      </c>
      <c r="H21" s="23">
        <f t="shared" si="1"/>
        <v>0.20833333333333334</v>
      </c>
      <c r="I21" s="23">
        <f>IF($G21&gt;$D21,MEDIAN($G21,Détails!$D$11,Détails!$E$11)-MEDIAN($D21,Détails!$D$11,Détails!$E$11),($G21&lt;$D21)*(Détails!$D$11-Détails!$E$11)+MEDIAN($G21,Détails!$E$11,Détails!$D$11)-MEDIAN($D21,Détails!$E$11,Détails!$D$11))-$E21</f>
        <v>0.20833333333333334</v>
      </c>
      <c r="J21" s="23">
        <f>MOD($G21-$D21,1)-($G21&lt;$D21)*(Détails!$D$11-Détails!$E$11)-MEDIAN($G21,Détails!$E$11,Détails!$D$11)+MEDIAN($D21,Détails!$E$11,Détails!$D$11)-$F21</f>
        <v>0</v>
      </c>
      <c r="K21" s="36">
        <f>IF(OR(WEEKDAY(Tabel1[[#This Row],[Date]],2)=7, DAY(Tabel1[[#This Row],[Date]])=DAY(EOMONTH(Tabel1[[#This Row],[Date]],0))),SUMIF(Tabel1[Semaine],Tabel1[[#This Row],[Semaine]],Tabel1[Total Heures]),0)</f>
        <v>0</v>
      </c>
      <c r="L21" s="24" t="str">
        <f>IFERROR(IF(K21&gt;Détails!E$4,K21-Détails!E$4,""),0)</f>
        <v/>
      </c>
      <c r="N21" s="25"/>
      <c r="O21" s="26">
        <f t="shared" ca="1" si="3"/>
        <v>0</v>
      </c>
    </row>
    <row r="22" spans="1:15" ht="30" customHeight="1" x14ac:dyDescent="0.3">
      <c r="A22" s="19" t="str">
        <f t="shared" si="0"/>
        <v>3</v>
      </c>
      <c r="B22" s="20">
        <f t="shared" si="2"/>
        <v>45311</v>
      </c>
      <c r="C22" s="45" t="str" cm="1">
        <f t="array" ref="C22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familial",IFERROR(IF(VLOOKUP($B22,Détails!$H$2:$H$16,1,0),"Férié",""),""))))))</f>
        <v/>
      </c>
      <c r="D22" s="21"/>
      <c r="E22" s="22"/>
      <c r="F22" s="22"/>
      <c r="G22" s="21"/>
      <c r="H22" s="23" t="str">
        <f t="shared" si="1"/>
        <v/>
      </c>
      <c r="I22" s="23">
        <f>IF($G22&gt;$D22,MEDIAN($G22,Détails!$D$11,Détails!$E$11)-MEDIAN($D22,Détails!$D$11,Détails!$E$11),($G22&lt;$D22)*(Détails!$D$11-Détails!$E$11)+MEDIAN($G22,Détails!$E$11,Détails!$D$11)-MEDIAN($D22,Détails!$E$11,Détails!$D$11))-$E22</f>
        <v>0</v>
      </c>
      <c r="J22" s="23">
        <f>MOD($G22-$D22,1)-($G22&lt;$D22)*(Détails!$D$11-Détails!$E$11)-MEDIAN($G22,Détails!$E$11,Détails!$D$11)+MEDIAN($D22,Détails!$E$11,Détails!$D$11)-$F22</f>
        <v>0</v>
      </c>
      <c r="K22" s="36">
        <f>IF(OR(WEEKDAY(Tabel1[[#This Row],[Date]],2)=7, DAY(Tabel1[[#This Row],[Date]])=DAY(EOMONTH(Tabel1[[#This Row],[Date]],0))),SUMIF(Tabel1[Semaine],Tabel1[[#This Row],[Semaine]],Tabel1[Total Heures]),0)</f>
        <v>0</v>
      </c>
      <c r="L22" s="24" t="str">
        <f>IFERROR(IF(K22&gt;Détails!E$4,K22-Détails!E$4,""),0)</f>
        <v/>
      </c>
      <c r="N22" s="25"/>
      <c r="O22" s="26">
        <f t="shared" ca="1" si="3"/>
        <v>1</v>
      </c>
    </row>
    <row r="23" spans="1:15" ht="30" customHeight="1" x14ac:dyDescent="0.3">
      <c r="A23" s="19" t="str">
        <f t="shared" si="0"/>
        <v>3</v>
      </c>
      <c r="B23" s="20">
        <f t="shared" si="2"/>
        <v>45312</v>
      </c>
      <c r="C23" s="45" t="str" cm="1">
        <f t="array" ref="C23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familial",IFERROR(IF(VLOOKUP($B23,Détails!$H$2:$H$16,1,0),"Férié",""),""))))))</f>
        <v/>
      </c>
      <c r="D23" s="21"/>
      <c r="E23" s="22"/>
      <c r="F23" s="22"/>
      <c r="G23" s="21"/>
      <c r="H23" s="23" t="str">
        <f t="shared" si="1"/>
        <v/>
      </c>
      <c r="I23" s="23">
        <f>IF($G23&gt;$D23,MEDIAN($G23,Détails!$D$11,Détails!$E$11)-MEDIAN($D23,Détails!$D$11,Détails!$E$11),($G23&lt;$D23)*(Détails!$D$11-Détails!$E$11)+MEDIAN($G23,Détails!$E$11,Détails!$D$11)-MEDIAN($D23,Détails!$E$11,Détails!$D$11))-$E23</f>
        <v>0</v>
      </c>
      <c r="J23" s="23">
        <f>MOD($G23-$D23,1)-($G23&lt;$D23)*(Détails!$D$11-Détails!$E$11)-MEDIAN($G23,Détails!$E$11,Détails!$D$11)+MEDIAN($D23,Détails!$E$11,Détails!$D$11)-$F23</f>
        <v>0</v>
      </c>
      <c r="K23" s="36">
        <f>IF(OR(WEEKDAY(Tabel1[[#This Row],[Date]],2)=7, DAY(Tabel1[[#This Row],[Date]])=DAY(EOMONTH(Tabel1[[#This Row],[Date]],0))),SUMIF(Tabel1[Semaine],Tabel1[[#This Row],[Semaine]],Tabel1[Total Heures]),0)</f>
        <v>1.6250000000000002</v>
      </c>
      <c r="L23" s="24" t="str">
        <f>IFERROR(IF(K23&gt;Détails!E$4,K23-Détails!E$4,""),0)</f>
        <v/>
      </c>
      <c r="O23" s="26">
        <f t="shared" ca="1" si="3"/>
        <v>1</v>
      </c>
    </row>
    <row r="24" spans="1:15" ht="30" customHeight="1" x14ac:dyDescent="0.3">
      <c r="A24" s="19" t="str">
        <f t="shared" si="0"/>
        <v>4</v>
      </c>
      <c r="B24" s="20">
        <f t="shared" si="2"/>
        <v>45313</v>
      </c>
      <c r="C24" s="45" t="str" cm="1">
        <f t="array" ref="C24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familial",IFERROR(IF(VLOOKUP($B24,Détails!$H$2:$H$16,1,0),"Férié",""),""))))))</f>
        <v>En poste</v>
      </c>
      <c r="D24" s="21">
        <v>0.33333333333333331</v>
      </c>
      <c r="E24" s="22">
        <v>2.0833333333333332E-2</v>
      </c>
      <c r="F24" s="22"/>
      <c r="G24" s="21">
        <v>0.70833333333333337</v>
      </c>
      <c r="H24" s="23">
        <f t="shared" si="1"/>
        <v>0.35416666666666674</v>
      </c>
      <c r="I24" s="23">
        <f>IF($G24&gt;$D24,MEDIAN($G24,Détails!$D$11,Détails!$E$11)-MEDIAN($D24,Détails!$D$11,Détails!$E$11),($G24&lt;$D24)*(Détails!$D$11-Détails!$E$11)+MEDIAN($G24,Détails!$E$11,Détails!$D$11)-MEDIAN($D24,Détails!$E$11,Détails!$D$11))-$E24</f>
        <v>0.35416666666666674</v>
      </c>
      <c r="J24" s="23">
        <f>MOD($G24-$D24,1)-($G24&lt;$D24)*(Détails!$D$11-Détails!$E$11)-MEDIAN($G24,Détails!$E$11,Détails!$D$11)+MEDIAN($D24,Détails!$E$11,Détails!$D$11)-$F24</f>
        <v>0</v>
      </c>
      <c r="K24" s="36">
        <f>IF(OR(WEEKDAY(Tabel1[[#This Row],[Date]],2)=7, DAY(Tabel1[[#This Row],[Date]])=DAY(EOMONTH(Tabel1[[#This Row],[Date]],0))),SUMIF(Tabel1[Semaine],Tabel1[[#This Row],[Semaine]],Tabel1[Total Heures]),0)</f>
        <v>0</v>
      </c>
      <c r="L24" s="24" t="str">
        <f>IFERROR(IF(K24&gt;Détails!E$4,K24-Détails!E$4,""),0)</f>
        <v/>
      </c>
      <c r="O24" s="26">
        <f t="shared" ca="1" si="3"/>
        <v>0</v>
      </c>
    </row>
    <row r="25" spans="1:15" ht="30" customHeight="1" x14ac:dyDescent="0.3">
      <c r="A25" s="19" t="str">
        <f t="shared" si="0"/>
        <v>4</v>
      </c>
      <c r="B25" s="20">
        <f t="shared" si="2"/>
        <v>45314</v>
      </c>
      <c r="C25" s="45" t="str" cm="1">
        <f t="array" ref="C25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familial",IFERROR(IF(VLOOKUP($B25,Détails!$H$2:$H$16,1,0),"Férié",""),""))))))</f>
        <v>En poste</v>
      </c>
      <c r="D25" s="21">
        <v>0.33333333333333331</v>
      </c>
      <c r="E25" s="22">
        <v>2.0833333333333332E-2</v>
      </c>
      <c r="F25" s="22"/>
      <c r="G25" s="21">
        <v>0.70833333333333337</v>
      </c>
      <c r="H25" s="23">
        <f t="shared" si="1"/>
        <v>0.35416666666666674</v>
      </c>
      <c r="I25" s="23">
        <f>IF($G25&gt;$D25,MEDIAN($G25,Détails!$D$11,Détails!$E$11)-MEDIAN($D25,Détails!$D$11,Détails!$E$11),($G25&lt;$D25)*(Détails!$D$11-Détails!$E$11)+MEDIAN($G25,Détails!$E$11,Détails!$D$11)-MEDIAN($D25,Détails!$E$11,Détails!$D$11))-$E25</f>
        <v>0.35416666666666674</v>
      </c>
      <c r="J25" s="23">
        <f>MOD($G25-$D25,1)-($G25&lt;$D25)*(Détails!$D$11-Détails!$E$11)-MEDIAN($G25,Détails!$E$11,Détails!$D$11)+MEDIAN($D25,Détails!$E$11,Détails!$D$11)-$F25</f>
        <v>0</v>
      </c>
      <c r="K25" s="36">
        <f>IF(OR(WEEKDAY(Tabel1[[#This Row],[Date]],2)=7, DAY(Tabel1[[#This Row],[Date]])=DAY(EOMONTH(Tabel1[[#This Row],[Date]],0))),SUMIF(Tabel1[Semaine],Tabel1[[#This Row],[Semaine]],Tabel1[Total Heures]),0)</f>
        <v>0</v>
      </c>
      <c r="L25" s="24" t="str">
        <f>IFERROR(IF(K25&gt;Détails!E$4,K25-Détails!E$4,""),0)</f>
        <v/>
      </c>
      <c r="O25" s="26">
        <f t="shared" ca="1" si="3"/>
        <v>0</v>
      </c>
    </row>
    <row r="26" spans="1:15" ht="30" customHeight="1" x14ac:dyDescent="0.3">
      <c r="A26" s="19" t="str">
        <f t="shared" si="0"/>
        <v>4</v>
      </c>
      <c r="B26" s="20">
        <f t="shared" si="2"/>
        <v>45315</v>
      </c>
      <c r="C26" s="45" t="str" cm="1">
        <f t="array" ref="C26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familial",IFERROR(IF(VLOOKUP($B26,Détails!$H$2:$H$16,1,0),"Férié",""),""))))))</f>
        <v>En poste</v>
      </c>
      <c r="D26" s="21">
        <v>0.33333333333333331</v>
      </c>
      <c r="E26" s="22">
        <v>2.0833333333333332E-2</v>
      </c>
      <c r="F26" s="22"/>
      <c r="G26" s="21">
        <v>0.70833333333333337</v>
      </c>
      <c r="H26" s="23">
        <f t="shared" si="1"/>
        <v>0.35416666666666674</v>
      </c>
      <c r="I26" s="23">
        <f>IF($G26&gt;$D26,MEDIAN($G26,Détails!$D$11,Détails!$E$11)-MEDIAN($D26,Détails!$D$11,Détails!$E$11),($G26&lt;$D26)*(Détails!$D$11-Détails!$E$11)+MEDIAN($G26,Détails!$E$11,Détails!$D$11)-MEDIAN($D26,Détails!$E$11,Détails!$D$11))-$E26</f>
        <v>0.35416666666666674</v>
      </c>
      <c r="J26" s="23">
        <f>MOD($G26-$D26,1)-($G26&lt;$D26)*(Détails!$D$11-Détails!$E$11)-MEDIAN($G26,Détails!$E$11,Détails!$D$11)+MEDIAN($D26,Détails!$E$11,Détails!$D$11)-$F26</f>
        <v>0</v>
      </c>
      <c r="K26" s="36">
        <f>IF(OR(WEEKDAY(Tabel1[[#This Row],[Date]],2)=7, DAY(Tabel1[[#This Row],[Date]])=DAY(EOMONTH(Tabel1[[#This Row],[Date]],0))),SUMIF(Tabel1[Semaine],Tabel1[[#This Row],[Semaine]],Tabel1[Total Heures]),0)</f>
        <v>0</v>
      </c>
      <c r="L26" s="24" t="str">
        <f>IFERROR(IF(K26&gt;Détails!E$4,K26-Détails!E$4,""),0)</f>
        <v/>
      </c>
      <c r="O26" s="26">
        <f t="shared" ca="1" si="3"/>
        <v>0</v>
      </c>
    </row>
    <row r="27" spans="1:15" ht="30" customHeight="1" x14ac:dyDescent="0.3">
      <c r="A27" s="19" t="str">
        <f t="shared" si="0"/>
        <v>4</v>
      </c>
      <c r="B27" s="20">
        <f t="shared" si="2"/>
        <v>45316</v>
      </c>
      <c r="C27" s="45" t="str" cm="1">
        <f t="array" ref="C27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familial",IFERROR(IF(VLOOKUP($B27,Détails!$H$2:$H$16,1,0),"Férié",""),""))))))</f>
        <v>En poste</v>
      </c>
      <c r="D27" s="21">
        <v>0.33333333333333331</v>
      </c>
      <c r="E27" s="22">
        <v>2.0833333333333332E-2</v>
      </c>
      <c r="F27" s="22"/>
      <c r="G27" s="21">
        <v>0.70833333333333337</v>
      </c>
      <c r="H27" s="23">
        <f t="shared" si="1"/>
        <v>0.35416666666666674</v>
      </c>
      <c r="I27" s="23">
        <f>IF($G27&gt;$D27,MEDIAN($G27,Détails!$D$11,Détails!$E$11)-MEDIAN($D27,Détails!$D$11,Détails!$E$11),($G27&lt;$D27)*(Détails!$D$11-Détails!$E$11)+MEDIAN($G27,Détails!$E$11,Détails!$D$11)-MEDIAN($D27,Détails!$E$11,Détails!$D$11))-$E27</f>
        <v>0.35416666666666674</v>
      </c>
      <c r="J27" s="23">
        <f>MOD($G27-$D27,1)-($G27&lt;$D27)*(Détails!$D$11-Détails!$E$11)-MEDIAN($G27,Détails!$E$11,Détails!$D$11)+MEDIAN($D27,Détails!$E$11,Détails!$D$11)-$F27</f>
        <v>0</v>
      </c>
      <c r="K27" s="36">
        <f>IF(OR(WEEKDAY(Tabel1[[#This Row],[Date]],2)=7, DAY(Tabel1[[#This Row],[Date]])=DAY(EOMONTH(Tabel1[[#This Row],[Date]],0))),SUMIF(Tabel1[Semaine],Tabel1[[#This Row],[Semaine]],Tabel1[Total Heures]),0)</f>
        <v>0</v>
      </c>
      <c r="L27" s="24" t="str">
        <f>IFERROR(IF(K27&gt;Détails!E$4,K27-Détails!E$4,""),0)</f>
        <v/>
      </c>
      <c r="O27" s="26">
        <f t="shared" ca="1" si="3"/>
        <v>0</v>
      </c>
    </row>
    <row r="28" spans="1:15" ht="30" customHeight="1" x14ac:dyDescent="0.3">
      <c r="A28" s="19" t="str">
        <f t="shared" si="0"/>
        <v>4</v>
      </c>
      <c r="B28" s="20">
        <f t="shared" si="2"/>
        <v>45317</v>
      </c>
      <c r="C28" s="45" t="str" cm="1">
        <f t="array" ref="C28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familial",IFERROR(IF(VLOOKUP($B28,Détails!$H$2:$H$16,1,0),"Férié",""),""))))))</f>
        <v>En poste</v>
      </c>
      <c r="D28" s="21">
        <v>0.33333333333333331</v>
      </c>
      <c r="E28" s="22">
        <v>2.0833333333333332E-2</v>
      </c>
      <c r="F28" s="22"/>
      <c r="G28" s="21">
        <v>0.5625</v>
      </c>
      <c r="H28" s="23">
        <f t="shared" si="1"/>
        <v>0.20833333333333334</v>
      </c>
      <c r="I28" s="23">
        <f>IF($G28&gt;$D28,MEDIAN($G28,Détails!$D$11,Détails!$E$11)-MEDIAN($D28,Détails!$D$11,Détails!$E$11),($G28&lt;$D28)*(Détails!$D$11-Détails!$E$11)+MEDIAN($G28,Détails!$E$11,Détails!$D$11)-MEDIAN($D28,Détails!$E$11,Détails!$D$11))-$E28</f>
        <v>0.20833333333333334</v>
      </c>
      <c r="J28" s="23">
        <f>MOD($G28-$D28,1)-($G28&lt;$D28)*(Détails!$D$11-Détails!$E$11)-MEDIAN($G28,Détails!$E$11,Détails!$D$11)+MEDIAN($D28,Détails!$E$11,Détails!$D$11)-$F28</f>
        <v>0</v>
      </c>
      <c r="K28" s="36">
        <f>IF(OR(WEEKDAY(Tabel1[[#This Row],[Date]],2)=7, DAY(Tabel1[[#This Row],[Date]])=DAY(EOMONTH(Tabel1[[#This Row],[Date]],0))),SUMIF(Tabel1[Semaine],Tabel1[[#This Row],[Semaine]],Tabel1[Total Heures]),0)</f>
        <v>0</v>
      </c>
      <c r="L28" s="24" t="str">
        <f>IFERROR(IF(K28&gt;Détails!E$4,K28-Détails!E$4,""),0)</f>
        <v/>
      </c>
      <c r="O28" s="26">
        <f t="shared" ca="1" si="3"/>
        <v>0</v>
      </c>
    </row>
    <row r="29" spans="1:15" ht="30" customHeight="1" x14ac:dyDescent="0.3">
      <c r="A29" s="19" t="str">
        <f t="shared" si="0"/>
        <v>4</v>
      </c>
      <c r="B29" s="20">
        <f t="shared" si="2"/>
        <v>45318</v>
      </c>
      <c r="C29" s="45" t="str" cm="1">
        <f t="array" ref="C29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familial",IFERROR(IF(VLOOKUP($B29,Détails!$H$2:$H$16,1,0),"Férié",""),""))))))</f>
        <v/>
      </c>
      <c r="D29" s="21"/>
      <c r="E29" s="22"/>
      <c r="F29" s="22"/>
      <c r="G29" s="21"/>
      <c r="H29" s="23" t="str">
        <f t="shared" si="1"/>
        <v/>
      </c>
      <c r="I29" s="23">
        <f>IF($G29&gt;$D29,MEDIAN($G29,Détails!$D$11,Détails!$E$11)-MEDIAN($D29,Détails!$D$11,Détails!$E$11),($G29&lt;$D29)*(Détails!$D$11-Détails!$E$11)+MEDIAN($G29,Détails!$E$11,Détails!$D$11)-MEDIAN($D29,Détails!$E$11,Détails!$D$11))-$E29</f>
        <v>0</v>
      </c>
      <c r="J29" s="23">
        <f>MOD($G29-$D29,1)-($G29&lt;$D29)*(Détails!$D$11-Détails!$E$11)-MEDIAN($G29,Détails!$E$11,Détails!$D$11)+MEDIAN($D29,Détails!$E$11,Détails!$D$11)-$F29</f>
        <v>0</v>
      </c>
      <c r="K29" s="36">
        <f>IF(OR(WEEKDAY(Tabel1[[#This Row],[Date]],2)=7, DAY(Tabel1[[#This Row],[Date]])=DAY(EOMONTH(Tabel1[[#This Row],[Date]],0))),SUMIF(Tabel1[Semaine],Tabel1[[#This Row],[Semaine]],Tabel1[Total Heures]),0)</f>
        <v>0</v>
      </c>
      <c r="L29" s="24" t="str">
        <f>IFERROR(IF(K29&gt;Détails!E$4,K29-Détails!E$4,""),0)</f>
        <v/>
      </c>
      <c r="O29" s="26">
        <f t="shared" ca="1" si="3"/>
        <v>1</v>
      </c>
    </row>
    <row r="30" spans="1:15" ht="30" customHeight="1" x14ac:dyDescent="0.3">
      <c r="A30" s="19" t="str">
        <f t="shared" si="0"/>
        <v>4</v>
      </c>
      <c r="B30" s="20">
        <f t="shared" si="2"/>
        <v>45319</v>
      </c>
      <c r="C30" s="45" t="str" cm="1">
        <f t="array" ref="C30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familial",IFERROR(IF(VLOOKUP($B30,Détails!$H$2:$H$16,1,0),"Férié",""),""))))))</f>
        <v/>
      </c>
      <c r="D30" s="21"/>
      <c r="E30" s="22"/>
      <c r="F30" s="22"/>
      <c r="G30" s="21"/>
      <c r="H30" s="23" t="str">
        <f t="shared" si="1"/>
        <v/>
      </c>
      <c r="I30" s="23">
        <f>IF($G30&gt;$D30,MEDIAN($G30,Détails!$D$11,Détails!$E$11)-MEDIAN($D30,Détails!$D$11,Détails!$E$11),($G30&lt;$D30)*(Détails!$D$11-Détails!$E$11)+MEDIAN($G30,Détails!$E$11,Détails!$D$11)-MEDIAN($D30,Détails!$E$11,Détails!$D$11))-$E30</f>
        <v>0</v>
      </c>
      <c r="J30" s="23">
        <f>MOD($G30-$D30,1)-($G30&lt;$D30)*(Détails!$D$11-Détails!$E$11)-MEDIAN($G30,Détails!$E$11,Détails!$D$11)+MEDIAN($D30,Détails!$E$11,Détails!$D$11)-$F30</f>
        <v>0</v>
      </c>
      <c r="K30" s="36">
        <f>IF(OR(WEEKDAY(Tabel1[[#This Row],[Date]],2)=7, DAY(Tabel1[[#This Row],[Date]])=DAY(EOMONTH(Tabel1[[#This Row],[Date]],0))),SUMIF(Tabel1[Semaine],Tabel1[[#This Row],[Semaine]],Tabel1[Total Heures]),0)</f>
        <v>1.6250000000000002</v>
      </c>
      <c r="L30" s="24" t="str">
        <f>IFERROR(IF(K30&gt;Détails!E$4,K30-Détails!E$4,""),0)</f>
        <v/>
      </c>
      <c r="O30" s="26">
        <f t="shared" ca="1" si="3"/>
        <v>1</v>
      </c>
    </row>
    <row r="31" spans="1:15" ht="30" customHeight="1" x14ac:dyDescent="0.3">
      <c r="A31" s="19" t="str">
        <f t="shared" si="0"/>
        <v>5</v>
      </c>
      <c r="B31" s="20">
        <f t="shared" si="2"/>
        <v>45320</v>
      </c>
      <c r="C31" s="45" t="str" cm="1">
        <f t="array" ref="C31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familial",IFERROR(IF(VLOOKUP($B31,Détails!$H$2:$H$16,1,0),"Férié",""),""))))))</f>
        <v>En poste</v>
      </c>
      <c r="D31" s="21">
        <v>0.33333333333333331</v>
      </c>
      <c r="E31" s="22">
        <v>2.0833333333333332E-2</v>
      </c>
      <c r="F31" s="22"/>
      <c r="G31" s="21">
        <v>0.70833333333333337</v>
      </c>
      <c r="H31" s="23">
        <f t="shared" si="1"/>
        <v>0.35416666666666674</v>
      </c>
      <c r="I31" s="23">
        <f>IF($G31&gt;$D31,MEDIAN($G31,Détails!$D$11,Détails!$E$11)-MEDIAN($D31,Détails!$D$11,Détails!$E$11),($G31&lt;$D31)*(Détails!$D$11-Détails!$E$11)+MEDIAN($G31,Détails!$E$11,Détails!$D$11)-MEDIAN($D31,Détails!$E$11,Détails!$D$11))-$E31</f>
        <v>0.35416666666666674</v>
      </c>
      <c r="J31" s="23">
        <f>MOD($G31-$D31,1)-($G31&lt;$D31)*(Détails!$D$11-Détails!$E$11)-MEDIAN($G31,Détails!$E$11,Détails!$D$11)+MEDIAN($D31,Détails!$E$11,Détails!$D$11)-$F31</f>
        <v>0</v>
      </c>
      <c r="K31" s="36">
        <f>IF(OR(WEEKDAY(Tabel1[[#This Row],[Date]],2)=7, DAY(Tabel1[[#This Row],[Date]])=DAY(EOMONTH(Tabel1[[#This Row],[Date]],0))),SUMIF(Tabel1[Semaine],Tabel1[[#This Row],[Semaine]],Tabel1[Total Heures]),0)</f>
        <v>0</v>
      </c>
      <c r="L31" s="24" t="str">
        <f>IFERROR(IF(K31&gt;Détails!E$4,K31-Détails!E$4,""),0)</f>
        <v/>
      </c>
      <c r="O31" s="26">
        <f t="shared" ca="1" si="3"/>
        <v>0</v>
      </c>
    </row>
    <row r="32" spans="1:15" ht="30" customHeight="1" x14ac:dyDescent="0.3">
      <c r="A32" s="19" t="str">
        <f t="shared" si="0"/>
        <v>5</v>
      </c>
      <c r="B32" s="20">
        <f t="shared" si="2"/>
        <v>45321</v>
      </c>
      <c r="C32" s="45" t="str" cm="1">
        <f t="array" ref="C32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familial",IFERROR(IF(VLOOKUP($B32,Détails!$H$2:$H$16,1,0),"Férié",""),""))))))</f>
        <v>En poste</v>
      </c>
      <c r="D32" s="21">
        <v>0.33333333333333331</v>
      </c>
      <c r="E32" s="22">
        <v>2.0833333333333332E-2</v>
      </c>
      <c r="F32" s="22"/>
      <c r="G32" s="21">
        <v>0.70833333333333337</v>
      </c>
      <c r="H32" s="23">
        <f t="shared" si="1"/>
        <v>0.35416666666666674</v>
      </c>
      <c r="I32" s="23">
        <f>IF($G32&gt;$D32,MEDIAN($G32,Détails!$D$11,Détails!$E$11)-MEDIAN($D32,Détails!$D$11,Détails!$E$11),($G32&lt;$D32)*(Détails!$D$11-Détails!$E$11)+MEDIAN($G32,Détails!$E$11,Détails!$D$11)-MEDIAN($D32,Détails!$E$11,Détails!$D$11))-$E32</f>
        <v>0.35416666666666674</v>
      </c>
      <c r="J32" s="23">
        <f>MOD($G32-$D32,1)-($G32&lt;$D32)*(Détails!$D$11-Détails!$E$11)-MEDIAN($G32,Détails!$E$11,Détails!$D$11)+MEDIAN($D32,Détails!$E$11,Détails!$D$11)-$F32</f>
        <v>0</v>
      </c>
      <c r="K32" s="36">
        <f>IF(OR(WEEKDAY(Tabel1[[#This Row],[Date]],2)=7, DAY(Tabel1[[#This Row],[Date]])=DAY(EOMONTH(Tabel1[[#This Row],[Date]],0))),SUMIF(Tabel1[Semaine],Tabel1[[#This Row],[Semaine]],Tabel1[Total Heures]),0)</f>
        <v>0</v>
      </c>
      <c r="L32" s="24" t="str">
        <f>IFERROR(IF(K32&gt;Détails!E$4,K32-Détails!E$4,""),0)</f>
        <v/>
      </c>
      <c r="O32" s="26">
        <f t="shared" ca="1" si="3"/>
        <v>0</v>
      </c>
    </row>
    <row r="33" spans="1:15" ht="30" customHeight="1" x14ac:dyDescent="0.3">
      <c r="A33" s="19" t="str">
        <f t="shared" si="0"/>
        <v>5</v>
      </c>
      <c r="B33" s="20">
        <f t="shared" si="2"/>
        <v>45322</v>
      </c>
      <c r="C33" s="45" t="str" cm="1">
        <f t="array" ref="C33">IF(ISNUMBER(Tabel1[[#This Row],[Ouverture de poste]]),"En poste",IF(ISNUMBER(_xlfn.AGGREGATE(15,6,ROW(#REF!)/((#REF!&lt;=Tabel1[[#This Row],[Date]])*(Tabel1[[#This Row],[Date]]&lt;=#REF!)),1)),"Arrêt maladie",IF(ISNUMBER(_xlfn.AGGREGATE(15,6,ROW(#REF!)/((#REF!&lt;=Tabel1[[#This Row],[Date]])*(Tabel1[[#This Row],[Date]]&lt;=#REF!)),1)),"Accident du travail",IF(ISNUMBER(_xlfn.AGGREGATE(15,6,ROW(#REF!)/((#REF!&lt;=Tabel1[[#This Row],[Date]])*(Tabel1[[#This Row],[Date]]&lt;=#REF!)),1)),"Congé",
IF(ISNUMBER(_xlfn.AGGREGATE(15,6,ROW(#REF!)/((#REF!&lt;=Tabel1[[#This Row],[Date]])*(Tabel1[[#This Row],[Date]]&lt;=#REF!)),1)),"Congé pour évènement familial",IFERROR(IF(VLOOKUP($B33,Détails!$H$2:$H$16,1,0),"Férié",""),""))))))</f>
        <v>En poste</v>
      </c>
      <c r="D33" s="21">
        <v>0.33333333333333331</v>
      </c>
      <c r="E33" s="22">
        <v>2.0833333333333332E-2</v>
      </c>
      <c r="F33" s="22"/>
      <c r="G33" s="21">
        <v>0.70833333333333337</v>
      </c>
      <c r="H33" s="23">
        <f t="shared" si="1"/>
        <v>0.35416666666666674</v>
      </c>
      <c r="I33" s="23">
        <f>IF($G33&gt;$D33,MEDIAN($G33,Détails!$D$11,Détails!$E$11)-MEDIAN($D33,Détails!$D$11,Détails!$E$11),($G33&lt;$D33)*(Détails!$D$11-Détails!$E$11)+MEDIAN($G33,Détails!$E$11,Détails!$D$11)-MEDIAN($D33,Détails!$E$11,Détails!$D$11))-$E33</f>
        <v>0.35416666666666674</v>
      </c>
      <c r="J33" s="23">
        <f>MOD($G33-$D33,1)-($G33&lt;$D33)*(Détails!$D$11-Détails!$E$11)-MEDIAN($G33,Détails!$E$11,Détails!$D$11)+MEDIAN($D33,Détails!$E$11,Détails!$D$11)-$F33</f>
        <v>0</v>
      </c>
      <c r="K33" s="36">
        <f>IF(OR(WEEKDAY(Tabel1[[#This Row],[Date]],2)=7, DAY(Tabel1[[#This Row],[Date]])=DAY(EOMONTH(Tabel1[[#This Row],[Date]],0))),SUMIF(Tabel1[Semaine],Tabel1[[#This Row],[Semaine]],Tabel1[Total Heures]),0)</f>
        <v>1.0625000000000002</v>
      </c>
      <c r="L33" s="24" t="str">
        <f>IFERROR(IF(K33&gt;Détails!E$4,K33-Détails!E$4,""),0)</f>
        <v/>
      </c>
      <c r="O33" s="26">
        <f t="shared" ca="1" si="3"/>
        <v>0</v>
      </c>
    </row>
    <row r="38" spans="1:15" ht="30" customHeight="1" x14ac:dyDescent="0.3">
      <c r="E38" s="18" t="str">
        <f>IFERROR(IF(VLOOKUP($B4,Détails!$H$2:$H$16,1,0),"Férié",""),"")</f>
        <v/>
      </c>
    </row>
  </sheetData>
  <conditionalFormatting sqref="A3:L33">
    <cfRule type="expression" dxfId="3" priority="2">
      <formula>OR($C3="Arrêt maladie",$C3="Accident du travail")</formula>
    </cfRule>
    <cfRule type="expression" dxfId="2" priority="3">
      <formula>OR($C3="Congé",$C3="Congé pour évènement familial")</formula>
    </cfRule>
    <cfRule type="expression" dxfId="0" priority="10">
      <formula>WEEKDAY($B3,2)&gt;5</formula>
    </cfRule>
  </conditionalFormatting>
  <pageMargins left="0.7" right="0.7" top="0.75" bottom="0.75" header="0.3" footer="0.3"/>
  <pageSetup paperSize="9" orientation="portrait" r:id="rId1"/>
  <ignoredErrors>
    <ignoredError sqref="B4:B33" calculatedColumn="1"/>
  </ignoredErrors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4DA6ADA2-7745-44DB-B05B-B41EC8257AEE}">
            <xm:f>NOT(ISNA(VLOOKUP($B3,Détails!$H$2:$H$16,1,0)))</xm:f>
            <x14:dxf>
              <fill>
                <patternFill>
                  <bgColor rgb="FF92D050"/>
                </patternFill>
              </fill>
            </x14:dxf>
          </x14:cfRule>
          <xm:sqref>A3:L33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Détails</vt:lpstr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Stessy HAXAIRE</cp:lastModifiedBy>
  <dcterms:created xsi:type="dcterms:W3CDTF">2015-06-05T18:19:34Z</dcterms:created>
  <dcterms:modified xsi:type="dcterms:W3CDTF">2024-06-17T06:49:33Z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01b303-ecb1-4a9d-936a-70858c2d9a3e_Enabled">
    <vt:lpwstr>true</vt:lpwstr>
  </property>
  <property fmtid="{D5CDD505-2E9C-101B-9397-08002B2CF9AE}" pid="3" name="MSIP_Label_a401b303-ecb1-4a9d-936a-70858c2d9a3e_SetDate">
    <vt:lpwstr>2024-06-10T13:37:44Z</vt:lpwstr>
  </property>
  <property fmtid="{D5CDD505-2E9C-101B-9397-08002B2CF9AE}" pid="4" name="MSIP_Label_a401b303-ecb1-4a9d-936a-70858c2d9a3e_Method">
    <vt:lpwstr>Privileged</vt:lpwstr>
  </property>
  <property fmtid="{D5CDD505-2E9C-101B-9397-08002B2CF9AE}" pid="5" name="MSIP_Label_a401b303-ecb1-4a9d-936a-70858c2d9a3e_Name">
    <vt:lpwstr>a401b303-ecb1-4a9d-936a-70858c2d9a3e</vt:lpwstr>
  </property>
  <property fmtid="{D5CDD505-2E9C-101B-9397-08002B2CF9AE}" pid="6" name="MSIP_Label_a401b303-ecb1-4a9d-936a-70858c2d9a3e_SiteId">
    <vt:lpwstr>c9a7d621-4bc4-4407-b730-f428e656aa9e</vt:lpwstr>
  </property>
  <property fmtid="{D5CDD505-2E9C-101B-9397-08002B2CF9AE}" pid="7" name="MSIP_Label_a401b303-ecb1-4a9d-936a-70858c2d9a3e_ActionId">
    <vt:lpwstr>9c01a3cc-3eb6-43a3-aa16-4ff6870854b5</vt:lpwstr>
  </property>
  <property fmtid="{D5CDD505-2E9C-101B-9397-08002B2CF9AE}" pid="8" name="MSIP_Label_a401b303-ecb1-4a9d-936a-70858c2d9a3e_ContentBits">
    <vt:lpwstr>0</vt:lpwstr>
  </property>
</Properties>
</file>