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P:\Jonathan\RoyalForm\Perso\Suivi des heures\"/>
    </mc:Choice>
  </mc:AlternateContent>
  <xr:revisionPtr revIDLastSave="0" documentId="13_ncr:1_{F7DA4E48-87D1-4221-90BB-22C2FB80F7C3}" xr6:coauthVersionLast="47" xr6:coauthVersionMax="47" xr10:uidLastSave="{00000000-0000-0000-0000-000000000000}"/>
  <bookViews>
    <workbookView xWindow="-108" yWindow="-108" windowWidth="23256" windowHeight="12456" tabRatio="894" firstSheet="1" activeTab="2" xr2:uid="{00000000-000D-0000-FFFF-FFFF00000000}"/>
  </bookViews>
  <sheets>
    <sheet name="Liste des choses à faire" sheetId="21" r:id="rId1"/>
    <sheet name="Détails" sheetId="17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definedNames>
    <definedName name="d">Janvier!$N$1</definedName>
    <definedName name="f">Janvier!#REF!</definedName>
    <definedName name="Féries">Détails!$H$2:$H$16</definedName>
    <definedName name="Fériés">Détails!$H$2:$H$16</definedName>
    <definedName name="MesFeries">Détails!$H$2:$H$16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4" l="1"/>
  <c r="O5" i="14"/>
  <c r="O6" i="14"/>
  <c r="O7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" i="14"/>
  <c r="N3" i="5"/>
  <c r="B5" i="17"/>
  <c r="B3" i="12"/>
  <c r="B4" i="12" s="1"/>
  <c r="B3" i="11"/>
  <c r="B3" i="10"/>
  <c r="A3" i="10" s="1"/>
  <c r="B3" i="9"/>
  <c r="B4" i="9" s="1"/>
  <c r="B3" i="8"/>
  <c r="B3" i="7"/>
  <c r="B3" i="6"/>
  <c r="B3" i="5"/>
  <c r="B3" i="4"/>
  <c r="J33" i="12"/>
  <c r="I33" i="12"/>
  <c r="H33" i="12"/>
  <c r="J32" i="12"/>
  <c r="I32" i="12"/>
  <c r="H32" i="12"/>
  <c r="J31" i="12"/>
  <c r="I31" i="12"/>
  <c r="H31" i="12"/>
  <c r="J30" i="12"/>
  <c r="I30" i="12"/>
  <c r="H30" i="12"/>
  <c r="J29" i="12"/>
  <c r="I29" i="12"/>
  <c r="H29" i="12"/>
  <c r="J28" i="12"/>
  <c r="I28" i="12"/>
  <c r="H28" i="12"/>
  <c r="J27" i="12"/>
  <c r="I27" i="12"/>
  <c r="H27" i="12"/>
  <c r="J26" i="12"/>
  <c r="I26" i="12"/>
  <c r="H26" i="12"/>
  <c r="J25" i="12"/>
  <c r="I25" i="12"/>
  <c r="H25" i="12"/>
  <c r="J24" i="12"/>
  <c r="I24" i="12"/>
  <c r="H24" i="12"/>
  <c r="J23" i="12"/>
  <c r="I23" i="12"/>
  <c r="H23" i="12"/>
  <c r="J22" i="12"/>
  <c r="I22" i="12"/>
  <c r="H22" i="12"/>
  <c r="J21" i="12"/>
  <c r="I21" i="12"/>
  <c r="H21" i="12"/>
  <c r="J20" i="12"/>
  <c r="I20" i="12"/>
  <c r="H20" i="12"/>
  <c r="J19" i="12"/>
  <c r="I19" i="12"/>
  <c r="H19" i="12"/>
  <c r="J18" i="12"/>
  <c r="I18" i="12"/>
  <c r="H18" i="12"/>
  <c r="J17" i="12"/>
  <c r="I17" i="12"/>
  <c r="H17" i="12"/>
  <c r="J16" i="12"/>
  <c r="I16" i="12"/>
  <c r="H16" i="12"/>
  <c r="J15" i="12"/>
  <c r="I15" i="12"/>
  <c r="H15" i="12"/>
  <c r="J14" i="12"/>
  <c r="I14" i="12"/>
  <c r="H14" i="12"/>
  <c r="J13" i="12"/>
  <c r="I13" i="12"/>
  <c r="H13" i="12"/>
  <c r="J12" i="12"/>
  <c r="I12" i="12"/>
  <c r="H12" i="12"/>
  <c r="J11" i="12"/>
  <c r="I11" i="12"/>
  <c r="H11" i="12"/>
  <c r="J10" i="12"/>
  <c r="I10" i="12"/>
  <c r="H10" i="12"/>
  <c r="J9" i="12"/>
  <c r="I9" i="12"/>
  <c r="H9" i="12"/>
  <c r="J8" i="12"/>
  <c r="I8" i="12"/>
  <c r="H8" i="12"/>
  <c r="J7" i="12"/>
  <c r="I7" i="12"/>
  <c r="H7" i="12"/>
  <c r="J6" i="12"/>
  <c r="I6" i="12"/>
  <c r="H6" i="12"/>
  <c r="J5" i="12"/>
  <c r="I5" i="12"/>
  <c r="H5" i="12"/>
  <c r="J4" i="12"/>
  <c r="I4" i="12"/>
  <c r="H4" i="12"/>
  <c r="J3" i="12"/>
  <c r="I3" i="12"/>
  <c r="I1" i="12" s="1"/>
  <c r="H3" i="12"/>
  <c r="C3" i="12" a="1"/>
  <c r="C3" i="12" s="1"/>
  <c r="A3" i="12"/>
  <c r="J1" i="12"/>
  <c r="H1" i="12"/>
  <c r="G1" i="12"/>
  <c r="F1" i="12"/>
  <c r="E1" i="12"/>
  <c r="D1" i="12"/>
  <c r="J32" i="11"/>
  <c r="I32" i="11"/>
  <c r="H32" i="11"/>
  <c r="J31" i="11"/>
  <c r="I31" i="11"/>
  <c r="H31" i="11"/>
  <c r="J30" i="11"/>
  <c r="I30" i="11"/>
  <c r="H30" i="11"/>
  <c r="J29" i="11"/>
  <c r="I29" i="11"/>
  <c r="H29" i="11"/>
  <c r="J28" i="11"/>
  <c r="I28" i="11"/>
  <c r="H28" i="11"/>
  <c r="J27" i="11"/>
  <c r="I27" i="11"/>
  <c r="H27" i="11"/>
  <c r="J26" i="11"/>
  <c r="I26" i="11"/>
  <c r="H26" i="11"/>
  <c r="J25" i="11"/>
  <c r="I25" i="11"/>
  <c r="H25" i="11"/>
  <c r="J24" i="11"/>
  <c r="I24" i="11"/>
  <c r="H24" i="11"/>
  <c r="J23" i="11"/>
  <c r="I23" i="11"/>
  <c r="H23" i="11"/>
  <c r="J22" i="11"/>
  <c r="I22" i="11"/>
  <c r="H22" i="11"/>
  <c r="J21" i="11"/>
  <c r="I21" i="11"/>
  <c r="H21" i="11"/>
  <c r="J20" i="11"/>
  <c r="I20" i="11"/>
  <c r="H20" i="11"/>
  <c r="J19" i="11"/>
  <c r="I19" i="11"/>
  <c r="H19" i="11"/>
  <c r="J18" i="11"/>
  <c r="I18" i="11"/>
  <c r="H18" i="11"/>
  <c r="J17" i="11"/>
  <c r="I17" i="11"/>
  <c r="H17" i="11"/>
  <c r="J16" i="11"/>
  <c r="I16" i="11"/>
  <c r="H16" i="11"/>
  <c r="J15" i="11"/>
  <c r="I15" i="11"/>
  <c r="H15" i="11"/>
  <c r="J14" i="11"/>
  <c r="I14" i="11"/>
  <c r="H14" i="11"/>
  <c r="J13" i="11"/>
  <c r="I13" i="11"/>
  <c r="H13" i="11"/>
  <c r="J12" i="11"/>
  <c r="I12" i="11"/>
  <c r="H12" i="11"/>
  <c r="J11" i="11"/>
  <c r="I11" i="11"/>
  <c r="H11" i="11"/>
  <c r="J10" i="11"/>
  <c r="I10" i="11"/>
  <c r="H10" i="11"/>
  <c r="J9" i="11"/>
  <c r="I9" i="11"/>
  <c r="H9" i="11"/>
  <c r="J8" i="11"/>
  <c r="I8" i="11"/>
  <c r="H8" i="11"/>
  <c r="J7" i="11"/>
  <c r="I7" i="11"/>
  <c r="I1" i="11" s="1"/>
  <c r="H7" i="11"/>
  <c r="J6" i="11"/>
  <c r="I6" i="11"/>
  <c r="H6" i="11"/>
  <c r="J5" i="11"/>
  <c r="I5" i="11"/>
  <c r="H5" i="11"/>
  <c r="J4" i="11"/>
  <c r="I4" i="11"/>
  <c r="H4" i="11"/>
  <c r="B4" i="11"/>
  <c r="E37" i="11" s="1"/>
  <c r="K3" i="11"/>
  <c r="L3" i="11" s="1"/>
  <c r="J3" i="11"/>
  <c r="J1" i="11" s="1"/>
  <c r="I3" i="11"/>
  <c r="H3" i="11"/>
  <c r="C3" i="11" a="1"/>
  <c r="C3" i="11" s="1"/>
  <c r="A3" i="11"/>
  <c r="G1" i="11"/>
  <c r="F1" i="11"/>
  <c r="E1" i="11"/>
  <c r="D1" i="11"/>
  <c r="J33" i="10"/>
  <c r="I33" i="10"/>
  <c r="H33" i="10"/>
  <c r="J32" i="10"/>
  <c r="I32" i="10"/>
  <c r="H32" i="10"/>
  <c r="J31" i="10"/>
  <c r="I31" i="10"/>
  <c r="H31" i="10"/>
  <c r="J30" i="10"/>
  <c r="I30" i="10"/>
  <c r="H30" i="10"/>
  <c r="J29" i="10"/>
  <c r="I29" i="10"/>
  <c r="H29" i="10"/>
  <c r="J28" i="10"/>
  <c r="I28" i="10"/>
  <c r="H28" i="10"/>
  <c r="J27" i="10"/>
  <c r="I27" i="10"/>
  <c r="H27" i="10"/>
  <c r="J26" i="10"/>
  <c r="I26" i="10"/>
  <c r="H26" i="10"/>
  <c r="J25" i="10"/>
  <c r="I25" i="10"/>
  <c r="H25" i="10"/>
  <c r="J24" i="10"/>
  <c r="I24" i="10"/>
  <c r="H24" i="10"/>
  <c r="J23" i="10"/>
  <c r="I23" i="10"/>
  <c r="H23" i="10"/>
  <c r="J22" i="10"/>
  <c r="I22" i="10"/>
  <c r="H22" i="10"/>
  <c r="J21" i="10"/>
  <c r="I21" i="10"/>
  <c r="H21" i="10"/>
  <c r="J20" i="10"/>
  <c r="I20" i="10"/>
  <c r="H20" i="10"/>
  <c r="J19" i="10"/>
  <c r="I19" i="10"/>
  <c r="H19" i="10"/>
  <c r="J18" i="10"/>
  <c r="I18" i="10"/>
  <c r="H18" i="10"/>
  <c r="J17" i="10"/>
  <c r="I17" i="10"/>
  <c r="H17" i="10"/>
  <c r="J16" i="10"/>
  <c r="I16" i="10"/>
  <c r="H16" i="10"/>
  <c r="J15" i="10"/>
  <c r="I15" i="10"/>
  <c r="H15" i="10"/>
  <c r="J14" i="10"/>
  <c r="I14" i="10"/>
  <c r="H14" i="10"/>
  <c r="J13" i="10"/>
  <c r="I13" i="10"/>
  <c r="H13" i="10"/>
  <c r="J12" i="10"/>
  <c r="I12" i="10"/>
  <c r="H12" i="10"/>
  <c r="J11" i="10"/>
  <c r="I11" i="10"/>
  <c r="H11" i="10"/>
  <c r="J10" i="10"/>
  <c r="I10" i="10"/>
  <c r="H10" i="10"/>
  <c r="J9" i="10"/>
  <c r="I9" i="10"/>
  <c r="H9" i="10"/>
  <c r="J8" i="10"/>
  <c r="I8" i="10"/>
  <c r="H8" i="10"/>
  <c r="J7" i="10"/>
  <c r="I7" i="10"/>
  <c r="I1" i="10" s="1"/>
  <c r="H7" i="10"/>
  <c r="J6" i="10"/>
  <c r="I6" i="10"/>
  <c r="H6" i="10"/>
  <c r="J5" i="10"/>
  <c r="I5" i="10"/>
  <c r="H5" i="10"/>
  <c r="J4" i="10"/>
  <c r="I4" i="10"/>
  <c r="H4" i="10"/>
  <c r="H1" i="10" s="1"/>
  <c r="B4" i="10"/>
  <c r="E38" i="10" s="1"/>
  <c r="J3" i="10"/>
  <c r="I3" i="10"/>
  <c r="H3" i="10"/>
  <c r="C3" i="10" a="1"/>
  <c r="C3" i="10" s="1"/>
  <c r="J1" i="10"/>
  <c r="G1" i="10"/>
  <c r="F1" i="10"/>
  <c r="E1" i="10"/>
  <c r="D1" i="10"/>
  <c r="J32" i="9"/>
  <c r="I32" i="9"/>
  <c r="H32" i="9"/>
  <c r="J31" i="9"/>
  <c r="I31" i="9"/>
  <c r="H31" i="9"/>
  <c r="J30" i="9"/>
  <c r="I30" i="9"/>
  <c r="H30" i="9"/>
  <c r="J29" i="9"/>
  <c r="I29" i="9"/>
  <c r="H29" i="9"/>
  <c r="J28" i="9"/>
  <c r="I28" i="9"/>
  <c r="H28" i="9"/>
  <c r="J27" i="9"/>
  <c r="I27" i="9"/>
  <c r="H27" i="9"/>
  <c r="J26" i="9"/>
  <c r="I26" i="9"/>
  <c r="H26" i="9"/>
  <c r="J25" i="9"/>
  <c r="I25" i="9"/>
  <c r="H25" i="9"/>
  <c r="J24" i="9"/>
  <c r="I24" i="9"/>
  <c r="H24" i="9"/>
  <c r="J23" i="9"/>
  <c r="I23" i="9"/>
  <c r="H23" i="9"/>
  <c r="J22" i="9"/>
  <c r="I22" i="9"/>
  <c r="H22" i="9"/>
  <c r="J21" i="9"/>
  <c r="I21" i="9"/>
  <c r="H21" i="9"/>
  <c r="J20" i="9"/>
  <c r="I20" i="9"/>
  <c r="H20" i="9"/>
  <c r="J19" i="9"/>
  <c r="I19" i="9"/>
  <c r="H19" i="9"/>
  <c r="J18" i="9"/>
  <c r="I18" i="9"/>
  <c r="H18" i="9"/>
  <c r="J17" i="9"/>
  <c r="I17" i="9"/>
  <c r="H17" i="9"/>
  <c r="J16" i="9"/>
  <c r="I16" i="9"/>
  <c r="H16" i="9"/>
  <c r="J15" i="9"/>
  <c r="I15" i="9"/>
  <c r="H15" i="9"/>
  <c r="J14" i="9"/>
  <c r="I14" i="9"/>
  <c r="H14" i="9"/>
  <c r="J13" i="9"/>
  <c r="I13" i="9"/>
  <c r="H13" i="9"/>
  <c r="J12" i="9"/>
  <c r="I12" i="9"/>
  <c r="H12" i="9"/>
  <c r="J11" i="9"/>
  <c r="I11" i="9"/>
  <c r="H11" i="9"/>
  <c r="J10" i="9"/>
  <c r="I10" i="9"/>
  <c r="H10" i="9"/>
  <c r="J9" i="9"/>
  <c r="I9" i="9"/>
  <c r="H9" i="9"/>
  <c r="J8" i="9"/>
  <c r="I8" i="9"/>
  <c r="H8" i="9"/>
  <c r="J7" i="9"/>
  <c r="I7" i="9"/>
  <c r="H7" i="9"/>
  <c r="J6" i="9"/>
  <c r="I6" i="9"/>
  <c r="H6" i="9"/>
  <c r="J5" i="9"/>
  <c r="I5" i="9"/>
  <c r="H5" i="9"/>
  <c r="J4" i="9"/>
  <c r="I4" i="9"/>
  <c r="H4" i="9"/>
  <c r="H1" i="9" s="1"/>
  <c r="J3" i="9"/>
  <c r="J1" i="9" s="1"/>
  <c r="I3" i="9"/>
  <c r="H3" i="9"/>
  <c r="C3" i="9" a="1"/>
  <c r="C3" i="9" s="1"/>
  <c r="A3" i="9"/>
  <c r="G1" i="9"/>
  <c r="F1" i="9"/>
  <c r="E1" i="9"/>
  <c r="D1" i="9"/>
  <c r="J33" i="8"/>
  <c r="I33" i="8"/>
  <c r="H33" i="8"/>
  <c r="J32" i="8"/>
  <c r="I32" i="8"/>
  <c r="H32" i="8"/>
  <c r="J31" i="8"/>
  <c r="I31" i="8"/>
  <c r="H31" i="8"/>
  <c r="J30" i="8"/>
  <c r="I30" i="8"/>
  <c r="H30" i="8"/>
  <c r="J29" i="8"/>
  <c r="I29" i="8"/>
  <c r="H29" i="8"/>
  <c r="J28" i="8"/>
  <c r="I28" i="8"/>
  <c r="H28" i="8"/>
  <c r="J27" i="8"/>
  <c r="I27" i="8"/>
  <c r="H27" i="8"/>
  <c r="J26" i="8"/>
  <c r="I26" i="8"/>
  <c r="H26" i="8"/>
  <c r="J25" i="8"/>
  <c r="I25" i="8"/>
  <c r="H25" i="8"/>
  <c r="J24" i="8"/>
  <c r="I24" i="8"/>
  <c r="H24" i="8"/>
  <c r="J23" i="8"/>
  <c r="I23" i="8"/>
  <c r="H23" i="8"/>
  <c r="J22" i="8"/>
  <c r="I22" i="8"/>
  <c r="H22" i="8"/>
  <c r="J21" i="8"/>
  <c r="I21" i="8"/>
  <c r="H21" i="8"/>
  <c r="J20" i="8"/>
  <c r="I20" i="8"/>
  <c r="H20" i="8"/>
  <c r="J19" i="8"/>
  <c r="I19" i="8"/>
  <c r="H19" i="8"/>
  <c r="J18" i="8"/>
  <c r="I18" i="8"/>
  <c r="H18" i="8"/>
  <c r="J17" i="8"/>
  <c r="I17" i="8"/>
  <c r="H17" i="8"/>
  <c r="J16" i="8"/>
  <c r="I16" i="8"/>
  <c r="H16" i="8"/>
  <c r="J15" i="8"/>
  <c r="I15" i="8"/>
  <c r="H15" i="8"/>
  <c r="J14" i="8"/>
  <c r="I14" i="8"/>
  <c r="H14" i="8"/>
  <c r="J13" i="8"/>
  <c r="I13" i="8"/>
  <c r="H13" i="8"/>
  <c r="J12" i="8"/>
  <c r="I12" i="8"/>
  <c r="H12" i="8"/>
  <c r="J11" i="8"/>
  <c r="I11" i="8"/>
  <c r="H11" i="8"/>
  <c r="J10" i="8"/>
  <c r="I10" i="8"/>
  <c r="H10" i="8"/>
  <c r="J9" i="8"/>
  <c r="I9" i="8"/>
  <c r="H9" i="8"/>
  <c r="J8" i="8"/>
  <c r="I8" i="8"/>
  <c r="H8" i="8"/>
  <c r="J7" i="8"/>
  <c r="I7" i="8"/>
  <c r="H7" i="8"/>
  <c r="J6" i="8"/>
  <c r="I6" i="8"/>
  <c r="H6" i="8"/>
  <c r="J5" i="8"/>
  <c r="I5" i="8"/>
  <c r="H5" i="8"/>
  <c r="K4" i="8"/>
  <c r="L4" i="8" s="1"/>
  <c r="J4" i="8"/>
  <c r="I4" i="8"/>
  <c r="H4" i="8"/>
  <c r="C4" i="8" a="1"/>
  <c r="C4" i="8" s="1"/>
  <c r="B4" i="8"/>
  <c r="E38" i="8" s="1"/>
  <c r="K3" i="8"/>
  <c r="J3" i="8"/>
  <c r="I3" i="8"/>
  <c r="I1" i="8" s="1"/>
  <c r="H3" i="8"/>
  <c r="C3" i="8" a="1"/>
  <c r="C3" i="8" s="1"/>
  <c r="A3" i="8"/>
  <c r="J1" i="8"/>
  <c r="H1" i="8"/>
  <c r="G1" i="8"/>
  <c r="F1" i="8"/>
  <c r="E1" i="8"/>
  <c r="D1" i="8"/>
  <c r="J33" i="7"/>
  <c r="I33" i="7"/>
  <c r="H33" i="7"/>
  <c r="J32" i="7"/>
  <c r="I32" i="7"/>
  <c r="H32" i="7"/>
  <c r="J31" i="7"/>
  <c r="I31" i="7"/>
  <c r="H31" i="7"/>
  <c r="J30" i="7"/>
  <c r="I30" i="7"/>
  <c r="H30" i="7"/>
  <c r="J29" i="7"/>
  <c r="I29" i="7"/>
  <c r="H29" i="7"/>
  <c r="J28" i="7"/>
  <c r="I28" i="7"/>
  <c r="H28" i="7"/>
  <c r="J27" i="7"/>
  <c r="I27" i="7"/>
  <c r="H27" i="7"/>
  <c r="J26" i="7"/>
  <c r="I26" i="7"/>
  <c r="H26" i="7"/>
  <c r="J25" i="7"/>
  <c r="I25" i="7"/>
  <c r="H25" i="7"/>
  <c r="J24" i="7"/>
  <c r="I24" i="7"/>
  <c r="H24" i="7"/>
  <c r="J23" i="7"/>
  <c r="I23" i="7"/>
  <c r="I1" i="7" s="1"/>
  <c r="H23" i="7"/>
  <c r="J22" i="7"/>
  <c r="I22" i="7"/>
  <c r="H22" i="7"/>
  <c r="J21" i="7"/>
  <c r="I21" i="7"/>
  <c r="H21" i="7"/>
  <c r="J20" i="7"/>
  <c r="I20" i="7"/>
  <c r="H20" i="7"/>
  <c r="J19" i="7"/>
  <c r="I19" i="7"/>
  <c r="H19" i="7"/>
  <c r="J18" i="7"/>
  <c r="I18" i="7"/>
  <c r="H18" i="7"/>
  <c r="J17" i="7"/>
  <c r="I17" i="7"/>
  <c r="H17" i="7"/>
  <c r="J16" i="7"/>
  <c r="I16" i="7"/>
  <c r="H16" i="7"/>
  <c r="J15" i="7"/>
  <c r="I15" i="7"/>
  <c r="H15" i="7"/>
  <c r="J14" i="7"/>
  <c r="I14" i="7"/>
  <c r="H14" i="7"/>
  <c r="J13" i="7"/>
  <c r="I13" i="7"/>
  <c r="H13" i="7"/>
  <c r="J12" i="7"/>
  <c r="I12" i="7"/>
  <c r="H12" i="7"/>
  <c r="J11" i="7"/>
  <c r="I11" i="7"/>
  <c r="H11" i="7"/>
  <c r="J10" i="7"/>
  <c r="I10" i="7"/>
  <c r="H10" i="7"/>
  <c r="J9" i="7"/>
  <c r="I9" i="7"/>
  <c r="H9" i="7"/>
  <c r="J8" i="7"/>
  <c r="I8" i="7"/>
  <c r="H8" i="7"/>
  <c r="J7" i="7"/>
  <c r="I7" i="7"/>
  <c r="H7" i="7"/>
  <c r="J6" i="7"/>
  <c r="I6" i="7"/>
  <c r="H6" i="7"/>
  <c r="J5" i="7"/>
  <c r="I5" i="7"/>
  <c r="H5" i="7"/>
  <c r="J4" i="7"/>
  <c r="I4" i="7"/>
  <c r="H4" i="7"/>
  <c r="B4" i="7"/>
  <c r="E38" i="7" s="1"/>
  <c r="K3" i="7"/>
  <c r="L3" i="7" s="1"/>
  <c r="J3" i="7"/>
  <c r="I3" i="7"/>
  <c r="H3" i="7"/>
  <c r="C3" i="7" a="1"/>
  <c r="C3" i="7" s="1"/>
  <c r="A3" i="7"/>
  <c r="J1" i="7"/>
  <c r="H1" i="7"/>
  <c r="G1" i="7"/>
  <c r="F1" i="7"/>
  <c r="E1" i="7"/>
  <c r="D1" i="7"/>
  <c r="J32" i="6"/>
  <c r="I32" i="6"/>
  <c r="H32" i="6"/>
  <c r="J31" i="6"/>
  <c r="I31" i="6"/>
  <c r="H31" i="6"/>
  <c r="J30" i="6"/>
  <c r="I30" i="6"/>
  <c r="H30" i="6"/>
  <c r="J29" i="6"/>
  <c r="I29" i="6"/>
  <c r="H29" i="6"/>
  <c r="J28" i="6"/>
  <c r="I28" i="6"/>
  <c r="H28" i="6"/>
  <c r="J27" i="6"/>
  <c r="I27" i="6"/>
  <c r="H27" i="6"/>
  <c r="J26" i="6"/>
  <c r="I26" i="6"/>
  <c r="H26" i="6"/>
  <c r="J25" i="6"/>
  <c r="I25" i="6"/>
  <c r="H25" i="6"/>
  <c r="J24" i="6"/>
  <c r="I24" i="6"/>
  <c r="H24" i="6"/>
  <c r="J23" i="6"/>
  <c r="I23" i="6"/>
  <c r="H23" i="6"/>
  <c r="J22" i="6"/>
  <c r="I22" i="6"/>
  <c r="H22" i="6"/>
  <c r="J21" i="6"/>
  <c r="I21" i="6"/>
  <c r="H21" i="6"/>
  <c r="J20" i="6"/>
  <c r="I20" i="6"/>
  <c r="H20" i="6"/>
  <c r="J19" i="6"/>
  <c r="I19" i="6"/>
  <c r="H19" i="6"/>
  <c r="J18" i="6"/>
  <c r="I18" i="6"/>
  <c r="H18" i="6"/>
  <c r="J17" i="6"/>
  <c r="I17" i="6"/>
  <c r="H17" i="6"/>
  <c r="J16" i="6"/>
  <c r="I16" i="6"/>
  <c r="H16" i="6"/>
  <c r="J15" i="6"/>
  <c r="I15" i="6"/>
  <c r="H15" i="6"/>
  <c r="J14" i="6"/>
  <c r="I14" i="6"/>
  <c r="H14" i="6"/>
  <c r="J13" i="6"/>
  <c r="I13" i="6"/>
  <c r="H13" i="6"/>
  <c r="J12" i="6"/>
  <c r="I12" i="6"/>
  <c r="H12" i="6"/>
  <c r="J11" i="6"/>
  <c r="I11" i="6"/>
  <c r="H11" i="6"/>
  <c r="J10" i="6"/>
  <c r="I10" i="6"/>
  <c r="H10" i="6"/>
  <c r="J9" i="6"/>
  <c r="I9" i="6"/>
  <c r="H9" i="6"/>
  <c r="J8" i="6"/>
  <c r="I8" i="6"/>
  <c r="H8" i="6"/>
  <c r="J7" i="6"/>
  <c r="I7" i="6"/>
  <c r="H7" i="6"/>
  <c r="J6" i="6"/>
  <c r="I6" i="6"/>
  <c r="H6" i="6"/>
  <c r="J5" i="6"/>
  <c r="I5" i="6"/>
  <c r="H5" i="6"/>
  <c r="J4" i="6"/>
  <c r="J1" i="6" s="1"/>
  <c r="I4" i="6"/>
  <c r="I1" i="6" s="1"/>
  <c r="H4" i="6"/>
  <c r="B4" i="6"/>
  <c r="E37" i="6" s="1"/>
  <c r="K3" i="6"/>
  <c r="L3" i="6" s="1"/>
  <c r="J3" i="6"/>
  <c r="I3" i="6"/>
  <c r="H3" i="6"/>
  <c r="H1" i="6" s="1"/>
  <c r="C3" i="6" a="1"/>
  <c r="C3" i="6" s="1"/>
  <c r="A3" i="6"/>
  <c r="G1" i="6"/>
  <c r="F1" i="6"/>
  <c r="E1" i="6"/>
  <c r="D1" i="6"/>
  <c r="J33" i="5"/>
  <c r="I33" i="5"/>
  <c r="H33" i="5"/>
  <c r="J32" i="5"/>
  <c r="I32" i="5"/>
  <c r="H32" i="5"/>
  <c r="J31" i="5"/>
  <c r="I31" i="5"/>
  <c r="H31" i="5"/>
  <c r="J30" i="5"/>
  <c r="I30" i="5"/>
  <c r="H30" i="5"/>
  <c r="J29" i="5"/>
  <c r="I29" i="5"/>
  <c r="H29" i="5"/>
  <c r="J28" i="5"/>
  <c r="I28" i="5"/>
  <c r="H28" i="5"/>
  <c r="J27" i="5"/>
  <c r="I27" i="5"/>
  <c r="H27" i="5"/>
  <c r="J26" i="5"/>
  <c r="I26" i="5"/>
  <c r="H26" i="5"/>
  <c r="J25" i="5"/>
  <c r="I25" i="5"/>
  <c r="H25" i="5"/>
  <c r="J24" i="5"/>
  <c r="I24" i="5"/>
  <c r="H24" i="5"/>
  <c r="J23" i="5"/>
  <c r="I23" i="5"/>
  <c r="H23" i="5"/>
  <c r="J22" i="5"/>
  <c r="I22" i="5"/>
  <c r="H22" i="5"/>
  <c r="J21" i="5"/>
  <c r="I21" i="5"/>
  <c r="H21" i="5"/>
  <c r="J20" i="5"/>
  <c r="I20" i="5"/>
  <c r="H20" i="5"/>
  <c r="J19" i="5"/>
  <c r="I19" i="5"/>
  <c r="H19" i="5"/>
  <c r="J18" i="5"/>
  <c r="I18" i="5"/>
  <c r="H18" i="5"/>
  <c r="J17" i="5"/>
  <c r="I17" i="5"/>
  <c r="H17" i="5"/>
  <c r="J16" i="5"/>
  <c r="I16" i="5"/>
  <c r="H16" i="5"/>
  <c r="J15" i="5"/>
  <c r="I15" i="5"/>
  <c r="H15" i="5"/>
  <c r="J14" i="5"/>
  <c r="I14" i="5"/>
  <c r="H14" i="5"/>
  <c r="J13" i="5"/>
  <c r="I13" i="5"/>
  <c r="H13" i="5"/>
  <c r="J12" i="5"/>
  <c r="I12" i="5"/>
  <c r="H12" i="5"/>
  <c r="J11" i="5"/>
  <c r="I11" i="5"/>
  <c r="H11" i="5"/>
  <c r="J10" i="5"/>
  <c r="I10" i="5"/>
  <c r="H10" i="5"/>
  <c r="J9" i="5"/>
  <c r="I9" i="5"/>
  <c r="H9" i="5"/>
  <c r="J8" i="5"/>
  <c r="I8" i="5"/>
  <c r="H8" i="5"/>
  <c r="J7" i="5"/>
  <c r="I7" i="5"/>
  <c r="H7" i="5"/>
  <c r="J6" i="5"/>
  <c r="I6" i="5"/>
  <c r="H6" i="5"/>
  <c r="J5" i="5"/>
  <c r="I5" i="5"/>
  <c r="H5" i="5"/>
  <c r="J4" i="5"/>
  <c r="I4" i="5"/>
  <c r="H4" i="5"/>
  <c r="J3" i="5"/>
  <c r="I3" i="5"/>
  <c r="H3" i="5"/>
  <c r="C3" i="5" a="1"/>
  <c r="C3" i="5" s="1"/>
  <c r="G1" i="5"/>
  <c r="F1" i="5"/>
  <c r="E1" i="5"/>
  <c r="D1" i="5"/>
  <c r="J32" i="4"/>
  <c r="I32" i="4"/>
  <c r="H32" i="4"/>
  <c r="J31" i="4"/>
  <c r="I31" i="4"/>
  <c r="H31" i="4"/>
  <c r="J30" i="4"/>
  <c r="I30" i="4"/>
  <c r="H30" i="4"/>
  <c r="J29" i="4"/>
  <c r="I29" i="4"/>
  <c r="H29" i="4"/>
  <c r="J28" i="4"/>
  <c r="I28" i="4"/>
  <c r="H28" i="4"/>
  <c r="J27" i="4"/>
  <c r="I27" i="4"/>
  <c r="H27" i="4"/>
  <c r="J26" i="4"/>
  <c r="I26" i="4"/>
  <c r="H26" i="4"/>
  <c r="J25" i="4"/>
  <c r="I25" i="4"/>
  <c r="H25" i="4"/>
  <c r="J24" i="4"/>
  <c r="I24" i="4"/>
  <c r="H24" i="4"/>
  <c r="J23" i="4"/>
  <c r="I23" i="4"/>
  <c r="H23" i="4"/>
  <c r="J22" i="4"/>
  <c r="I22" i="4"/>
  <c r="H22" i="4"/>
  <c r="J21" i="4"/>
  <c r="I21" i="4"/>
  <c r="H21" i="4"/>
  <c r="J20" i="4"/>
  <c r="I20" i="4"/>
  <c r="H20" i="4"/>
  <c r="J19" i="4"/>
  <c r="I19" i="4"/>
  <c r="H19" i="4"/>
  <c r="J18" i="4"/>
  <c r="I18" i="4"/>
  <c r="H18" i="4"/>
  <c r="J17" i="4"/>
  <c r="I17" i="4"/>
  <c r="H17" i="4"/>
  <c r="J16" i="4"/>
  <c r="I16" i="4"/>
  <c r="H16" i="4"/>
  <c r="J15" i="4"/>
  <c r="I15" i="4"/>
  <c r="H15" i="4"/>
  <c r="J14" i="4"/>
  <c r="I14" i="4"/>
  <c r="H14" i="4"/>
  <c r="J13" i="4"/>
  <c r="I13" i="4"/>
  <c r="H13" i="4"/>
  <c r="J12" i="4"/>
  <c r="I12" i="4"/>
  <c r="H12" i="4"/>
  <c r="J11" i="4"/>
  <c r="I11" i="4"/>
  <c r="H11" i="4"/>
  <c r="J10" i="4"/>
  <c r="I10" i="4"/>
  <c r="H10" i="4"/>
  <c r="J9" i="4"/>
  <c r="I9" i="4"/>
  <c r="H9" i="4"/>
  <c r="J8" i="4"/>
  <c r="I8" i="4"/>
  <c r="H8" i="4"/>
  <c r="J7" i="4"/>
  <c r="I7" i="4"/>
  <c r="H7" i="4"/>
  <c r="J6" i="4"/>
  <c r="I6" i="4"/>
  <c r="H6" i="4"/>
  <c r="J5" i="4"/>
  <c r="I5" i="4"/>
  <c r="H5" i="4"/>
  <c r="K4" i="4"/>
  <c r="L4" i="4" s="1"/>
  <c r="J4" i="4"/>
  <c r="I4" i="4"/>
  <c r="H4" i="4"/>
  <c r="C4" i="4" a="1"/>
  <c r="C4" i="4" s="1"/>
  <c r="B4" i="4"/>
  <c r="E37" i="4" s="1"/>
  <c r="A4" i="4"/>
  <c r="K3" i="4"/>
  <c r="J3" i="4"/>
  <c r="I3" i="4"/>
  <c r="I1" i="4" s="1"/>
  <c r="H3" i="4"/>
  <c r="H1" i="4" s="1"/>
  <c r="C3" i="4" a="1"/>
  <c r="C3" i="4" s="1"/>
  <c r="A3" i="4"/>
  <c r="G1" i="4"/>
  <c r="F1" i="4"/>
  <c r="E1" i="4"/>
  <c r="D1" i="4"/>
  <c r="B3" i="3"/>
  <c r="J33" i="3"/>
  <c r="I33" i="3"/>
  <c r="H33" i="3"/>
  <c r="J32" i="3"/>
  <c r="I32" i="3"/>
  <c r="H32" i="3"/>
  <c r="J31" i="3"/>
  <c r="I31" i="3"/>
  <c r="H31" i="3"/>
  <c r="J30" i="3"/>
  <c r="I30" i="3"/>
  <c r="H30" i="3"/>
  <c r="J29" i="3"/>
  <c r="I29" i="3"/>
  <c r="H29" i="3"/>
  <c r="J28" i="3"/>
  <c r="I28" i="3"/>
  <c r="H28" i="3"/>
  <c r="J27" i="3"/>
  <c r="I27" i="3"/>
  <c r="H27" i="3"/>
  <c r="J26" i="3"/>
  <c r="I26" i="3"/>
  <c r="H26" i="3"/>
  <c r="J25" i="3"/>
  <c r="I25" i="3"/>
  <c r="H25" i="3"/>
  <c r="J24" i="3"/>
  <c r="I24" i="3"/>
  <c r="H24" i="3"/>
  <c r="J23" i="3"/>
  <c r="I23" i="3"/>
  <c r="H23" i="3"/>
  <c r="J22" i="3"/>
  <c r="I22" i="3"/>
  <c r="H22" i="3"/>
  <c r="J21" i="3"/>
  <c r="I21" i="3"/>
  <c r="H21" i="3"/>
  <c r="J20" i="3"/>
  <c r="I20" i="3"/>
  <c r="H20" i="3"/>
  <c r="J19" i="3"/>
  <c r="I19" i="3"/>
  <c r="H19" i="3"/>
  <c r="J18" i="3"/>
  <c r="I18" i="3"/>
  <c r="H18" i="3"/>
  <c r="J17" i="3"/>
  <c r="I17" i="3"/>
  <c r="H17" i="3"/>
  <c r="J16" i="3"/>
  <c r="I16" i="3"/>
  <c r="H16" i="3"/>
  <c r="J15" i="3"/>
  <c r="I15" i="3"/>
  <c r="H15" i="3"/>
  <c r="J14" i="3"/>
  <c r="I14" i="3"/>
  <c r="H14" i="3"/>
  <c r="J13" i="3"/>
  <c r="I13" i="3"/>
  <c r="H13" i="3"/>
  <c r="J12" i="3"/>
  <c r="I12" i="3"/>
  <c r="H12" i="3"/>
  <c r="J11" i="3"/>
  <c r="I11" i="3"/>
  <c r="H11" i="3"/>
  <c r="J10" i="3"/>
  <c r="I10" i="3"/>
  <c r="H10" i="3"/>
  <c r="J9" i="3"/>
  <c r="I9" i="3"/>
  <c r="H9" i="3"/>
  <c r="J8" i="3"/>
  <c r="I8" i="3"/>
  <c r="H8" i="3"/>
  <c r="J7" i="3"/>
  <c r="I7" i="3"/>
  <c r="H7" i="3"/>
  <c r="J6" i="3"/>
  <c r="I6" i="3"/>
  <c r="H6" i="3"/>
  <c r="J5" i="3"/>
  <c r="I5" i="3"/>
  <c r="H5" i="3"/>
  <c r="J4" i="3"/>
  <c r="I4" i="3"/>
  <c r="H4" i="3"/>
  <c r="B4" i="3"/>
  <c r="E38" i="3" s="1"/>
  <c r="K3" i="3"/>
  <c r="J3" i="3"/>
  <c r="J1" i="3" s="1"/>
  <c r="I3" i="3"/>
  <c r="I1" i="3" s="1"/>
  <c r="H3" i="3"/>
  <c r="C3" i="3" a="1"/>
  <c r="C3" i="3" s="1"/>
  <c r="A3" i="3"/>
  <c r="H1" i="3"/>
  <c r="G1" i="3"/>
  <c r="F1" i="3"/>
  <c r="E1" i="3"/>
  <c r="D1" i="3"/>
  <c r="B3" i="2"/>
  <c r="A3" i="2" s="1"/>
  <c r="J33" i="2"/>
  <c r="I33" i="2"/>
  <c r="H33" i="2"/>
  <c r="J32" i="2"/>
  <c r="I32" i="2"/>
  <c r="H32" i="2"/>
  <c r="J31" i="2"/>
  <c r="I31" i="2"/>
  <c r="H31" i="2"/>
  <c r="J30" i="2"/>
  <c r="I30" i="2"/>
  <c r="H30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J7" i="2"/>
  <c r="I7" i="2"/>
  <c r="H7" i="2"/>
  <c r="J6" i="2"/>
  <c r="I6" i="2"/>
  <c r="H6" i="2"/>
  <c r="J5" i="2"/>
  <c r="I5" i="2"/>
  <c r="H5" i="2"/>
  <c r="J4" i="2"/>
  <c r="I4" i="2"/>
  <c r="H4" i="2"/>
  <c r="K3" i="2"/>
  <c r="J3" i="2"/>
  <c r="I3" i="2"/>
  <c r="I1" i="2" s="1"/>
  <c r="H3" i="2"/>
  <c r="C3" i="2" a="1"/>
  <c r="C3" i="2" s="1"/>
  <c r="J1" i="2"/>
  <c r="H1" i="2"/>
  <c r="G1" i="2"/>
  <c r="F1" i="2"/>
  <c r="E1" i="2"/>
  <c r="D1" i="2"/>
  <c r="D1" i="14"/>
  <c r="O2" i="14" l="1"/>
  <c r="H1" i="5"/>
  <c r="I1" i="5"/>
  <c r="J1" i="5"/>
  <c r="H1" i="11"/>
  <c r="I1" i="9"/>
  <c r="J1" i="4"/>
  <c r="E38" i="12"/>
  <c r="K4" i="12"/>
  <c r="L4" i="12" s="1"/>
  <c r="K4" i="11"/>
  <c r="L4" i="11" s="1"/>
  <c r="B5" i="11"/>
  <c r="C5" i="11" s="1" a="1"/>
  <c r="C5" i="11" s="1"/>
  <c r="K4" i="10"/>
  <c r="L4" i="10" s="1"/>
  <c r="E37" i="9"/>
  <c r="K4" i="9"/>
  <c r="L4" i="9" s="1"/>
  <c r="K4" i="7"/>
  <c r="L4" i="7" s="1"/>
  <c r="B5" i="7"/>
  <c r="B6" i="7" s="1"/>
  <c r="B5" i="4"/>
  <c r="B5" i="12"/>
  <c r="A4" i="12"/>
  <c r="C4" i="12" a="1"/>
  <c r="C4" i="12" s="1"/>
  <c r="B6" i="11"/>
  <c r="A4" i="11"/>
  <c r="C4" i="11" a="1"/>
  <c r="C4" i="11" s="1"/>
  <c r="K3" i="10"/>
  <c r="B5" i="10"/>
  <c r="A4" i="10"/>
  <c r="C4" i="10" a="1"/>
  <c r="C4" i="10" s="1"/>
  <c r="B5" i="9"/>
  <c r="A4" i="9"/>
  <c r="C4" i="9" a="1"/>
  <c r="C4" i="9" s="1"/>
  <c r="L3" i="8"/>
  <c r="B5" i="8"/>
  <c r="A4" i="8"/>
  <c r="A4" i="7"/>
  <c r="C5" i="7" a="1"/>
  <c r="C5" i="7" s="1"/>
  <c r="C4" i="7" a="1"/>
  <c r="C4" i="7" s="1"/>
  <c r="B5" i="6"/>
  <c r="A4" i="6"/>
  <c r="C4" i="6" a="1"/>
  <c r="C4" i="6" s="1"/>
  <c r="K3" i="5"/>
  <c r="B4" i="5"/>
  <c r="A3" i="5"/>
  <c r="L3" i="4"/>
  <c r="A5" i="4"/>
  <c r="K4" i="3"/>
  <c r="L4" i="3" s="1"/>
  <c r="B5" i="3"/>
  <c r="L3" i="3"/>
  <c r="A4" i="3"/>
  <c r="C4" i="3" a="1"/>
  <c r="C4" i="3" s="1"/>
  <c r="B4" i="2"/>
  <c r="L3" i="2"/>
  <c r="B5" i="2"/>
  <c r="A4" i="2"/>
  <c r="C4" i="2" a="1"/>
  <c r="C4" i="2" s="1"/>
  <c r="B1" i="21" a="1"/>
  <c r="B1" i="21" s="1"/>
  <c r="F2" i="21"/>
  <c r="E2" i="21"/>
  <c r="E3" i="21" s="1"/>
  <c r="C2" i="21" a="1"/>
  <c r="C2" i="21" s="1"/>
  <c r="E7" i="17"/>
  <c r="B3" i="14"/>
  <c r="A5" i="11" l="1"/>
  <c r="K5" i="7"/>
  <c r="L5" i="7" s="1"/>
  <c r="A5" i="7"/>
  <c r="K5" i="4"/>
  <c r="L5" i="4" s="1"/>
  <c r="B6" i="4"/>
  <c r="C5" i="4" a="1"/>
  <c r="C5" i="4" s="1"/>
  <c r="K5" i="12"/>
  <c r="C5" i="12" a="1"/>
  <c r="C5" i="12" s="1"/>
  <c r="A5" i="12"/>
  <c r="B6" i="12"/>
  <c r="A6" i="11"/>
  <c r="B7" i="11"/>
  <c r="K6" i="11"/>
  <c r="C6" i="11" a="1"/>
  <c r="C6" i="11" s="1"/>
  <c r="A5" i="10"/>
  <c r="K5" i="10"/>
  <c r="L5" i="10" s="1"/>
  <c r="C5" i="10" a="1"/>
  <c r="C5" i="10" s="1"/>
  <c r="B6" i="10"/>
  <c r="L3" i="10"/>
  <c r="K5" i="9"/>
  <c r="A5" i="9"/>
  <c r="C5" i="9" a="1"/>
  <c r="C5" i="9" s="1"/>
  <c r="B6" i="9"/>
  <c r="K5" i="8"/>
  <c r="C5" i="8" a="1"/>
  <c r="C5" i="8" s="1"/>
  <c r="A5" i="8"/>
  <c r="B6" i="8"/>
  <c r="A6" i="7"/>
  <c r="B7" i="7"/>
  <c r="C6" i="7" a="1"/>
  <c r="C6" i="7" s="1"/>
  <c r="K6" i="7"/>
  <c r="K5" i="6"/>
  <c r="C5" i="6" a="1"/>
  <c r="C5" i="6" s="1"/>
  <c r="B6" i="6"/>
  <c r="A5" i="6"/>
  <c r="E38" i="5"/>
  <c r="K4" i="5"/>
  <c r="L4" i="5" s="1"/>
  <c r="C4" i="5" a="1"/>
  <c r="C4" i="5" s="1"/>
  <c r="A4" i="5"/>
  <c r="B5" i="5"/>
  <c r="L3" i="5"/>
  <c r="B6" i="3"/>
  <c r="C5" i="3" a="1"/>
  <c r="C5" i="3" s="1"/>
  <c r="A5" i="3"/>
  <c r="E38" i="2"/>
  <c r="K4" i="2"/>
  <c r="L4" i="2" s="1"/>
  <c r="K5" i="2"/>
  <c r="C5" i="2" a="1"/>
  <c r="C5" i="2" s="1"/>
  <c r="A5" i="2"/>
  <c r="B6" i="2"/>
  <c r="A6" i="4" l="1"/>
  <c r="C6" i="4" a="1"/>
  <c r="C6" i="4" s="1"/>
  <c r="K6" i="4"/>
  <c r="L6" i="4" s="1"/>
  <c r="B7" i="4"/>
  <c r="A6" i="12"/>
  <c r="B7" i="12"/>
  <c r="K6" i="12"/>
  <c r="L6" i="12" s="1"/>
  <c r="C6" i="12" a="1"/>
  <c r="C6" i="12" s="1"/>
  <c r="L5" i="12"/>
  <c r="L6" i="11"/>
  <c r="C7" i="11" a="1"/>
  <c r="C7" i="11" s="1"/>
  <c r="A7" i="11"/>
  <c r="B8" i="11"/>
  <c r="K7" i="11"/>
  <c r="L7" i="11" s="1"/>
  <c r="A6" i="10"/>
  <c r="B7" i="10"/>
  <c r="K6" i="10"/>
  <c r="C6" i="10" a="1"/>
  <c r="C6" i="10" s="1"/>
  <c r="A6" i="9"/>
  <c r="B7" i="9"/>
  <c r="K6" i="9"/>
  <c r="L6" i="9" s="1"/>
  <c r="C6" i="9" a="1"/>
  <c r="C6" i="9" s="1"/>
  <c r="L5" i="9"/>
  <c r="A6" i="8"/>
  <c r="B7" i="8"/>
  <c r="C6" i="8" a="1"/>
  <c r="C6" i="8" s="1"/>
  <c r="L5" i="8"/>
  <c r="L6" i="7"/>
  <c r="C7" i="7" a="1"/>
  <c r="C7" i="7" s="1"/>
  <c r="A7" i="7"/>
  <c r="B8" i="7"/>
  <c r="K7" i="7"/>
  <c r="L7" i="7" s="1"/>
  <c r="A6" i="6"/>
  <c r="C6" i="6" a="1"/>
  <c r="C6" i="6" s="1"/>
  <c r="B7" i="6"/>
  <c r="K6" i="6"/>
  <c r="L6" i="6" s="1"/>
  <c r="L5" i="6"/>
  <c r="K5" i="5"/>
  <c r="L5" i="5" s="1"/>
  <c r="A5" i="5"/>
  <c r="C5" i="5" a="1"/>
  <c r="C5" i="5" s="1"/>
  <c r="B6" i="5"/>
  <c r="A6" i="3"/>
  <c r="B7" i="3"/>
  <c r="K6" i="3"/>
  <c r="L6" i="3" s="1"/>
  <c r="C6" i="3" a="1"/>
  <c r="C6" i="3" s="1"/>
  <c r="A6" i="2"/>
  <c r="B7" i="2"/>
  <c r="C6" i="2" a="1"/>
  <c r="C6" i="2" s="1"/>
  <c r="L5" i="2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" i="14"/>
  <c r="A7" i="4" l="1"/>
  <c r="B8" i="4"/>
  <c r="K7" i="4"/>
  <c r="L7" i="4" s="1"/>
  <c r="C7" i="4" a="1"/>
  <c r="C7" i="4" s="1"/>
  <c r="C7" i="12" a="1"/>
  <c r="C7" i="12" s="1"/>
  <c r="A7" i="12"/>
  <c r="B8" i="12"/>
  <c r="K7" i="12"/>
  <c r="C8" i="11" a="1"/>
  <c r="C8" i="11" s="1"/>
  <c r="A8" i="11"/>
  <c r="B9" i="11"/>
  <c r="K8" i="11"/>
  <c r="L8" i="11" s="1"/>
  <c r="L6" i="10"/>
  <c r="A7" i="10"/>
  <c r="B8" i="10"/>
  <c r="K7" i="10"/>
  <c r="L7" i="10" s="1"/>
  <c r="C7" i="10" a="1"/>
  <c r="C7" i="10" s="1"/>
  <c r="C7" i="9" a="1"/>
  <c r="C7" i="9" s="1"/>
  <c r="A7" i="9"/>
  <c r="B8" i="9"/>
  <c r="K7" i="9"/>
  <c r="L7" i="9" s="1"/>
  <c r="C7" i="8" a="1"/>
  <c r="C7" i="8" s="1"/>
  <c r="A7" i="8"/>
  <c r="B8" i="8"/>
  <c r="K7" i="8"/>
  <c r="C8" i="7" a="1"/>
  <c r="C8" i="7" s="1"/>
  <c r="A8" i="7"/>
  <c r="B9" i="7"/>
  <c r="K8" i="7"/>
  <c r="L8" i="7" s="1"/>
  <c r="C7" i="6" a="1"/>
  <c r="C7" i="6" s="1"/>
  <c r="A7" i="6"/>
  <c r="B8" i="6"/>
  <c r="K7" i="6"/>
  <c r="A6" i="5"/>
  <c r="C6" i="5" a="1"/>
  <c r="C6" i="5" s="1"/>
  <c r="B7" i="5"/>
  <c r="K6" i="5"/>
  <c r="C7" i="3" a="1"/>
  <c r="C7" i="3" s="1"/>
  <c r="A7" i="3"/>
  <c r="B8" i="3"/>
  <c r="K7" i="3"/>
  <c r="L7" i="3" s="1"/>
  <c r="C7" i="2" a="1"/>
  <c r="C7" i="2" s="1"/>
  <c r="A7" i="2"/>
  <c r="B8" i="2"/>
  <c r="K7" i="2"/>
  <c r="F1" i="14"/>
  <c r="E1" i="14"/>
  <c r="A8" i="4" l="1"/>
  <c r="B9" i="4"/>
  <c r="C8" i="4" a="1"/>
  <c r="C8" i="4" s="1"/>
  <c r="K8" i="4"/>
  <c r="L8" i="4" s="1"/>
  <c r="L7" i="12"/>
  <c r="C8" i="12" a="1"/>
  <c r="C8" i="12" s="1"/>
  <c r="A8" i="12"/>
  <c r="B9" i="12"/>
  <c r="K8" i="12"/>
  <c r="L8" i="12" s="1"/>
  <c r="C9" i="11" a="1"/>
  <c r="C9" i="11" s="1"/>
  <c r="A9" i="11"/>
  <c r="B10" i="11"/>
  <c r="C8" i="10" a="1"/>
  <c r="C8" i="10" s="1"/>
  <c r="A8" i="10"/>
  <c r="B9" i="10"/>
  <c r="C8" i="9" a="1"/>
  <c r="C8" i="9" s="1"/>
  <c r="A8" i="9"/>
  <c r="B9" i="9"/>
  <c r="K8" i="9"/>
  <c r="L8" i="9" s="1"/>
  <c r="L7" i="8"/>
  <c r="C8" i="8" a="1"/>
  <c r="C8" i="8" s="1"/>
  <c r="A8" i="8"/>
  <c r="B9" i="8"/>
  <c r="K8" i="8"/>
  <c r="L8" i="8" s="1"/>
  <c r="A9" i="7"/>
  <c r="C9" i="7" a="1"/>
  <c r="C9" i="7" s="1"/>
  <c r="B10" i="7"/>
  <c r="L7" i="6"/>
  <c r="C8" i="6" a="1"/>
  <c r="C8" i="6" s="1"/>
  <c r="A8" i="6"/>
  <c r="B9" i="6"/>
  <c r="K8" i="6"/>
  <c r="L8" i="6" s="1"/>
  <c r="L6" i="5"/>
  <c r="C7" i="5" a="1"/>
  <c r="C7" i="5" s="1"/>
  <c r="A7" i="5"/>
  <c r="B8" i="5"/>
  <c r="C8" i="3" a="1"/>
  <c r="C8" i="3" s="1"/>
  <c r="A8" i="3"/>
  <c r="B9" i="3"/>
  <c r="K8" i="3"/>
  <c r="L8" i="3" s="1"/>
  <c r="C8" i="2" a="1"/>
  <c r="C8" i="2" s="1"/>
  <c r="A8" i="2"/>
  <c r="B9" i="2"/>
  <c r="K8" i="2"/>
  <c r="L8" i="2" s="1"/>
  <c r="L7" i="2"/>
  <c r="O13" i="17"/>
  <c r="N13" i="17"/>
  <c r="M13" i="17"/>
  <c r="O12" i="17"/>
  <c r="N12" i="17"/>
  <c r="M12" i="17"/>
  <c r="O11" i="17"/>
  <c r="N11" i="17"/>
  <c r="M11" i="17"/>
  <c r="O10" i="17"/>
  <c r="N10" i="17"/>
  <c r="M10" i="17"/>
  <c r="O9" i="17"/>
  <c r="N9" i="17"/>
  <c r="M9" i="17"/>
  <c r="O8" i="17"/>
  <c r="N8" i="17"/>
  <c r="M8" i="17"/>
  <c r="O7" i="17"/>
  <c r="N7" i="17"/>
  <c r="M7" i="17"/>
  <c r="O6" i="17"/>
  <c r="N6" i="17"/>
  <c r="M6" i="17"/>
  <c r="O5" i="17"/>
  <c r="N5" i="17"/>
  <c r="M5" i="17"/>
  <c r="O4" i="17"/>
  <c r="N4" i="17"/>
  <c r="O3" i="17"/>
  <c r="N3" i="17"/>
  <c r="M4" i="17"/>
  <c r="M3" i="17"/>
  <c r="K13" i="17"/>
  <c r="K12" i="17"/>
  <c r="K11" i="17"/>
  <c r="K10" i="17"/>
  <c r="K9" i="17"/>
  <c r="K8" i="17"/>
  <c r="K7" i="17"/>
  <c r="K6" i="17"/>
  <c r="K5" i="17"/>
  <c r="K4" i="17"/>
  <c r="K3" i="17"/>
  <c r="B13" i="17"/>
  <c r="A9" i="4" l="1"/>
  <c r="B10" i="4"/>
  <c r="C9" i="4" a="1"/>
  <c r="C9" i="4" s="1"/>
  <c r="C9" i="12" a="1"/>
  <c r="C9" i="12" s="1"/>
  <c r="A9" i="12"/>
  <c r="B10" i="12"/>
  <c r="A10" i="11"/>
  <c r="B11" i="11"/>
  <c r="K10" i="11"/>
  <c r="L10" i="11" s="1"/>
  <c r="C10" i="11" a="1"/>
  <c r="C10" i="11" s="1"/>
  <c r="C9" i="10" a="1"/>
  <c r="C9" i="10" s="1"/>
  <c r="A9" i="10"/>
  <c r="B10" i="10"/>
  <c r="C9" i="9" a="1"/>
  <c r="C9" i="9" s="1"/>
  <c r="A9" i="9"/>
  <c r="B10" i="9"/>
  <c r="C9" i="8" a="1"/>
  <c r="C9" i="8" s="1"/>
  <c r="A9" i="8"/>
  <c r="B10" i="8"/>
  <c r="A10" i="7"/>
  <c r="B11" i="7"/>
  <c r="K10" i="7"/>
  <c r="L10" i="7" s="1"/>
  <c r="C10" i="7" a="1"/>
  <c r="C10" i="7" s="1"/>
  <c r="C9" i="6" a="1"/>
  <c r="C9" i="6" s="1"/>
  <c r="A9" i="6"/>
  <c r="B10" i="6"/>
  <c r="C8" i="5" a="1"/>
  <c r="C8" i="5" s="1"/>
  <c r="A8" i="5"/>
  <c r="B9" i="5"/>
  <c r="K8" i="5"/>
  <c r="L8" i="5" s="1"/>
  <c r="B10" i="3"/>
  <c r="C9" i="3" a="1"/>
  <c r="C9" i="3" s="1"/>
  <c r="A9" i="3"/>
  <c r="C9" i="2" a="1"/>
  <c r="C9" i="2" s="1"/>
  <c r="A9" i="2"/>
  <c r="B10" i="2"/>
  <c r="B15" i="17"/>
  <c r="B3" i="17"/>
  <c r="B2" i="17"/>
  <c r="A10" i="4" l="1"/>
  <c r="B11" i="4"/>
  <c r="K10" i="4"/>
  <c r="L10" i="4" s="1"/>
  <c r="C10" i="4" a="1"/>
  <c r="C10" i="4" s="1"/>
  <c r="A10" i="12"/>
  <c r="B11" i="12"/>
  <c r="C10" i="12" a="1"/>
  <c r="C10" i="12" s="1"/>
  <c r="A11" i="11"/>
  <c r="B12" i="11"/>
  <c r="K11" i="11"/>
  <c r="L11" i="11" s="1"/>
  <c r="C11" i="11" a="1"/>
  <c r="C11" i="11" s="1"/>
  <c r="A10" i="10"/>
  <c r="B11" i="10"/>
  <c r="K10" i="10"/>
  <c r="L10" i="10" s="1"/>
  <c r="C10" i="10" a="1"/>
  <c r="C10" i="10" s="1"/>
  <c r="A10" i="9"/>
  <c r="B11" i="9"/>
  <c r="C10" i="9" a="1"/>
  <c r="C10" i="9" s="1"/>
  <c r="A10" i="8"/>
  <c r="B11" i="8"/>
  <c r="K10" i="8"/>
  <c r="L10" i="8" s="1"/>
  <c r="C10" i="8" a="1"/>
  <c r="C10" i="8" s="1"/>
  <c r="C11" i="7" a="1"/>
  <c r="C11" i="7" s="1"/>
  <c r="A11" i="7"/>
  <c r="B12" i="7"/>
  <c r="K11" i="7"/>
  <c r="L11" i="7" s="1"/>
  <c r="A10" i="6"/>
  <c r="B11" i="6"/>
  <c r="K10" i="6"/>
  <c r="L10" i="6" s="1"/>
  <c r="C10" i="6" a="1"/>
  <c r="C10" i="6" s="1"/>
  <c r="C9" i="5" a="1"/>
  <c r="C9" i="5" s="1"/>
  <c r="A9" i="5"/>
  <c r="B10" i="5"/>
  <c r="A10" i="3"/>
  <c r="B11" i="3"/>
  <c r="K10" i="3"/>
  <c r="L10" i="3" s="1"/>
  <c r="C10" i="3" a="1"/>
  <c r="C10" i="3" s="1"/>
  <c r="A10" i="2"/>
  <c r="B11" i="2"/>
  <c r="K10" i="2"/>
  <c r="L10" i="2" s="1"/>
  <c r="C10" i="2" a="1"/>
  <c r="C10" i="2" s="1"/>
  <c r="B4" i="17"/>
  <c r="B6" i="17"/>
  <c r="E5" i="17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B12" i="4" l="1"/>
  <c r="C11" i="4" a="1"/>
  <c r="C11" i="4" s="1"/>
  <c r="A11" i="4"/>
  <c r="K11" i="4"/>
  <c r="L11" i="4" s="1"/>
  <c r="C11" i="12" a="1"/>
  <c r="C11" i="12" s="1"/>
  <c r="A11" i="12"/>
  <c r="B12" i="12"/>
  <c r="K11" i="12"/>
  <c r="L11" i="12" s="1"/>
  <c r="C12" i="11" a="1"/>
  <c r="C12" i="11" s="1"/>
  <c r="A12" i="11"/>
  <c r="B13" i="11"/>
  <c r="C11" i="10" a="1"/>
  <c r="C11" i="10" s="1"/>
  <c r="A11" i="10"/>
  <c r="B12" i="10"/>
  <c r="K11" i="10"/>
  <c r="L11" i="10" s="1"/>
  <c r="C11" i="9" a="1"/>
  <c r="C11" i="9" s="1"/>
  <c r="A11" i="9"/>
  <c r="B12" i="9"/>
  <c r="K11" i="9"/>
  <c r="L11" i="9" s="1"/>
  <c r="C11" i="8" a="1"/>
  <c r="C11" i="8" s="1"/>
  <c r="A11" i="8"/>
  <c r="B12" i="8"/>
  <c r="K11" i="8"/>
  <c r="L11" i="8" s="1"/>
  <c r="C12" i="7" a="1"/>
  <c r="C12" i="7" s="1"/>
  <c r="A12" i="7"/>
  <c r="B13" i="7"/>
  <c r="K12" i="7"/>
  <c r="L12" i="7" s="1"/>
  <c r="C11" i="6" a="1"/>
  <c r="C11" i="6" s="1"/>
  <c r="A11" i="6"/>
  <c r="B12" i="6"/>
  <c r="A10" i="5"/>
  <c r="B11" i="5"/>
  <c r="C10" i="5" a="1"/>
  <c r="C10" i="5" s="1"/>
  <c r="K10" i="5"/>
  <c r="L10" i="5" s="1"/>
  <c r="C11" i="3" a="1"/>
  <c r="C11" i="3" s="1"/>
  <c r="A11" i="3"/>
  <c r="B12" i="3"/>
  <c r="K11" i="3"/>
  <c r="L11" i="3" s="1"/>
  <c r="C11" i="2" a="1"/>
  <c r="C11" i="2" s="1"/>
  <c r="A11" i="2"/>
  <c r="B12" i="2"/>
  <c r="K11" i="2"/>
  <c r="L11" i="2" s="1"/>
  <c r="O2" i="17"/>
  <c r="M2" i="17"/>
  <c r="N2" i="17"/>
  <c r="K2" i="17"/>
  <c r="H1" i="14"/>
  <c r="I1" i="14"/>
  <c r="B4" i="14"/>
  <c r="C4" i="14" s="1" a="1"/>
  <c r="C4" i="14" s="1"/>
  <c r="A3" i="14"/>
  <c r="A12" i="4" l="1"/>
  <c r="K12" i="4"/>
  <c r="L12" i="4" s="1"/>
  <c r="B13" i="4"/>
  <c r="C12" i="4" a="1"/>
  <c r="C12" i="4" s="1"/>
  <c r="C12" i="12" a="1"/>
  <c r="C12" i="12" s="1"/>
  <c r="A12" i="12"/>
  <c r="B13" i="12"/>
  <c r="K12" i="12"/>
  <c r="L12" i="12" s="1"/>
  <c r="K13" i="11"/>
  <c r="L13" i="11" s="1"/>
  <c r="C13" i="11" a="1"/>
  <c r="C13" i="11" s="1"/>
  <c r="A13" i="11"/>
  <c r="B14" i="11"/>
  <c r="C12" i="10" a="1"/>
  <c r="C12" i="10" s="1"/>
  <c r="A12" i="10"/>
  <c r="B13" i="10"/>
  <c r="K12" i="10"/>
  <c r="L12" i="10" s="1"/>
  <c r="C12" i="9" a="1"/>
  <c r="C12" i="9" s="1"/>
  <c r="A12" i="9"/>
  <c r="B13" i="9"/>
  <c r="K12" i="9"/>
  <c r="L12" i="9" s="1"/>
  <c r="C12" i="8" a="1"/>
  <c r="C12" i="8" s="1"/>
  <c r="A12" i="8"/>
  <c r="B13" i="8"/>
  <c r="K12" i="8"/>
  <c r="L12" i="8" s="1"/>
  <c r="K13" i="7"/>
  <c r="L13" i="7" s="1"/>
  <c r="A13" i="7"/>
  <c r="C13" i="7" a="1"/>
  <c r="C13" i="7" s="1"/>
  <c r="B14" i="7"/>
  <c r="C12" i="6" a="1"/>
  <c r="C12" i="6" s="1"/>
  <c r="A12" i="6"/>
  <c r="B13" i="6"/>
  <c r="K12" i="6"/>
  <c r="L12" i="6" s="1"/>
  <c r="C11" i="5" a="1"/>
  <c r="C11" i="5" s="1"/>
  <c r="A11" i="5"/>
  <c r="B12" i="5"/>
  <c r="K11" i="5"/>
  <c r="L11" i="5" s="1"/>
  <c r="C12" i="3" a="1"/>
  <c r="C12" i="3" s="1"/>
  <c r="A12" i="3"/>
  <c r="B13" i="3"/>
  <c r="C12" i="2" a="1"/>
  <c r="C12" i="2" s="1"/>
  <c r="A12" i="2"/>
  <c r="B13" i="2"/>
  <c r="K12" i="2"/>
  <c r="L12" i="2" s="1"/>
  <c r="E38" i="14"/>
  <c r="B5" i="14"/>
  <c r="C5" i="14" s="1" a="1"/>
  <c r="C5" i="14" s="1"/>
  <c r="H15" i="17"/>
  <c r="H14" i="17"/>
  <c r="H13" i="17"/>
  <c r="H11" i="17"/>
  <c r="H7" i="17"/>
  <c r="H6" i="17"/>
  <c r="H4" i="17"/>
  <c r="H2" i="17"/>
  <c r="G1" i="14"/>
  <c r="K13" i="4" l="1"/>
  <c r="L13" i="4" s="1"/>
  <c r="B14" i="4"/>
  <c r="C13" i="4" a="1"/>
  <c r="C13" i="4" s="1"/>
  <c r="A13" i="4"/>
  <c r="K13" i="12"/>
  <c r="L13" i="12" s="1"/>
  <c r="C13" i="12" a="1"/>
  <c r="C13" i="12" s="1"/>
  <c r="A13" i="12"/>
  <c r="B14" i="12"/>
  <c r="A14" i="11"/>
  <c r="B15" i="11"/>
  <c r="C14" i="11" a="1"/>
  <c r="C14" i="11" s="1"/>
  <c r="K14" i="11"/>
  <c r="L14" i="11" s="1"/>
  <c r="K13" i="10"/>
  <c r="L13" i="10" s="1"/>
  <c r="C13" i="10" a="1"/>
  <c r="C13" i="10" s="1"/>
  <c r="A13" i="10"/>
  <c r="B14" i="10"/>
  <c r="K13" i="9"/>
  <c r="L13" i="9" s="1"/>
  <c r="C13" i="9" a="1"/>
  <c r="C13" i="9" s="1"/>
  <c r="A13" i="9"/>
  <c r="B14" i="9"/>
  <c r="C13" i="8" a="1"/>
  <c r="C13" i="8" s="1"/>
  <c r="A13" i="8"/>
  <c r="B14" i="8"/>
  <c r="A14" i="7"/>
  <c r="B15" i="7"/>
  <c r="K14" i="7"/>
  <c r="L14" i="7" s="1"/>
  <c r="C14" i="7" a="1"/>
  <c r="C14" i="7" s="1"/>
  <c r="K13" i="6"/>
  <c r="L13" i="6" s="1"/>
  <c r="C13" i="6" a="1"/>
  <c r="C13" i="6" s="1"/>
  <c r="A13" i="6"/>
  <c r="B14" i="6"/>
  <c r="C12" i="5" a="1"/>
  <c r="C12" i="5" s="1"/>
  <c r="A12" i="5"/>
  <c r="B13" i="5"/>
  <c r="K12" i="5"/>
  <c r="L12" i="5" s="1"/>
  <c r="K13" i="3"/>
  <c r="L13" i="3" s="1"/>
  <c r="B14" i="3"/>
  <c r="C13" i="3" a="1"/>
  <c r="C13" i="3" s="1"/>
  <c r="A13" i="3"/>
  <c r="C13" i="2" a="1"/>
  <c r="C13" i="2" s="1"/>
  <c r="A13" i="2"/>
  <c r="B14" i="2"/>
  <c r="B6" i="14"/>
  <c r="C6" i="14" s="1" a="1"/>
  <c r="C6" i="14" s="1"/>
  <c r="A4" i="14"/>
  <c r="A14" i="4" l="1"/>
  <c r="B15" i="4"/>
  <c r="K14" i="4"/>
  <c r="L14" i="4" s="1"/>
  <c r="C14" i="4" a="1"/>
  <c r="C14" i="4" s="1"/>
  <c r="A14" i="12"/>
  <c r="B15" i="12"/>
  <c r="K14" i="12"/>
  <c r="L14" i="12" s="1"/>
  <c r="C14" i="12" a="1"/>
  <c r="C14" i="12" s="1"/>
  <c r="C15" i="11" a="1"/>
  <c r="C15" i="11" s="1"/>
  <c r="A15" i="11"/>
  <c r="B16" i="11"/>
  <c r="K15" i="11"/>
  <c r="L15" i="11" s="1"/>
  <c r="A14" i="10"/>
  <c r="B15" i="10"/>
  <c r="C14" i="10" a="1"/>
  <c r="C14" i="10" s="1"/>
  <c r="K14" i="10"/>
  <c r="L14" i="10" s="1"/>
  <c r="A14" i="9"/>
  <c r="B15" i="9"/>
  <c r="C14" i="9" a="1"/>
  <c r="C14" i="9" s="1"/>
  <c r="K14" i="9"/>
  <c r="L14" i="9" s="1"/>
  <c r="A14" i="8"/>
  <c r="B15" i="8"/>
  <c r="K14" i="8"/>
  <c r="L14" i="8" s="1"/>
  <c r="C14" i="8" a="1"/>
  <c r="C14" i="8" s="1"/>
  <c r="C15" i="7" a="1"/>
  <c r="C15" i="7" s="1"/>
  <c r="A15" i="7"/>
  <c r="B16" i="7"/>
  <c r="K15" i="7"/>
  <c r="L15" i="7" s="1"/>
  <c r="A14" i="6"/>
  <c r="B15" i="6"/>
  <c r="K14" i="6"/>
  <c r="L14" i="6" s="1"/>
  <c r="C14" i="6" a="1"/>
  <c r="C14" i="6" s="1"/>
  <c r="K13" i="5"/>
  <c r="L13" i="5" s="1"/>
  <c r="A13" i="5"/>
  <c r="C13" i="5" a="1"/>
  <c r="C13" i="5" s="1"/>
  <c r="B14" i="5"/>
  <c r="A14" i="3"/>
  <c r="B15" i="3"/>
  <c r="K14" i="3"/>
  <c r="L14" i="3" s="1"/>
  <c r="C14" i="3" a="1"/>
  <c r="C14" i="3" s="1"/>
  <c r="A14" i="2"/>
  <c r="B15" i="2"/>
  <c r="K14" i="2"/>
  <c r="L14" i="2" s="1"/>
  <c r="C14" i="2" a="1"/>
  <c r="C14" i="2" s="1"/>
  <c r="K6" i="14"/>
  <c r="L6" i="14" s="1"/>
  <c r="B7" i="14"/>
  <c r="C7" i="14" s="1" a="1"/>
  <c r="C7" i="14" s="1"/>
  <c r="A5" i="14"/>
  <c r="C15" i="4" l="1" a="1"/>
  <c r="C15" i="4" s="1"/>
  <c r="A15" i="4"/>
  <c r="K15" i="4"/>
  <c r="L15" i="4" s="1"/>
  <c r="B16" i="4"/>
  <c r="C15" i="12" a="1"/>
  <c r="C15" i="12" s="1"/>
  <c r="A15" i="12"/>
  <c r="B16" i="12"/>
  <c r="K15" i="12"/>
  <c r="L15" i="12" s="1"/>
  <c r="C16" i="11" a="1"/>
  <c r="C16" i="11" s="1"/>
  <c r="A16" i="11"/>
  <c r="B17" i="11"/>
  <c r="C15" i="10" a="1"/>
  <c r="C15" i="10" s="1"/>
  <c r="A15" i="10"/>
  <c r="B16" i="10"/>
  <c r="C15" i="9" a="1"/>
  <c r="C15" i="9" s="1"/>
  <c r="A15" i="9"/>
  <c r="B16" i="9"/>
  <c r="K15" i="9"/>
  <c r="L15" i="9" s="1"/>
  <c r="C15" i="8" a="1"/>
  <c r="C15" i="8" s="1"/>
  <c r="A15" i="8"/>
  <c r="B16" i="8"/>
  <c r="K15" i="8"/>
  <c r="L15" i="8" s="1"/>
  <c r="C16" i="7" a="1"/>
  <c r="C16" i="7" s="1"/>
  <c r="A16" i="7"/>
  <c r="B17" i="7"/>
  <c r="C15" i="6" a="1"/>
  <c r="C15" i="6" s="1"/>
  <c r="A15" i="6"/>
  <c r="B16" i="6"/>
  <c r="K15" i="6"/>
  <c r="L15" i="6" s="1"/>
  <c r="A14" i="5"/>
  <c r="B15" i="5"/>
  <c r="C14" i="5" a="1"/>
  <c r="C14" i="5" s="1"/>
  <c r="C15" i="3" a="1"/>
  <c r="C15" i="3" s="1"/>
  <c r="A15" i="3"/>
  <c r="B16" i="3"/>
  <c r="K15" i="3"/>
  <c r="L15" i="3" s="1"/>
  <c r="C15" i="2" a="1"/>
  <c r="C15" i="2" s="1"/>
  <c r="A15" i="2"/>
  <c r="B16" i="2"/>
  <c r="K15" i="2"/>
  <c r="L15" i="2" s="1"/>
  <c r="B8" i="14"/>
  <c r="C8" i="14" s="1" a="1"/>
  <c r="C8" i="14" s="1"/>
  <c r="A6" i="14"/>
  <c r="C16" i="4" l="1" a="1"/>
  <c r="C16" i="4" s="1"/>
  <c r="A16" i="4"/>
  <c r="B17" i="4"/>
  <c r="C16" i="12" a="1"/>
  <c r="C16" i="12" s="1"/>
  <c r="A16" i="12"/>
  <c r="B17" i="12"/>
  <c r="K17" i="11"/>
  <c r="L17" i="11" s="1"/>
  <c r="C17" i="11" a="1"/>
  <c r="C17" i="11" s="1"/>
  <c r="A17" i="11"/>
  <c r="B18" i="11"/>
  <c r="C16" i="10" a="1"/>
  <c r="C16" i="10" s="1"/>
  <c r="A16" i="10"/>
  <c r="B17" i="10"/>
  <c r="C16" i="9" a="1"/>
  <c r="C16" i="9" s="1"/>
  <c r="A16" i="9"/>
  <c r="B17" i="9"/>
  <c r="C16" i="8" a="1"/>
  <c r="C16" i="8" s="1"/>
  <c r="A16" i="8"/>
  <c r="B17" i="8"/>
  <c r="K17" i="7"/>
  <c r="L17" i="7" s="1"/>
  <c r="A17" i="7"/>
  <c r="C17" i="7" a="1"/>
  <c r="C17" i="7" s="1"/>
  <c r="B18" i="7"/>
  <c r="C16" i="6" a="1"/>
  <c r="C16" i="6" s="1"/>
  <c r="A16" i="6"/>
  <c r="B17" i="6"/>
  <c r="C15" i="5" a="1"/>
  <c r="C15" i="5" s="1"/>
  <c r="A15" i="5"/>
  <c r="B16" i="5"/>
  <c r="K15" i="5"/>
  <c r="L15" i="5" s="1"/>
  <c r="C16" i="3" a="1"/>
  <c r="C16" i="3" s="1"/>
  <c r="A16" i="3"/>
  <c r="B17" i="3"/>
  <c r="C16" i="2" a="1"/>
  <c r="C16" i="2" s="1"/>
  <c r="A16" i="2"/>
  <c r="B17" i="2"/>
  <c r="K8" i="14"/>
  <c r="L8" i="14" s="1"/>
  <c r="B9" i="14"/>
  <c r="C9" i="14" s="1" a="1"/>
  <c r="C9" i="14" s="1"/>
  <c r="A7" i="14"/>
  <c r="B18" i="4" l="1"/>
  <c r="A17" i="4"/>
  <c r="C17" i="4" a="1"/>
  <c r="C17" i="4" s="1"/>
  <c r="K17" i="4"/>
  <c r="L17" i="4" s="1"/>
  <c r="C17" i="12" a="1"/>
  <c r="C17" i="12" s="1"/>
  <c r="A17" i="12"/>
  <c r="B18" i="12"/>
  <c r="A18" i="11"/>
  <c r="B19" i="11"/>
  <c r="C18" i="11" a="1"/>
  <c r="C18" i="11" s="1"/>
  <c r="K18" i="11"/>
  <c r="L18" i="11" s="1"/>
  <c r="K17" i="10"/>
  <c r="L17" i="10" s="1"/>
  <c r="C17" i="10" a="1"/>
  <c r="C17" i="10" s="1"/>
  <c r="A17" i="10"/>
  <c r="B18" i="10"/>
  <c r="C17" i="9" a="1"/>
  <c r="C17" i="9" s="1"/>
  <c r="A17" i="9"/>
  <c r="B18" i="9"/>
  <c r="K17" i="8"/>
  <c r="L17" i="8" s="1"/>
  <c r="C17" i="8" a="1"/>
  <c r="C17" i="8" s="1"/>
  <c r="A17" i="8"/>
  <c r="B18" i="8"/>
  <c r="A18" i="7"/>
  <c r="B19" i="7"/>
  <c r="K18" i="7"/>
  <c r="L18" i="7" s="1"/>
  <c r="C18" i="7" a="1"/>
  <c r="C18" i="7" s="1"/>
  <c r="K17" i="6"/>
  <c r="L17" i="6" s="1"/>
  <c r="C17" i="6" a="1"/>
  <c r="C17" i="6" s="1"/>
  <c r="A17" i="6"/>
  <c r="B18" i="6"/>
  <c r="C16" i="5" a="1"/>
  <c r="C16" i="5" s="1"/>
  <c r="A16" i="5"/>
  <c r="B17" i="5"/>
  <c r="K17" i="3"/>
  <c r="L17" i="3" s="1"/>
  <c r="B18" i="3"/>
  <c r="C17" i="3" a="1"/>
  <c r="C17" i="3" s="1"/>
  <c r="A17" i="3"/>
  <c r="K17" i="2"/>
  <c r="L17" i="2" s="1"/>
  <c r="C17" i="2" a="1"/>
  <c r="C17" i="2" s="1"/>
  <c r="A17" i="2"/>
  <c r="B18" i="2"/>
  <c r="B10" i="14"/>
  <c r="C10" i="14" s="1" a="1"/>
  <c r="C10" i="14" s="1"/>
  <c r="A8" i="14"/>
  <c r="H12" i="17"/>
  <c r="A19" i="17"/>
  <c r="A20" i="17" s="1"/>
  <c r="A18" i="4" l="1"/>
  <c r="B19" i="4"/>
  <c r="C18" i="4" a="1"/>
  <c r="C18" i="4" s="1"/>
  <c r="K18" i="4"/>
  <c r="L18" i="4" s="1"/>
  <c r="A18" i="12"/>
  <c r="B19" i="12"/>
  <c r="K18" i="12"/>
  <c r="L18" i="12" s="1"/>
  <c r="C18" i="12" a="1"/>
  <c r="C18" i="12" s="1"/>
  <c r="C19" i="11" a="1"/>
  <c r="C19" i="11" s="1"/>
  <c r="A19" i="11"/>
  <c r="B20" i="11"/>
  <c r="A18" i="10"/>
  <c r="B19" i="10"/>
  <c r="K18" i="10"/>
  <c r="L18" i="10" s="1"/>
  <c r="C18" i="10" a="1"/>
  <c r="C18" i="10" s="1"/>
  <c r="A18" i="9"/>
  <c r="B19" i="9"/>
  <c r="K18" i="9"/>
  <c r="L18" i="9" s="1"/>
  <c r="C18" i="9" a="1"/>
  <c r="C18" i="9" s="1"/>
  <c r="A18" i="8"/>
  <c r="B19" i="8"/>
  <c r="K18" i="8"/>
  <c r="L18" i="8" s="1"/>
  <c r="C18" i="8" a="1"/>
  <c r="C18" i="8" s="1"/>
  <c r="C19" i="7" a="1"/>
  <c r="C19" i="7" s="1"/>
  <c r="A19" i="7"/>
  <c r="B20" i="7"/>
  <c r="K19" i="7"/>
  <c r="L19" i="7" s="1"/>
  <c r="A18" i="6"/>
  <c r="B19" i="6"/>
  <c r="C18" i="6" a="1"/>
  <c r="C18" i="6" s="1"/>
  <c r="K17" i="5"/>
  <c r="L17" i="5" s="1"/>
  <c r="A17" i="5"/>
  <c r="C17" i="5" a="1"/>
  <c r="C17" i="5" s="1"/>
  <c r="B18" i="5"/>
  <c r="A18" i="3"/>
  <c r="B19" i="3"/>
  <c r="K18" i="3"/>
  <c r="L18" i="3" s="1"/>
  <c r="C18" i="3" a="1"/>
  <c r="C18" i="3" s="1"/>
  <c r="A18" i="2"/>
  <c r="B19" i="2"/>
  <c r="K18" i="2"/>
  <c r="L18" i="2" s="1"/>
  <c r="C18" i="2" a="1"/>
  <c r="C18" i="2" s="1"/>
  <c r="B11" i="14"/>
  <c r="C11" i="14" s="1" a="1"/>
  <c r="C11" i="14" s="1"/>
  <c r="A9" i="14"/>
  <c r="E2" i="17"/>
  <c r="A19" i="4" l="1"/>
  <c r="C19" i="4" a="1"/>
  <c r="C19" i="4" s="1"/>
  <c r="B20" i="4"/>
  <c r="K19" i="4"/>
  <c r="L19" i="4" s="1"/>
  <c r="C19" i="12" a="1"/>
  <c r="C19" i="12" s="1"/>
  <c r="A19" i="12"/>
  <c r="B20" i="12"/>
  <c r="K19" i="12"/>
  <c r="L19" i="12" s="1"/>
  <c r="C20" i="11" a="1"/>
  <c r="C20" i="11" s="1"/>
  <c r="A20" i="11"/>
  <c r="B21" i="11"/>
  <c r="K20" i="11"/>
  <c r="L20" i="11" s="1"/>
  <c r="C19" i="10" a="1"/>
  <c r="C19" i="10" s="1"/>
  <c r="A19" i="10"/>
  <c r="B20" i="10"/>
  <c r="K19" i="10"/>
  <c r="L19" i="10" s="1"/>
  <c r="C19" i="9" a="1"/>
  <c r="C19" i="9" s="1"/>
  <c r="A19" i="9"/>
  <c r="B20" i="9"/>
  <c r="K19" i="9"/>
  <c r="L19" i="9" s="1"/>
  <c r="C19" i="8" a="1"/>
  <c r="C19" i="8" s="1"/>
  <c r="A19" i="8"/>
  <c r="B20" i="8"/>
  <c r="K19" i="8"/>
  <c r="L19" i="8" s="1"/>
  <c r="C20" i="7" a="1"/>
  <c r="C20" i="7" s="1"/>
  <c r="A20" i="7"/>
  <c r="B21" i="7"/>
  <c r="K20" i="7"/>
  <c r="L20" i="7" s="1"/>
  <c r="C19" i="6" a="1"/>
  <c r="C19" i="6" s="1"/>
  <c r="A19" i="6"/>
  <c r="B20" i="6"/>
  <c r="K19" i="6"/>
  <c r="L19" i="6" s="1"/>
  <c r="A18" i="5"/>
  <c r="C18" i="5" a="1"/>
  <c r="C18" i="5" s="1"/>
  <c r="B19" i="5"/>
  <c r="K18" i="5"/>
  <c r="L18" i="5" s="1"/>
  <c r="C19" i="3" a="1"/>
  <c r="C19" i="3" s="1"/>
  <c r="A19" i="3"/>
  <c r="B20" i="3"/>
  <c r="C19" i="2" a="1"/>
  <c r="C19" i="2" s="1"/>
  <c r="A19" i="2"/>
  <c r="B20" i="2"/>
  <c r="K19" i="2"/>
  <c r="L19" i="2" s="1"/>
  <c r="B12" i="14"/>
  <c r="C12" i="14" s="1" a="1"/>
  <c r="C12" i="14" s="1"/>
  <c r="A10" i="14"/>
  <c r="H8" i="17"/>
  <c r="H16" i="17"/>
  <c r="A20" i="4" l="1"/>
  <c r="K20" i="4"/>
  <c r="L20" i="4" s="1"/>
  <c r="B21" i="4"/>
  <c r="C20" i="4" a="1"/>
  <c r="C20" i="4" s="1"/>
  <c r="C20" i="12" a="1"/>
  <c r="C20" i="12" s="1"/>
  <c r="A20" i="12"/>
  <c r="B21" i="12"/>
  <c r="K20" i="12"/>
  <c r="L20" i="12" s="1"/>
  <c r="K21" i="11"/>
  <c r="L21" i="11" s="1"/>
  <c r="C21" i="11" a="1"/>
  <c r="C21" i="11" s="1"/>
  <c r="A21" i="11"/>
  <c r="B22" i="11"/>
  <c r="C20" i="10" a="1"/>
  <c r="C20" i="10" s="1"/>
  <c r="A20" i="10"/>
  <c r="B21" i="10"/>
  <c r="K20" i="10"/>
  <c r="L20" i="10" s="1"/>
  <c r="C20" i="9" a="1"/>
  <c r="C20" i="9" s="1"/>
  <c r="A20" i="9"/>
  <c r="B21" i="9"/>
  <c r="K20" i="9"/>
  <c r="L20" i="9" s="1"/>
  <c r="C20" i="8" a="1"/>
  <c r="C20" i="8" s="1"/>
  <c r="A20" i="8"/>
  <c r="B21" i="8"/>
  <c r="K21" i="7"/>
  <c r="L21" i="7" s="1"/>
  <c r="A21" i="7"/>
  <c r="C21" i="7" a="1"/>
  <c r="C21" i="7" s="1"/>
  <c r="B22" i="7"/>
  <c r="C20" i="6" a="1"/>
  <c r="C20" i="6" s="1"/>
  <c r="A20" i="6"/>
  <c r="B21" i="6"/>
  <c r="K20" i="6"/>
  <c r="L20" i="6" s="1"/>
  <c r="C19" i="5" a="1"/>
  <c r="C19" i="5" s="1"/>
  <c r="A19" i="5"/>
  <c r="B20" i="5"/>
  <c r="K19" i="5"/>
  <c r="L19" i="5" s="1"/>
  <c r="C20" i="3" a="1"/>
  <c r="C20" i="3" s="1"/>
  <c r="A20" i="3"/>
  <c r="B21" i="3"/>
  <c r="K20" i="3"/>
  <c r="L20" i="3" s="1"/>
  <c r="C20" i="2" a="1"/>
  <c r="C20" i="2" s="1"/>
  <c r="A20" i="2"/>
  <c r="B21" i="2"/>
  <c r="B13" i="14"/>
  <c r="C13" i="14" s="1" a="1"/>
  <c r="C13" i="14" s="1"/>
  <c r="A11" i="14"/>
  <c r="H9" i="17"/>
  <c r="H10" i="17" s="1"/>
  <c r="H5" i="17"/>
  <c r="H3" i="17"/>
  <c r="K21" i="4" l="1"/>
  <c r="L21" i="4" s="1"/>
  <c r="C21" i="4" a="1"/>
  <c r="C21" i="4" s="1"/>
  <c r="A21" i="4"/>
  <c r="B22" i="4"/>
  <c r="K21" i="12"/>
  <c r="L21" i="12" s="1"/>
  <c r="C21" i="12" a="1"/>
  <c r="C21" i="12" s="1"/>
  <c r="A21" i="12"/>
  <c r="B22" i="12"/>
  <c r="A22" i="11"/>
  <c r="B23" i="11"/>
  <c r="K22" i="11"/>
  <c r="L22" i="11" s="1"/>
  <c r="C22" i="11" a="1"/>
  <c r="C22" i="11" s="1"/>
  <c r="K21" i="10"/>
  <c r="L21" i="10" s="1"/>
  <c r="C21" i="10" a="1"/>
  <c r="C21" i="10" s="1"/>
  <c r="A21" i="10"/>
  <c r="B22" i="10"/>
  <c r="K21" i="9"/>
  <c r="L21" i="9" s="1"/>
  <c r="C21" i="9" a="1"/>
  <c r="C21" i="9" s="1"/>
  <c r="A21" i="9"/>
  <c r="B22" i="9"/>
  <c r="K21" i="8"/>
  <c r="L21" i="8" s="1"/>
  <c r="C21" i="8" a="1"/>
  <c r="C21" i="8" s="1"/>
  <c r="A21" i="8"/>
  <c r="B22" i="8"/>
  <c r="A22" i="7"/>
  <c r="B23" i="7"/>
  <c r="K22" i="7"/>
  <c r="L22" i="7" s="1"/>
  <c r="C22" i="7" a="1"/>
  <c r="C22" i="7" s="1"/>
  <c r="K21" i="6"/>
  <c r="L21" i="6" s="1"/>
  <c r="C21" i="6" a="1"/>
  <c r="C21" i="6" s="1"/>
  <c r="A21" i="6"/>
  <c r="B22" i="6"/>
  <c r="C20" i="5" a="1"/>
  <c r="C20" i="5" s="1"/>
  <c r="A20" i="5"/>
  <c r="B21" i="5"/>
  <c r="K20" i="5"/>
  <c r="L20" i="5" s="1"/>
  <c r="K21" i="3"/>
  <c r="L21" i="3" s="1"/>
  <c r="C21" i="3" a="1"/>
  <c r="C21" i="3" s="1"/>
  <c r="A21" i="3"/>
  <c r="B22" i="3"/>
  <c r="K21" i="2"/>
  <c r="L21" i="2" s="1"/>
  <c r="C21" i="2" a="1"/>
  <c r="C21" i="2" s="1"/>
  <c r="A21" i="2"/>
  <c r="B22" i="2"/>
  <c r="Q13" i="17"/>
  <c r="Q5" i="17"/>
  <c r="L3" i="17"/>
  <c r="Q8" i="17"/>
  <c r="L11" i="17"/>
  <c r="P8" i="17"/>
  <c r="P7" i="17"/>
  <c r="L2" i="17"/>
  <c r="P10" i="17"/>
  <c r="L12" i="17"/>
  <c r="P13" i="17"/>
  <c r="P5" i="17"/>
  <c r="L7" i="17"/>
  <c r="Q7" i="17"/>
  <c r="L6" i="17"/>
  <c r="Q6" i="17"/>
  <c r="P2" i="17"/>
  <c r="L13" i="17"/>
  <c r="Q9" i="17"/>
  <c r="L8" i="17"/>
  <c r="Q12" i="17"/>
  <c r="Q4" i="17"/>
  <c r="P12" i="17"/>
  <c r="P4" i="17"/>
  <c r="P11" i="17"/>
  <c r="P6" i="17"/>
  <c r="L4" i="17"/>
  <c r="P9" i="17"/>
  <c r="Q3" i="17"/>
  <c r="Q11" i="17"/>
  <c r="P3" i="17"/>
  <c r="Q10" i="17"/>
  <c r="L9" i="17"/>
  <c r="Q2" i="17"/>
  <c r="L10" i="17"/>
  <c r="L5" i="17"/>
  <c r="K13" i="14"/>
  <c r="L13" i="14" s="1"/>
  <c r="B14" i="17"/>
  <c r="B16" i="17"/>
  <c r="B17" i="17"/>
  <c r="B7" i="17"/>
  <c r="B8" i="17"/>
  <c r="B14" i="14"/>
  <c r="C14" i="14" s="1" a="1"/>
  <c r="C14" i="14" s="1"/>
  <c r="A12" i="14"/>
  <c r="A22" i="4" l="1"/>
  <c r="B23" i="4"/>
  <c r="C22" i="4" a="1"/>
  <c r="C22" i="4" s="1"/>
  <c r="K22" i="4"/>
  <c r="L22" i="4" s="1"/>
  <c r="A22" i="12"/>
  <c r="B23" i="12"/>
  <c r="K22" i="12"/>
  <c r="L22" i="12" s="1"/>
  <c r="C22" i="12" a="1"/>
  <c r="C22" i="12" s="1"/>
  <c r="C23" i="11" a="1"/>
  <c r="C23" i="11" s="1"/>
  <c r="A23" i="11"/>
  <c r="B24" i="11"/>
  <c r="A22" i="10"/>
  <c r="B23" i="10"/>
  <c r="C22" i="10" a="1"/>
  <c r="C22" i="10" s="1"/>
  <c r="A22" i="9"/>
  <c r="B23" i="9"/>
  <c r="C22" i="9" a="1"/>
  <c r="C22" i="9" s="1"/>
  <c r="K22" i="9"/>
  <c r="L22" i="9" s="1"/>
  <c r="A22" i="8"/>
  <c r="B23" i="8"/>
  <c r="K22" i="8"/>
  <c r="L22" i="8" s="1"/>
  <c r="C22" i="8" a="1"/>
  <c r="C22" i="8" s="1"/>
  <c r="C23" i="7" a="1"/>
  <c r="C23" i="7" s="1"/>
  <c r="A23" i="7"/>
  <c r="B24" i="7"/>
  <c r="A22" i="6"/>
  <c r="C22" i="6" a="1"/>
  <c r="C22" i="6" s="1"/>
  <c r="B23" i="6"/>
  <c r="K22" i="6"/>
  <c r="L22" i="6" s="1"/>
  <c r="A21" i="5"/>
  <c r="C21" i="5" a="1"/>
  <c r="C21" i="5" s="1"/>
  <c r="B22" i="5"/>
  <c r="A22" i="3"/>
  <c r="B23" i="3"/>
  <c r="K22" i="3"/>
  <c r="L22" i="3" s="1"/>
  <c r="C22" i="3" a="1"/>
  <c r="C22" i="3" s="1"/>
  <c r="A22" i="2"/>
  <c r="B23" i="2"/>
  <c r="K22" i="2"/>
  <c r="L22" i="2" s="1"/>
  <c r="C22" i="2" a="1"/>
  <c r="C22" i="2" s="1"/>
  <c r="B15" i="14"/>
  <c r="C15" i="14" s="1" a="1"/>
  <c r="C15" i="14" s="1"/>
  <c r="A13" i="14"/>
  <c r="C23" i="4" l="1" a="1"/>
  <c r="C23" i="4" s="1"/>
  <c r="A23" i="4"/>
  <c r="B24" i="4"/>
  <c r="C23" i="12" a="1"/>
  <c r="C23" i="12" s="1"/>
  <c r="A23" i="12"/>
  <c r="B24" i="12"/>
  <c r="C24" i="11" a="1"/>
  <c r="C24" i="11" s="1"/>
  <c r="A24" i="11"/>
  <c r="B25" i="11"/>
  <c r="K24" i="11"/>
  <c r="L24" i="11" s="1"/>
  <c r="C23" i="10" a="1"/>
  <c r="C23" i="10" s="1"/>
  <c r="A23" i="10"/>
  <c r="B24" i="10"/>
  <c r="C23" i="9" a="1"/>
  <c r="C23" i="9" s="1"/>
  <c r="A23" i="9"/>
  <c r="B24" i="9"/>
  <c r="C23" i="8" a="1"/>
  <c r="C23" i="8" s="1"/>
  <c r="A23" i="8"/>
  <c r="B24" i="8"/>
  <c r="C24" i="7" a="1"/>
  <c r="C24" i="7" s="1"/>
  <c r="A24" i="7"/>
  <c r="B25" i="7"/>
  <c r="K24" i="7"/>
  <c r="L24" i="7" s="1"/>
  <c r="C23" i="6" a="1"/>
  <c r="C23" i="6" s="1"/>
  <c r="A23" i="6"/>
  <c r="B24" i="6"/>
  <c r="A22" i="5"/>
  <c r="B23" i="5"/>
  <c r="K22" i="5"/>
  <c r="L22" i="5" s="1"/>
  <c r="C22" i="5" a="1"/>
  <c r="C22" i="5" s="1"/>
  <c r="C23" i="3" a="1"/>
  <c r="C23" i="3" s="1"/>
  <c r="A23" i="3"/>
  <c r="B24" i="3"/>
  <c r="C23" i="2" a="1"/>
  <c r="C23" i="2" s="1"/>
  <c r="A23" i="2"/>
  <c r="B24" i="2"/>
  <c r="K15" i="14"/>
  <c r="L15" i="14" s="1"/>
  <c r="B16" i="14"/>
  <c r="C16" i="14" s="1" a="1"/>
  <c r="C16" i="14" s="1"/>
  <c r="A14" i="14"/>
  <c r="B25" i="4" l="1"/>
  <c r="K24" i="4"/>
  <c r="L24" i="4" s="1"/>
  <c r="C24" i="4" a="1"/>
  <c r="C24" i="4" s="1"/>
  <c r="A24" i="4"/>
  <c r="C24" i="12" a="1"/>
  <c r="C24" i="12" s="1"/>
  <c r="A24" i="12"/>
  <c r="B25" i="12"/>
  <c r="K25" i="11"/>
  <c r="L25" i="11" s="1"/>
  <c r="C25" i="11" a="1"/>
  <c r="C25" i="11" s="1"/>
  <c r="A25" i="11"/>
  <c r="B26" i="11"/>
  <c r="C24" i="10" a="1"/>
  <c r="C24" i="10" s="1"/>
  <c r="A24" i="10"/>
  <c r="B25" i="10"/>
  <c r="K24" i="10"/>
  <c r="L24" i="10" s="1"/>
  <c r="C24" i="9" a="1"/>
  <c r="C24" i="9" s="1"/>
  <c r="A24" i="9"/>
  <c r="B25" i="9"/>
  <c r="C24" i="8" a="1"/>
  <c r="C24" i="8" s="1"/>
  <c r="A24" i="8"/>
  <c r="B25" i="8"/>
  <c r="K24" i="8"/>
  <c r="L24" i="8" s="1"/>
  <c r="K25" i="7"/>
  <c r="L25" i="7" s="1"/>
  <c r="C25" i="7" a="1"/>
  <c r="C25" i="7" s="1"/>
  <c r="A25" i="7"/>
  <c r="B26" i="7"/>
  <c r="C24" i="6" a="1"/>
  <c r="C24" i="6" s="1"/>
  <c r="A24" i="6"/>
  <c r="B25" i="6"/>
  <c r="K24" i="6"/>
  <c r="L24" i="6" s="1"/>
  <c r="C23" i="5" a="1"/>
  <c r="C23" i="5" s="1"/>
  <c r="A23" i="5"/>
  <c r="B24" i="5"/>
  <c r="C24" i="3" a="1"/>
  <c r="C24" i="3" s="1"/>
  <c r="K24" i="3"/>
  <c r="L24" i="3" s="1"/>
  <c r="A24" i="3"/>
  <c r="B25" i="3"/>
  <c r="C24" i="2" a="1"/>
  <c r="C24" i="2" s="1"/>
  <c r="A24" i="2"/>
  <c r="B25" i="2"/>
  <c r="K24" i="2"/>
  <c r="L24" i="2" s="1"/>
  <c r="B17" i="14"/>
  <c r="C17" i="14" s="1" a="1"/>
  <c r="C17" i="14" s="1"/>
  <c r="A15" i="14"/>
  <c r="C25" i="4" l="1" a="1"/>
  <c r="C25" i="4" s="1"/>
  <c r="K25" i="4"/>
  <c r="L25" i="4" s="1"/>
  <c r="A25" i="4"/>
  <c r="B26" i="4"/>
  <c r="K25" i="12"/>
  <c r="L25" i="12" s="1"/>
  <c r="C25" i="12" a="1"/>
  <c r="C25" i="12" s="1"/>
  <c r="A25" i="12"/>
  <c r="B26" i="12"/>
  <c r="A26" i="11"/>
  <c r="B27" i="11"/>
  <c r="C26" i="11" a="1"/>
  <c r="C26" i="11" s="1"/>
  <c r="K25" i="10"/>
  <c r="L25" i="10" s="1"/>
  <c r="C25" i="10" a="1"/>
  <c r="C25" i="10" s="1"/>
  <c r="A25" i="10"/>
  <c r="B26" i="10"/>
  <c r="K25" i="9"/>
  <c r="L25" i="9" s="1"/>
  <c r="C25" i="9" a="1"/>
  <c r="C25" i="9" s="1"/>
  <c r="A25" i="9"/>
  <c r="B26" i="9"/>
  <c r="K25" i="8"/>
  <c r="L25" i="8" s="1"/>
  <c r="C25" i="8" a="1"/>
  <c r="C25" i="8" s="1"/>
  <c r="A25" i="8"/>
  <c r="B26" i="8"/>
  <c r="A26" i="7"/>
  <c r="B27" i="7"/>
  <c r="K26" i="7"/>
  <c r="L26" i="7" s="1"/>
  <c r="C26" i="7" a="1"/>
  <c r="C26" i="7" s="1"/>
  <c r="C25" i="6" a="1"/>
  <c r="C25" i="6" s="1"/>
  <c r="A25" i="6"/>
  <c r="B26" i="6"/>
  <c r="C24" i="5" a="1"/>
  <c r="C24" i="5" s="1"/>
  <c r="A24" i="5"/>
  <c r="B25" i="5"/>
  <c r="K24" i="5"/>
  <c r="L24" i="5" s="1"/>
  <c r="K25" i="3"/>
  <c r="L25" i="3" s="1"/>
  <c r="C25" i="3" a="1"/>
  <c r="C25" i="3" s="1"/>
  <c r="A25" i="3"/>
  <c r="B26" i="3"/>
  <c r="K25" i="2"/>
  <c r="L25" i="2" s="1"/>
  <c r="C25" i="2" a="1"/>
  <c r="C25" i="2" s="1"/>
  <c r="A25" i="2"/>
  <c r="B26" i="2"/>
  <c r="B18" i="14"/>
  <c r="C18" i="14" s="1" a="1"/>
  <c r="C18" i="14" s="1"/>
  <c r="A16" i="14"/>
  <c r="B27" i="4" l="1"/>
  <c r="K26" i="4"/>
  <c r="L26" i="4" s="1"/>
  <c r="C26" i="4" a="1"/>
  <c r="C26" i="4" s="1"/>
  <c r="A26" i="4"/>
  <c r="A26" i="12"/>
  <c r="B27" i="12"/>
  <c r="K26" i="12"/>
  <c r="L26" i="12" s="1"/>
  <c r="C26" i="12" a="1"/>
  <c r="C26" i="12" s="1"/>
  <c r="C27" i="11" a="1"/>
  <c r="C27" i="11" s="1"/>
  <c r="A27" i="11"/>
  <c r="B28" i="11"/>
  <c r="K27" i="11"/>
  <c r="L27" i="11" s="1"/>
  <c r="A26" i="10"/>
  <c r="B27" i="10"/>
  <c r="K26" i="10"/>
  <c r="L26" i="10" s="1"/>
  <c r="C26" i="10" a="1"/>
  <c r="C26" i="10" s="1"/>
  <c r="A26" i="9"/>
  <c r="B27" i="9"/>
  <c r="K26" i="9"/>
  <c r="L26" i="9" s="1"/>
  <c r="C26" i="9" a="1"/>
  <c r="C26" i="9" s="1"/>
  <c r="A26" i="8"/>
  <c r="B27" i="8"/>
  <c r="K26" i="8"/>
  <c r="L26" i="8" s="1"/>
  <c r="C26" i="8" a="1"/>
  <c r="C26" i="8" s="1"/>
  <c r="C27" i="7" a="1"/>
  <c r="C27" i="7" s="1"/>
  <c r="A27" i="7"/>
  <c r="B28" i="7"/>
  <c r="K27" i="7"/>
  <c r="L27" i="7" s="1"/>
  <c r="A26" i="6"/>
  <c r="B27" i="6"/>
  <c r="K26" i="6"/>
  <c r="L26" i="6" s="1"/>
  <c r="C26" i="6" a="1"/>
  <c r="C26" i="6" s="1"/>
  <c r="K25" i="5"/>
  <c r="L25" i="5" s="1"/>
  <c r="A25" i="5"/>
  <c r="C25" i="5" a="1"/>
  <c r="C25" i="5" s="1"/>
  <c r="B26" i="5"/>
  <c r="A26" i="3"/>
  <c r="B27" i="3"/>
  <c r="C26" i="3" a="1"/>
  <c r="C26" i="3" s="1"/>
  <c r="A26" i="2"/>
  <c r="B27" i="2"/>
  <c r="K26" i="2"/>
  <c r="L26" i="2" s="1"/>
  <c r="C26" i="2" a="1"/>
  <c r="C26" i="2" s="1"/>
  <c r="B19" i="14"/>
  <c r="C19" i="14" s="1" a="1"/>
  <c r="C19" i="14" s="1"/>
  <c r="A17" i="14"/>
  <c r="B28" i="4" l="1"/>
  <c r="K27" i="4"/>
  <c r="L27" i="4" s="1"/>
  <c r="A27" i="4"/>
  <c r="C27" i="4" a="1"/>
  <c r="C27" i="4" s="1"/>
  <c r="C27" i="12" a="1"/>
  <c r="C27" i="12" s="1"/>
  <c r="A27" i="12"/>
  <c r="B28" i="12"/>
  <c r="K27" i="12"/>
  <c r="L27" i="12" s="1"/>
  <c r="C28" i="11" a="1"/>
  <c r="C28" i="11" s="1"/>
  <c r="A28" i="11"/>
  <c r="B29" i="11"/>
  <c r="K28" i="11"/>
  <c r="L28" i="11" s="1"/>
  <c r="C27" i="10" a="1"/>
  <c r="C27" i="10" s="1"/>
  <c r="A27" i="10"/>
  <c r="B28" i="10"/>
  <c r="K27" i="10"/>
  <c r="L27" i="10" s="1"/>
  <c r="C27" i="9" a="1"/>
  <c r="C27" i="9" s="1"/>
  <c r="A27" i="9"/>
  <c r="B28" i="9"/>
  <c r="K27" i="9"/>
  <c r="L27" i="9" s="1"/>
  <c r="C27" i="8" a="1"/>
  <c r="C27" i="8" s="1"/>
  <c r="A27" i="8"/>
  <c r="B28" i="8"/>
  <c r="C28" i="7" a="1"/>
  <c r="C28" i="7" s="1"/>
  <c r="A28" i="7"/>
  <c r="B29" i="7"/>
  <c r="K28" i="7"/>
  <c r="L28" i="7" s="1"/>
  <c r="C27" i="6" a="1"/>
  <c r="C27" i="6" s="1"/>
  <c r="A27" i="6"/>
  <c r="B28" i="6"/>
  <c r="K27" i="6"/>
  <c r="L27" i="6" s="1"/>
  <c r="A26" i="5"/>
  <c r="B27" i="5"/>
  <c r="C26" i="5" a="1"/>
  <c r="C26" i="5" s="1"/>
  <c r="K26" i="5"/>
  <c r="L26" i="5" s="1"/>
  <c r="C27" i="3" a="1"/>
  <c r="C27" i="3" s="1"/>
  <c r="A27" i="3"/>
  <c r="B28" i="3"/>
  <c r="K27" i="3"/>
  <c r="L27" i="3" s="1"/>
  <c r="C27" i="2" a="1"/>
  <c r="C27" i="2" s="1"/>
  <c r="A27" i="2"/>
  <c r="B28" i="2"/>
  <c r="B20" i="14"/>
  <c r="C20" i="14" s="1" a="1"/>
  <c r="C20" i="14" s="1"/>
  <c r="A18" i="14"/>
  <c r="C28" i="4" l="1" a="1"/>
  <c r="C28" i="4" s="1"/>
  <c r="A28" i="4"/>
  <c r="K28" i="4"/>
  <c r="L28" i="4" s="1"/>
  <c r="B29" i="4"/>
  <c r="C28" i="12" a="1"/>
  <c r="C28" i="12" s="1"/>
  <c r="A28" i="12"/>
  <c r="B29" i="12"/>
  <c r="K28" i="12"/>
  <c r="L28" i="12" s="1"/>
  <c r="K29" i="11"/>
  <c r="L29" i="11" s="1"/>
  <c r="C29" i="11" a="1"/>
  <c r="C29" i="11" s="1"/>
  <c r="A29" i="11"/>
  <c r="B30" i="11"/>
  <c r="C28" i="10" a="1"/>
  <c r="C28" i="10" s="1"/>
  <c r="A28" i="10"/>
  <c r="B29" i="10"/>
  <c r="K28" i="10"/>
  <c r="L28" i="10" s="1"/>
  <c r="C28" i="9" a="1"/>
  <c r="C28" i="9" s="1"/>
  <c r="A28" i="9"/>
  <c r="B29" i="9"/>
  <c r="K28" i="9"/>
  <c r="L28" i="9" s="1"/>
  <c r="C28" i="8" a="1"/>
  <c r="C28" i="8" s="1"/>
  <c r="A28" i="8"/>
  <c r="B29" i="8"/>
  <c r="K28" i="8"/>
  <c r="L28" i="8" s="1"/>
  <c r="K29" i="7"/>
  <c r="L29" i="7" s="1"/>
  <c r="A29" i="7"/>
  <c r="C29" i="7" a="1"/>
  <c r="C29" i="7" s="1"/>
  <c r="B30" i="7"/>
  <c r="C28" i="6" a="1"/>
  <c r="C28" i="6" s="1"/>
  <c r="A28" i="6"/>
  <c r="B29" i="6"/>
  <c r="K28" i="6"/>
  <c r="L28" i="6" s="1"/>
  <c r="C27" i="5" a="1"/>
  <c r="C27" i="5" s="1"/>
  <c r="A27" i="5"/>
  <c r="B28" i="5"/>
  <c r="K27" i="5"/>
  <c r="L27" i="5" s="1"/>
  <c r="K28" i="3"/>
  <c r="L28" i="3" s="1"/>
  <c r="C28" i="3" a="1"/>
  <c r="C28" i="3" s="1"/>
  <c r="A28" i="3"/>
  <c r="B29" i="3"/>
  <c r="C28" i="2" a="1"/>
  <c r="C28" i="2" s="1"/>
  <c r="A28" i="2"/>
  <c r="B29" i="2"/>
  <c r="K28" i="2"/>
  <c r="L28" i="2" s="1"/>
  <c r="K20" i="14"/>
  <c r="L20" i="14" s="1"/>
  <c r="B21" i="14"/>
  <c r="C21" i="14" s="1" a="1"/>
  <c r="C21" i="14" s="1"/>
  <c r="A19" i="14"/>
  <c r="K29" i="4" l="1"/>
  <c r="L29" i="4" s="1"/>
  <c r="C29" i="4" a="1"/>
  <c r="C29" i="4" s="1"/>
  <c r="B30" i="4"/>
  <c r="A29" i="4"/>
  <c r="K29" i="12"/>
  <c r="L29" i="12" s="1"/>
  <c r="C29" i="12" a="1"/>
  <c r="C29" i="12" s="1"/>
  <c r="A29" i="12"/>
  <c r="B30" i="12"/>
  <c r="A30" i="11"/>
  <c r="B31" i="11"/>
  <c r="C30" i="11" a="1"/>
  <c r="C30" i="11" s="1"/>
  <c r="C29" i="10" a="1"/>
  <c r="C29" i="10" s="1"/>
  <c r="A29" i="10"/>
  <c r="B30" i="10"/>
  <c r="K29" i="9"/>
  <c r="L29" i="9" s="1"/>
  <c r="C29" i="9" a="1"/>
  <c r="C29" i="9" s="1"/>
  <c r="A29" i="9"/>
  <c r="B30" i="9"/>
  <c r="K29" i="8"/>
  <c r="L29" i="8" s="1"/>
  <c r="C29" i="8" a="1"/>
  <c r="C29" i="8" s="1"/>
  <c r="A29" i="8"/>
  <c r="B30" i="8"/>
  <c r="A30" i="7"/>
  <c r="B31" i="7"/>
  <c r="C30" i="7" a="1"/>
  <c r="C30" i="7" s="1"/>
  <c r="K29" i="6"/>
  <c r="L29" i="6" s="1"/>
  <c r="C29" i="6" a="1"/>
  <c r="C29" i="6" s="1"/>
  <c r="A29" i="6"/>
  <c r="B30" i="6"/>
  <c r="C28" i="5" a="1"/>
  <c r="C28" i="5" s="1"/>
  <c r="A28" i="5"/>
  <c r="B29" i="5"/>
  <c r="K29" i="3"/>
  <c r="L29" i="3" s="1"/>
  <c r="B30" i="3"/>
  <c r="C29" i="3" a="1"/>
  <c r="C29" i="3" s="1"/>
  <c r="A29" i="3"/>
  <c r="K29" i="2"/>
  <c r="L29" i="2" s="1"/>
  <c r="C29" i="2" a="1"/>
  <c r="C29" i="2" s="1"/>
  <c r="A29" i="2"/>
  <c r="B30" i="2"/>
  <c r="B22" i="14"/>
  <c r="C22" i="14" s="1" a="1"/>
  <c r="C22" i="14" s="1"/>
  <c r="A20" i="14"/>
  <c r="B31" i="4" l="1"/>
  <c r="C30" i="4" a="1"/>
  <c r="C30" i="4" s="1"/>
  <c r="A30" i="4"/>
  <c r="A30" i="12"/>
  <c r="B31" i="12"/>
  <c r="C30" i="12" a="1"/>
  <c r="C30" i="12" s="1"/>
  <c r="C31" i="11" a="1"/>
  <c r="C31" i="11" s="1"/>
  <c r="A31" i="11"/>
  <c r="B32" i="11"/>
  <c r="K31" i="11"/>
  <c r="L31" i="11" s="1"/>
  <c r="A30" i="10"/>
  <c r="B31" i="10"/>
  <c r="C30" i="10" a="1"/>
  <c r="C30" i="10" s="1"/>
  <c r="A30" i="9"/>
  <c r="B31" i="9"/>
  <c r="C30" i="9" a="1"/>
  <c r="C30" i="9" s="1"/>
  <c r="A30" i="8"/>
  <c r="B31" i="8"/>
  <c r="C30" i="8" a="1"/>
  <c r="C30" i="8" s="1"/>
  <c r="C31" i="7" a="1"/>
  <c r="C31" i="7" s="1"/>
  <c r="A31" i="7"/>
  <c r="B32" i="7"/>
  <c r="K31" i="7"/>
  <c r="L31" i="7" s="1"/>
  <c r="A30" i="6"/>
  <c r="B31" i="6"/>
  <c r="C30" i="6" a="1"/>
  <c r="C30" i="6" s="1"/>
  <c r="K29" i="5"/>
  <c r="L29" i="5" s="1"/>
  <c r="A29" i="5"/>
  <c r="C29" i="5" a="1"/>
  <c r="C29" i="5" s="1"/>
  <c r="B30" i="5"/>
  <c r="A30" i="3"/>
  <c r="B31" i="3"/>
  <c r="C30" i="3" a="1"/>
  <c r="C30" i="3" s="1"/>
  <c r="A30" i="2"/>
  <c r="B31" i="2"/>
  <c r="C30" i="2" a="1"/>
  <c r="C30" i="2" s="1"/>
  <c r="K22" i="14"/>
  <c r="L22" i="14" s="1"/>
  <c r="B23" i="14"/>
  <c r="C23" i="14" s="1" a="1"/>
  <c r="C23" i="14" s="1"/>
  <c r="A21" i="14"/>
  <c r="B32" i="4" l="1"/>
  <c r="K31" i="4"/>
  <c r="L31" i="4" s="1"/>
  <c r="C31" i="4" a="1"/>
  <c r="C31" i="4" s="1"/>
  <c r="A31" i="4"/>
  <c r="C31" i="12" a="1"/>
  <c r="C31" i="12" s="1"/>
  <c r="A31" i="12"/>
  <c r="B32" i="12"/>
  <c r="C32" i="11" a="1"/>
  <c r="C32" i="11" s="1"/>
  <c r="A32" i="11"/>
  <c r="C31" i="10" a="1"/>
  <c r="C31" i="10" s="1"/>
  <c r="A31" i="10"/>
  <c r="B32" i="10"/>
  <c r="K31" i="10"/>
  <c r="L31" i="10" s="1"/>
  <c r="C31" i="9" a="1"/>
  <c r="C31" i="9" s="1"/>
  <c r="A31" i="9"/>
  <c r="B32" i="9"/>
  <c r="C31" i="8" a="1"/>
  <c r="C31" i="8" s="1"/>
  <c r="A31" i="8"/>
  <c r="B32" i="8"/>
  <c r="K31" i="8"/>
  <c r="L31" i="8" s="1"/>
  <c r="C32" i="7" a="1"/>
  <c r="C32" i="7" s="1"/>
  <c r="A32" i="7"/>
  <c r="B33" i="7"/>
  <c r="K32" i="7"/>
  <c r="L32" i="7" s="1"/>
  <c r="C31" i="6" a="1"/>
  <c r="C31" i="6" s="1"/>
  <c r="A31" i="6"/>
  <c r="B32" i="6"/>
  <c r="K31" i="6"/>
  <c r="L31" i="6" s="1"/>
  <c r="A30" i="5"/>
  <c r="B31" i="5"/>
  <c r="C30" i="5" a="1"/>
  <c r="C30" i="5" s="1"/>
  <c r="C31" i="3" a="1"/>
  <c r="C31" i="3" s="1"/>
  <c r="A31" i="3"/>
  <c r="B32" i="3"/>
  <c r="K31" i="3"/>
  <c r="L31" i="3" s="1"/>
  <c r="C31" i="2" a="1"/>
  <c r="C31" i="2" s="1"/>
  <c r="A31" i="2"/>
  <c r="B32" i="2"/>
  <c r="B24" i="14"/>
  <c r="C24" i="14" s="1" a="1"/>
  <c r="C24" i="14" s="1"/>
  <c r="A22" i="14"/>
  <c r="C32" i="4" l="1" a="1"/>
  <c r="C32" i="4" s="1"/>
  <c r="A32" i="4"/>
  <c r="C32" i="12" a="1"/>
  <c r="C32" i="12" s="1"/>
  <c r="A32" i="12"/>
  <c r="B33" i="12"/>
  <c r="K32" i="12"/>
  <c r="L32" i="12" s="1"/>
  <c r="B1" i="11"/>
  <c r="K30" i="11"/>
  <c r="L30" i="11" s="1"/>
  <c r="C32" i="10" a="1"/>
  <c r="C32" i="10" s="1"/>
  <c r="A32" i="10"/>
  <c r="B33" i="10"/>
  <c r="K32" i="10"/>
  <c r="L32" i="10" s="1"/>
  <c r="C32" i="9" a="1"/>
  <c r="C32" i="9" s="1"/>
  <c r="A32" i="9"/>
  <c r="C32" i="8" a="1"/>
  <c r="C32" i="8" s="1"/>
  <c r="A32" i="8"/>
  <c r="B33" i="8"/>
  <c r="K32" i="8"/>
  <c r="L32" i="8" s="1"/>
  <c r="A33" i="7"/>
  <c r="K33" i="7" s="1"/>
  <c r="C33" i="7" a="1"/>
  <c r="C33" i="7" s="1"/>
  <c r="B1" i="7"/>
  <c r="C32" i="6" a="1"/>
  <c r="C32" i="6" s="1"/>
  <c r="A32" i="6"/>
  <c r="C31" i="5" a="1"/>
  <c r="C31" i="5" s="1"/>
  <c r="A31" i="5"/>
  <c r="B32" i="5"/>
  <c r="K31" i="5"/>
  <c r="L31" i="5" s="1"/>
  <c r="C32" i="3" a="1"/>
  <c r="C32" i="3" s="1"/>
  <c r="A32" i="3"/>
  <c r="B33" i="3"/>
  <c r="K32" i="3"/>
  <c r="L32" i="3" s="1"/>
  <c r="C32" i="2" a="1"/>
  <c r="C32" i="2" s="1"/>
  <c r="A32" i="2"/>
  <c r="B33" i="2"/>
  <c r="K32" i="2"/>
  <c r="L32" i="2" s="1"/>
  <c r="B25" i="14"/>
  <c r="C25" i="14" s="1" a="1"/>
  <c r="C25" i="14" s="1"/>
  <c r="A23" i="14"/>
  <c r="K5" i="11" l="1"/>
  <c r="L5" i="11" s="1"/>
  <c r="K12" i="11"/>
  <c r="L12" i="11" s="1"/>
  <c r="K19" i="11"/>
  <c r="L19" i="11" s="1"/>
  <c r="K26" i="11"/>
  <c r="L26" i="11" s="1"/>
  <c r="K32" i="11"/>
  <c r="L32" i="11" s="1"/>
  <c r="K29" i="10"/>
  <c r="L29" i="10" s="1"/>
  <c r="B1" i="4"/>
  <c r="C33" i="12" a="1"/>
  <c r="C33" i="12" s="1"/>
  <c r="A33" i="12"/>
  <c r="B1" i="12"/>
  <c r="K30" i="12"/>
  <c r="L30" i="12" s="1"/>
  <c r="K9" i="11"/>
  <c r="K16" i="11"/>
  <c r="L16" i="11" s="1"/>
  <c r="K23" i="11"/>
  <c r="L23" i="11" s="1"/>
  <c r="N3" i="11"/>
  <c r="N4" i="11"/>
  <c r="N5" i="11"/>
  <c r="C33" i="10" a="1"/>
  <c r="C33" i="10" s="1"/>
  <c r="A33" i="10"/>
  <c r="B1" i="10"/>
  <c r="B1" i="9"/>
  <c r="C33" i="8" a="1"/>
  <c r="C33" i="8" s="1"/>
  <c r="A33" i="8"/>
  <c r="B1" i="8"/>
  <c r="N5" i="7"/>
  <c r="N4" i="7"/>
  <c r="N3" i="7"/>
  <c r="K9" i="7"/>
  <c r="L9" i="7" s="1"/>
  <c r="K16" i="7"/>
  <c r="L16" i="7" s="1"/>
  <c r="K23" i="7"/>
  <c r="L23" i="7" s="1"/>
  <c r="K30" i="7"/>
  <c r="L30" i="7" s="1"/>
  <c r="L33" i="7"/>
  <c r="B1" i="6"/>
  <c r="K30" i="6"/>
  <c r="L30" i="6" s="1"/>
  <c r="C32" i="5" a="1"/>
  <c r="C32" i="5" s="1"/>
  <c r="A32" i="5"/>
  <c r="B33" i="5"/>
  <c r="K32" i="5"/>
  <c r="L32" i="5" s="1"/>
  <c r="C33" i="3" a="1"/>
  <c r="C33" i="3" s="1"/>
  <c r="A33" i="3"/>
  <c r="B1" i="3"/>
  <c r="K27" i="2"/>
  <c r="L27" i="2" s="1"/>
  <c r="K31" i="2"/>
  <c r="L31" i="2" s="1"/>
  <c r="C33" i="2" a="1"/>
  <c r="C33" i="2" s="1"/>
  <c r="A33" i="2"/>
  <c r="B1" i="2"/>
  <c r="B26" i="14"/>
  <c r="C26" i="14" s="1" a="1"/>
  <c r="C26" i="14" s="1"/>
  <c r="A24" i="14"/>
  <c r="K3" i="12" l="1"/>
  <c r="L3" i="12" s="1"/>
  <c r="K10" i="12"/>
  <c r="L10" i="12" s="1"/>
  <c r="K17" i="12"/>
  <c r="L17" i="12" s="1"/>
  <c r="K24" i="12"/>
  <c r="L24" i="12" s="1"/>
  <c r="K31" i="12"/>
  <c r="L31" i="12" s="1"/>
  <c r="K8" i="10"/>
  <c r="L8" i="10" s="1"/>
  <c r="K15" i="10"/>
  <c r="L15" i="10" s="1"/>
  <c r="K22" i="10"/>
  <c r="L22" i="10" s="1"/>
  <c r="K3" i="9"/>
  <c r="L3" i="9" s="1"/>
  <c r="K10" i="9"/>
  <c r="L10" i="9" s="1"/>
  <c r="K17" i="9"/>
  <c r="L17" i="9" s="1"/>
  <c r="K24" i="9"/>
  <c r="L24" i="9" s="1"/>
  <c r="K32" i="9"/>
  <c r="L32" i="9" s="1"/>
  <c r="K31" i="9"/>
  <c r="L31" i="9" s="1"/>
  <c r="K6" i="8"/>
  <c r="L6" i="8" s="1"/>
  <c r="K13" i="8"/>
  <c r="L13" i="8" s="1"/>
  <c r="K20" i="8"/>
  <c r="L20" i="8" s="1"/>
  <c r="K27" i="8"/>
  <c r="L27" i="8" s="1"/>
  <c r="K4" i="6"/>
  <c r="L4" i="6" s="1"/>
  <c r="K11" i="6"/>
  <c r="L11" i="6" s="1"/>
  <c r="K18" i="6"/>
  <c r="L18" i="6" s="1"/>
  <c r="K25" i="6"/>
  <c r="L25" i="6" s="1"/>
  <c r="K32" i="6"/>
  <c r="L32" i="6" s="1"/>
  <c r="N5" i="4"/>
  <c r="N4" i="4"/>
  <c r="N3" i="4"/>
  <c r="K9" i="4"/>
  <c r="K16" i="4"/>
  <c r="L16" i="4" s="1"/>
  <c r="K32" i="4"/>
  <c r="L32" i="4" s="1"/>
  <c r="K30" i="4"/>
  <c r="L30" i="4" s="1"/>
  <c r="K23" i="4"/>
  <c r="L23" i="4" s="1"/>
  <c r="K9" i="12"/>
  <c r="L9" i="12" s="1"/>
  <c r="K16" i="12"/>
  <c r="L16" i="12" s="1"/>
  <c r="K23" i="12"/>
  <c r="L23" i="12" s="1"/>
  <c r="N5" i="12"/>
  <c r="N4" i="12"/>
  <c r="N3" i="12"/>
  <c r="K33" i="12"/>
  <c r="L9" i="11"/>
  <c r="L1" i="11" s="1"/>
  <c r="K1" i="11"/>
  <c r="K9" i="10"/>
  <c r="K16" i="10"/>
  <c r="L16" i="10" s="1"/>
  <c r="K23" i="10"/>
  <c r="L23" i="10" s="1"/>
  <c r="K30" i="10"/>
  <c r="L30" i="10" s="1"/>
  <c r="N5" i="10"/>
  <c r="N4" i="10"/>
  <c r="N3" i="10"/>
  <c r="K33" i="10"/>
  <c r="L33" i="10" s="1"/>
  <c r="K9" i="9"/>
  <c r="L9" i="9" s="1"/>
  <c r="K16" i="9"/>
  <c r="L16" i="9" s="1"/>
  <c r="K23" i="9"/>
  <c r="L23" i="9" s="1"/>
  <c r="K30" i="9"/>
  <c r="L30" i="9" s="1"/>
  <c r="N5" i="9"/>
  <c r="N3" i="9"/>
  <c r="N4" i="9"/>
  <c r="K9" i="8"/>
  <c r="L9" i="8" s="1"/>
  <c r="K16" i="8"/>
  <c r="L16" i="8" s="1"/>
  <c r="K23" i="8"/>
  <c r="L23" i="8" s="1"/>
  <c r="K30" i="8"/>
  <c r="L30" i="8" s="1"/>
  <c r="N4" i="8"/>
  <c r="N5" i="8"/>
  <c r="N3" i="8"/>
  <c r="K33" i="8"/>
  <c r="K1" i="7"/>
  <c r="L1" i="7"/>
  <c r="N4" i="6"/>
  <c r="N5" i="6"/>
  <c r="N3" i="6"/>
  <c r="K9" i="6"/>
  <c r="K16" i="6"/>
  <c r="L16" i="6" s="1"/>
  <c r="K23" i="6"/>
  <c r="L23" i="6" s="1"/>
  <c r="C33" i="5" a="1"/>
  <c r="C33" i="5" s="1"/>
  <c r="A33" i="5"/>
  <c r="B1" i="5"/>
  <c r="K30" i="5"/>
  <c r="L30" i="5" s="1"/>
  <c r="K5" i="3"/>
  <c r="L5" i="3" s="1"/>
  <c r="K12" i="3"/>
  <c r="L12" i="3" s="1"/>
  <c r="K19" i="3"/>
  <c r="L19" i="3" s="1"/>
  <c r="K26" i="3"/>
  <c r="L26" i="3" s="1"/>
  <c r="K9" i="3"/>
  <c r="L9" i="3" s="1"/>
  <c r="K16" i="3"/>
  <c r="L16" i="3" s="1"/>
  <c r="K23" i="3"/>
  <c r="L23" i="3" s="1"/>
  <c r="K30" i="3"/>
  <c r="L30" i="3" s="1"/>
  <c r="N5" i="3"/>
  <c r="N3" i="3"/>
  <c r="N4" i="3"/>
  <c r="K33" i="3"/>
  <c r="K6" i="2"/>
  <c r="L6" i="2" s="1"/>
  <c r="K13" i="2"/>
  <c r="L13" i="2" s="1"/>
  <c r="K20" i="2"/>
  <c r="L20" i="2" s="1"/>
  <c r="K9" i="2"/>
  <c r="L9" i="2" s="1"/>
  <c r="K16" i="2"/>
  <c r="L16" i="2" s="1"/>
  <c r="K23" i="2"/>
  <c r="L23" i="2" s="1"/>
  <c r="K30" i="2"/>
  <c r="L30" i="2" s="1"/>
  <c r="N5" i="2"/>
  <c r="N3" i="2"/>
  <c r="N4" i="2"/>
  <c r="K33" i="2"/>
  <c r="B27" i="14"/>
  <c r="C27" i="14" s="1" a="1"/>
  <c r="C27" i="14" s="1"/>
  <c r="A25" i="14"/>
  <c r="K7" i="5" l="1"/>
  <c r="L7" i="5" s="1"/>
  <c r="K14" i="5"/>
  <c r="L14" i="5" s="1"/>
  <c r="K21" i="5"/>
  <c r="L21" i="5" s="1"/>
  <c r="K28" i="5"/>
  <c r="L28" i="5" s="1"/>
  <c r="L9" i="4"/>
  <c r="L1" i="4" s="1"/>
  <c r="K1" i="4"/>
  <c r="L33" i="12"/>
  <c r="L1" i="12" s="1"/>
  <c r="K1" i="12"/>
  <c r="L9" i="10"/>
  <c r="L1" i="10" s="1"/>
  <c r="K1" i="10"/>
  <c r="L1" i="9"/>
  <c r="K1" i="9"/>
  <c r="L33" i="8"/>
  <c r="L1" i="8" s="1"/>
  <c r="K1" i="8"/>
  <c r="L1" i="6"/>
  <c r="L9" i="6"/>
  <c r="K1" i="6"/>
  <c r="K9" i="5"/>
  <c r="K16" i="5"/>
  <c r="L16" i="5" s="1"/>
  <c r="K23" i="5"/>
  <c r="L23" i="5" s="1"/>
  <c r="N4" i="5"/>
  <c r="N5" i="5"/>
  <c r="K33" i="5"/>
  <c r="L33" i="5" s="1"/>
  <c r="L33" i="3"/>
  <c r="L1" i="3" s="1"/>
  <c r="K1" i="3"/>
  <c r="L33" i="2"/>
  <c r="L1" i="2" s="1"/>
  <c r="K1" i="2"/>
  <c r="K27" i="14"/>
  <c r="L27" i="14" s="1"/>
  <c r="B28" i="14"/>
  <c r="C28" i="14" s="1" a="1"/>
  <c r="C28" i="14" s="1"/>
  <c r="A26" i="14"/>
  <c r="L9" i="5" l="1"/>
  <c r="L1" i="5" s="1"/>
  <c r="K1" i="5"/>
  <c r="B29" i="14"/>
  <c r="C29" i="14" s="1" a="1"/>
  <c r="C29" i="14" s="1"/>
  <c r="A27" i="14"/>
  <c r="K29" i="14" l="1"/>
  <c r="L29" i="14" s="1"/>
  <c r="B30" i="14"/>
  <c r="C30" i="14" s="1" a="1"/>
  <c r="C30" i="14" s="1"/>
  <c r="A28" i="14"/>
  <c r="B31" i="14" l="1"/>
  <c r="C31" i="14" s="1" a="1"/>
  <c r="C31" i="14" s="1"/>
  <c r="A29" i="14"/>
  <c r="B32" i="14" l="1"/>
  <c r="C32" i="14" s="1" a="1"/>
  <c r="C32" i="14" s="1"/>
  <c r="A30" i="14"/>
  <c r="B33" i="14" l="1"/>
  <c r="C33" i="14" s="1" a="1"/>
  <c r="C33" i="14" s="1"/>
  <c r="A31" i="14"/>
  <c r="N3" i="14" l="1"/>
  <c r="N4" i="14"/>
  <c r="N5" i="14"/>
  <c r="A32" i="14"/>
  <c r="K32" i="14" l="1"/>
  <c r="L32" i="14" s="1"/>
  <c r="K30" i="14"/>
  <c r="L30" i="14" s="1"/>
  <c r="A33" i="14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<sst xmlns="http://schemas.openxmlformats.org/spreadsheetml/2006/main" count="215" uniqueCount="78">
  <si>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</si>
  <si>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</si>
  <si>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</si>
  <si>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</si>
  <si>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</si>
  <si>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</si>
  <si>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</si>
  <si>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</si>
  <si>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</si>
  <si>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</si>
  <si>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</si>
  <si>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</si>
  <si>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</si>
  <si>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</si>
  <si>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En poste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</si>
  <si>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</si>
  <si>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</si>
  <si>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</si>
  <si>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</si>
  <si>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</si>
  <si>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</si>
  <si>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</si>
  <si>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</si>
  <si>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</si>
  <si>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</si>
  <si>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</si>
  <si>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</si>
  <si>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</si>
  <si>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</si>
  <si>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</si>
  <si>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</si>
  <si>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</si>
  <si>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</si>
  <si>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</si>
  <si>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</si>
  <si>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</si>
  <si>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</si>
  <si>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</si>
  <si>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</si>
  <si>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</si>
  <si>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</si>
  <si>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</si>
  <si>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</si>
  <si>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</si>
  <si>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</si>
  <si>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</si>
  <si>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</si>
  <si>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</si>
  <si>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</si>
  <si>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</si>
  <si>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</si>
  <si>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</si>
  <si>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</si>
  <si>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</si>
  <si>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</si>
  <si>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</si>
  <si>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</si>
  <si>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</si>
  <si>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</si>
  <si>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</si>
  <si>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</si>
  <si>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</si>
  <si>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</si>
  <si>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</si>
  <si>
    <t>Jour travaillé par semaine</t>
  </si>
  <si>
    <t>Congés acquis fin de mois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</si>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</sst>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b/>
      <sz val="16"/>
      <color theme="1"/>
      <name val="Bahnschrift"/>
      <family val="2"/>
    </font>
    <font>
      <sz val="10"/>
      <color theme="0"/>
      <name val="Bahnschrift"/>
      <family val="2"/>
    </font>
    <font>
      <sz val="11"/>
      <color theme="0"/>
      <name val="Bahnschrift"/>
      <family val="2"/>
    </font>
    <font>
      <sz val="10"/>
      <name val="Bahnschrift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69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1" fillId="2" borderId="0" xfId="0" applyFont="1" applyFill="1" applyAlignment="1">
      <alignment horizontal="center" vertical="center" wrapText="1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24" fillId="5" borderId="1" xfId="0" applyFont="1" applyFill="1" applyBorder="1" applyAlignment="1">
      <alignment horizontal="center" vertical="center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5" fillId="5" borderId="0" xfId="0" applyFont="1" applyFill="1" applyAlignment="1">
      <alignment horizontal="center" vertical="center" wrapText="1"/>
    </xf>
    <xf numFmtId="0" fontId="26" fillId="5" borderId="0" xfId="0" applyFont="1" applyFill="1" applyAlignment="1">
      <alignment horizontal="center" vertical="center"/>
    </xf>
    <xf numFmtId="165" fontId="26" fillId="5" borderId="0" xfId="0" applyNumberFormat="1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 wrapText="1"/>
    </xf>
    <xf numFmtId="1" fontId="27" fillId="5" borderId="0" xfId="0" applyNumberFormat="1" applyFont="1" applyFill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17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</xdr:colOff>
      <xdr:row>2</xdr:row>
      <xdr:rowOff>45720</xdr:rowOff>
    </xdr:from>
    <xdr:to>
      <xdr:col>10</xdr:col>
      <xdr:colOff>586740</xdr:colOff>
      <xdr:row>9</xdr:row>
      <xdr:rowOff>327660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</xdr:row>
          <xdr:rowOff>53340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2</xdr:row>
          <xdr:rowOff>53340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3</xdr:row>
          <xdr:rowOff>53340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4</xdr:row>
          <xdr:rowOff>53340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5</xdr:row>
          <xdr:rowOff>53340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6</xdr:row>
          <xdr:rowOff>53340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7</xdr:row>
          <xdr:rowOff>53340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8</xdr:row>
          <xdr:rowOff>53340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9</xdr:row>
          <xdr:rowOff>53340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10</xdr:row>
          <xdr:rowOff>53340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216" dataDxfId="215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214">
      <calculatedColumnFormula>""&amp;WEEKNUM(B3,2)</calculatedColumnFormula>
    </tableColumn>
    <tableColumn id="2" xr3:uid="{00000000-0010-0000-0000-000002000000}" name="Date" dataDxfId="213">
      <calculatedColumnFormula>DATE(Détails!$A$1,1,1)</calculatedColumnFormula>
    </tableColumn>
    <tableColumn id="3" xr3:uid="{00000000-0010-0000-0000-000003000000}" name="Ordre" dataDxfId="212">
      <calculatedColumnFormula array="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familial",IFERROR(IF(VLOOKUP($B3,Détails!$H$2:$H$16,1,0),"Férié",""),"")))))</calculatedColumnFormula>
    </tableColumn>
    <tableColumn id="4" xr3:uid="{00000000-0010-0000-0000-000004000000}" name="Ouverture de poste" dataDxfId="211"/>
    <tableColumn id="12" xr3:uid="{00000000-0010-0000-0000-00000C000000}" name="Pause entre 06:00 et 21:00" dataDxfId="210"/>
    <tableColumn id="5" xr3:uid="{00000000-0010-0000-0000-000005000000}" name="Pause entre 21:00 et 06:00" dataDxfId="209"/>
    <tableColumn id="6" xr3:uid="{00000000-0010-0000-0000-000006000000}" name="Fermeture de poste" dataDxfId="208"/>
    <tableColumn id="7" xr3:uid="{00000000-0010-0000-0000-000007000000}" name="Total Heures" dataDxfId="207">
      <calculatedColumnFormula>IF(OR(D3&lt;&gt;"",G3&lt;&gt;""),MOD(G3-D3-F3-E3,1),"")</calculatedColumnFormula>
    </tableColumn>
    <tableColumn id="8" xr3:uid="{00000000-0010-0000-0000-000008000000}" name="Heures de jour" dataDxfId="20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0000000-0010-0000-0000-000009000000}" name="Heures de nuit" dataDxfId="205">
      <calculatedColumnFormula>MOD($G3-$D3,1)-($G3&lt;$D3)*(Détails!$D$11-Détails!$E$11)-MEDIAN($G3,Détails!$E$11,Détails!$D$11)+MEDIAN($D3,Détails!$E$11,Détails!$D$11)-$F3</calculatedColumnFormula>
    </tableColumn>
    <tableColumn id="10" xr3:uid="{00000000-0010-0000-0000-00000A000000}" name="Total semaine" dataDxfId="204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20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178D7-BB72-4B8D-8F37-A8448AD7909E}" name="Tabel14" displayName="Tabel14" ref="A2:L33" totalsRowShown="0" headerRowDxfId="202" dataDxfId="201">
  <autoFilter ref="A2:L33" xr:uid="{180178D7-BB72-4B8D-8F37-A8448AD7909E}"/>
  <sortState xmlns:xlrd2="http://schemas.microsoft.com/office/spreadsheetml/2017/richdata2" ref="A3:L33">
    <sortCondition ref="B2:B33"/>
  </sortState>
  <tableColumns count="12">
    <tableColumn id="1" xr3:uid="{AD4706A4-7817-4342-B17D-6013AF4070DB}" name="Semaine" dataDxfId="200">
      <calculatedColumnFormula>""&amp;WEEKNUM(B3,2)</calculatedColumnFormula>
    </tableColumn>
    <tableColumn id="2" xr3:uid="{1BB9DDEE-14DC-409E-B274-DDE16ED7937D}" name="Date" dataDxfId="199">
      <calculatedColumnFormula>DATE(Détails!$A$1,1,1)</calculatedColumnFormula>
    </tableColumn>
    <tableColumn id="3" xr3:uid="{F55AAC8E-84B2-49C4-B92A-64B108B829F9}" name="Ordre" dataDxfId="198">
      <calculatedColumnFormula array="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familial",IFERROR(IF(VLOOKUP($B3,Détails!$H$2:$H$16,1,0),"Férié",""),"")))))</calculatedColumnFormula>
    </tableColumn>
    <tableColumn id="4" xr3:uid="{0AB1EA75-C282-4456-A39B-8FF890B786EA}" name="Ouverture de poste" dataDxfId="197"/>
    <tableColumn id="12" xr3:uid="{E84DF333-DC3F-4C8D-B4F2-4E136A6EC1CF}" name="Pause entre 06:00 et 21:00" dataDxfId="196"/>
    <tableColumn id="5" xr3:uid="{FF05DEC4-670A-438F-86ED-DABE947BE5A7}" name="Pause entre 21:00 et 06:00" dataDxfId="195"/>
    <tableColumn id="6" xr3:uid="{A7FA1810-F839-415E-9404-70FBF707E3DB}" name="Fermeture de poste" dataDxfId="194"/>
    <tableColumn id="7" xr3:uid="{7D3D6F49-6750-46FB-92B8-A8E25BE6EDCD}" name="Total Heures" dataDxfId="193">
      <calculatedColumnFormula>IF(OR(D3&lt;&gt;"",G3&lt;&gt;""),MOD(G3-D3-F3-E3,1),"")</calculatedColumnFormula>
    </tableColumn>
    <tableColumn id="8" xr3:uid="{FC7C6CA4-B836-4015-88DB-BD64B06B5AE5}" name="Heures de jour" dataDxfId="19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2D59F5D3-1FAD-486A-95E3-E3D2B469FFD2}" name="Heures de nuit" dataDxfId="191">
      <calculatedColumnFormula>MOD($G3-$D3,1)-($G3&lt;$D3)*(Détails!$D$11-Détails!$E$11)-MEDIAN($G3,Détails!$E$11,Détails!$D$11)+MEDIAN($D3,Détails!$E$11,Détails!$D$11)-$F3</calculatedColumnFormula>
    </tableColumn>
    <tableColumn id="10" xr3:uid="{49E758CE-D8B7-4771-B345-DF24F31BD158}" name="Total semaine" dataDxfId="190">
      <calculatedColumnFormula>IF(OR(WEEKDAY(Tabel14[[#This Row],[Date]],2)=7, DAY(Tabel14[[#This Row],[Date]])=DAY(EOMONTH(Tabel14[[#This Row],[Date]],0))),SUMIF(Tabel14[Semaine],Tabel14[[#This Row],[Semaine]],Tabel14[Total Heures]),0)</calculatedColumnFormula>
    </tableColumn>
    <tableColumn id="11" xr3:uid="{1CF1C5B3-81E9-4269-A129-AC6D6114E6E6}" name="Heures supplémentaires" dataDxfId="18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0456FB-8052-4E26-B111-3DF10C5DD539}" name="Tabel15" displayName="Tabel15" ref="A2:L33" totalsRowShown="0" headerRowDxfId="188" dataDxfId="187">
  <autoFilter ref="A2:L33" xr:uid="{480456FB-8052-4E26-B111-3DF10C5DD539}"/>
  <sortState xmlns:xlrd2="http://schemas.microsoft.com/office/spreadsheetml/2017/richdata2" ref="A3:L33">
    <sortCondition ref="B2:B33"/>
  </sortState>
  <tableColumns count="12">
    <tableColumn id="1" xr3:uid="{3497FEED-7E97-4295-98B9-7BDCAD1B998C}" name="Semaine" dataDxfId="186">
      <calculatedColumnFormula>""&amp;WEEKNUM(B3,2)</calculatedColumnFormula>
    </tableColumn>
    <tableColumn id="2" xr3:uid="{C7E824A2-A0B0-42B5-86DD-488D75AE8CE4}" name="Date" dataDxfId="185">
      <calculatedColumnFormula>DATE(Détails!$A$1,1,1)</calculatedColumnFormula>
    </tableColumn>
    <tableColumn id="3" xr3:uid="{C77F542F-F217-4503-AD6F-787E31CA14A7}" name="Ordre" dataDxfId="184">
      <calculatedColumnFormula array="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familial",IFERROR(IF(VLOOKUP($B3,Détails!$H$2:$H$16,1,0),"Férié",""),"")))))</calculatedColumnFormula>
    </tableColumn>
    <tableColumn id="4" xr3:uid="{CF811331-8C4C-4CF1-A13A-7BDD2D905CA8}" name="Ouverture de poste" dataDxfId="183"/>
    <tableColumn id="12" xr3:uid="{0F612F3B-92C2-4F78-BE8E-BE6C8966C698}" name="Pause entre 06:00 et 21:00" dataDxfId="182"/>
    <tableColumn id="5" xr3:uid="{7BBD6A89-297E-415A-A138-8502BACAF528}" name="Pause entre 21:00 et 06:00" dataDxfId="181"/>
    <tableColumn id="6" xr3:uid="{AED10E0A-78B7-4E51-A0E3-3E6B41C6F805}" name="Fermeture de poste" dataDxfId="180"/>
    <tableColumn id="7" xr3:uid="{D0F893CA-80AF-429A-9FD5-28A67AA69D9D}" name="Total Heures" dataDxfId="179">
      <calculatedColumnFormula>IF(OR(D3&lt;&gt;"",G3&lt;&gt;""),MOD(G3-D3-F3-E3,1),"")</calculatedColumnFormula>
    </tableColumn>
    <tableColumn id="8" xr3:uid="{27047455-84DB-4D18-BE7A-D9267A02C27C}" name="Heures de jour" dataDxfId="17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7F5C4F5D-C485-419C-9646-5DF6EA3A7D0C}" name="Heures de nuit" dataDxfId="177">
      <calculatedColumnFormula>MOD($G3-$D3,1)-($G3&lt;$D3)*(Détails!$D$11-Détails!$E$11)-MEDIAN($G3,Détails!$E$11,Détails!$D$11)+MEDIAN($D3,Détails!$E$11,Détails!$D$11)-$F3</calculatedColumnFormula>
    </tableColumn>
    <tableColumn id="10" xr3:uid="{42FDE270-AEAF-443F-95C6-E82EFDF36AB5}" name="Total semaine" dataDxfId="176">
      <calculatedColumnFormula>IF(OR(WEEKDAY(Tabel15[[#This Row],[Date]],2)=7, DAY(Tabel15[[#This Row],[Date]])=DAY(EOMONTH(Tabel15[[#This Row],[Date]],0))),SUMIF(Tabel15[Semaine],Tabel15[[#This Row],[Semaine]],Tabel15[Total Heures]),0)</calculatedColumnFormula>
    </tableColumn>
    <tableColumn id="11" xr3:uid="{455C7FAE-8AEA-475E-8D3A-AA640EFF5B89}" name="Heures supplémentaires" dataDxfId="17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3356D30-E5FD-46AB-AE4F-2C09D4AAB0B3}" name="Tabel16" displayName="Tabel16" ref="A2:L32" totalsRowShown="0" headerRowDxfId="174" dataDxfId="173">
  <autoFilter ref="A2:L32" xr:uid="{A3356D30-E5FD-46AB-AE4F-2C09D4AAB0B3}"/>
  <sortState xmlns:xlrd2="http://schemas.microsoft.com/office/spreadsheetml/2017/richdata2" ref="A3:L32">
    <sortCondition ref="B2:B32"/>
  </sortState>
  <tableColumns count="12">
    <tableColumn id="1" xr3:uid="{55E031BA-03B8-44D3-88AE-7C4CC93C9D80}" name="Semaine" dataDxfId="172">
      <calculatedColumnFormula>""&amp;WEEKNUM(B3,2)</calculatedColumnFormula>
    </tableColumn>
    <tableColumn id="2" xr3:uid="{1A2C502A-546A-4007-B766-8308ACC30835}" name="Date" dataDxfId="171">
      <calculatedColumnFormula>DATE(Détails!$A$1,1,1)</calculatedColumnFormula>
    </tableColumn>
    <tableColumn id="3" xr3:uid="{51E3A169-68B1-4C9B-85CA-08535C05BEBE}" name="Ordre" dataDxfId="170">
      <calculatedColumnFormula array="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familial",IFERROR(IF(VLOOKUP($B3,Détails!$H$2:$H$16,1,0),"Férié",""),"")))))</calculatedColumnFormula>
    </tableColumn>
    <tableColumn id="4" xr3:uid="{538C2C30-03BC-4DCE-B72D-CBDDCAFA9959}" name="Ouverture de poste" dataDxfId="169"/>
    <tableColumn id="12" xr3:uid="{3A5CFF17-7DA0-48C5-95C5-77670F26B65B}" name="Pause entre 06:00 et 21:00" dataDxfId="168"/>
    <tableColumn id="5" xr3:uid="{CAE9428A-A273-495D-B6F9-61E9945E2FFA}" name="Pause entre 21:00 et 06:00" dataDxfId="167"/>
    <tableColumn id="6" xr3:uid="{15C57D26-3FF7-45A6-B68A-CCAC3105FF6D}" name="Fermeture de poste" dataDxfId="166"/>
    <tableColumn id="7" xr3:uid="{1775271C-78F7-43A0-B23F-8F034F889480}" name="Total Heures" dataDxfId="165">
      <calculatedColumnFormula>IF(OR(D3&lt;&gt;"",G3&lt;&gt;""),MOD(G3-D3-F3-E3,1),"")</calculatedColumnFormula>
    </tableColumn>
    <tableColumn id="8" xr3:uid="{253B30A6-4F81-4FCF-8BF3-A074D409F2E8}" name="Heures de jour" dataDxfId="164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C1941A58-B006-4369-944B-258A278D271B}" name="Heures de nuit" dataDxfId="163">
      <calculatedColumnFormula>MOD($G3-$D3,1)-($G3&lt;$D3)*(Détails!$D$11-Détails!$E$11)-MEDIAN($G3,Détails!$E$11,Détails!$D$11)+MEDIAN($D3,Détails!$E$11,Détails!$D$11)-$F3</calculatedColumnFormula>
    </tableColumn>
    <tableColumn id="10" xr3:uid="{58C77A55-9DF0-4699-96FF-D1D68E4D6F48}" name="Total semaine" dataDxfId="162">
      <calculatedColumnFormula>IF(OR(WEEKDAY(Tabel16[[#This Row],[Date]],2)=7, DAY(Tabel16[[#This Row],[Date]])=DAY(EOMONTH(Tabel16[[#This Row],[Date]],0))),SUMIF(Tabel16[Semaine],Tabel16[[#This Row],[Semaine]],Tabel16[Total Heures]),0)</calculatedColumnFormula>
    </tableColumn>
    <tableColumn id="11" xr3:uid="{360BD79F-AD71-4341-9F22-14772A553FC9}" name="Heures supplémentaires" dataDxfId="16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2C172AB-3E22-4F4B-AA82-CA24FAF66705}" name="Tabel17" displayName="Tabel17" ref="A2:L33" totalsRowShown="0" headerRowDxfId="160" dataDxfId="159">
  <autoFilter ref="A2:L33" xr:uid="{52C172AB-3E22-4F4B-AA82-CA24FAF66705}"/>
  <sortState xmlns:xlrd2="http://schemas.microsoft.com/office/spreadsheetml/2017/richdata2" ref="A3:L33">
    <sortCondition ref="B2:B33"/>
  </sortState>
  <tableColumns count="12">
    <tableColumn id="1" xr3:uid="{46EB96B4-F9A4-4736-8A86-56B2ED366221}" name="Semaine" dataDxfId="158">
      <calculatedColumnFormula>""&amp;WEEKNUM(B3,2)</calculatedColumnFormula>
    </tableColumn>
    <tableColumn id="2" xr3:uid="{6F09EBEC-0149-47B7-8EFA-E3D7CBCDA870}" name="Date" dataDxfId="157">
      <calculatedColumnFormula>DATE(Détails!$A$1,1,1)</calculatedColumnFormula>
    </tableColumn>
    <tableColumn id="3" xr3:uid="{98A5D13E-80A6-42C0-B2B7-1A1632807AF0}" name="Ordre" dataDxfId="156">
      <calculatedColumnFormula array="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familial",IFERROR(IF(VLOOKUP($B3,Détails!$H$2:$H$16,1,0),"Férié",""),"")))))</calculatedColumnFormula>
    </tableColumn>
    <tableColumn id="4" xr3:uid="{9B31CBFC-0E86-4505-A535-8DA0F5D25D26}" name="Ouverture de poste" dataDxfId="155"/>
    <tableColumn id="12" xr3:uid="{FC671CF7-FC5D-4B65-B8DD-CD550E3983CA}" name="Pause entre 06:00 et 21:00" dataDxfId="154"/>
    <tableColumn id="5" xr3:uid="{D39827AC-5610-4D6F-9070-218EC3191515}" name="Pause entre 21:00 et 06:00" dataDxfId="153"/>
    <tableColumn id="6" xr3:uid="{8D337A0B-5B6D-446D-9C5B-AB6CAF936F60}" name="Fermeture de poste" dataDxfId="152"/>
    <tableColumn id="7" xr3:uid="{28180347-5584-45E3-9A69-E27ED3BAB704}" name="Total Heures" dataDxfId="151">
      <calculatedColumnFormula>IF(OR(D3&lt;&gt;"",G3&lt;&gt;""),MOD(G3-D3-F3-E3,1),"")</calculatedColumnFormula>
    </tableColumn>
    <tableColumn id="8" xr3:uid="{C46DC8B7-9688-4A35-9917-401DC486D96B}" name="Heures de jour" dataDxfId="150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93A2372E-7B87-4E46-8EC2-53CE136A5E81}" name="Heures de nuit" dataDxfId="149">
      <calculatedColumnFormula>MOD($G3-$D3,1)-($G3&lt;$D3)*(Détails!$D$11-Détails!$E$11)-MEDIAN($G3,Détails!$E$11,Détails!$D$11)+MEDIAN($D3,Détails!$E$11,Détails!$D$11)-$F3</calculatedColumnFormula>
    </tableColumn>
    <tableColumn id="10" xr3:uid="{91D8BFA1-B299-4F26-A411-28B42789C3C9}" name="Total semaine" dataDxfId="148">
      <calculatedColumnFormula>IF(OR(WEEKDAY(Tabel17[[#This Row],[Date]],2)=7, DAY(Tabel17[[#This Row],[Date]])=DAY(EOMONTH(Tabel17[[#This Row],[Date]],0))),SUMIF(Tabel17[Semaine],Tabel17[[#This Row],[Semaine]],Tabel17[Total Heures]),0)</calculatedColumnFormula>
    </tableColumn>
    <tableColumn id="11" xr3:uid="{CE2DAC03-A431-42CC-A36F-759591C9D26C}" name="Heures supplémentaires" dataDxfId="147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BFF5DD-8C33-4D97-B331-A00B8C47FADD}" name="Tabel18" displayName="Tabel18" ref="A2:L32" totalsRowShown="0" headerRowDxfId="146" dataDxfId="145">
  <autoFilter ref="A2:L32" xr:uid="{3FBFF5DD-8C33-4D97-B331-A00B8C47FADD}"/>
  <sortState xmlns:xlrd2="http://schemas.microsoft.com/office/spreadsheetml/2017/richdata2" ref="A3:L32">
    <sortCondition ref="B2:B32"/>
  </sortState>
  <tableColumns count="12">
    <tableColumn id="1" xr3:uid="{1A01181D-080A-4680-84E1-A2F91087B276}" name="Semaine" dataDxfId="144">
      <calculatedColumnFormula>""&amp;WEEKNUM(B3,2)</calculatedColumnFormula>
    </tableColumn>
    <tableColumn id="2" xr3:uid="{07A06D2A-CCCC-4E69-B566-48DD5B087C90}" name="Date" dataDxfId="143">
      <calculatedColumnFormula>DATE(Détails!$A$1,1,1)</calculatedColumnFormula>
    </tableColumn>
    <tableColumn id="3" xr3:uid="{72A38E80-93BA-44D2-8D1C-533AB8EB6183}" name="Ordre" dataDxfId="142">
      <calculatedColumnFormula array="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familial",IFERROR(IF(VLOOKUP($B3,Détails!$H$2:$H$16,1,0),"Férié",""),"")))))</calculatedColumnFormula>
    </tableColumn>
    <tableColumn id="4" xr3:uid="{F726CB7E-E333-4441-BC3E-CEFF4467D517}" name="Ouverture de poste" dataDxfId="141"/>
    <tableColumn id="12" xr3:uid="{EBE44438-481F-4806-8A90-D5BA0F50D64D}" name="Pause entre 06:00 et 21:00" dataDxfId="140"/>
    <tableColumn id="5" xr3:uid="{1998073F-8074-41EC-8D44-837B92254AA5}" name="Pause entre 21:00 et 06:00" dataDxfId="139"/>
    <tableColumn id="6" xr3:uid="{FE98CC90-272A-4BCF-B475-7C09C86E72EE}" name="Fermeture de poste" dataDxfId="138"/>
    <tableColumn id="7" xr3:uid="{9838EF4A-4E39-4401-8E84-FDB81B6EACD9}" name="Total Heures" dataDxfId="137">
      <calculatedColumnFormula>IF(OR(D3&lt;&gt;"",G3&lt;&gt;""),MOD(G3-D3-F3-E3,1),"")</calculatedColumnFormula>
    </tableColumn>
    <tableColumn id="8" xr3:uid="{0168075B-606F-4A99-A5DF-CF5C0976CA01}" name="Heures de jour" dataDxfId="13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4FA93240-2233-4A5B-A735-D110A2828D9C}" name="Heures de nuit" dataDxfId="135">
      <calculatedColumnFormula>MOD($G3-$D3,1)-($G3&lt;$D3)*(Détails!$D$11-Détails!$E$11)-MEDIAN($G3,Détails!$E$11,Détails!$D$11)+MEDIAN($D3,Détails!$E$11,Détails!$D$11)-$F3</calculatedColumnFormula>
    </tableColumn>
    <tableColumn id="10" xr3:uid="{1384A403-C643-42FA-B5D4-0DF5FE3C163A}" name="Total semaine" dataDxfId="134">
      <calculatedColumnFormula>IF(OR(WEEKDAY(Tabel18[[#This Row],[Date]],2)=7, DAY(Tabel18[[#This Row],[Date]])=DAY(EOMONTH(Tabel18[[#This Row],[Date]],0))),SUMIF(Tabel18[Semaine],Tabel18[[#This Row],[Semaine]],Tabel18[Total Heures]),0)</calculatedColumnFormula>
    </tableColumn>
    <tableColumn id="11" xr3:uid="{478C0C9E-3649-45C0-8854-F2B819F5E7FD}" name="Heures supplémentaires" dataDxfId="13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80BD9C7-597D-430D-A09C-ED36AAC933BF}" name="Tabel19" displayName="Tabel19" ref="A2:L33" totalsRowShown="0" headerRowDxfId="132" dataDxfId="131">
  <autoFilter ref="A2:L33" xr:uid="{680BD9C7-597D-430D-A09C-ED36AAC933BF}"/>
  <sortState xmlns:xlrd2="http://schemas.microsoft.com/office/spreadsheetml/2017/richdata2" ref="A3:L33">
    <sortCondition ref="B2:B33"/>
  </sortState>
  <tableColumns count="12">
    <tableColumn id="1" xr3:uid="{61413BA2-8CD1-4162-9359-27C004F88FF3}" name="Semaine" dataDxfId="130">
      <calculatedColumnFormula>""&amp;WEEKNUM(B3,2)</calculatedColumnFormula>
    </tableColumn>
    <tableColumn id="2" xr3:uid="{2F90756F-84FD-466C-AC09-65FE2DF7D326}" name="Date" dataDxfId="129">
      <calculatedColumnFormula>DATE(Détails!$A$1,1,1)</calculatedColumnFormula>
    </tableColumn>
    <tableColumn id="3" xr3:uid="{57A2F579-0EFB-4A89-A9A0-F3C7A15DEFE0}" name="Ordre" dataDxfId="128">
      <calculatedColumnFormula array="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familial",IFERROR(IF(VLOOKUP($B3,Détails!$H$2:$H$16,1,0),"Férié",""),"")))))</calculatedColumnFormula>
    </tableColumn>
    <tableColumn id="4" xr3:uid="{4CBBCFA5-ECC9-4CD7-BFE2-B0FC1520F719}" name="Ouverture de poste" dataDxfId="127"/>
    <tableColumn id="12" xr3:uid="{3E3E1D07-546B-4612-97C0-53CF91D5097D}" name="Pause entre 06:00 et 21:00" dataDxfId="126"/>
    <tableColumn id="5" xr3:uid="{0F8FC3C3-4AC4-460C-B12F-45071A3270C7}" name="Pause entre 21:00 et 06:00" dataDxfId="125"/>
    <tableColumn id="6" xr3:uid="{ECDB9AFF-3DB7-4637-84F0-7F1CD1C04A52}" name="Fermeture de poste" dataDxfId="124"/>
    <tableColumn id="7" xr3:uid="{EB967F91-B3DD-4C49-9D46-4AD8B287C168}" name="Total Heures" dataDxfId="123">
      <calculatedColumnFormula>IF(OR(D3&lt;&gt;"",G3&lt;&gt;""),MOD(G3-D3-F3-E3,1),"")</calculatedColumnFormula>
    </tableColumn>
    <tableColumn id="8" xr3:uid="{48CDF41C-8AB7-4462-9E43-A29C72CD79E4}" name="Heures de jour" dataDxfId="12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B22FBB3A-219C-4EF5-A5CF-2F0DC5877EF7}" name="Heures de nuit" dataDxfId="121">
      <calculatedColumnFormula>MOD($G3-$D3,1)-($G3&lt;$D3)*(Détails!$D$11-Détails!$E$11)-MEDIAN($G3,Détails!$E$11,Détails!$D$11)+MEDIAN($D3,Détails!$E$11,Détails!$D$11)-$F3</calculatedColumnFormula>
    </tableColumn>
    <tableColumn id="10" xr3:uid="{190D9AE9-A489-4BF0-875E-1769BBA2483C}" name="Total semaine" dataDxfId="120">
      <calculatedColumnFormula>IF(OR(WEEKDAY(Tabel19[[#This Row],[Date]],2)=7, DAY(Tabel19[[#This Row],[Date]])=DAY(EOMONTH(Tabel19[[#This Row],[Date]],0))),SUMIF(Tabel19[Semaine],Tabel19[[#This Row],[Semaine]],Tabel19[Total Heures]),0)</calculatedColumnFormula>
    </tableColumn>
    <tableColumn id="11" xr3:uid="{8067618E-B7E3-4FEC-815D-F77B8E294D40}" name="Heures supplémentaires" dataDxfId="11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0A20C9E-692F-4307-99DA-23AF0FC90808}" name="Tabel110" displayName="Tabel110" ref="A2:L33" totalsRowShown="0" headerRowDxfId="118" dataDxfId="117">
  <autoFilter ref="A2:L33" xr:uid="{E0A20C9E-692F-4307-99DA-23AF0FC90808}"/>
  <sortState xmlns:xlrd2="http://schemas.microsoft.com/office/spreadsheetml/2017/richdata2" ref="A3:L33">
    <sortCondition ref="B2:B33"/>
  </sortState>
  <tableColumns count="12">
    <tableColumn id="1" xr3:uid="{89D15657-17F9-48C1-A306-D556888BB417}" name="Semaine" dataDxfId="116">
      <calculatedColumnFormula>""&amp;WEEKNUM(B3,2)</calculatedColumnFormula>
    </tableColumn>
    <tableColumn id="2" xr3:uid="{A79340A7-88B2-48B1-82EC-C7DDE3F95E05}" name="Date" dataDxfId="115">
      <calculatedColumnFormula>DATE(Détails!$A$1,1,1)</calculatedColumnFormula>
    </tableColumn>
    <tableColumn id="3" xr3:uid="{FFCAC37B-E10F-4781-812E-07E04B2B51C1}" name="Ordre" dataDxfId="114">
      <calculatedColumnFormula array="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familial",IFERROR(IF(VLOOKUP($B3,Détails!$H$2:$H$16,1,0),"Férié",""),"")))))</calculatedColumnFormula>
    </tableColumn>
    <tableColumn id="4" xr3:uid="{40C280DB-0D78-4DC4-9D72-C5BB1A700443}" name="Ouverture de poste" dataDxfId="113"/>
    <tableColumn id="12" xr3:uid="{C41B0930-F76A-46E5-8286-04FB9B5FA776}" name="Pause entre 06:00 et 21:00" dataDxfId="112"/>
    <tableColumn id="5" xr3:uid="{80B7BE50-2AE0-4CFD-9A87-B5732DFB1BA3}" name="Pause entre 21:00 et 06:00" dataDxfId="111"/>
    <tableColumn id="6" xr3:uid="{DD31E3D4-1825-4A16-BFBC-2E4359A59970}" name="Fermeture de poste" dataDxfId="110"/>
    <tableColumn id="7" xr3:uid="{416747CC-DC50-480F-8F11-D07E7C1E7536}" name="Total Heures" dataDxfId="109">
      <calculatedColumnFormula>IF(OR(D3&lt;&gt;"",G3&lt;&gt;""),MOD(G3-D3-F3-E3,1),"")</calculatedColumnFormula>
    </tableColumn>
    <tableColumn id="8" xr3:uid="{BC8D5C09-C4BE-4B94-8CA5-DB02A53EE96A}" name="Heures de jour" dataDxfId="10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14CB934C-E6A4-416B-91C4-AA09EBDCE1A8}" name="Heures de nuit" dataDxfId="107">
      <calculatedColumnFormula>MOD($G3-$D3,1)-($G3&lt;$D3)*(Détails!$D$11-Détails!$E$11)-MEDIAN($G3,Détails!$E$11,Détails!$D$11)+MEDIAN($D3,Détails!$E$11,Détails!$D$11)-$F3</calculatedColumnFormula>
    </tableColumn>
    <tableColumn id="10" xr3:uid="{EE154D76-D7F5-4323-A3E2-5B7D6AB50683}" name="Total semaine" dataDxfId="106">
      <calculatedColumnFormula>IF(OR(WEEKDAY(Tabel110[[#This Row],[Date]],2)=7, DAY(Tabel110[[#This Row],[Date]])=DAY(EOMONTH(Tabel110[[#This Row],[Date]],0))),SUMIF(Tabel110[Semaine],Tabel110[[#This Row],[Semaine]],Tabel110[Total Heures]),0)</calculatedColumnFormula>
    </tableColumn>
    <tableColumn id="11" xr3:uid="{29345052-665B-42A3-B037-265676C47F4A}" name="Heures supplémentaires" dataDxfId="10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5C6DB41-A3A4-4CE3-89B3-16E2785D7AE7}" name="Tabel111" displayName="Tabel111" ref="A2:L32" totalsRowShown="0" headerRowDxfId="104" dataDxfId="103">
  <autoFilter ref="A2:L32" xr:uid="{55C6DB41-A3A4-4CE3-89B3-16E2785D7AE7}"/>
  <sortState xmlns:xlrd2="http://schemas.microsoft.com/office/spreadsheetml/2017/richdata2" ref="A3:L32">
    <sortCondition ref="B2:B32"/>
  </sortState>
  <tableColumns count="12">
    <tableColumn id="1" xr3:uid="{4B3AEAB3-F772-41A7-B95C-0C4252562CB8}" name="Semaine" dataDxfId="102">
      <calculatedColumnFormula>""&amp;WEEKNUM(B3,2)</calculatedColumnFormula>
    </tableColumn>
    <tableColumn id="2" xr3:uid="{A689D198-075D-4B01-B16B-DC5B0BE042CF}" name="Date" dataDxfId="101">
      <calculatedColumnFormula>DATE(Détails!$A$1,1,1)</calculatedColumnFormula>
    </tableColumn>
    <tableColumn id="3" xr3:uid="{8C5A8F85-B08B-424A-9C97-233D8EA9BDC9}" name="Ordre" dataDxfId="100">
      <calculatedColumnFormula array="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familial",IFERROR(IF(VLOOKUP($B3,Détails!$H$2:$H$16,1,0),"Férié",""),"")))))</calculatedColumnFormula>
    </tableColumn>
    <tableColumn id="4" xr3:uid="{1635019F-09ED-40CA-9D23-0DDD13203B08}" name="Ouverture de poste" dataDxfId="99"/>
    <tableColumn id="12" xr3:uid="{5DFE7E0B-76C2-4C6C-B579-6C2856238595}" name="Pause entre 06:00 et 21:00" dataDxfId="98"/>
    <tableColumn id="5" xr3:uid="{39B3FF91-A36A-4AAE-93D5-5466A431B3E6}" name="Pause entre 21:00 et 06:00" dataDxfId="97"/>
    <tableColumn id="6" xr3:uid="{C46D0461-FD53-4DE1-95B9-E868506260BD}" name="Fermeture de poste" dataDxfId="96"/>
    <tableColumn id="7" xr3:uid="{7DE0F2E3-2FCF-4264-8353-92AFBA07695D}" name="Total Heures" dataDxfId="95">
      <calculatedColumnFormula>IF(OR(D3&lt;&gt;"",G3&lt;&gt;""),MOD(G3-D3-F3-E3,1),"")</calculatedColumnFormula>
    </tableColumn>
    <tableColumn id="8" xr3:uid="{AEE9F569-84AA-4E99-A757-D71833A871E4}" name="Heures de jour" dataDxfId="94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644F9AB3-0D12-43E8-810F-D0509919BC66}" name="Heures de nuit" dataDxfId="93">
      <calculatedColumnFormula>MOD($G3-$D3,1)-($G3&lt;$D3)*(Détails!$D$11-Détails!$E$11)-MEDIAN($G3,Détails!$E$11,Détails!$D$11)+MEDIAN($D3,Détails!$E$11,Détails!$D$11)-$F3</calculatedColumnFormula>
    </tableColumn>
    <tableColumn id="10" xr3:uid="{E70DA546-C5D2-4EA8-97AD-64C2AF33C1C0}" name="Total semaine" dataDxfId="92">
      <calculatedColumnFormula>IF(OR(WEEKDAY(Tabel111[[#This Row],[Date]],2)=7, DAY(Tabel111[[#This Row],[Date]])=DAY(EOMONTH(Tabel111[[#This Row],[Date]],0))),SUMIF(Tabel111[Semaine],Tabel111[[#This Row],[Semaine]],Tabel111[Total Heures]),0)</calculatedColumnFormula>
    </tableColumn>
    <tableColumn id="11" xr3:uid="{8BE3B0DF-52E9-4325-AE14-384B11E0F81D}" name="Heures supplémentaires" dataDxfId="9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AFEEA6D-8653-4F15-B4D8-29B98321B5B2}" name="Tabel113" displayName="Tabel113" ref="A2:L33" totalsRowShown="0" headerRowDxfId="90" dataDxfId="89">
  <autoFilter ref="A2:L33" xr:uid="{8AFEEA6D-8653-4F15-B4D8-29B98321B5B2}"/>
  <sortState xmlns:xlrd2="http://schemas.microsoft.com/office/spreadsheetml/2017/richdata2" ref="A3:L33">
    <sortCondition ref="B2:B33"/>
  </sortState>
  <tableColumns count="12">
    <tableColumn id="1" xr3:uid="{BFDF36E7-3B3A-4C3F-9F7C-49326D22B332}" name="Semaine" dataDxfId="88">
      <calculatedColumnFormula>""&amp;WEEKNUM(B3,2)</calculatedColumnFormula>
    </tableColumn>
    <tableColumn id="2" xr3:uid="{2EAD26CA-8AA7-4547-AF00-E4A7689A26A8}" name="Date" dataDxfId="87">
      <calculatedColumnFormula>DATE(Détails!$A$1,1,1)</calculatedColumnFormula>
    </tableColumn>
    <tableColumn id="3" xr3:uid="{F48144D7-991F-4A9A-AD35-2FC6B27DCDA4}" name="Ordre" dataDxfId="86">
      <calculatedColumnFormula array="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familial",IFERROR(IF(VLOOKUP($B3,Détails!$H$2:$H$16,1,0),"Férié",""),"")))))</calculatedColumnFormula>
    </tableColumn>
    <tableColumn id="4" xr3:uid="{BEECA527-2EBF-4782-8F8A-3D4F3D549280}" name="Ouverture de poste" dataDxfId="85"/>
    <tableColumn id="12" xr3:uid="{26E34679-04FB-4733-861F-6B355E161551}" name="Pause entre 06:00 et 21:00" dataDxfId="84"/>
    <tableColumn id="5" xr3:uid="{69ED1CCC-5556-4191-AFBE-994E271845CC}" name="Pause entre 21:00 et 06:00" dataDxfId="83"/>
    <tableColumn id="6" xr3:uid="{96AE5369-501D-47CE-A6B9-B10F812BEFF2}" name="Fermeture de poste" dataDxfId="82"/>
    <tableColumn id="7" xr3:uid="{2C1FB375-55CC-4BFF-AEA2-8B29E891787C}" name="Total Heures" dataDxfId="81">
      <calculatedColumnFormula>IF(OR(D3&lt;&gt;"",G3&lt;&gt;""),MOD(G3-D3-F3-E3,1),"")</calculatedColumnFormula>
    </tableColumn>
    <tableColumn id="8" xr3:uid="{A7129A99-0F77-4265-9F0B-7F89DB981242}" name="Heures de jour" dataDxfId="80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82DE3AFE-25AE-4073-830C-57C87D930287}" name="Heures de nuit" dataDxfId="79">
      <calculatedColumnFormula>MOD($G3-$D3,1)-($G3&lt;$D3)*(Détails!$D$11-Détails!$E$11)-MEDIAN($G3,Détails!$E$11,Détails!$D$11)+MEDIAN($D3,Détails!$E$11,Détails!$D$11)-$F3</calculatedColumnFormula>
    </tableColumn>
    <tableColumn id="10" xr3:uid="{BB273085-8786-4733-AD66-780C11CF2C89}" name="Total semaine" dataDxfId="78">
      <calculatedColumnFormula>IF(OR(WEEKDAY(Tabel113[[#This Row],[Date]],2)=7, DAY(Tabel113[[#This Row],[Date]])=DAY(EOMONTH(Tabel113[[#This Row],[Date]],0))),SUMIF(Tabel113[Semaine],Tabel113[[#This Row],[Semaine]],Tabel113[Total Heures]),0)</calculatedColumnFormula>
    </tableColumn>
    <tableColumn id="11" xr3:uid="{CBD1E6F5-98AD-4BCF-8D33-36116CC24352}" name="Heures supplémentaires" dataDxfId="77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8755B0C-5A69-46E7-AFBA-A90A2EEE07C2}" name="Tabel114" displayName="Tabel114" ref="A2:L32" totalsRowShown="0" headerRowDxfId="76" dataDxfId="75">
  <autoFilter ref="A2:L32" xr:uid="{F8755B0C-5A69-46E7-AFBA-A90A2EEE07C2}"/>
  <sortState xmlns:xlrd2="http://schemas.microsoft.com/office/spreadsheetml/2017/richdata2" ref="A3:L32">
    <sortCondition ref="B2:B32"/>
  </sortState>
  <tableColumns count="12">
    <tableColumn id="1" xr3:uid="{734D5319-4C1C-4C89-B681-C8E582FDE74E}" name="Semaine" dataDxfId="74">
      <calculatedColumnFormula>""&amp;WEEKNUM(B3,2)</calculatedColumnFormula>
    </tableColumn>
    <tableColumn id="2" xr3:uid="{83AB89AB-4EAF-44AC-A017-B59D2C7439EB}" name="Date" dataDxfId="73">
      <calculatedColumnFormula>DATE(Détails!$A$1,1,1)</calculatedColumnFormula>
    </tableColumn>
    <tableColumn id="3" xr3:uid="{B99A65ED-1D79-4D1B-A8C9-D9BBC7A989E7}" name="Ordre" dataDxfId="72">
      <calculatedColumnFormula array="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familial",IFERROR(IF(VLOOKUP($B3,Détails!$H$2:$H$16,1,0),"Férié",""),"")))))</calculatedColumnFormula>
    </tableColumn>
    <tableColumn id="4" xr3:uid="{3E48BF7B-8EE3-4814-904C-6078D9324C20}" name="Ouverture de poste" dataDxfId="71"/>
    <tableColumn id="12" xr3:uid="{25A3B9D0-3416-469E-948C-50A58A73B71E}" name="Pause entre 06:00 et 21:00" dataDxfId="70"/>
    <tableColumn id="5" xr3:uid="{97067883-A7FF-4FBF-BE65-36E02B3F0E54}" name="Pause entre 21:00 et 06:00" dataDxfId="69"/>
    <tableColumn id="6" xr3:uid="{192B110E-BCD3-4970-8A60-302D0715110E}" name="Fermeture de poste" dataDxfId="68"/>
    <tableColumn id="7" xr3:uid="{99A6D047-BBFB-4CEF-9CF7-6475E2A33F24}" name="Total Heures" dataDxfId="67">
      <calculatedColumnFormula>IF(OR(D3&lt;&gt;"",G3&lt;&gt;""),MOD(G3-D3-F3-E3,1),"")</calculatedColumnFormula>
    </tableColumn>
    <tableColumn id="8" xr3:uid="{CDD7BCDE-3029-43EB-96CF-94B1F4BD6A6F}" name="Heures de jour" dataDxfId="6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F945DD5-2D44-48F0-B117-B78AC7536E6E}" name="Heures de nuit" dataDxfId="65">
      <calculatedColumnFormula>MOD($G3-$D3,1)-($G3&lt;$D3)*(Détails!$D$11-Détails!$E$11)-MEDIAN($G3,Détails!$E$11,Détails!$D$11)+MEDIAN($D3,Détails!$E$11,Détails!$D$11)-$F3</calculatedColumnFormula>
    </tableColumn>
    <tableColumn id="10" xr3:uid="{8376305A-76BF-4A9A-9B6D-FA80C7DFA7A8}" name="Total semaine" dataDxfId="64">
      <calculatedColumnFormula>IF(OR(WEEKDAY(Tabel114[[#This Row],[Date]],2)=7, DAY(Tabel114[[#This Row],[Date]])=DAY(EOMONTH(Tabel114[[#This Row],[Date]],0))),SUMIF(Tabel114[Semaine],Tabel114[[#This Row],[Semaine]],Tabel114[Total Heures]),0)</calculatedColumnFormula>
    </tableColumn>
    <tableColumn id="11" xr3:uid="{3036B6F1-D2C7-4A4F-8CB0-C363D0F2E432}" name="Heures supplémentaires" dataDxfId="6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FB004E7-8BF5-4151-B7D8-A3C1706706C5}" name="Tabel115" displayName="Tabel115" ref="A2:L33" totalsRowShown="0" headerRowDxfId="62" dataDxfId="61">
  <autoFilter ref="A2:L33" xr:uid="{BFB004E7-8BF5-4151-B7D8-A3C1706706C5}"/>
  <sortState xmlns:xlrd2="http://schemas.microsoft.com/office/spreadsheetml/2017/richdata2" ref="A3:L33">
    <sortCondition ref="B2:B33"/>
  </sortState>
  <tableColumns count="12">
    <tableColumn id="1" xr3:uid="{39AB9FE2-EB9A-4F88-A273-C96A41379AD2}" name="Semaine" dataDxfId="60">
      <calculatedColumnFormula>""&amp;WEEKNUM(B3,2)</calculatedColumnFormula>
    </tableColumn>
    <tableColumn id="2" xr3:uid="{DC74BA81-CC50-4304-A9F1-8B61909367F5}" name="Date" dataDxfId="59">
      <calculatedColumnFormula>DATE(Détails!$A$1,1,1)</calculatedColumnFormula>
    </tableColumn>
    <tableColumn id="3" xr3:uid="{2BBDB423-9B92-4B01-BF05-7740AA58176B}" name="Ordre" dataDxfId="58">
      <calculatedColumnFormula array="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familial",IFERROR(IF(VLOOKUP($B3,Détails!$H$2:$H$16,1,0),"Férié",""),"")))))</calculatedColumnFormula>
    </tableColumn>
    <tableColumn id="4" xr3:uid="{1B343954-1A97-4F37-A0B7-9836B1E53030}" name="Ouverture de poste" dataDxfId="57"/>
    <tableColumn id="12" xr3:uid="{621BB893-D3D3-4475-BCAE-7B2F17D33D91}" name="Pause entre 06:00 et 21:00" dataDxfId="56"/>
    <tableColumn id="5" xr3:uid="{26D924F1-58F3-4393-ACEB-C3343484CBC3}" name="Pause entre 21:00 et 06:00" dataDxfId="55"/>
    <tableColumn id="6" xr3:uid="{4691A5C1-49B1-46D7-B123-6123B887717F}" name="Fermeture de poste" dataDxfId="54"/>
    <tableColumn id="7" xr3:uid="{0E204811-19F9-423B-A2A2-8C284533BD03}" name="Total Heures" dataDxfId="53">
      <calculatedColumnFormula>IF(OR(D3&lt;&gt;"",G3&lt;&gt;""),MOD(G3-D3-F3-E3,1),"")</calculatedColumnFormula>
    </tableColumn>
    <tableColumn id="8" xr3:uid="{62B4AC31-A482-4BD9-93A4-94F84D61ED65}" name="Heures de jour" dataDxfId="5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9F9EDF4C-0FB4-489A-9060-07C953310DFB}" name="Heures de nuit" dataDxfId="51">
      <calculatedColumnFormula>MOD($G3-$D3,1)-($G3&lt;$D3)*(Détails!$D$11-Détails!$E$11)-MEDIAN($G3,Détails!$E$11,Détails!$D$11)+MEDIAN($D3,Détails!$E$11,Détails!$D$11)-$F3</calculatedColumnFormula>
    </tableColumn>
    <tableColumn id="10" xr3:uid="{8A9B5434-B610-4893-8318-5731022DA457}" name="Total semaine" dataDxfId="50">
      <calculatedColumnFormula>IF(OR(WEEKDAY(Tabel115[[#This Row],[Date]],2)=7, DAY(Tabel115[[#This Row],[Date]])=DAY(EOMONTH(Tabel115[[#This Row],[Date]],0))),SUMIF(Tabel115[Semaine],Tabel115[[#This Row],[Semaine]],Tabel115[Total Heures]),0)</calculatedColumnFormula>
    </tableColumn>
    <tableColumn id="11" xr3:uid="{136EEE60-6304-4065-A300-D62A341BF563}" name="Heures supplémentaires" dataDxfId="4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dimension ref="A1:F11"/>
  <sheetViews>
    <sheetView zoomScaleNormal="100" workbookViewId="0">
      <selection activeCell="B1" sqref="B1"/>
    </sheetView>
  </sheetViews>
  <sheetFormatPr baseColWidth="10" defaultColWidth="10.77734375" defaultRowHeight="10.050000000000001" customHeight="1" x14ac:dyDescent="0.3"/>
  <cols>
    <col min="1" max="1" width="60.77734375" style="18" customWidth="1"/>
    <col min="2" max="2" width="10.77734375" style="18"/>
    <col min="3" max="3" width="60.77734375" style="54" customWidth="1"/>
    <col min="4" max="4" width="10.77734375" style="18"/>
    <col min="5" max="6" width="10.77734375" style="18" hidden="1" customWidth="1"/>
    <col min="7" max="16384" width="10.77734375" style="18"/>
  </cols>
  <sheetData>
    <row r="1" spans="1:6" ht="30" customHeight="1" x14ac:dyDescent="0.3">
      <c r="A1" s="48" t="s">
        <v>67</v>
      </c>
      <c r="B1" s="49" t="str" cm="1">
        <f t="array" ref="B1">COUNTIF(B2:B11,TRUE)&amp;"/"&amp;COUNTA(B2:B11="Vrai")</f>
        <v>0/10</v>
      </c>
      <c r="C1" s="52" t="s">
        <v>68</v>
      </c>
      <c r="E1" s="18" t="s">
        <v>69</v>
      </c>
      <c r="F1" s="18" t="s">
        <v>70</v>
      </c>
    </row>
    <row r="2" spans="1:6" ht="30" customHeight="1" x14ac:dyDescent="0.3">
      <c r="A2" s="53" t="s">
        <v>71</v>
      </c>
      <c r="B2" s="50" t="b">
        <v>0</v>
      </c>
      <c r="C2" s="53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3">
      <c r="A3" s="53" t="s">
        <v>74</v>
      </c>
      <c r="B3" s="50" t="b">
        <v>0</v>
      </c>
      <c r="C3" s="53" t="str">
        <v>Renseigner le nombre de jous travaillés en semaine, en cellule Détails!E3.</v>
      </c>
      <c r="E3" s="51">
        <f>E2/COUNTA(B2:B11)</f>
        <v>0</v>
      </c>
    </row>
    <row r="4" spans="1:6" ht="30" customHeight="1" x14ac:dyDescent="0.3">
      <c r="A4" s="53" t="s">
        <v>72</v>
      </c>
      <c r="B4" s="50" t="b">
        <v>0</v>
      </c>
      <c r="C4" s="53" t="str">
        <v>Renseigner le nombre d'heures mensuelles, en cellule Détails!E5.</v>
      </c>
    </row>
    <row r="5" spans="1:6" ht="30" customHeight="1" x14ac:dyDescent="0.3">
      <c r="A5" s="53" t="s">
        <v>76</v>
      </c>
      <c r="B5" s="50" t="b">
        <v>0</v>
      </c>
      <c r="C5" s="53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3">
      <c r="A6" s="53" t="s">
        <v>77</v>
      </c>
      <c r="B6" s="50" t="b">
        <v>0</v>
      </c>
      <c r="C6" s="53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3">
      <c r="A7" s="53" t="s">
        <v>73</v>
      </c>
      <c r="B7" s="50" t="b">
        <v>0</v>
      </c>
      <c r="C7" s="53" t="str">
        <v>Renseigner les heures de nuit, en cellule Détails!D11 et Détails!E11.</v>
      </c>
    </row>
    <row r="8" spans="1:6" ht="30" customHeight="1" x14ac:dyDescent="0.3">
      <c r="A8" s="53" t="s">
        <v>75</v>
      </c>
      <c r="B8" s="50" t="b">
        <v>0</v>
      </c>
      <c r="C8" s="53" t="str">
        <v xml:space="preserve">Repporter le nombre de congés payés N-1 (en cellule Absences!E5) et N (en cellule Absences!E9) acquis. </v>
      </c>
    </row>
    <row r="9" spans="1:6" ht="30" customHeight="1" x14ac:dyDescent="0.3">
      <c r="A9" s="53">
        <v>8</v>
      </c>
      <c r="B9" s="50" t="b">
        <v>0</v>
      </c>
      <c r="C9" s="53">
        <v>8</v>
      </c>
    </row>
    <row r="10" spans="1:6" ht="30" customHeight="1" x14ac:dyDescent="0.3">
      <c r="A10" s="53">
        <v>9</v>
      </c>
      <c r="B10" s="50" t="b">
        <v>0</v>
      </c>
      <c r="C10" s="53">
        <v>9</v>
      </c>
    </row>
    <row r="11" spans="1:6" ht="30" customHeight="1" x14ac:dyDescent="0.3">
      <c r="A11" s="53">
        <v>10</v>
      </c>
      <c r="B11" s="50" t="b">
        <v>0</v>
      </c>
      <c r="C11" s="53">
        <v>10</v>
      </c>
    </row>
  </sheetData>
  <conditionalFormatting sqref="A2:B11">
    <cfRule type="expression" dxfId="48" priority="1">
      <formula>$B2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3" name="Check Box 57">
              <controlPr defaultSize="0" autoFill="0" autoLine="0" autoPict="0">
                <anchor moveWithCells="1">
                  <from>
                    <xdr:col>1</xdr:col>
                    <xdr:colOff>259080</xdr:colOff>
                    <xdr:row>1</xdr:row>
                    <xdr:rowOff>53340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4" name="Check Box 85">
              <controlPr defaultSize="0" autoFill="0" autoLine="0" autoPict="0">
                <anchor moveWithCells="1">
                  <from>
                    <xdr:col>1</xdr:col>
                    <xdr:colOff>259080</xdr:colOff>
                    <xdr:row>2</xdr:row>
                    <xdr:rowOff>53340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5" name="Check Box 86">
              <controlPr defaultSize="0" autoFill="0" autoLine="0" autoPict="0">
                <anchor moveWithCells="1">
                  <from>
                    <xdr:col>1</xdr:col>
                    <xdr:colOff>259080</xdr:colOff>
                    <xdr:row>3</xdr:row>
                    <xdr:rowOff>53340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6" name="Check Box 87">
              <controlPr defaultSize="0" autoFill="0" autoLine="0" autoPict="0">
                <anchor moveWithCells="1">
                  <from>
                    <xdr:col>1</xdr:col>
                    <xdr:colOff>259080</xdr:colOff>
                    <xdr:row>4</xdr:row>
                    <xdr:rowOff>53340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7" name="Check Box 88">
              <controlPr defaultSize="0" autoFill="0" autoLine="0" autoPict="0">
                <anchor moveWithCells="1">
                  <from>
                    <xdr:col>1</xdr:col>
                    <xdr:colOff>259080</xdr:colOff>
                    <xdr:row>5</xdr:row>
                    <xdr:rowOff>53340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8" name="Check Box 89">
              <controlPr defaultSize="0" autoFill="0" autoLine="0" autoPict="0">
                <anchor moveWithCells="1">
                  <from>
                    <xdr:col>1</xdr:col>
                    <xdr:colOff>259080</xdr:colOff>
                    <xdr:row>6</xdr:row>
                    <xdr:rowOff>53340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9" name="Check Box 90">
              <controlPr defaultSize="0" autoFill="0" autoLine="0" autoPict="0">
                <anchor moveWithCells="1">
                  <from>
                    <xdr:col>1</xdr:col>
                    <xdr:colOff>259080</xdr:colOff>
                    <xdr:row>7</xdr:row>
                    <xdr:rowOff>53340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0" name="Check Box 91">
              <controlPr defaultSize="0" autoFill="0" autoLine="0" autoPict="0">
                <anchor moveWithCells="1">
                  <from>
                    <xdr:col>1</xdr:col>
                    <xdr:colOff>259080</xdr:colOff>
                    <xdr:row>8</xdr:row>
                    <xdr:rowOff>53340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1" name="Check Box 92">
              <controlPr defaultSize="0" autoFill="0" autoLine="0" autoPict="0">
                <anchor moveWithCells="1">
                  <from>
                    <xdr:col>1</xdr:col>
                    <xdr:colOff>259080</xdr:colOff>
                    <xdr:row>9</xdr:row>
                    <xdr:rowOff>53340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2" name="Check Box 93">
              <controlPr defaultSize="0" autoFill="0" autoLine="0" autoPict="0">
                <anchor moveWithCells="1">
                  <from>
                    <xdr:col>1</xdr:col>
                    <xdr:colOff>259080</xdr:colOff>
                    <xdr:row>10</xdr:row>
                    <xdr:rowOff>53340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0"/>
  <sheetViews>
    <sheetView zoomScale="85" zoomScaleNormal="85" workbookViewId="0">
      <selection activeCell="D13" sqref="D13"/>
    </sheetView>
  </sheetViews>
  <sheetFormatPr baseColWidth="10" defaultColWidth="11.5546875" defaultRowHeight="11.4" x14ac:dyDescent="0.3"/>
  <cols>
    <col min="1" max="2" width="30.77734375" style="3" customWidth="1"/>
    <col min="3" max="3" width="8.6640625" style="3" customWidth="1"/>
    <col min="4" max="5" width="30.6640625" style="3" customWidth="1"/>
    <col min="6" max="6" width="8.6640625" style="3" customWidth="1"/>
    <col min="7" max="8" width="30.6640625" style="3" customWidth="1"/>
    <col min="9" max="9" width="8.6640625" style="3" customWidth="1"/>
    <col min="10" max="17" width="20.6640625" style="3" customWidth="1"/>
    <col min="18" max="16384" width="11.5546875" style="3"/>
  </cols>
  <sheetData>
    <row r="1" spans="1:17" ht="30" customHeight="1" x14ac:dyDescent="0.3">
      <c r="A1" s="66">
        <v>2024</v>
      </c>
      <c r="B1" s="66"/>
      <c r="C1" s="1"/>
      <c r="D1" s="64" t="s">
        <v>37</v>
      </c>
      <c r="E1" s="64"/>
      <c r="F1" s="2"/>
      <c r="G1" s="63" t="s">
        <v>21</v>
      </c>
      <c r="H1" s="63"/>
      <c r="J1" s="55">
        <v>2024</v>
      </c>
      <c r="K1" s="6" t="s">
        <v>57</v>
      </c>
      <c r="L1" s="6" t="s">
        <v>58</v>
      </c>
      <c r="M1" s="6" t="s">
        <v>59</v>
      </c>
      <c r="N1" s="6" t="s">
        <v>60</v>
      </c>
      <c r="O1" s="6" t="s">
        <v>61</v>
      </c>
      <c r="P1" s="6" t="s">
        <v>62</v>
      </c>
      <c r="Q1" s="15" t="s">
        <v>63</v>
      </c>
    </row>
    <row r="2" spans="1:17" ht="30" customHeight="1" x14ac:dyDescent="0.3">
      <c r="A2" s="4" t="s">
        <v>47</v>
      </c>
      <c r="B2" s="4">
        <f>DATE(A1,1,1)</f>
        <v>45292</v>
      </c>
      <c r="C2" s="5"/>
      <c r="D2" s="6" t="s">
        <v>38</v>
      </c>
      <c r="E2" s="7">
        <f>E4/E3</f>
        <v>0.32500000000000001</v>
      </c>
      <c r="F2" s="8"/>
      <c r="G2" s="9" t="s">
        <v>22</v>
      </c>
      <c r="H2" s="4">
        <f>DATE(A1,1,1)</f>
        <v>45292</v>
      </c>
      <c r="J2" s="6" t="s">
        <v>1</v>
      </c>
      <c r="K2" s="11">
        <f>DAY(EOMONTH(Janvier!$B$3,0))</f>
        <v>31</v>
      </c>
      <c r="L2" s="11">
        <f>NETWORKDAYS.INTL(Janvier!$B$3,EOMONTH(Janvier!$B$3,0),,MesFeries)</f>
        <v>22</v>
      </c>
      <c r="M2" s="11">
        <f>NETWORKDAYS.INTL(Janvier!$B$3,EOMONTH(Janvier!$B$3,0),"1111101")</f>
        <v>4</v>
      </c>
      <c r="N2" s="11">
        <f>NETWORKDAYS.INTL(Janvier!$B$3,EOMONTH(Janvier!$B$3,0),"1111110")</f>
        <v>4</v>
      </c>
      <c r="O2" s="11">
        <f>NETWORKDAYS.INTL(Janvier!$B$3,EOMONTH(Janvier!$B$3,0),"1111100")</f>
        <v>8</v>
      </c>
      <c r="P2" s="11">
        <f>DAY(EOMONTH(Janvier!$B$3,0))-NETWORKDAYS.INTL(Janvier!$B$3,EOMONTH(Janvier!$B$3,0),"0000000",MesFeries)</f>
        <v>1</v>
      </c>
      <c r="Q2" s="11">
        <f>NETWORKDAYS.INTL(Janvier!$B$3,EOMONTH(Janvier!$B$3,0),"1111100")-NETWORKDAYS.INTL(Janvier!$B$3,EOMONTH(Janvier!$B$3,0),"1111100",MesFeries)</f>
        <v>0</v>
      </c>
    </row>
    <row r="3" spans="1:17" ht="30" customHeight="1" x14ac:dyDescent="0.3">
      <c r="A3" s="4" t="s">
        <v>48</v>
      </c>
      <c r="B3" s="4">
        <f>DATE(A1,12,31)</f>
        <v>45657</v>
      </c>
      <c r="C3" s="5"/>
      <c r="D3" s="6" t="s">
        <v>64</v>
      </c>
      <c r="E3" s="6">
        <v>5</v>
      </c>
      <c r="F3" s="8"/>
      <c r="G3" s="9" t="s">
        <v>23</v>
      </c>
      <c r="H3" s="4">
        <f>H4-2</f>
        <v>45380</v>
      </c>
      <c r="J3" s="6" t="s">
        <v>2</v>
      </c>
      <c r="K3" s="11">
        <f>DAY(EOMONTH(Février!$B$3,0))</f>
        <v>29</v>
      </c>
      <c r="L3" s="11">
        <f>NETWORKDAYS.INTL(Février!$B$3,EOMONTH(Février!$B$3,0),,MesFeries)</f>
        <v>21</v>
      </c>
      <c r="M3" s="11">
        <f>NETWORKDAYS.INTL(Février!$B$3,EOMONTH(Février!$B$3,0),"1111101")</f>
        <v>4</v>
      </c>
      <c r="N3" s="11">
        <f>NETWORKDAYS.INTL(Février!$B$3,EOMONTH(Février!$B$3,0),"1111110")</f>
        <v>4</v>
      </c>
      <c r="O3" s="11">
        <f>NETWORKDAYS.INTL(Février!$B$3,EOMONTH(Février!$B$3,0),"1111100")</f>
        <v>8</v>
      </c>
      <c r="P3" s="11">
        <f>DAY(EOMONTH(Février!$B$3,0))-NETWORKDAYS.INTL(Février!$B$3,EOMONTH(Février!$B$3,0),"0000000",MesFeries)</f>
        <v>0</v>
      </c>
      <c r="Q3" s="11">
        <f>NETWORKDAYS.INTL(Février!$B$3,EOMONTH(Février!$B$3,0),"1111100")-NETWORKDAYS.INTL(Février!$B$3,EOMONTH(Février!$B$3,0),"1111100",MesFeries)</f>
        <v>0</v>
      </c>
    </row>
    <row r="4" spans="1:17" ht="30" customHeight="1" x14ac:dyDescent="0.3">
      <c r="A4" s="6" t="s">
        <v>49</v>
      </c>
      <c r="B4" s="11">
        <f>+B3-B2+1</f>
        <v>366</v>
      </c>
      <c r="C4" s="12"/>
      <c r="D4" s="6" t="s">
        <v>39</v>
      </c>
      <c r="E4" s="7">
        <v>1.625</v>
      </c>
      <c r="F4" s="13"/>
      <c r="G4" s="9" t="s">
        <v>36</v>
      </c>
      <c r="H4" s="4">
        <f>ROUND(DATE(A1,4,MOD(234-11*MOD($A$1,19),30))/7,)*7-6</f>
        <v>45382</v>
      </c>
      <c r="J4" s="6" t="s">
        <v>3</v>
      </c>
      <c r="K4" s="11">
        <f>DAY(EOMONTH(Mars!$B$3,0))</f>
        <v>31</v>
      </c>
      <c r="L4" s="11">
        <f>NETWORKDAYS.INTL(Mars!$B$3,EOMONTH(Mars!$B$3,0),,MesFeries)</f>
        <v>20</v>
      </c>
      <c r="M4" s="11">
        <f>NETWORKDAYS.INTL(Mars!$B$3,EOMONTH(Mars!$B$3,0),"1111101")</f>
        <v>5</v>
      </c>
      <c r="N4" s="11">
        <f>NETWORKDAYS.INTL(Mars!$B$3,EOMONTH(Mars!$B$3,0),"1111110")</f>
        <v>5</v>
      </c>
      <c r="O4" s="11">
        <f>NETWORKDAYS.INTL(Mars!$B$3,EOMONTH(Mars!$B$3,0),"1111100")</f>
        <v>10</v>
      </c>
      <c r="P4" s="11">
        <f>DAY(EOMONTH(Mars!$B$3,0))-NETWORKDAYS.INTL(Mars!$B$3,EOMONTH(Mars!$B$3,0),"0000000",MesFeries)</f>
        <v>2</v>
      </c>
      <c r="Q4" s="11">
        <f>NETWORKDAYS.INTL(Mars!$B$3,EOMONTH(Mars!$B$3,0),"1111100")-NETWORKDAYS.INTL(Mars!$B$3,EOMONTH(Mars!$B$3,0),"1111100",MesFeries)</f>
        <v>1</v>
      </c>
    </row>
    <row r="5" spans="1:17" ht="30" customHeight="1" x14ac:dyDescent="0.3">
      <c r="A5" s="6" t="s">
        <v>51</v>
      </c>
      <c r="B5" s="6">
        <f>NETWORKDAYS.INTL(B2,B3,,MesFeries)</f>
        <v>250</v>
      </c>
      <c r="D5" s="6" t="s">
        <v>40</v>
      </c>
      <c r="E5" s="7">
        <f>E4*4.33333</f>
        <v>7.0416612500000006</v>
      </c>
      <c r="F5" s="8"/>
      <c r="G5" s="9" t="s">
        <v>24</v>
      </c>
      <c r="H5" s="4">
        <f>H4+1</f>
        <v>45383</v>
      </c>
      <c r="J5" s="6" t="s">
        <v>4</v>
      </c>
      <c r="K5" s="11">
        <f>DAY(EOMONTH(Avril!$B$3,0))</f>
        <v>30</v>
      </c>
      <c r="L5" s="11">
        <f>NETWORKDAYS.INTL(Avril!$B$3,EOMONTH(Avril!$B$3,0),,MesFeries)</f>
        <v>21</v>
      </c>
      <c r="M5" s="11">
        <f>NETWORKDAYS.INTL(Avril!$B$3,EOMONTH(Avril!$B$3,0),"1111101")</f>
        <v>4</v>
      </c>
      <c r="N5" s="11">
        <f>NETWORKDAYS.INTL(Avril!$B$3,EOMONTH(Avril!$B$3,0),"1111110")</f>
        <v>4</v>
      </c>
      <c r="O5" s="11">
        <f>NETWORKDAYS.INTL(Avril!$B$3,EOMONTH(Avril!$B$3,0),"1111100")</f>
        <v>8</v>
      </c>
      <c r="P5" s="11">
        <f>DAY(EOMONTH(Avril!$B$3,0))-NETWORKDAYS.INTL(Avril!$B$3,EOMONTH(Avril!$B$3,0),"0000000",MesFeries)</f>
        <v>1</v>
      </c>
      <c r="Q5" s="11">
        <f>NETWORKDAYS.INTL(Avril!$B$3,EOMONTH(Avril!$B$3,0),"1111100")-NETWORKDAYS.INTL(Avril!$B$3,EOMONTH(Avril!$B$3,0),"1111100",MesFeries)</f>
        <v>0</v>
      </c>
    </row>
    <row r="6" spans="1:17" ht="30" customHeight="1" x14ac:dyDescent="0.3">
      <c r="A6" s="6" t="s">
        <v>50</v>
      </c>
      <c r="B6" s="11">
        <f>NETWORKDAYS.INTL(B2,B3,"1111100")</f>
        <v>104</v>
      </c>
      <c r="D6" s="6" t="s">
        <v>66</v>
      </c>
      <c r="E6" s="6">
        <v>218</v>
      </c>
      <c r="F6" s="8"/>
      <c r="G6" s="9" t="s">
        <v>25</v>
      </c>
      <c r="H6" s="4">
        <f>DATE(A1,5,1)</f>
        <v>45413</v>
      </c>
      <c r="J6" s="6" t="s">
        <v>5</v>
      </c>
      <c r="K6" s="11">
        <f>DAY(EOMONTH(Mai!$B$3,0))</f>
        <v>31</v>
      </c>
      <c r="L6" s="11">
        <f>NETWORKDAYS.INTL(Mai!$B$3,EOMONTH(Mai!$B$3,0),,MesFeries)</f>
        <v>19</v>
      </c>
      <c r="M6" s="11">
        <f>NETWORKDAYS.INTL(Mai!$B$3,EOMONTH(Mai!$B$3,0),"1111101")</f>
        <v>4</v>
      </c>
      <c r="N6" s="11">
        <f>NETWORKDAYS.INTL(Mai!$B$3,EOMONTH(Mai!$B$3,0),"1111110")</f>
        <v>4</v>
      </c>
      <c r="O6" s="11">
        <f>NETWORKDAYS.INTL(Mai!$B$3,EOMONTH(Mai!$B$3,0),"1111100")</f>
        <v>8</v>
      </c>
      <c r="P6" s="11">
        <f>DAY(EOMONTH(Mai!$B$3,0))-NETWORKDAYS.INTL(Mai!$B$3,EOMONTH(Mai!$B$3,0),"0000000",MesFeries)</f>
        <v>5</v>
      </c>
      <c r="Q6" s="11">
        <f>NETWORKDAYS.INTL(Mai!$B$3,EOMONTH(Mai!$B$3,0),"1111100")-NETWORKDAYS.INTL(Mai!$B$3,EOMONTH(Mai!$B$3,0),"1111100",MesFeries)</f>
        <v>1</v>
      </c>
    </row>
    <row r="7" spans="1:17" ht="30" customHeight="1" x14ac:dyDescent="0.3">
      <c r="A7" s="6" t="s">
        <v>52</v>
      </c>
      <c r="B7" s="6">
        <f>NETWORKDAYS.INTL(B2,B3)-NETWORKDAYS.INTL(B2,B3,,MesFeries)</f>
        <v>12</v>
      </c>
      <c r="D7" s="6" t="s">
        <v>56</v>
      </c>
      <c r="E7" s="6">
        <f>E8*12</f>
        <v>24.999999996</v>
      </c>
      <c r="F7" s="8"/>
      <c r="G7" s="9" t="s">
        <v>31</v>
      </c>
      <c r="H7" s="4">
        <f>DATE(A1,5,8)</f>
        <v>45420</v>
      </c>
      <c r="J7" s="6" t="s">
        <v>6</v>
      </c>
      <c r="K7" s="11">
        <f>DAY(EOMONTH(Juin!$B$3,0))</f>
        <v>30</v>
      </c>
      <c r="L7" s="11">
        <f>NETWORKDAYS.INTL(Juin!$B$3,EOMONTH(Juin!$B$3,0),,MesFeries)</f>
        <v>20</v>
      </c>
      <c r="M7" s="11">
        <f>NETWORKDAYS.INTL(Juin!$B$3,EOMONTH(Juin!$B$3,0),"1111101")</f>
        <v>5</v>
      </c>
      <c r="N7" s="11">
        <f>NETWORKDAYS.INTL(Juin!$B$3,EOMONTH(Juin!$B$3,0),"1111110")</f>
        <v>5</v>
      </c>
      <c r="O7" s="11">
        <f>NETWORKDAYS.INTL(Juin!$B$3,EOMONTH(Juin!$B$3,0),"1111100")</f>
        <v>10</v>
      </c>
      <c r="P7" s="11">
        <f>DAY(EOMONTH(Juin!$B$3,0))-NETWORKDAYS.INTL(Juin!$B$3,EOMONTH(Juin!$B$3,0),"0000000",MesFeries)</f>
        <v>0</v>
      </c>
      <c r="Q7" s="11">
        <f>NETWORKDAYS.INTL(Juin!$B$3,EOMONTH(Juin!$B$3,0),"1111100")-NETWORKDAYS.INTL(Juin!$B$3,EOMONTH(Juin!$B$3,0),"1111100",MesFeries)</f>
        <v>0</v>
      </c>
    </row>
    <row r="8" spans="1:17" ht="30" customHeight="1" x14ac:dyDescent="0.3">
      <c r="A8" s="6" t="s">
        <v>53</v>
      </c>
      <c r="B8" s="6">
        <f>NETWORKDAYS.INTL(B2,B3,"1111100")-NETWORKDAYS.INTL(B2,B3,"1111100",MesFeries)</f>
        <v>3</v>
      </c>
      <c r="D8" s="6" t="s">
        <v>65</v>
      </c>
      <c r="E8" s="47">
        <v>2.0833333330000001</v>
      </c>
      <c r="F8" s="8"/>
      <c r="G8" s="9" t="s">
        <v>26</v>
      </c>
      <c r="H8" s="4">
        <f>H4+39</f>
        <v>45421</v>
      </c>
      <c r="J8" s="6" t="s">
        <v>7</v>
      </c>
      <c r="K8" s="11">
        <f>DAY(EOMONTH(Juillet!$B$3,0))</f>
        <v>31</v>
      </c>
      <c r="L8" s="11">
        <f>NETWORKDAYS.INTL(Juillet!$B$3,EOMONTH(Juillet!$B$3,0),,MesFeries)</f>
        <v>23</v>
      </c>
      <c r="M8" s="11">
        <f>NETWORKDAYS.INTL(Juillet!$B$3,EOMONTH(Juillet!$B$3,0),"1111101")</f>
        <v>4</v>
      </c>
      <c r="N8" s="11">
        <f>NETWORKDAYS.INTL(Juillet!$B$3,EOMONTH(Juillet!$B$3,0),"1111110")</f>
        <v>4</v>
      </c>
      <c r="O8" s="11">
        <f>NETWORKDAYS.INTL(Juillet!$B$3,EOMONTH(Juillet!$B$3,0),"1111100")</f>
        <v>8</v>
      </c>
      <c r="P8" s="11">
        <f>DAY(EOMONTH(Juillet!$B$3,0))-NETWORKDAYS.INTL(Juillet!$B$3,EOMONTH(Juillet!$B$3,0),"0000000",MesFeries)</f>
        <v>1</v>
      </c>
      <c r="Q8" s="11">
        <f>NETWORKDAYS.INTL(Juillet!$B$3,EOMONTH(Juillet!$B$3,0),"1111100")-NETWORKDAYS.INTL(Juillet!$B$3,EOMONTH(Juillet!$B$3,0),"1111100",MesFeries)</f>
        <v>1</v>
      </c>
    </row>
    <row r="9" spans="1:17" ht="30" customHeight="1" x14ac:dyDescent="0.3">
      <c r="A9" s="65"/>
      <c r="B9" s="65"/>
      <c r="D9" s="14"/>
      <c r="F9" s="8"/>
      <c r="G9" s="9" t="s">
        <v>35</v>
      </c>
      <c r="H9" s="4">
        <f>H4+49</f>
        <v>45431</v>
      </c>
      <c r="J9" s="6" t="s">
        <v>8</v>
      </c>
      <c r="K9" s="11">
        <f>DAY(EOMONTH(Août!$B$3,0))</f>
        <v>31</v>
      </c>
      <c r="L9" s="11">
        <f>NETWORKDAYS.INTL(Août!$B$3,EOMONTH(Août!$B$3,0),,MesFeries)</f>
        <v>21</v>
      </c>
      <c r="M9" s="11">
        <f>NETWORKDAYS.INTL(Août!$B$3,EOMONTH(Août!$B$3,0),"1111101")</f>
        <v>5</v>
      </c>
      <c r="N9" s="11">
        <f>NETWORKDAYS.INTL(Août!$B$3,EOMONTH(Août!$B$3,0),"1111110")</f>
        <v>4</v>
      </c>
      <c r="O9" s="11">
        <f>NETWORKDAYS.INTL(Août!$B$3,EOMONTH(Août!$B$3,0),"1111100")</f>
        <v>9</v>
      </c>
      <c r="P9" s="11">
        <f>DAY(EOMONTH(Août!$B$3,0))-NETWORKDAYS.INTL(Août!$B$3,EOMONTH(Août!$B$3,0),"0000000",MesFeries)</f>
        <v>1</v>
      </c>
      <c r="Q9" s="11">
        <f>NETWORKDAYS.INTL(Août!$B$3,EOMONTH(Août!$B$3,0),"1111100")-NETWORKDAYS.INTL(Août!$B$3,EOMONTH(Août!$B$3,0),"1111100",MesFeries)</f>
        <v>0</v>
      </c>
    </row>
    <row r="10" spans="1:17" ht="30" customHeight="1" x14ac:dyDescent="0.3">
      <c r="A10" s="62" t="s">
        <v>54</v>
      </c>
      <c r="B10" s="62"/>
      <c r="C10" s="8"/>
      <c r="D10" s="67" t="s">
        <v>16</v>
      </c>
      <c r="E10" s="68"/>
      <c r="F10" s="8"/>
      <c r="G10" s="9" t="s">
        <v>27</v>
      </c>
      <c r="H10" s="4">
        <f>H9+1</f>
        <v>45432</v>
      </c>
      <c r="J10" s="6" t="s">
        <v>9</v>
      </c>
      <c r="K10" s="11">
        <f>DAY(EOMONTH(Septembre!$B$3,0))</f>
        <v>30</v>
      </c>
      <c r="L10" s="11">
        <f>NETWORKDAYS.INTL(Septembre!$B$3,EOMONTH(Septembre!$B$3,0),,MesFeries)</f>
        <v>21</v>
      </c>
      <c r="M10" s="11">
        <f>NETWORKDAYS.INTL(Septembre!$B$3,EOMONTH(Septembre!$B$3,0),"1111101")</f>
        <v>4</v>
      </c>
      <c r="N10" s="11">
        <f>NETWORKDAYS.INTL(Septembre!$B$3,EOMONTH(Septembre!$B$3,0),"1111110")</f>
        <v>5</v>
      </c>
      <c r="O10" s="11">
        <f>NETWORKDAYS.INTL(Septembre!$B$3,EOMONTH(Septembre!$B$3,0),"1111100")</f>
        <v>9</v>
      </c>
      <c r="P10" s="11">
        <f>DAY(EOMONTH(Septembre!$B$3,0))-NETWORKDAYS.INTL(Septembre!$B$3,EOMONTH(Septembre!$B$3,0),"0000000",MesFeries)</f>
        <v>0</v>
      </c>
      <c r="Q10" s="11">
        <f>NETWORKDAYS.INTL(Septembre!$B$3,EOMONTH(Septembre!$B$3,0),"1111100")-NETWORKDAYS.INTL(Septembre!$B$3,EOMONTH(Septembre!$B$3,0),"1111100",MesFeries)</f>
        <v>0</v>
      </c>
    </row>
    <row r="11" spans="1:17" ht="30" customHeight="1" x14ac:dyDescent="0.3">
      <c r="A11" s="6" t="s">
        <v>45</v>
      </c>
      <c r="B11" s="4">
        <v>45413</v>
      </c>
      <c r="C11" s="8"/>
      <c r="D11" s="10">
        <v>0.875</v>
      </c>
      <c r="E11" s="10">
        <v>0.25</v>
      </c>
      <c r="F11" s="8"/>
      <c r="G11" s="9" t="s">
        <v>28</v>
      </c>
      <c r="H11" s="4">
        <f>DATE(A1,7,14)</f>
        <v>45487</v>
      </c>
      <c r="J11" s="6" t="s">
        <v>10</v>
      </c>
      <c r="K11" s="11">
        <f>DAY(EOMONTH(Octobre!$B$3,0))</f>
        <v>31</v>
      </c>
      <c r="L11" s="11">
        <f>NETWORKDAYS.INTL(Octobre!$B$3,EOMONTH(Octobre!$B$3,0),,MesFeries)</f>
        <v>23</v>
      </c>
      <c r="M11" s="11">
        <f>NETWORKDAYS.INTL(Octobre!$B$3,EOMONTH(Octobre!$B$3,0),"1111101")</f>
        <v>4</v>
      </c>
      <c r="N11" s="11">
        <f>NETWORKDAYS.INTL(Octobre!$B$3,EOMONTH(Octobre!$B$3,0),"1111110")</f>
        <v>4</v>
      </c>
      <c r="O11" s="11">
        <f>NETWORKDAYS.INTL(Octobre!$B$3,EOMONTH(Octobre!$B$3,0),"1111100")</f>
        <v>8</v>
      </c>
      <c r="P11" s="11">
        <f>DAY(EOMONTH(Octobre!$B$3,0))-NETWORKDAYS.INTL(Octobre!$B$3,EOMONTH(Octobre!$B$3,0),"0000000",MesFeries)</f>
        <v>0</v>
      </c>
      <c r="Q11" s="11">
        <f>NETWORKDAYS.INTL(Octobre!$B$3,EOMONTH(Octobre!$B$3,0),"1111100")-NETWORKDAYS.INTL(Octobre!$B$3,EOMONTH(Octobre!$B$3,0),"1111100",MesFeries)</f>
        <v>0</v>
      </c>
    </row>
    <row r="12" spans="1:17" ht="30" customHeight="1" x14ac:dyDescent="0.3">
      <c r="A12" s="6" t="s">
        <v>46</v>
      </c>
      <c r="B12" s="4">
        <v>45432</v>
      </c>
      <c r="C12" s="8"/>
      <c r="F12" s="8"/>
      <c r="G12" s="9" t="s">
        <v>29</v>
      </c>
      <c r="H12" s="4">
        <f>DATE($A$1,8,15)</f>
        <v>45519</v>
      </c>
      <c r="J12" s="6" t="s">
        <v>11</v>
      </c>
      <c r="K12" s="11">
        <f>DAY(EOMONTH(Novembre!$B$3,0))</f>
        <v>30</v>
      </c>
      <c r="L12" s="11">
        <f>NETWORKDAYS.INTL(Novembre!$B$3,EOMONTH(Novembre!$B$3,0),,MesFeries)</f>
        <v>19</v>
      </c>
      <c r="M12" s="11">
        <f>NETWORKDAYS.INTL(Novembre!$B$3,EOMONTH(Novembre!$B$3,0),"1111101")</f>
        <v>5</v>
      </c>
      <c r="N12" s="11">
        <f>NETWORKDAYS.INTL(Novembre!$B$3,EOMONTH(Novembre!$B$3,0),"1111110")</f>
        <v>4</v>
      </c>
      <c r="O12" s="11">
        <f>NETWORKDAYS.INTL(Novembre!$B$3,EOMONTH(Novembre!$B$3,0),"1111100")</f>
        <v>9</v>
      </c>
      <c r="P12" s="11">
        <f>DAY(EOMONTH(Novembre!$B$3,0))-NETWORKDAYS.INTL(Novembre!$B$3,EOMONTH(Novembre!$B$3,0),"0000000",MesFeries)</f>
        <v>2</v>
      </c>
      <c r="Q12" s="11">
        <f>NETWORKDAYS.INTL(Novembre!$B$3,EOMONTH(Novembre!$B$3,0),"1111100")-NETWORKDAYS.INTL(Novembre!$B$3,EOMONTH(Novembre!$B$3,0),"1111100",MesFeries)</f>
        <v>0</v>
      </c>
    </row>
    <row r="13" spans="1:17" ht="30" customHeight="1" x14ac:dyDescent="0.3">
      <c r="A13" s="6" t="s">
        <v>55</v>
      </c>
      <c r="B13" s="11">
        <f>+B12-B11+1</f>
        <v>20</v>
      </c>
      <c r="C13" s="12"/>
      <c r="F13" s="8"/>
      <c r="G13" s="9" t="s">
        <v>30</v>
      </c>
      <c r="H13" s="4">
        <f>DATE(A1,11,1)</f>
        <v>45597</v>
      </c>
      <c r="J13" s="6" t="s">
        <v>12</v>
      </c>
      <c r="K13" s="11">
        <f>DAY(EOMONTH(Décembre!$B$3,0))</f>
        <v>31</v>
      </c>
      <c r="L13" s="11">
        <f>NETWORKDAYS.INTL(Décembre!$B$3,EOMONTH(Décembre!$B$3,0),,MesFeries)</f>
        <v>20</v>
      </c>
      <c r="M13" s="11">
        <f>NETWORKDAYS.INTL(Décembre!$B$3,EOMONTH(Décembre!$B$3,0),"1111101")</f>
        <v>4</v>
      </c>
      <c r="N13" s="11">
        <f>NETWORKDAYS.INTL(Décembre!$B$3,EOMONTH(Décembre!$B$3,0),"1111110")</f>
        <v>5</v>
      </c>
      <c r="O13" s="11">
        <f>NETWORKDAYS.INTL(Décembre!$B$3,EOMONTH(Décembre!$B$3,0),"1111100")</f>
        <v>9</v>
      </c>
      <c r="P13" s="11">
        <f>DAY(EOMONTH(Décembre!$B$3,0))-NETWORKDAYS.INTL(Décembre!$B$3,EOMONTH(Décembre!$B$3,0),"0000000",MesFeries)</f>
        <v>2</v>
      </c>
      <c r="Q13" s="11">
        <f>NETWORKDAYS.INTL(Décembre!$B$3,EOMONTH(Décembre!$B$3,0),"1111100")-NETWORKDAYS.INTL(Décembre!$B$3,EOMONTH(Décembre!$B$3,0),"1111100",MesFeries)</f>
        <v>0</v>
      </c>
    </row>
    <row r="14" spans="1:17" ht="30" customHeight="1" x14ac:dyDescent="0.3">
      <c r="A14" s="6" t="s">
        <v>51</v>
      </c>
      <c r="B14" s="6">
        <f>NETWORKDAYS.INTL(B11,B12,,MesFeries)</f>
        <v>10</v>
      </c>
      <c r="F14" s="8"/>
      <c r="G14" s="9" t="s">
        <v>32</v>
      </c>
      <c r="H14" s="4">
        <f>DATE(A1,11,11)</f>
        <v>45607</v>
      </c>
    </row>
    <row r="15" spans="1:17" ht="30" customHeight="1" x14ac:dyDescent="0.3">
      <c r="A15" s="6" t="s">
        <v>50</v>
      </c>
      <c r="B15" s="11">
        <f>NETWORKDAYS.INTL(B11,B12,"1111100")</f>
        <v>6</v>
      </c>
      <c r="F15" s="8"/>
      <c r="G15" s="9" t="s">
        <v>33</v>
      </c>
      <c r="H15" s="4">
        <f>DATE(A1,12,25)</f>
        <v>45651</v>
      </c>
    </row>
    <row r="16" spans="1:17" ht="30" customHeight="1" x14ac:dyDescent="0.3">
      <c r="A16" s="6" t="s">
        <v>52</v>
      </c>
      <c r="B16" s="11">
        <f>NETWORKDAYS.INTL(B11,B12)-NETWORKDAYS.INTL(B11,B12,,MesFeries)</f>
        <v>4</v>
      </c>
      <c r="F16" s="8"/>
      <c r="G16" s="9" t="s">
        <v>34</v>
      </c>
      <c r="H16" s="4">
        <f>H15+1</f>
        <v>45652</v>
      </c>
    </row>
    <row r="17" spans="1:6" ht="30" customHeight="1" x14ac:dyDescent="0.3">
      <c r="A17" s="6" t="s">
        <v>53</v>
      </c>
      <c r="B17" s="6">
        <f>NETWORKDAYS.INTL(B11,B12,"1111100")-NETWORKDAYS.INTL(B11,B12,"1111100",MesFeries)</f>
        <v>1</v>
      </c>
      <c r="F17" s="8"/>
    </row>
    <row r="18" spans="1:6" ht="30" customHeight="1" x14ac:dyDescent="0.3">
      <c r="A18" s="8"/>
      <c r="C18" s="8"/>
      <c r="F18" s="8"/>
    </row>
    <row r="19" spans="1:6" ht="19.95" customHeight="1" x14ac:dyDescent="0.3">
      <c r="A19" s="8" t="e">
        <f>#REF!+1</f>
        <v>#REF!</v>
      </c>
      <c r="B19" s="8"/>
      <c r="C19" s="8"/>
      <c r="D19" s="8"/>
      <c r="E19" s="8"/>
      <c r="F19" s="8"/>
    </row>
    <row r="20" spans="1:6" ht="19.95" customHeight="1" x14ac:dyDescent="0.3">
      <c r="A20" s="8" t="e">
        <f t="shared" ref="A20" si="0">A19+1</f>
        <v>#REF!</v>
      </c>
      <c r="B20" s="8"/>
      <c r="C20" s="8"/>
      <c r="D20" s="8"/>
      <c r="E20" s="8"/>
      <c r="F20" s="8"/>
    </row>
  </sheetData>
  <mergeCells count="6">
    <mergeCell ref="A10:B10"/>
    <mergeCell ref="G1:H1"/>
    <mergeCell ref="D1:E1"/>
    <mergeCell ref="A9:B9"/>
    <mergeCell ref="A1:B1"/>
    <mergeCell ref="D10:E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8"/>
  <sheetViews>
    <sheetView tabSelected="1" topLeftCell="D1" zoomScale="85" zoomScaleNormal="85" workbookViewId="0">
      <selection activeCell="N5" sqref="N5"/>
    </sheetView>
  </sheetViews>
  <sheetFormatPr baseColWidth="10" defaultColWidth="11.5546875" defaultRowHeight="30" customHeight="1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3" width="11.5546875" style="18" customWidth="1"/>
    <col min="14" max="14" width="11.5546875" style="18"/>
    <col min="15" max="15" width="19.33203125" style="18" bestFit="1" customWidth="1"/>
    <col min="16" max="16384" width="11.5546875" style="18"/>
  </cols>
  <sheetData>
    <row r="1" spans="1:17" s="16" customFormat="1" ht="30" customHeight="1" x14ac:dyDescent="0.3">
      <c r="A1" s="38"/>
      <c r="B1" s="39">
        <f>SUBTOTAL(102,Tabel1[Date])</f>
        <v>31</v>
      </c>
      <c r="C1" s="43"/>
      <c r="D1" s="56">
        <f>SUBTOTAL(102,Tabel1[Ouverture de poste])</f>
        <v>5</v>
      </c>
      <c r="E1" s="39">
        <f>SUBTOTAL(102,Tabel1[Pause entre 06:00 et 21:00])</f>
        <v>4</v>
      </c>
      <c r="F1" s="39">
        <f>SUBTOTAL(102,Tabel1[Pause entre 21:00 et 06:00])</f>
        <v>0</v>
      </c>
      <c r="G1" s="39">
        <f>SUBTOTAL(102,Tabel1[Fermeture de poste])</f>
        <v>5</v>
      </c>
      <c r="H1" s="42">
        <f>SUBTOTAL(109,Tabel1[Total Heures])</f>
        <v>1.625</v>
      </c>
      <c r="I1" s="40">
        <f>SUBTOTAL(109,Tabel1[Heures de jour])</f>
        <v>1.625</v>
      </c>
      <c r="J1" s="40">
        <f>SUBTOTAL(109,Tabel1[Heures de nuit])</f>
        <v>0</v>
      </c>
      <c r="K1" s="35">
        <f>SUBTOTAL(109,Tabel1[Total semaine])</f>
        <v>1.625</v>
      </c>
      <c r="L1" s="40">
        <f>SUBTOTAL(109,Tabel1[Heures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O2" s="26">
        <f>SUM(O3:O33)</f>
        <v>1</v>
      </c>
    </row>
    <row r="3" spans="1:17" ht="30" customHeight="1" x14ac:dyDescent="0.3">
      <c r="A3" s="19" t="str">
        <f t="shared" ref="A3:A33" si="0">""&amp;WEEKNUM(B3,2)</f>
        <v>1</v>
      </c>
      <c r="B3" s="20">
        <f>DATE(Détails!A1,1,1)</f>
        <v>45292</v>
      </c>
      <c r="C3" s="45" t="s">
        <v>14</v>
      </c>
      <c r="D3" s="21">
        <v>0.33333333333333331</v>
      </c>
      <c r="E3" s="22">
        <v>4.1666666666666664E-2</v>
      </c>
      <c r="F3" s="22"/>
      <c r="G3" s="21">
        <v>0.70833333333333337</v>
      </c>
      <c r="H3" s="23">
        <f t="shared" ref="H3:H33" si="1">IF(OR(D3&lt;&gt;"",G3&lt;&gt;""),MOD(G3-D3-F3-E3,1),"")</f>
        <v>0.33333333333333337</v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0.33333333333333337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IF(OR(WEEKDAY(Tabel1[[#This Row],[Date]],2)=7, DAY(Tabel1[[#This Row],[Date]])=DAY(EOMONTH(Tabel1[[#This Row],[Date]],0))),SUMIF(Tabel1[Semaine],Tabel1[[#This Row],[Semaine]],Tabel1[Total Heures]),0)</f>
        <v>0</v>
      </c>
      <c r="L3" s="24" t="str">
        <f>IFERROR(IF(K3&gt;Détails!E$4,K3-Détails!E$4,""),0)</f>
        <v/>
      </c>
      <c r="N3" s="60">
        <f>COUNTIFS(Tabel1[Ordre],"En poste")</f>
        <v>1</v>
      </c>
      <c r="O3" s="61">
        <f>--IF(AND(NOT(ISNA(VLOOKUP($B3,Détails!$H$2:$H$16,1,0)))),ISNUMBER(D3))</f>
        <v>1</v>
      </c>
      <c r="P3" s="25"/>
      <c r="Q3" s="25"/>
    </row>
    <row r="4" spans="1:17" ht="30" customHeight="1" x14ac:dyDescent="0.3">
      <c r="A4" s="19" t="str">
        <f t="shared" si="0"/>
        <v>1</v>
      </c>
      <c r="B4" s="20">
        <f t="shared" ref="B4:B33" si="2">B3+1</f>
        <v>45293</v>
      </c>
      <c r="C4" s="45" t="str" cm="1">
        <f t="array" ref="C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familial",IFERROR(IF(VLOOKUP($B4,Détails!$H$2:$H$16,1,0),"Férié",""),"")))))</f>
        <v/>
      </c>
      <c r="D4" s="21">
        <v>0.33333333333333331</v>
      </c>
      <c r="E4" s="22">
        <v>4.1666666666666664E-2</v>
      </c>
      <c r="F4" s="22"/>
      <c r="G4" s="21">
        <v>0.71875</v>
      </c>
      <c r="H4" s="23">
        <f t="shared" si="1"/>
        <v>0.34375</v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0.34375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IF(OR(WEEKDAY(Tabel1[[#This Row],[Date]],2)=7, DAY(Tabel1[[#This Row],[Date]])=DAY(EOMONTH(Tabel1[[#This Row],[Date]],0))),SUMIF(Tabel1[Semaine],Tabel1[[#This Row],[Semaine]],Tabel1[Total Heures]),0)</f>
        <v>0</v>
      </c>
      <c r="L4" s="24" t="str">
        <f>IFERROR(IF(K4&gt;Détails!E$4,K4-Détails!E$4,""),0)</f>
        <v/>
      </c>
      <c r="N4" s="60">
        <f>COUNTIFS(Tabel1[Ordre],"Férié")</f>
        <v>0</v>
      </c>
      <c r="O4" s="61">
        <f>--IF(AND(NOT(ISNA(VLOOKUP($B4,Détails!$H$2:$H$16,1,0)))),ISNUMBER(D4))</f>
        <v>0</v>
      </c>
    </row>
    <row r="5" spans="1:17" ht="30" customHeight="1" x14ac:dyDescent="0.3">
      <c r="A5" s="19" t="str">
        <f t="shared" si="0"/>
        <v>1</v>
      </c>
      <c r="B5" s="20">
        <f t="shared" si="2"/>
        <v>45294</v>
      </c>
      <c r="C5" s="45" t="str" cm="1">
        <f t="array" ref="C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familial",IFERROR(IF(VLOOKUP($B5,Détails!$H$2:$H$16,1,0),"Férié",""),"")))))</f>
        <v/>
      </c>
      <c r="D5" s="21">
        <v>0.33333333333333331</v>
      </c>
      <c r="E5" s="22">
        <v>5.2083333333333336E-2</v>
      </c>
      <c r="F5" s="22"/>
      <c r="G5" s="21">
        <v>0.73958333333333337</v>
      </c>
      <c r="H5" s="23">
        <f t="shared" si="1"/>
        <v>0.35416666666666674</v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0.35416666666666674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IF(OR(WEEKDAY(Tabel1[[#This Row],[Date]],2)=7, DAY(Tabel1[[#This Row],[Date]])=DAY(EOMONTH(Tabel1[[#This Row],[Date]],0))),SUMIF(Tabel1[Semaine],Tabel1[[#This Row],[Semaine]],Tabel1[Total Heures]),0)</f>
        <v>0</v>
      </c>
      <c r="L5" s="24" t="str">
        <f>IFERROR(IF(K5&gt;Détails!E$4,K5-Détails!E$4,""),0)</f>
        <v/>
      </c>
      <c r="N5" s="60">
        <f>COUNTIFS(Tabel1[Ordre],"Repos")</f>
        <v>0</v>
      </c>
      <c r="O5" s="61">
        <f>--IF(AND(NOT(ISNA(VLOOKUP($B5,Détails!$H$2:$H$16,1,0)))),ISNUMBER(D5))</f>
        <v>0</v>
      </c>
    </row>
    <row r="6" spans="1:17" ht="30" customHeight="1" x14ac:dyDescent="0.3">
      <c r="A6" s="19" t="str">
        <f t="shared" si="0"/>
        <v>1</v>
      </c>
      <c r="B6" s="20">
        <f t="shared" si="2"/>
        <v>45295</v>
      </c>
      <c r="C6" s="45" t="str" cm="1">
        <f t="array" ref="C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familial",IFERROR(IF(VLOOKUP($B6,Détails!$H$2:$H$16,1,0),"Férié",""),"")))))</f>
        <v/>
      </c>
      <c r="D6" s="21">
        <v>0.33333333333333331</v>
      </c>
      <c r="E6" s="22">
        <v>4.1666666666666664E-2</v>
      </c>
      <c r="F6" s="22"/>
      <c r="G6" s="21">
        <v>0.71875</v>
      </c>
      <c r="H6" s="23">
        <f t="shared" si="1"/>
        <v>0.34375</v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0.34375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IF(OR(WEEKDAY(Tabel1[[#This Row],[Date]],2)=7, DAY(Tabel1[[#This Row],[Date]])=DAY(EOMONTH(Tabel1[[#This Row],[Date]],0))),SUMIF(Tabel1[Semaine],Tabel1[[#This Row],[Semaine]],Tabel1[Total Heures]),0)</f>
        <v>0</v>
      </c>
      <c r="L6" s="24" t="str">
        <f>IFERROR(IF(K6&gt;Détails!E$4,K6-Détails!E$4,""),0)</f>
        <v/>
      </c>
      <c r="O6" s="61">
        <f>--IF(AND(NOT(ISNA(VLOOKUP($B6,Détails!$H$2:$H$16,1,0)))),ISNUMBER(D6))</f>
        <v>0</v>
      </c>
    </row>
    <row r="7" spans="1:17" ht="30" customHeight="1" x14ac:dyDescent="0.3">
      <c r="A7" s="19" t="str">
        <f t="shared" si="0"/>
        <v>1</v>
      </c>
      <c r="B7" s="20">
        <f t="shared" si="2"/>
        <v>45296</v>
      </c>
      <c r="C7" s="45" t="str" cm="1">
        <f t="array" ref="C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familial",IFERROR(IF(VLOOKUP($B7,Détails!$H$2:$H$16,1,0),"Férié",""),"")))))</f>
        <v/>
      </c>
      <c r="D7" s="21">
        <v>0.33333333333333331</v>
      </c>
      <c r="E7" s="22"/>
      <c r="F7" s="22"/>
      <c r="G7" s="21">
        <v>0.58333333333333337</v>
      </c>
      <c r="H7" s="23">
        <f t="shared" si="1"/>
        <v>0.25000000000000006</v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0.25000000000000006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IF(OR(WEEKDAY(Tabel1[[#This Row],[Date]],2)=7, DAY(Tabel1[[#This Row],[Date]])=DAY(EOMONTH(Tabel1[[#This Row],[Date]],0))),SUMIF(Tabel1[Semaine],Tabel1[[#This Row],[Semaine]],Tabel1[Total Heures]),0)</f>
        <v>0</v>
      </c>
      <c r="L7" s="24" t="str">
        <f>IFERROR(IF(K7&gt;Détails!E$4,K7-Détails!E$4,""),0)</f>
        <v/>
      </c>
      <c r="N7" s="25"/>
      <c r="O7" s="61">
        <f>--IF(AND(NOT(ISNA(VLOOKUP($B7,Détails!$H$2:$H$16,1,0)))),ISNUMBER(D7))</f>
        <v>0</v>
      </c>
    </row>
    <row r="8" spans="1:17" ht="30" customHeight="1" x14ac:dyDescent="0.3">
      <c r="A8" s="19" t="str">
        <f t="shared" si="0"/>
        <v>1</v>
      </c>
      <c r="B8" s="20">
        <f t="shared" si="2"/>
        <v>45297</v>
      </c>
      <c r="C8" s="45" t="str" cm="1">
        <f t="array" ref="C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IF(OR(WEEKDAY(Tabel1[[#This Row],[Date]],2)=7, DAY(Tabel1[[#This Row],[Date]])=DAY(EOMONTH(Tabel1[[#This Row],[Date]],0))),SUMIF(Tabel1[Semaine],Tabel1[[#This Row],[Semaine]],Tabel1[Total Heures]),0)</f>
        <v>0</v>
      </c>
      <c r="L8" s="24" t="str">
        <f>IFERROR(IF(K8&gt;Détails!E$4,K8-Détails!E$4,""),0)</f>
        <v/>
      </c>
      <c r="N8" s="25"/>
      <c r="O8" s="61">
        <f>--IF(AND(NOT(ISNA(VLOOKUP($B8,Détails!$H$2:$H$16,1,0)))),ISNUMBER(D8))</f>
        <v>0</v>
      </c>
    </row>
    <row r="9" spans="1:17" ht="30" customHeight="1" x14ac:dyDescent="0.3">
      <c r="A9" s="19" t="str">
        <f t="shared" si="0"/>
        <v>1</v>
      </c>
      <c r="B9" s="20">
        <f t="shared" si="2"/>
        <v>45298</v>
      </c>
      <c r="C9" s="45" t="str" cm="1">
        <f t="array" ref="C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IF(OR(WEEKDAY(Tabel1[[#This Row],[Date]],2)=7, DAY(Tabel1[[#This Row],[Date]])=DAY(EOMONTH(Tabel1[[#This Row],[Date]],0))),SUMIF(Tabel1[Semaine],Tabel1[[#This Row],[Semaine]],Tabel1[Total Heures]),0)</f>
        <v>1.625</v>
      </c>
      <c r="L9" s="41" t="str">
        <f>IFERROR(IF(K9&gt;Détails!E$4,K9-Détails!E$4,""),0)</f>
        <v/>
      </c>
      <c r="N9" s="25"/>
      <c r="O9" s="61">
        <f>--IF(AND(NOT(ISNA(VLOOKUP($B9,Détails!$H$2:$H$16,1,0)))),ISNUMBER(D9))</f>
        <v>0</v>
      </c>
    </row>
    <row r="10" spans="1:17" ht="30" customHeight="1" x14ac:dyDescent="0.3">
      <c r="A10" s="19" t="str">
        <f t="shared" si="0"/>
        <v>2</v>
      </c>
      <c r="B10" s="20">
        <f t="shared" si="2"/>
        <v>45299</v>
      </c>
      <c r="C10" s="45" t="str" cm="1">
        <f t="array" ref="C1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IF(OR(WEEKDAY(Tabel1[[#This Row],[Date]],2)=7, DAY(Tabel1[[#This Row],[Date]])=DAY(EOMONTH(Tabel1[[#This Row],[Date]],0))),SUMIF(Tabel1[Semaine],Tabel1[[#This Row],[Semaine]],Tabel1[Total Heures]),0)</f>
        <v>0</v>
      </c>
      <c r="L10" s="24" t="str">
        <f>IFERROR(IF(K10&gt;Détails!E$4,K10-Détails!E$4,""),0)</f>
        <v/>
      </c>
      <c r="N10" s="25"/>
      <c r="O10" s="61">
        <f>--IF(AND(NOT(ISNA(VLOOKUP($B10,Détails!$H$2:$H$16,1,0)))),ISNUMBER(D10))</f>
        <v>0</v>
      </c>
    </row>
    <row r="11" spans="1:17" ht="30" customHeight="1" x14ac:dyDescent="0.3">
      <c r="A11" s="19" t="str">
        <f t="shared" si="0"/>
        <v>2</v>
      </c>
      <c r="B11" s="20">
        <f t="shared" si="2"/>
        <v>45300</v>
      </c>
      <c r="C11" s="45" t="str" cm="1">
        <f t="array" ref="C1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IF(OR(WEEKDAY(Tabel1[[#This Row],[Date]],2)=7, DAY(Tabel1[[#This Row],[Date]])=DAY(EOMONTH(Tabel1[[#This Row],[Date]],0))),SUMIF(Tabel1[Semaine],Tabel1[[#This Row],[Semaine]],Tabel1[Total Heures]),0)</f>
        <v>0</v>
      </c>
      <c r="L11" s="24" t="str">
        <f>IFERROR(IF(K11&gt;Détails!E$4,K11-Détails!E$4,""),0)</f>
        <v/>
      </c>
      <c r="N11" s="25"/>
      <c r="O11" s="61">
        <f>--IF(AND(NOT(ISNA(VLOOKUP($B11,Détails!$H$2:$H$16,1,0)))),ISNUMBER(D11))</f>
        <v>0</v>
      </c>
    </row>
    <row r="12" spans="1:17" ht="30" customHeight="1" x14ac:dyDescent="0.3">
      <c r="A12" s="19" t="str">
        <f t="shared" si="0"/>
        <v>2</v>
      </c>
      <c r="B12" s="20">
        <f t="shared" si="2"/>
        <v>45301</v>
      </c>
      <c r="C12" s="45" t="str" cm="1">
        <f t="array" ref="C1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IF(OR(WEEKDAY(Tabel1[[#This Row],[Date]],2)=7, DAY(Tabel1[[#This Row],[Date]])=DAY(EOMONTH(Tabel1[[#This Row],[Date]],0))),SUMIF(Tabel1[Semaine],Tabel1[[#This Row],[Semaine]],Tabel1[Total Heures]),0)</f>
        <v>0</v>
      </c>
      <c r="L12" s="24" t="str">
        <f>IFERROR(IF(K12&gt;Détails!E$4,K12-Détails!E$4,""),0)</f>
        <v/>
      </c>
      <c r="N12" s="25"/>
      <c r="O12" s="61">
        <f>--IF(AND(NOT(ISNA(VLOOKUP($B12,Détails!$H$2:$H$16,1,0)))),ISNUMBER(D12))</f>
        <v>0</v>
      </c>
    </row>
    <row r="13" spans="1:17" ht="30" customHeight="1" x14ac:dyDescent="0.3">
      <c r="A13" s="19" t="str">
        <f t="shared" si="0"/>
        <v>2</v>
      </c>
      <c r="B13" s="20">
        <f t="shared" si="2"/>
        <v>45302</v>
      </c>
      <c r="C13" s="45" t="str" cm="1">
        <f t="array" ref="C1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IF(OR(WEEKDAY(Tabel1[[#This Row],[Date]],2)=7, DAY(Tabel1[[#This Row],[Date]])=DAY(EOMONTH(Tabel1[[#This Row],[Date]],0))),SUMIF(Tabel1[Semaine],Tabel1[[#This Row],[Semaine]],Tabel1[Total Heures]),0)</f>
        <v>0</v>
      </c>
      <c r="L13" s="24" t="str">
        <f>IFERROR(IF(K13&gt;Détails!E$4,K13-Détails!E$4,""),0)</f>
        <v/>
      </c>
      <c r="N13" s="25"/>
      <c r="O13" s="61">
        <f>--IF(AND(NOT(ISNA(VLOOKUP($B13,Détails!$H$2:$H$16,1,0)))),ISNUMBER(D13))</f>
        <v>0</v>
      </c>
    </row>
    <row r="14" spans="1:17" ht="30" customHeight="1" x14ac:dyDescent="0.3">
      <c r="A14" s="19" t="str">
        <f t="shared" si="0"/>
        <v>2</v>
      </c>
      <c r="B14" s="20">
        <f t="shared" si="2"/>
        <v>45303</v>
      </c>
      <c r="C14" s="45" t="str" cm="1">
        <f t="array" ref="C1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IF(OR(WEEKDAY(Tabel1[[#This Row],[Date]],2)=7, DAY(Tabel1[[#This Row],[Date]])=DAY(EOMONTH(Tabel1[[#This Row],[Date]],0))),SUMIF(Tabel1[Semaine],Tabel1[[#This Row],[Semaine]],Tabel1[Total Heures]),0)</f>
        <v>0</v>
      </c>
      <c r="L14" s="24" t="str">
        <f>IFERROR(IF(K14&gt;Détails!E$4,K14-Détails!E$4,""),0)</f>
        <v/>
      </c>
      <c r="N14" s="25"/>
      <c r="O14" s="61">
        <f>--IF(AND(NOT(ISNA(VLOOKUP($B14,Détails!$H$2:$H$16,1,0)))),ISNUMBER(D14))</f>
        <v>0</v>
      </c>
    </row>
    <row r="15" spans="1:17" ht="30" customHeight="1" x14ac:dyDescent="0.3">
      <c r="A15" s="19" t="str">
        <f t="shared" si="0"/>
        <v>2</v>
      </c>
      <c r="B15" s="20">
        <f t="shared" si="2"/>
        <v>45304</v>
      </c>
      <c r="C15" s="45" t="str" cm="1">
        <f t="array" ref="C1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IF(OR(WEEKDAY(Tabel1[[#This Row],[Date]],2)=7, DAY(Tabel1[[#This Row],[Date]])=DAY(EOMONTH(Tabel1[[#This Row],[Date]],0))),SUMIF(Tabel1[Semaine],Tabel1[[#This Row],[Semaine]],Tabel1[Total Heures]),0)</f>
        <v>0</v>
      </c>
      <c r="L15" s="24" t="str">
        <f>IFERROR(IF(K15&gt;Détails!E$4,K15-Détails!E$4,""),0)</f>
        <v/>
      </c>
      <c r="N15" s="25"/>
      <c r="O15" s="61">
        <f>--IF(AND(NOT(ISNA(VLOOKUP($B15,Détails!$H$2:$H$16,1,0)))),ISNUMBER(D15))</f>
        <v>0</v>
      </c>
    </row>
    <row r="16" spans="1:17" ht="30" customHeight="1" x14ac:dyDescent="0.3">
      <c r="A16" s="19" t="str">
        <f t="shared" si="0"/>
        <v>2</v>
      </c>
      <c r="B16" s="20">
        <f t="shared" si="2"/>
        <v>45305</v>
      </c>
      <c r="C16" s="45" t="str" cm="1">
        <f t="array" ref="C1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IF(OR(WEEKDAY(Tabel1[[#This Row],[Date]],2)=7, DAY(Tabel1[[#This Row],[Date]])=DAY(EOMONTH(Tabel1[[#This Row],[Date]],0))),SUMIF(Tabel1[Semaine],Tabel1[[#This Row],[Semaine]],Tabel1[Total Heures]),0)</f>
        <v>0</v>
      </c>
      <c r="L16" s="24" t="str">
        <f>IFERROR(IF(K16&gt;Détails!E$4,K16-Détails!E$4,""),0)</f>
        <v/>
      </c>
      <c r="N16" s="25"/>
      <c r="O16" s="61">
        <f>--IF(AND(NOT(ISNA(VLOOKUP($B16,Détails!$H$2:$H$16,1,0)))),ISNUMBER(D16))</f>
        <v>0</v>
      </c>
    </row>
    <row r="17" spans="1:15" ht="30" customHeight="1" x14ac:dyDescent="0.3">
      <c r="A17" s="19" t="str">
        <f t="shared" si="0"/>
        <v>3</v>
      </c>
      <c r="B17" s="20">
        <f t="shared" si="2"/>
        <v>45306</v>
      </c>
      <c r="C17" s="45" t="str" cm="1">
        <f t="array" ref="C1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IF(OR(WEEKDAY(Tabel1[[#This Row],[Date]],2)=7, DAY(Tabel1[[#This Row],[Date]])=DAY(EOMONTH(Tabel1[[#This Row],[Date]],0))),SUMIF(Tabel1[Semaine],Tabel1[[#This Row],[Semaine]],Tabel1[Total Heures]),0)</f>
        <v>0</v>
      </c>
      <c r="L17" s="24" t="str">
        <f>IFERROR(IF(K17&gt;Détails!E$4,K17-Détails!E$4,""),0)</f>
        <v/>
      </c>
      <c r="N17" s="25"/>
      <c r="O17" s="61">
        <f>--IF(AND(NOT(ISNA(VLOOKUP($B17,Détails!$H$2:$H$16,1,0)))),ISNUMBER(D17))</f>
        <v>0</v>
      </c>
    </row>
    <row r="18" spans="1:15" ht="30" customHeight="1" x14ac:dyDescent="0.3">
      <c r="A18" s="19" t="str">
        <f t="shared" si="0"/>
        <v>3</v>
      </c>
      <c r="B18" s="20">
        <f t="shared" si="2"/>
        <v>45307</v>
      </c>
      <c r="C18" s="45" t="str" cm="1">
        <f t="array" ref="C1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IF(OR(WEEKDAY(Tabel1[[#This Row],[Date]],2)=7, DAY(Tabel1[[#This Row],[Date]])=DAY(EOMONTH(Tabel1[[#This Row],[Date]],0))),SUMIF(Tabel1[Semaine],Tabel1[[#This Row],[Semaine]],Tabel1[Total Heures]),0)</f>
        <v>0</v>
      </c>
      <c r="L18" s="24" t="str">
        <f>IFERROR(IF(K18&gt;Détails!E$4,K18-Détails!E$4,""),0)</f>
        <v/>
      </c>
      <c r="N18" s="25"/>
      <c r="O18" s="61">
        <f>--IF(AND(NOT(ISNA(VLOOKUP($B18,Détails!$H$2:$H$16,1,0)))),ISNUMBER(D18))</f>
        <v>0</v>
      </c>
    </row>
    <row r="19" spans="1:15" ht="30" customHeight="1" x14ac:dyDescent="0.3">
      <c r="A19" s="19" t="str">
        <f t="shared" si="0"/>
        <v>3</v>
      </c>
      <c r="B19" s="20">
        <f t="shared" si="2"/>
        <v>45308</v>
      </c>
      <c r="C19" s="45" t="str" cm="1">
        <f t="array" ref="C1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IF(OR(WEEKDAY(Tabel1[[#This Row],[Date]],2)=7, DAY(Tabel1[[#This Row],[Date]])=DAY(EOMONTH(Tabel1[[#This Row],[Date]],0))),SUMIF(Tabel1[Semaine],Tabel1[[#This Row],[Semaine]],Tabel1[Total Heures]),0)</f>
        <v>0</v>
      </c>
      <c r="L19" s="24" t="str">
        <f>IFERROR(IF(K19&gt;Détails!E$4,K19-Détails!E$4,""),0)</f>
        <v/>
      </c>
      <c r="N19" s="25"/>
      <c r="O19" s="61">
        <f>--IF(AND(NOT(ISNA(VLOOKUP($B19,Détails!$H$2:$H$16,1,0)))),ISNUMBER(D19))</f>
        <v>0</v>
      </c>
    </row>
    <row r="20" spans="1:15" ht="30" customHeight="1" x14ac:dyDescent="0.3">
      <c r="A20" s="19" t="str">
        <f t="shared" si="0"/>
        <v>3</v>
      </c>
      <c r="B20" s="20">
        <f t="shared" si="2"/>
        <v>45309</v>
      </c>
      <c r="C20" s="45" t="str" cm="1">
        <f t="array" ref="C2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IF(OR(WEEKDAY(Tabel1[[#This Row],[Date]],2)=7, DAY(Tabel1[[#This Row],[Date]])=DAY(EOMONTH(Tabel1[[#This Row],[Date]],0))),SUMIF(Tabel1[Semaine],Tabel1[[#This Row],[Semaine]],Tabel1[Total Heures]),0)</f>
        <v>0</v>
      </c>
      <c r="L20" s="24" t="str">
        <f>IFERROR(IF(K20&gt;Détails!E$4,K20-Détails!E$4,""),0)</f>
        <v/>
      </c>
      <c r="N20" s="25"/>
      <c r="O20" s="61">
        <f>--IF(AND(NOT(ISNA(VLOOKUP($B20,Détails!$H$2:$H$16,1,0)))),ISNUMBER(D20))</f>
        <v>0</v>
      </c>
    </row>
    <row r="21" spans="1:15" ht="30" customHeight="1" x14ac:dyDescent="0.3">
      <c r="A21" s="19" t="str">
        <f t="shared" si="0"/>
        <v>3</v>
      </c>
      <c r="B21" s="20">
        <f t="shared" si="2"/>
        <v>45310</v>
      </c>
      <c r="C21" s="45" t="str" cm="1">
        <f t="array" ref="C2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IF(OR(WEEKDAY(Tabel1[[#This Row],[Date]],2)=7, DAY(Tabel1[[#This Row],[Date]])=DAY(EOMONTH(Tabel1[[#This Row],[Date]],0))),SUMIF(Tabel1[Semaine],Tabel1[[#This Row],[Semaine]],Tabel1[Total Heures]),0)</f>
        <v>0</v>
      </c>
      <c r="L21" s="24" t="str">
        <f>IFERROR(IF(K21&gt;Détails!E$4,K21-Détails!E$4,""),0)</f>
        <v/>
      </c>
      <c r="N21" s="25"/>
      <c r="O21" s="61">
        <f>--IF(AND(NOT(ISNA(VLOOKUP($B21,Détails!$H$2:$H$16,1,0)))),ISNUMBER(D21))</f>
        <v>0</v>
      </c>
    </row>
    <row r="22" spans="1:15" ht="30" customHeight="1" x14ac:dyDescent="0.3">
      <c r="A22" s="19" t="str">
        <f t="shared" si="0"/>
        <v>3</v>
      </c>
      <c r="B22" s="20">
        <f t="shared" si="2"/>
        <v>45311</v>
      </c>
      <c r="C22" s="45" t="str" cm="1">
        <f t="array" ref="C2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IF(OR(WEEKDAY(Tabel1[[#This Row],[Date]],2)=7, DAY(Tabel1[[#This Row],[Date]])=DAY(EOMONTH(Tabel1[[#This Row],[Date]],0))),SUMIF(Tabel1[Semaine],Tabel1[[#This Row],[Semaine]],Tabel1[Total Heures]),0)</f>
        <v>0</v>
      </c>
      <c r="L22" s="24" t="str">
        <f>IFERROR(IF(K22&gt;Détails!E$4,K22-Détails!E$4,""),0)</f>
        <v/>
      </c>
      <c r="N22" s="25"/>
      <c r="O22" s="61">
        <f>--IF(AND(NOT(ISNA(VLOOKUP($B22,Détails!$H$2:$H$16,1,0)))),ISNUMBER(D22))</f>
        <v>0</v>
      </c>
    </row>
    <row r="23" spans="1:15" ht="30" customHeight="1" x14ac:dyDescent="0.3">
      <c r="A23" s="19" t="str">
        <f t="shared" si="0"/>
        <v>3</v>
      </c>
      <c r="B23" s="20">
        <f t="shared" si="2"/>
        <v>45312</v>
      </c>
      <c r="C23" s="45" t="str" cm="1">
        <f t="array" ref="C2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IF(OR(WEEKDAY(Tabel1[[#This Row],[Date]],2)=7, DAY(Tabel1[[#This Row],[Date]])=DAY(EOMONTH(Tabel1[[#This Row],[Date]],0))),SUMIF(Tabel1[Semaine],Tabel1[[#This Row],[Semaine]],Tabel1[Total Heures]),0)</f>
        <v>0</v>
      </c>
      <c r="L23" s="24" t="str">
        <f>IFERROR(IF(K23&gt;Détails!E$4,K23-Détails!E$4,""),0)</f>
        <v/>
      </c>
      <c r="O23" s="61">
        <f>--IF(AND(NOT(ISNA(VLOOKUP($B23,Détails!$H$2:$H$16,1,0)))),ISNUMBER(D23))</f>
        <v>0</v>
      </c>
    </row>
    <row r="24" spans="1:15" ht="30" customHeight="1" x14ac:dyDescent="0.3">
      <c r="A24" s="19" t="str">
        <f t="shared" si="0"/>
        <v>4</v>
      </c>
      <c r="B24" s="20">
        <f t="shared" si="2"/>
        <v>45313</v>
      </c>
      <c r="C24" s="45" t="str" cm="1">
        <f t="array" ref="C2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IF(OR(WEEKDAY(Tabel1[[#This Row],[Date]],2)=7, DAY(Tabel1[[#This Row],[Date]])=DAY(EOMONTH(Tabel1[[#This Row],[Date]],0))),SUMIF(Tabel1[Semaine],Tabel1[[#This Row],[Semaine]],Tabel1[Total Heures]),0)</f>
        <v>0</v>
      </c>
      <c r="L24" s="24" t="str">
        <f>IFERROR(IF(K24&gt;Détails!E$4,K24-Détails!E$4,""),0)</f>
        <v/>
      </c>
      <c r="O24" s="61">
        <f>--IF(AND(NOT(ISNA(VLOOKUP($B24,Détails!$H$2:$H$16,1,0)))),ISNUMBER(D24))</f>
        <v>0</v>
      </c>
    </row>
    <row r="25" spans="1:15" ht="30" customHeight="1" x14ac:dyDescent="0.3">
      <c r="A25" s="19" t="str">
        <f t="shared" si="0"/>
        <v>4</v>
      </c>
      <c r="B25" s="20">
        <f t="shared" si="2"/>
        <v>45314</v>
      </c>
      <c r="C25" s="45" t="str" cm="1">
        <f t="array" ref="C2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IF(OR(WEEKDAY(Tabel1[[#This Row],[Date]],2)=7, DAY(Tabel1[[#This Row],[Date]])=DAY(EOMONTH(Tabel1[[#This Row],[Date]],0))),SUMIF(Tabel1[Semaine],Tabel1[[#This Row],[Semaine]],Tabel1[Total Heures]),0)</f>
        <v>0</v>
      </c>
      <c r="L25" s="24" t="str">
        <f>IFERROR(IF(K25&gt;Détails!E$4,K25-Détails!E$4,""),0)</f>
        <v/>
      </c>
      <c r="O25" s="61">
        <f>--IF(AND(NOT(ISNA(VLOOKUP($B25,Détails!$H$2:$H$16,1,0)))),ISNUMBER(D25))</f>
        <v>0</v>
      </c>
    </row>
    <row r="26" spans="1:15" ht="30" customHeight="1" x14ac:dyDescent="0.3">
      <c r="A26" s="19" t="str">
        <f t="shared" si="0"/>
        <v>4</v>
      </c>
      <c r="B26" s="20">
        <f t="shared" si="2"/>
        <v>45315</v>
      </c>
      <c r="C26" s="45" t="str" cm="1">
        <f t="array" ref="C2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IF(OR(WEEKDAY(Tabel1[[#This Row],[Date]],2)=7, DAY(Tabel1[[#This Row],[Date]])=DAY(EOMONTH(Tabel1[[#This Row],[Date]],0))),SUMIF(Tabel1[Semaine],Tabel1[[#This Row],[Semaine]],Tabel1[Total Heures]),0)</f>
        <v>0</v>
      </c>
      <c r="L26" s="24" t="str">
        <f>IFERROR(IF(K26&gt;Détails!E$4,K26-Détails!E$4,""),0)</f>
        <v/>
      </c>
      <c r="O26" s="61">
        <f>--IF(AND(NOT(ISNA(VLOOKUP($B26,Détails!$H$2:$H$16,1,0)))),ISNUMBER(D26))</f>
        <v>0</v>
      </c>
    </row>
    <row r="27" spans="1:15" ht="30" customHeight="1" x14ac:dyDescent="0.3">
      <c r="A27" s="19" t="str">
        <f t="shared" si="0"/>
        <v>4</v>
      </c>
      <c r="B27" s="20">
        <f t="shared" si="2"/>
        <v>45316</v>
      </c>
      <c r="C27" s="45" t="str" cm="1">
        <f t="array" ref="C2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IF(OR(WEEKDAY(Tabel1[[#This Row],[Date]],2)=7, DAY(Tabel1[[#This Row],[Date]])=DAY(EOMONTH(Tabel1[[#This Row],[Date]],0))),SUMIF(Tabel1[Semaine],Tabel1[[#This Row],[Semaine]],Tabel1[Total Heures]),0)</f>
        <v>0</v>
      </c>
      <c r="L27" s="24" t="str">
        <f>IFERROR(IF(K27&gt;Détails!E$4,K27-Détails!E$4,""),0)</f>
        <v/>
      </c>
      <c r="O27" s="61">
        <f>--IF(AND(NOT(ISNA(VLOOKUP($B27,Détails!$H$2:$H$16,1,0)))),ISNUMBER(D27))</f>
        <v>0</v>
      </c>
    </row>
    <row r="28" spans="1:15" ht="30" customHeight="1" x14ac:dyDescent="0.3">
      <c r="A28" s="19" t="str">
        <f t="shared" si="0"/>
        <v>4</v>
      </c>
      <c r="B28" s="20">
        <f t="shared" si="2"/>
        <v>45317</v>
      </c>
      <c r="C28" s="45" t="str" cm="1">
        <f t="array" ref="C2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IF(OR(WEEKDAY(Tabel1[[#This Row],[Date]],2)=7, DAY(Tabel1[[#This Row],[Date]])=DAY(EOMONTH(Tabel1[[#This Row],[Date]],0))),SUMIF(Tabel1[Semaine],Tabel1[[#This Row],[Semaine]],Tabel1[Total Heures]),0)</f>
        <v>0</v>
      </c>
      <c r="L28" s="24" t="str">
        <f>IFERROR(IF(K28&gt;Détails!E$4,K28-Détails!E$4,""),0)</f>
        <v/>
      </c>
      <c r="O28" s="61">
        <f>--IF(AND(NOT(ISNA(VLOOKUP($B28,Détails!$H$2:$H$16,1,0)))),ISNUMBER(D28))</f>
        <v>0</v>
      </c>
    </row>
    <row r="29" spans="1:15" ht="30" customHeight="1" x14ac:dyDescent="0.3">
      <c r="A29" s="19" t="str">
        <f t="shared" si="0"/>
        <v>4</v>
      </c>
      <c r="B29" s="20">
        <f t="shared" si="2"/>
        <v>45318</v>
      </c>
      <c r="C29" s="45" t="str" cm="1">
        <f t="array" ref="C2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IF(OR(WEEKDAY(Tabel1[[#This Row],[Date]],2)=7, DAY(Tabel1[[#This Row],[Date]])=DAY(EOMONTH(Tabel1[[#This Row],[Date]],0))),SUMIF(Tabel1[Semaine],Tabel1[[#This Row],[Semaine]],Tabel1[Total Heures]),0)</f>
        <v>0</v>
      </c>
      <c r="L29" s="24" t="str">
        <f>IFERROR(IF(K29&gt;Détails!E$4,K29-Détails!E$4,""),0)</f>
        <v/>
      </c>
      <c r="O29" s="61">
        <f>--IF(AND(NOT(ISNA(VLOOKUP($B29,Détails!$H$2:$H$16,1,0)))),ISNUMBER(D29))</f>
        <v>0</v>
      </c>
    </row>
    <row r="30" spans="1:15" ht="30" customHeight="1" x14ac:dyDescent="0.3">
      <c r="A30" s="19" t="str">
        <f t="shared" si="0"/>
        <v>4</v>
      </c>
      <c r="B30" s="20">
        <f t="shared" si="2"/>
        <v>45319</v>
      </c>
      <c r="C30" s="45" t="str" cm="1">
        <f t="array" ref="C3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IF(OR(WEEKDAY(Tabel1[[#This Row],[Date]],2)=7, DAY(Tabel1[[#This Row],[Date]])=DAY(EOMONTH(Tabel1[[#This Row],[Date]],0))),SUMIF(Tabel1[Semaine],Tabel1[[#This Row],[Semaine]],Tabel1[Total Heures]),0)</f>
        <v>0</v>
      </c>
      <c r="L30" s="24" t="str">
        <f>IFERROR(IF(K30&gt;Détails!E$4,K30-Détails!E$4,""),0)</f>
        <v/>
      </c>
      <c r="O30" s="61">
        <f>--IF(AND(NOT(ISNA(VLOOKUP($B30,Détails!$H$2:$H$16,1,0)))),ISNUMBER(D30))</f>
        <v>0</v>
      </c>
    </row>
    <row r="31" spans="1:15" ht="30" customHeight="1" x14ac:dyDescent="0.3">
      <c r="A31" s="19" t="str">
        <f t="shared" si="0"/>
        <v>5</v>
      </c>
      <c r="B31" s="20">
        <f t="shared" si="2"/>
        <v>45320</v>
      </c>
      <c r="C31" s="45" t="str" cm="1">
        <f t="array" ref="C3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IF(OR(WEEKDAY(Tabel1[[#This Row],[Date]],2)=7, DAY(Tabel1[[#This Row],[Date]])=DAY(EOMONTH(Tabel1[[#This Row],[Date]],0))),SUMIF(Tabel1[Semaine],Tabel1[[#This Row],[Semaine]],Tabel1[Total Heures]),0)</f>
        <v>0</v>
      </c>
      <c r="L31" s="24" t="str">
        <f>IFERROR(IF(K31&gt;Détails!E$4,K31-Détails!E$4,""),0)</f>
        <v/>
      </c>
      <c r="O31" s="61">
        <f>--IF(AND(NOT(ISNA(VLOOKUP($B31,Détails!$H$2:$H$16,1,0)))),ISNUMBER(D31))</f>
        <v>0</v>
      </c>
    </row>
    <row r="32" spans="1:15" ht="30" customHeight="1" x14ac:dyDescent="0.3">
      <c r="A32" s="19" t="str">
        <f t="shared" si="0"/>
        <v>5</v>
      </c>
      <c r="B32" s="20">
        <f t="shared" si="2"/>
        <v>45321</v>
      </c>
      <c r="C32" s="45" t="str" cm="1">
        <f t="array" ref="C3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IF(OR(WEEKDAY(Tabel1[[#This Row],[Date]],2)=7, DAY(Tabel1[[#This Row],[Date]])=DAY(EOMONTH(Tabel1[[#This Row],[Date]],0))),SUMIF(Tabel1[Semaine],Tabel1[[#This Row],[Semaine]],Tabel1[Total Heures]),0)</f>
        <v>0</v>
      </c>
      <c r="L32" s="24" t="str">
        <f>IFERROR(IF(K32&gt;Détails!E$4,K32-Détails!E$4,""),0)</f>
        <v/>
      </c>
      <c r="O32" s="61">
        <f>--IF(AND(NOT(ISNA(VLOOKUP($B32,Détails!$H$2:$H$16,1,0)))),ISNUMBER(D32))</f>
        <v>0</v>
      </c>
    </row>
    <row r="33" spans="1:15" ht="30" customHeight="1" x14ac:dyDescent="0.3">
      <c r="A33" s="19" t="str">
        <f t="shared" si="0"/>
        <v>5</v>
      </c>
      <c r="B33" s="20">
        <f t="shared" si="2"/>
        <v>45322</v>
      </c>
      <c r="C33" s="45" t="str" cm="1">
        <f t="array" ref="C3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IF(OR(WEEKDAY(Tabel1[[#This Row],[Date]],2)=7, DAY(Tabel1[[#This Row],[Date]])=DAY(EOMONTH(Tabel1[[#This Row],[Date]],0))),SUMIF(Tabel1[Semaine],Tabel1[[#This Row],[Semaine]],Tabel1[Total Heures]),0)</f>
        <v>0</v>
      </c>
      <c r="L33" s="24" t="str">
        <f>IFERROR(IF(K33&gt;Détails!E$4,K33-Détails!E$4,""),0)</f>
        <v/>
      </c>
      <c r="O33" s="61">
        <f>--IF(AND(NOT(ISNA(VLOOKUP($B33,Détails!$H$2:$H$16,1,0)))),ISNUMBER(D33))</f>
        <v>0</v>
      </c>
    </row>
    <row r="38" spans="1:15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47" priority="2">
      <formula>OR($C3="Arrêt maladie",$C3="Accident du travail")</formula>
    </cfRule>
    <cfRule type="expression" dxfId="46" priority="3">
      <formula>OR($C3="Congé",$C3="Congé pour évènement familial")</formula>
    </cfRule>
    <cfRule type="expression" dxfId="44" priority="10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4DA6ADA2-7745-44DB-B05B-B41EC8257AEE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F0F41C9D-006E-4EF1-9DAF-34F1438D82EE}">
          <x14:formula1>
            <xm:f>#REF!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38"/>
  <sheetViews>
    <sheetView zoomScale="85" zoomScaleNormal="85" workbookViewId="0">
      <selection activeCell="D5" sqref="D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SUBTOTAL(102,Tabel14[Date])</f>
        <v>31</v>
      </c>
      <c r="C1" s="43"/>
      <c r="D1" s="56">
        <f>SUBTOTAL(102,Tabel14[Ouverture de poste])</f>
        <v>0</v>
      </c>
      <c r="E1" s="39">
        <f>SUBTOTAL(102,Tabel14[Pause entre 06:00 et 21:00])</f>
        <v>0</v>
      </c>
      <c r="F1" s="39">
        <f>SUBTOTAL(102,Tabel14[Pause entre 21:00 et 06:00])</f>
        <v>0</v>
      </c>
      <c r="G1" s="39">
        <f>SUBTOTAL(102,Tabel14[Fermeture de poste])</f>
        <v>0</v>
      </c>
      <c r="H1" s="42">
        <f>SUBTOTAL(109,Tabel14[Total Heures])</f>
        <v>0</v>
      </c>
      <c r="I1" s="40">
        <f>SUBTOTAL(109,Tabel14[Heures de jour])</f>
        <v>0</v>
      </c>
      <c r="J1" s="40">
        <f>SUBTOTAL(109,Tabel14[Heures de nuit])</f>
        <v>0</v>
      </c>
      <c r="K1" s="35">
        <f>SUBTOTAL(109,Tabel14[Total semaine])</f>
        <v>0</v>
      </c>
      <c r="L1" s="40">
        <f>SUBTOTAL(109,Tabel14[Heures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5</v>
      </c>
      <c r="B3" s="20">
        <f>DATE(Détails!A1,2,1)</f>
        <v>45323</v>
      </c>
      <c r="C3" s="45" t="str" cm="1">
        <f t="array" ref="C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IF(OR(WEEKDAY(Tabel14[[#This Row],[Date]],2)=7, DAY(Tabel14[[#This Row],[Date]])=DAY(EOMONTH(Tabel14[[#This Row],[Date]],0))),SUMIF(Tabel14[Semaine],Tabel14[[#This Row],[Semaine]],Tabel14[Total Heures]),0)</f>
        <v>0</v>
      </c>
      <c r="L3" s="24" t="str">
        <f>IFERROR(IF(K3&gt;Détails!E$4,K3-Détails!E$4,""),0)</f>
        <v/>
      </c>
      <c r="N3" s="57">
        <f>COUNTIFS(Tabel14[Ordre],"En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5</v>
      </c>
      <c r="B4" s="20">
        <f t="shared" ref="B4:B33" si="2">B3+1</f>
        <v>45324</v>
      </c>
      <c r="C4" s="45" t="str" cm="1">
        <f t="array" ref="C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IF(OR(WEEKDAY(Tabel14[[#This Row],[Date]],2)=7, DAY(Tabel14[[#This Row],[Date]])=DAY(EOMONTH(Tabel14[[#This Row],[Date]],0))),SUMIF(Tabel14[Semaine],Tabel14[[#This Row],[Semaine]],Tabel14[Total Heures]),0)</f>
        <v>0</v>
      </c>
      <c r="L4" s="24" t="str">
        <f>IFERROR(IF(K4&gt;Détails!E$4,K4-Détails!E$4,""),0)</f>
        <v/>
      </c>
      <c r="N4" s="57">
        <f>COUNTIFS(Tabel14[Ordre],"Férié")</f>
        <v>0</v>
      </c>
    </row>
    <row r="5" spans="1:17" ht="30" customHeight="1" x14ac:dyDescent="0.3">
      <c r="A5" s="19" t="str">
        <f t="shared" si="0"/>
        <v>5</v>
      </c>
      <c r="B5" s="20">
        <f t="shared" si="2"/>
        <v>45325</v>
      </c>
      <c r="C5" s="45" t="str" cm="1">
        <f t="array" ref="C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IF(OR(WEEKDAY(Tabel14[[#This Row],[Date]],2)=7, DAY(Tabel14[[#This Row],[Date]])=DAY(EOMONTH(Tabel14[[#This Row],[Date]],0))),SUMIF(Tabel14[Semaine],Tabel14[[#This Row],[Semaine]],Tabel14[Total Heures]),0)</f>
        <v>0</v>
      </c>
      <c r="L5" s="24" t="str">
        <f>IFERROR(IF(K5&gt;Détails!E$4,K5-Détails!E$4,""),0)</f>
        <v/>
      </c>
      <c r="N5" s="57">
        <f>COUNTIFS(Tabel14[Ordre],"Repos")</f>
        <v>0</v>
      </c>
    </row>
    <row r="6" spans="1:17" ht="30" customHeight="1" x14ac:dyDescent="0.3">
      <c r="A6" s="19" t="str">
        <f t="shared" si="0"/>
        <v>5</v>
      </c>
      <c r="B6" s="20">
        <f t="shared" si="2"/>
        <v>45326</v>
      </c>
      <c r="C6" s="45" t="str" cm="1">
        <f t="array" ref="C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IF(OR(WEEKDAY(Tabel14[[#This Row],[Date]],2)=7, DAY(Tabel14[[#This Row],[Date]])=DAY(EOMONTH(Tabel14[[#This Row],[Date]],0))),SUMIF(Tabel14[Semaine],Tabel14[[#This Row],[Semaine]],Tabel14[Total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6</v>
      </c>
      <c r="B7" s="20">
        <f t="shared" si="2"/>
        <v>45327</v>
      </c>
      <c r="C7" s="45" t="str" cm="1">
        <f t="array" ref="C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IF(OR(WEEKDAY(Tabel14[[#This Row],[Date]],2)=7, DAY(Tabel14[[#This Row],[Date]])=DAY(EOMONTH(Tabel14[[#This Row],[Date]],0))),SUMIF(Tabel14[Semaine],Tabel14[[#This Row],[Semaine]],Tabel14[Total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6</v>
      </c>
      <c r="B8" s="20">
        <f t="shared" si="2"/>
        <v>45328</v>
      </c>
      <c r="C8" s="45" t="str" cm="1">
        <f t="array" ref="C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IF(OR(WEEKDAY(Tabel14[[#This Row],[Date]],2)=7, DAY(Tabel14[[#This Row],[Date]])=DAY(EOMONTH(Tabel14[[#This Row],[Date]],0))),SUMIF(Tabel14[Semaine],Tabel14[[#This Row],[Semaine]],Tabel14[Total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6</v>
      </c>
      <c r="B9" s="20">
        <f t="shared" si="2"/>
        <v>45329</v>
      </c>
      <c r="C9" s="45" t="str" cm="1">
        <f t="array" ref="C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IF(OR(WEEKDAY(Tabel14[[#This Row],[Date]],2)=7, DAY(Tabel14[[#This Row],[Date]])=DAY(EOMONTH(Tabel14[[#This Row],[Date]],0))),SUMIF(Tabel14[Semaine],Tabel14[[#This Row],[Semaine]],Tabel14[Total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6</v>
      </c>
      <c r="B10" s="20">
        <f t="shared" si="2"/>
        <v>45330</v>
      </c>
      <c r="C10" s="45" t="str" cm="1">
        <f t="array" ref="C1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IF(OR(WEEKDAY(Tabel14[[#This Row],[Date]],2)=7, DAY(Tabel14[[#This Row],[Date]])=DAY(EOMONTH(Tabel14[[#This Row],[Date]],0))),SUMIF(Tabel14[Semaine],Tabel14[[#This Row],[Semaine]],Tabel14[Total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6</v>
      </c>
      <c r="B11" s="20">
        <f t="shared" si="2"/>
        <v>45331</v>
      </c>
      <c r="C11" s="45" t="str" cm="1">
        <f t="array" ref="C1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IF(OR(WEEKDAY(Tabel14[[#This Row],[Date]],2)=7, DAY(Tabel14[[#This Row],[Date]])=DAY(EOMONTH(Tabel14[[#This Row],[Date]],0))),SUMIF(Tabel14[Semaine],Tabel14[[#This Row],[Semaine]],Tabel14[Total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6</v>
      </c>
      <c r="B12" s="20">
        <f t="shared" si="2"/>
        <v>45332</v>
      </c>
      <c r="C12" s="45" t="str" cm="1">
        <f t="array" ref="C1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IF(OR(WEEKDAY(Tabel14[[#This Row],[Date]],2)=7, DAY(Tabel14[[#This Row],[Date]])=DAY(EOMONTH(Tabel14[[#This Row],[Date]],0))),SUMIF(Tabel14[Semaine],Tabel14[[#This Row],[Semaine]],Tabel14[Total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6</v>
      </c>
      <c r="B13" s="20">
        <f t="shared" si="2"/>
        <v>45333</v>
      </c>
      <c r="C13" s="45" t="str" cm="1">
        <f t="array" ref="C1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IF(OR(WEEKDAY(Tabel14[[#This Row],[Date]],2)=7, DAY(Tabel14[[#This Row],[Date]])=DAY(EOMONTH(Tabel14[[#This Row],[Date]],0))),SUMIF(Tabel14[Semaine],Tabel14[[#This Row],[Semaine]],Tabel14[Total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7</v>
      </c>
      <c r="B14" s="20">
        <f t="shared" si="2"/>
        <v>45334</v>
      </c>
      <c r="C14" s="45" t="str" cm="1">
        <f t="array" ref="C1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IF(OR(WEEKDAY(Tabel14[[#This Row],[Date]],2)=7, DAY(Tabel14[[#This Row],[Date]])=DAY(EOMONTH(Tabel14[[#This Row],[Date]],0))),SUMIF(Tabel14[Semaine],Tabel14[[#This Row],[Semaine]],Tabel14[Total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7</v>
      </c>
      <c r="B15" s="20">
        <f t="shared" si="2"/>
        <v>45335</v>
      </c>
      <c r="C15" s="45" t="str" cm="1">
        <f t="array" ref="C1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IF(OR(WEEKDAY(Tabel14[[#This Row],[Date]],2)=7, DAY(Tabel14[[#This Row],[Date]])=DAY(EOMONTH(Tabel14[[#This Row],[Date]],0))),SUMIF(Tabel14[Semaine],Tabel14[[#This Row],[Semaine]],Tabel14[Total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7</v>
      </c>
      <c r="B16" s="20">
        <f t="shared" si="2"/>
        <v>45336</v>
      </c>
      <c r="C16" s="45" t="str" cm="1">
        <f t="array" ref="C1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IF(OR(WEEKDAY(Tabel14[[#This Row],[Date]],2)=7, DAY(Tabel14[[#This Row],[Date]])=DAY(EOMONTH(Tabel14[[#This Row],[Date]],0))),SUMIF(Tabel14[Semaine],Tabel14[[#This Row],[Semaine]],Tabel14[Total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7</v>
      </c>
      <c r="B17" s="20">
        <f t="shared" si="2"/>
        <v>45337</v>
      </c>
      <c r="C17" s="45" t="str" cm="1">
        <f t="array" ref="C1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IF(OR(WEEKDAY(Tabel14[[#This Row],[Date]],2)=7, DAY(Tabel14[[#This Row],[Date]])=DAY(EOMONTH(Tabel14[[#This Row],[Date]],0))),SUMIF(Tabel14[Semaine],Tabel14[[#This Row],[Semaine]],Tabel14[Total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7</v>
      </c>
      <c r="B18" s="20">
        <f t="shared" si="2"/>
        <v>45338</v>
      </c>
      <c r="C18" s="45" t="str" cm="1">
        <f t="array" ref="C1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IF(OR(WEEKDAY(Tabel14[[#This Row],[Date]],2)=7, DAY(Tabel14[[#This Row],[Date]])=DAY(EOMONTH(Tabel14[[#This Row],[Date]],0))),SUMIF(Tabel14[Semaine],Tabel14[[#This Row],[Semaine]],Tabel14[Total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7</v>
      </c>
      <c r="B19" s="20">
        <f t="shared" si="2"/>
        <v>45339</v>
      </c>
      <c r="C19" s="45" t="str" cm="1">
        <f t="array" ref="C1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IF(OR(WEEKDAY(Tabel14[[#This Row],[Date]],2)=7, DAY(Tabel14[[#This Row],[Date]])=DAY(EOMONTH(Tabel14[[#This Row],[Date]],0))),SUMIF(Tabel14[Semaine],Tabel14[[#This Row],[Semaine]],Tabel14[Total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7</v>
      </c>
      <c r="B20" s="20">
        <f t="shared" si="2"/>
        <v>45340</v>
      </c>
      <c r="C20" s="45" t="str" cm="1">
        <f t="array" ref="C2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IF(OR(WEEKDAY(Tabel14[[#This Row],[Date]],2)=7, DAY(Tabel14[[#This Row],[Date]])=DAY(EOMONTH(Tabel14[[#This Row],[Date]],0))),SUMIF(Tabel14[Semaine],Tabel14[[#This Row],[Semaine]],Tabel14[Total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8</v>
      </c>
      <c r="B21" s="20">
        <f t="shared" si="2"/>
        <v>45341</v>
      </c>
      <c r="C21" s="45" t="str" cm="1">
        <f t="array" ref="C2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IF(OR(WEEKDAY(Tabel14[[#This Row],[Date]],2)=7, DAY(Tabel14[[#This Row],[Date]])=DAY(EOMONTH(Tabel14[[#This Row],[Date]],0))),SUMIF(Tabel14[Semaine],Tabel14[[#This Row],[Semaine]],Tabel14[Total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8</v>
      </c>
      <c r="B22" s="20">
        <f t="shared" si="2"/>
        <v>45342</v>
      </c>
      <c r="C22" s="45" t="str" cm="1">
        <f t="array" ref="C2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IF(OR(WEEKDAY(Tabel14[[#This Row],[Date]],2)=7, DAY(Tabel14[[#This Row],[Date]])=DAY(EOMONTH(Tabel14[[#This Row],[Date]],0))),SUMIF(Tabel14[Semaine],Tabel14[[#This Row],[Semaine]],Tabel14[Total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8</v>
      </c>
      <c r="B23" s="20">
        <f t="shared" si="2"/>
        <v>45343</v>
      </c>
      <c r="C23" s="45" t="str" cm="1">
        <f t="array" ref="C2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IF(OR(WEEKDAY(Tabel14[[#This Row],[Date]],2)=7, DAY(Tabel14[[#This Row],[Date]])=DAY(EOMONTH(Tabel14[[#This Row],[Date]],0))),SUMIF(Tabel14[Semaine],Tabel14[[#This Row],[Semaine]],Tabel14[Total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8</v>
      </c>
      <c r="B24" s="20">
        <f t="shared" si="2"/>
        <v>45344</v>
      </c>
      <c r="C24" s="45" t="str" cm="1">
        <f t="array" ref="C2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IF(OR(WEEKDAY(Tabel14[[#This Row],[Date]],2)=7, DAY(Tabel14[[#This Row],[Date]])=DAY(EOMONTH(Tabel14[[#This Row],[Date]],0))),SUMIF(Tabel14[Semaine],Tabel14[[#This Row],[Semaine]],Tabel14[Total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8</v>
      </c>
      <c r="B25" s="20">
        <f t="shared" si="2"/>
        <v>45345</v>
      </c>
      <c r="C25" s="45" t="str" cm="1">
        <f t="array" ref="C2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IF(OR(WEEKDAY(Tabel14[[#This Row],[Date]],2)=7, DAY(Tabel14[[#This Row],[Date]])=DAY(EOMONTH(Tabel14[[#This Row],[Date]],0))),SUMIF(Tabel14[Semaine],Tabel14[[#This Row],[Semaine]],Tabel14[Total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8</v>
      </c>
      <c r="B26" s="20">
        <f t="shared" si="2"/>
        <v>45346</v>
      </c>
      <c r="C26" s="45" t="str" cm="1">
        <f t="array" ref="C2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IF(OR(WEEKDAY(Tabel14[[#This Row],[Date]],2)=7, DAY(Tabel14[[#This Row],[Date]])=DAY(EOMONTH(Tabel14[[#This Row],[Date]],0))),SUMIF(Tabel14[Semaine],Tabel14[[#This Row],[Semaine]],Tabel14[Total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8</v>
      </c>
      <c r="B27" s="20">
        <f t="shared" si="2"/>
        <v>45347</v>
      </c>
      <c r="C27" s="45" t="str" cm="1">
        <f t="array" ref="C2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IF(OR(WEEKDAY(Tabel14[[#This Row],[Date]],2)=7, DAY(Tabel14[[#This Row],[Date]])=DAY(EOMONTH(Tabel14[[#This Row],[Date]],0))),SUMIF(Tabel14[Semaine],Tabel14[[#This Row],[Semaine]],Tabel14[Total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9</v>
      </c>
      <c r="B28" s="20">
        <f t="shared" si="2"/>
        <v>45348</v>
      </c>
      <c r="C28" s="45" t="str" cm="1">
        <f t="array" ref="C2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IF(OR(WEEKDAY(Tabel14[[#This Row],[Date]],2)=7, DAY(Tabel14[[#This Row],[Date]])=DAY(EOMONTH(Tabel14[[#This Row],[Date]],0))),SUMIF(Tabel14[Semaine],Tabel14[[#This Row],[Semaine]],Tabel14[Total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9</v>
      </c>
      <c r="B29" s="20">
        <f t="shared" si="2"/>
        <v>45349</v>
      </c>
      <c r="C29" s="45" t="str" cm="1">
        <f t="array" ref="C2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IF(OR(WEEKDAY(Tabel14[[#This Row],[Date]],2)=7, DAY(Tabel14[[#This Row],[Date]])=DAY(EOMONTH(Tabel14[[#This Row],[Date]],0))),SUMIF(Tabel14[Semaine],Tabel14[[#This Row],[Semaine]],Tabel14[Total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9</v>
      </c>
      <c r="B30" s="20">
        <f t="shared" si="2"/>
        <v>45350</v>
      </c>
      <c r="C30" s="45" t="str" cm="1">
        <f t="array" ref="C3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IF(OR(WEEKDAY(Tabel14[[#This Row],[Date]],2)=7, DAY(Tabel14[[#This Row],[Date]])=DAY(EOMONTH(Tabel14[[#This Row],[Date]],0))),SUMIF(Tabel14[Semaine],Tabel14[[#This Row],[Semaine]],Tabel14[Total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9</v>
      </c>
      <c r="B31" s="20">
        <f t="shared" si="2"/>
        <v>45351</v>
      </c>
      <c r="C31" s="45" t="str" cm="1">
        <f t="array" ref="C3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IF(OR(WEEKDAY(Tabel14[[#This Row],[Date]],2)=7, DAY(Tabel14[[#This Row],[Date]])=DAY(EOMONTH(Tabel14[[#This Row],[Date]],0))),SUMIF(Tabel14[Semaine],Tabel14[[#This Row],[Semaine]],Tabel14[Total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9</v>
      </c>
      <c r="B32" s="20">
        <f t="shared" si="2"/>
        <v>45352</v>
      </c>
      <c r="C32" s="45" t="str" cm="1">
        <f t="array" ref="C3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IF(OR(WEEKDAY(Tabel14[[#This Row],[Date]],2)=7, DAY(Tabel14[[#This Row],[Date]])=DAY(EOMONTH(Tabel14[[#This Row],[Date]],0))),SUMIF(Tabel14[Semaine],Tabel14[[#This Row],[Semaine]],Tabel14[Total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9</v>
      </c>
      <c r="B33" s="20">
        <f t="shared" si="2"/>
        <v>45353</v>
      </c>
      <c r="C33" s="45" t="str" cm="1">
        <f t="array" ref="C3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IF(OR(WEEKDAY(Tabel14[[#This Row],[Date]],2)=7, DAY(Tabel14[[#This Row],[Date]])=DAY(EOMONTH(Tabel14[[#This Row],[Date]],0))),SUMIF(Tabel14[Semaine],Tabel14[[#This Row],[Semaine]],Tabel14[Total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43" priority="1">
      <formula>OR($C3="Arrêt maladie",$C3="Accident du travail")</formula>
    </cfRule>
    <cfRule type="expression" dxfId="42" priority="2">
      <formula>OR($C3="Congé",$C3="Congé pour évènement familial")</formula>
    </cfRule>
    <cfRule type="expression" dxfId="40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6CE9716-4F0D-4032-BACC-FB86ED9F4996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errorStyle="information" allowBlank="1" showInputMessage="1" xr:uid="{DCBC8C90-82A8-4450-A37E-B303704C1491}">
          <x14:formula1>
            <xm:f>#REF!</xm:f>
          </x14:formula1>
          <xm:sqref>C3:C33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38"/>
  <sheetViews>
    <sheetView zoomScale="85" zoomScaleNormal="85" workbookViewId="0">
      <selection activeCell="A3" sqref="A3:L33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SUBTOTAL(102,Tabel15[Date])</f>
        <v>31</v>
      </c>
      <c r="C1" s="43"/>
      <c r="D1" s="56">
        <f>SUBTOTAL(102,Tabel15[Ouverture de poste])</f>
        <v>0</v>
      </c>
      <c r="E1" s="39">
        <f>SUBTOTAL(102,Tabel15[Pause entre 06:00 et 21:00])</f>
        <v>0</v>
      </c>
      <c r="F1" s="39">
        <f>SUBTOTAL(102,Tabel15[Pause entre 21:00 et 06:00])</f>
        <v>0</v>
      </c>
      <c r="G1" s="39">
        <f>SUBTOTAL(102,Tabel15[Fermeture de poste])</f>
        <v>0</v>
      </c>
      <c r="H1" s="42">
        <f>SUBTOTAL(109,Tabel15[Total Heures])</f>
        <v>0</v>
      </c>
      <c r="I1" s="40">
        <f>SUBTOTAL(109,Tabel15[Heures de jour])</f>
        <v>0</v>
      </c>
      <c r="J1" s="40">
        <f>SUBTOTAL(109,Tabel15[Heures de nuit])</f>
        <v>0</v>
      </c>
      <c r="K1" s="35">
        <f>SUBTOTAL(109,Tabel15[Total semaine])</f>
        <v>0</v>
      </c>
      <c r="L1" s="40">
        <f>SUBTOTAL(109,Tabel15[Heures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58"/>
    </row>
    <row r="3" spans="1:17" ht="30" customHeight="1" x14ac:dyDescent="0.3">
      <c r="A3" s="19" t="str">
        <f t="shared" ref="A3:A33" si="0">""&amp;WEEKNUM(B3,2)</f>
        <v>9</v>
      </c>
      <c r="B3" s="20">
        <f>DATE(Détails!A1,3,1)</f>
        <v>45352</v>
      </c>
      <c r="C3" s="45" t="str" cm="1">
        <f t="array" ref="C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IF(OR(WEEKDAY(Tabel15[[#This Row],[Date]],2)=7, DAY(Tabel15[[#This Row],[Date]])=DAY(EOMONTH(Tabel15[[#This Row],[Date]],0))),SUMIF(Tabel15[Semaine],Tabel15[[#This Row],[Semaine]],Tabel15[Total Heures]),0)</f>
        <v>0</v>
      </c>
      <c r="L3" s="24" t="str">
        <f>IFERROR(IF(K3&gt;Détails!E$4,K3-Détails!E$4,""),0)</f>
        <v/>
      </c>
      <c r="N3" s="57">
        <f>COUNTIFS(Tabel15[Ordre],"En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9</v>
      </c>
      <c r="B4" s="20">
        <f t="shared" ref="B4:B33" si="2">B3+1</f>
        <v>45353</v>
      </c>
      <c r="C4" s="45" t="str" cm="1">
        <f t="array" ref="C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IF(OR(WEEKDAY(Tabel15[[#This Row],[Date]],2)=7, DAY(Tabel15[[#This Row],[Date]])=DAY(EOMONTH(Tabel15[[#This Row],[Date]],0))),SUMIF(Tabel15[Semaine],Tabel15[[#This Row],[Semaine]],Tabel15[Total Heures]),0)</f>
        <v>0</v>
      </c>
      <c r="L4" s="24" t="str">
        <f>IFERROR(IF(K4&gt;Détails!E$4,K4-Détails!E$4,""),0)</f>
        <v/>
      </c>
      <c r="N4" s="57">
        <f>COUNTIFS(Tabel15[Ordre],"Férié")</f>
        <v>2</v>
      </c>
    </row>
    <row r="5" spans="1:17" ht="30" customHeight="1" x14ac:dyDescent="0.3">
      <c r="A5" s="19" t="str">
        <f t="shared" si="0"/>
        <v>9</v>
      </c>
      <c r="B5" s="20">
        <f t="shared" si="2"/>
        <v>45354</v>
      </c>
      <c r="C5" s="45" t="str" cm="1">
        <f t="array" ref="C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IF(OR(WEEKDAY(Tabel15[[#This Row],[Date]],2)=7, DAY(Tabel15[[#This Row],[Date]])=DAY(EOMONTH(Tabel15[[#This Row],[Date]],0))),SUMIF(Tabel15[Semaine],Tabel15[[#This Row],[Semaine]],Tabel15[Total Heures]),0)</f>
        <v>0</v>
      </c>
      <c r="L5" s="24" t="str">
        <f>IFERROR(IF(K5&gt;Détails!E$4,K5-Détails!E$4,""),0)</f>
        <v/>
      </c>
      <c r="N5" s="57">
        <f>COUNTIFS(Tabel15[Ordre],"Repos")</f>
        <v>0</v>
      </c>
    </row>
    <row r="6" spans="1:17" ht="30" customHeight="1" x14ac:dyDescent="0.3">
      <c r="A6" s="19" t="str">
        <f t="shared" si="0"/>
        <v>10</v>
      </c>
      <c r="B6" s="20">
        <f t="shared" si="2"/>
        <v>45355</v>
      </c>
      <c r="C6" s="45" t="str" cm="1">
        <f t="array" ref="C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IF(OR(WEEKDAY(Tabel15[[#This Row],[Date]],2)=7, DAY(Tabel15[[#This Row],[Date]])=DAY(EOMONTH(Tabel15[[#This Row],[Date]],0))),SUMIF(Tabel15[Semaine],Tabel15[[#This Row],[Semaine]],Tabel15[Total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3">
      <c r="A7" s="19" t="str">
        <f t="shared" si="0"/>
        <v>10</v>
      </c>
      <c r="B7" s="20">
        <f t="shared" si="2"/>
        <v>45356</v>
      </c>
      <c r="C7" s="45" t="str" cm="1">
        <f t="array" ref="C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IF(OR(WEEKDAY(Tabel15[[#This Row],[Date]],2)=7, DAY(Tabel15[[#This Row],[Date]])=DAY(EOMONTH(Tabel15[[#This Row],[Date]],0))),SUMIF(Tabel15[Semaine],Tabel15[[#This Row],[Semaine]],Tabel15[Total Heures]),0)</f>
        <v>0</v>
      </c>
      <c r="L7" s="24" t="str">
        <f>IFERROR(IF(K7&gt;Détails!E$4,K7-Détails!E$4,""),0)</f>
        <v/>
      </c>
      <c r="N7" s="59"/>
    </row>
    <row r="8" spans="1:17" ht="30" customHeight="1" x14ac:dyDescent="0.3">
      <c r="A8" s="19" t="str">
        <f t="shared" si="0"/>
        <v>10</v>
      </c>
      <c r="B8" s="20">
        <f t="shared" si="2"/>
        <v>45357</v>
      </c>
      <c r="C8" s="45" t="str" cm="1">
        <f t="array" ref="C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IF(OR(WEEKDAY(Tabel15[[#This Row],[Date]],2)=7, DAY(Tabel15[[#This Row],[Date]])=DAY(EOMONTH(Tabel15[[#This Row],[Date]],0))),SUMIF(Tabel15[Semaine],Tabel15[[#This Row],[Semaine]],Tabel15[Total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10</v>
      </c>
      <c r="B9" s="20">
        <f t="shared" si="2"/>
        <v>45358</v>
      </c>
      <c r="C9" s="45" t="str" cm="1">
        <f t="array" ref="C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IF(OR(WEEKDAY(Tabel15[[#This Row],[Date]],2)=7, DAY(Tabel15[[#This Row],[Date]])=DAY(EOMONTH(Tabel15[[#This Row],[Date]],0))),SUMIF(Tabel15[Semaine],Tabel15[[#This Row],[Semaine]],Tabel15[Total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10</v>
      </c>
      <c r="B10" s="20">
        <f t="shared" si="2"/>
        <v>45359</v>
      </c>
      <c r="C10" s="45" t="str" cm="1">
        <f t="array" ref="C1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IF(OR(WEEKDAY(Tabel15[[#This Row],[Date]],2)=7, DAY(Tabel15[[#This Row],[Date]])=DAY(EOMONTH(Tabel15[[#This Row],[Date]],0))),SUMIF(Tabel15[Semaine],Tabel15[[#This Row],[Semaine]],Tabel15[Total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10</v>
      </c>
      <c r="B11" s="20">
        <f t="shared" si="2"/>
        <v>45360</v>
      </c>
      <c r="C11" s="45" t="str" cm="1">
        <f t="array" ref="C1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IF(OR(WEEKDAY(Tabel15[[#This Row],[Date]],2)=7, DAY(Tabel15[[#This Row],[Date]])=DAY(EOMONTH(Tabel15[[#This Row],[Date]],0))),SUMIF(Tabel15[Semaine],Tabel15[[#This Row],[Semaine]],Tabel15[Total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10</v>
      </c>
      <c r="B12" s="20">
        <f t="shared" si="2"/>
        <v>45361</v>
      </c>
      <c r="C12" s="45" t="str" cm="1">
        <f t="array" ref="C1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IF(OR(WEEKDAY(Tabel15[[#This Row],[Date]],2)=7, DAY(Tabel15[[#This Row],[Date]])=DAY(EOMONTH(Tabel15[[#This Row],[Date]],0))),SUMIF(Tabel15[Semaine],Tabel15[[#This Row],[Semaine]],Tabel15[Total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11</v>
      </c>
      <c r="B13" s="20">
        <f t="shared" si="2"/>
        <v>45362</v>
      </c>
      <c r="C13" s="45" t="str" cm="1">
        <f t="array" ref="C1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IF(OR(WEEKDAY(Tabel15[[#This Row],[Date]],2)=7, DAY(Tabel15[[#This Row],[Date]])=DAY(EOMONTH(Tabel15[[#This Row],[Date]],0))),SUMIF(Tabel15[Semaine],Tabel15[[#This Row],[Semaine]],Tabel15[Total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11</v>
      </c>
      <c r="B14" s="20">
        <f t="shared" si="2"/>
        <v>45363</v>
      </c>
      <c r="C14" s="45" t="str" cm="1">
        <f t="array" ref="C1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IF(OR(WEEKDAY(Tabel15[[#This Row],[Date]],2)=7, DAY(Tabel15[[#This Row],[Date]])=DAY(EOMONTH(Tabel15[[#This Row],[Date]],0))),SUMIF(Tabel15[Semaine],Tabel15[[#This Row],[Semaine]],Tabel15[Total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11</v>
      </c>
      <c r="B15" s="20">
        <f t="shared" si="2"/>
        <v>45364</v>
      </c>
      <c r="C15" s="45" t="str" cm="1">
        <f t="array" ref="C1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IF(OR(WEEKDAY(Tabel15[[#This Row],[Date]],2)=7, DAY(Tabel15[[#This Row],[Date]])=DAY(EOMONTH(Tabel15[[#This Row],[Date]],0))),SUMIF(Tabel15[Semaine],Tabel15[[#This Row],[Semaine]],Tabel15[Total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11</v>
      </c>
      <c r="B16" s="20">
        <f t="shared" si="2"/>
        <v>45365</v>
      </c>
      <c r="C16" s="45" t="str" cm="1">
        <f t="array" ref="C1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IF(OR(WEEKDAY(Tabel15[[#This Row],[Date]],2)=7, DAY(Tabel15[[#This Row],[Date]])=DAY(EOMONTH(Tabel15[[#This Row],[Date]],0))),SUMIF(Tabel15[Semaine],Tabel15[[#This Row],[Semaine]],Tabel15[Total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11</v>
      </c>
      <c r="B17" s="20">
        <f t="shared" si="2"/>
        <v>45366</v>
      </c>
      <c r="C17" s="45" t="str" cm="1">
        <f t="array" ref="C1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IF(OR(WEEKDAY(Tabel15[[#This Row],[Date]],2)=7, DAY(Tabel15[[#This Row],[Date]])=DAY(EOMONTH(Tabel15[[#This Row],[Date]],0))),SUMIF(Tabel15[Semaine],Tabel15[[#This Row],[Semaine]],Tabel15[Total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11</v>
      </c>
      <c r="B18" s="20">
        <f t="shared" si="2"/>
        <v>45367</v>
      </c>
      <c r="C18" s="45" t="str" cm="1">
        <f t="array" ref="C1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IF(OR(WEEKDAY(Tabel15[[#This Row],[Date]],2)=7, DAY(Tabel15[[#This Row],[Date]])=DAY(EOMONTH(Tabel15[[#This Row],[Date]],0))),SUMIF(Tabel15[Semaine],Tabel15[[#This Row],[Semaine]],Tabel15[Total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11</v>
      </c>
      <c r="B19" s="20">
        <f t="shared" si="2"/>
        <v>45368</v>
      </c>
      <c r="C19" s="45" t="str" cm="1">
        <f t="array" ref="C1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IF(OR(WEEKDAY(Tabel15[[#This Row],[Date]],2)=7, DAY(Tabel15[[#This Row],[Date]])=DAY(EOMONTH(Tabel15[[#This Row],[Date]],0))),SUMIF(Tabel15[Semaine],Tabel15[[#This Row],[Semaine]],Tabel15[Total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12</v>
      </c>
      <c r="B20" s="20">
        <f t="shared" si="2"/>
        <v>45369</v>
      </c>
      <c r="C20" s="45" t="str" cm="1">
        <f t="array" ref="C2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IF(OR(WEEKDAY(Tabel15[[#This Row],[Date]],2)=7, DAY(Tabel15[[#This Row],[Date]])=DAY(EOMONTH(Tabel15[[#This Row],[Date]],0))),SUMIF(Tabel15[Semaine],Tabel15[[#This Row],[Semaine]],Tabel15[Total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12</v>
      </c>
      <c r="B21" s="20">
        <f t="shared" si="2"/>
        <v>45370</v>
      </c>
      <c r="C21" s="45" t="str" cm="1">
        <f t="array" ref="C2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IF(OR(WEEKDAY(Tabel15[[#This Row],[Date]],2)=7, DAY(Tabel15[[#This Row],[Date]])=DAY(EOMONTH(Tabel15[[#This Row],[Date]],0))),SUMIF(Tabel15[Semaine],Tabel15[[#This Row],[Semaine]],Tabel15[Total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12</v>
      </c>
      <c r="B22" s="20">
        <f t="shared" si="2"/>
        <v>45371</v>
      </c>
      <c r="C22" s="45" t="str" cm="1">
        <f t="array" ref="C2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IF(OR(WEEKDAY(Tabel15[[#This Row],[Date]],2)=7, DAY(Tabel15[[#This Row],[Date]])=DAY(EOMONTH(Tabel15[[#This Row],[Date]],0))),SUMIF(Tabel15[Semaine],Tabel15[[#This Row],[Semaine]],Tabel15[Total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12</v>
      </c>
      <c r="B23" s="20">
        <f t="shared" si="2"/>
        <v>45372</v>
      </c>
      <c r="C23" s="45" t="str" cm="1">
        <f t="array" ref="C2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IF(OR(WEEKDAY(Tabel15[[#This Row],[Date]],2)=7, DAY(Tabel15[[#This Row],[Date]])=DAY(EOMONTH(Tabel15[[#This Row],[Date]],0))),SUMIF(Tabel15[Semaine],Tabel15[[#This Row],[Semaine]],Tabel15[Total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12</v>
      </c>
      <c r="B24" s="20">
        <f t="shared" si="2"/>
        <v>45373</v>
      </c>
      <c r="C24" s="45" t="str" cm="1">
        <f t="array" ref="C2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IF(OR(WEEKDAY(Tabel15[[#This Row],[Date]],2)=7, DAY(Tabel15[[#This Row],[Date]])=DAY(EOMONTH(Tabel15[[#This Row],[Date]],0))),SUMIF(Tabel15[Semaine],Tabel15[[#This Row],[Semaine]],Tabel15[Total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12</v>
      </c>
      <c r="B25" s="20">
        <f t="shared" si="2"/>
        <v>45374</v>
      </c>
      <c r="C25" s="45" t="str" cm="1">
        <f t="array" ref="C2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IF(OR(WEEKDAY(Tabel15[[#This Row],[Date]],2)=7, DAY(Tabel15[[#This Row],[Date]])=DAY(EOMONTH(Tabel15[[#This Row],[Date]],0))),SUMIF(Tabel15[Semaine],Tabel15[[#This Row],[Semaine]],Tabel15[Total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12</v>
      </c>
      <c r="B26" s="20">
        <f t="shared" si="2"/>
        <v>45375</v>
      </c>
      <c r="C26" s="45" t="str" cm="1">
        <f t="array" ref="C2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IF(OR(WEEKDAY(Tabel15[[#This Row],[Date]],2)=7, DAY(Tabel15[[#This Row],[Date]])=DAY(EOMONTH(Tabel15[[#This Row],[Date]],0))),SUMIF(Tabel15[Semaine],Tabel15[[#This Row],[Semaine]],Tabel15[Total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13</v>
      </c>
      <c r="B27" s="20">
        <f t="shared" si="2"/>
        <v>45376</v>
      </c>
      <c r="C27" s="45" t="str" cm="1">
        <f t="array" ref="C2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IF(OR(WEEKDAY(Tabel15[[#This Row],[Date]],2)=7, DAY(Tabel15[[#This Row],[Date]])=DAY(EOMONTH(Tabel15[[#This Row],[Date]],0))),SUMIF(Tabel15[Semaine],Tabel15[[#This Row],[Semaine]],Tabel15[Total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13</v>
      </c>
      <c r="B28" s="20">
        <f t="shared" si="2"/>
        <v>45377</v>
      </c>
      <c r="C28" s="45" t="str" cm="1">
        <f t="array" ref="C2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IF(OR(WEEKDAY(Tabel15[[#This Row],[Date]],2)=7, DAY(Tabel15[[#This Row],[Date]])=DAY(EOMONTH(Tabel15[[#This Row],[Date]],0))),SUMIF(Tabel15[Semaine],Tabel15[[#This Row],[Semaine]],Tabel15[Total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13</v>
      </c>
      <c r="B29" s="20">
        <f t="shared" si="2"/>
        <v>45378</v>
      </c>
      <c r="C29" s="45" t="str" cm="1">
        <f t="array" ref="C2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IF(OR(WEEKDAY(Tabel15[[#This Row],[Date]],2)=7, DAY(Tabel15[[#This Row],[Date]])=DAY(EOMONTH(Tabel15[[#This Row],[Date]],0))),SUMIF(Tabel15[Semaine],Tabel15[[#This Row],[Semaine]],Tabel15[Total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13</v>
      </c>
      <c r="B30" s="20">
        <f t="shared" si="2"/>
        <v>45379</v>
      </c>
      <c r="C30" s="45" t="str" cm="1">
        <f t="array" ref="C3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IF(OR(WEEKDAY(Tabel15[[#This Row],[Date]],2)=7, DAY(Tabel15[[#This Row],[Date]])=DAY(EOMONTH(Tabel15[[#This Row],[Date]],0))),SUMIF(Tabel15[Semaine],Tabel15[[#This Row],[Semaine]],Tabel15[Total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13</v>
      </c>
      <c r="B31" s="20">
        <f t="shared" si="2"/>
        <v>45380</v>
      </c>
      <c r="C31" s="45" t="str" cm="1">
        <f t="array" ref="C3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familial",IFERROR(IF(VLOOKUP($B31,Détails!$H$2:$H$16,1,0),"Férié",""),"")))))</f>
        <v>Férié</v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IF(OR(WEEKDAY(Tabel15[[#This Row],[Date]],2)=7, DAY(Tabel15[[#This Row],[Date]])=DAY(EOMONTH(Tabel15[[#This Row],[Date]],0))),SUMIF(Tabel15[Semaine],Tabel15[[#This Row],[Semaine]],Tabel15[Total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13</v>
      </c>
      <c r="B32" s="20">
        <f t="shared" si="2"/>
        <v>45381</v>
      </c>
      <c r="C32" s="45" t="str" cm="1">
        <f t="array" ref="C3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IF(OR(WEEKDAY(Tabel15[[#This Row],[Date]],2)=7, DAY(Tabel15[[#This Row],[Date]])=DAY(EOMONTH(Tabel15[[#This Row],[Date]],0))),SUMIF(Tabel15[Semaine],Tabel15[[#This Row],[Semaine]],Tabel15[Total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13</v>
      </c>
      <c r="B33" s="20">
        <f t="shared" si="2"/>
        <v>45382</v>
      </c>
      <c r="C33" s="45" t="str" cm="1">
        <f t="array" ref="C3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familial",IFERROR(IF(VLOOKUP($B33,Détails!$H$2:$H$16,1,0),"Férié",""),"")))))</f>
        <v>Férié</v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IF(OR(WEEKDAY(Tabel15[[#This Row],[Date]],2)=7, DAY(Tabel15[[#This Row],[Date]])=DAY(EOMONTH(Tabel15[[#This Row],[Date]],0))),SUMIF(Tabel15[Semaine],Tabel15[[#This Row],[Semaine]],Tabel15[Total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9" priority="1">
      <formula>OR($C3="Arrêt maladie",$C3="Accident du travail")</formula>
    </cfRule>
    <cfRule type="expression" dxfId="38" priority="2">
      <formula>OR($C3="Congé",$C3="Congé pour évènement familial")</formula>
    </cfRule>
    <cfRule type="expression" dxfId="36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2848297-E323-41BB-AE3A-8EA184F6F360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3D38F904-0268-40EC-90B6-B372B62B692E}">
          <x14:formula1>
            <xm:f>#REF!</xm:f>
          </x14:formula1>
          <xm:sqref>C3:C33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37"/>
  <sheetViews>
    <sheetView topLeftCell="D1" zoomScale="85" zoomScaleNormal="85" workbookViewId="0">
      <selection activeCell="N2" sqref="N2:N7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SUBTOTAL(102,Tabel16[Date])</f>
        <v>30</v>
      </c>
      <c r="C1" s="43"/>
      <c r="D1" s="56">
        <f>SUBTOTAL(102,Tabel16[Ouverture de poste])</f>
        <v>0</v>
      </c>
      <c r="E1" s="39">
        <f>SUBTOTAL(102,Tabel16[Pause entre 06:00 et 21:00])</f>
        <v>0</v>
      </c>
      <c r="F1" s="39">
        <f>SUBTOTAL(102,Tabel16[Pause entre 21:00 et 06:00])</f>
        <v>0</v>
      </c>
      <c r="G1" s="39">
        <f>SUBTOTAL(102,Tabel16[Fermeture de poste])</f>
        <v>0</v>
      </c>
      <c r="H1" s="42">
        <f>SUBTOTAL(109,Tabel16[Total Heures])</f>
        <v>0</v>
      </c>
      <c r="I1" s="40">
        <f>SUBTOTAL(109,Tabel16[Heures de jour])</f>
        <v>0</v>
      </c>
      <c r="J1" s="40">
        <f>SUBTOTAL(109,Tabel16[Heures de nuit])</f>
        <v>0</v>
      </c>
      <c r="K1" s="35">
        <f>SUBTOTAL(109,Tabel16[Total semaine])</f>
        <v>0</v>
      </c>
      <c r="L1" s="40">
        <f>SUBTOTAL(109,Tabel16[Heures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58"/>
    </row>
    <row r="3" spans="1:17" ht="30" customHeight="1" x14ac:dyDescent="0.3">
      <c r="A3" s="19" t="str">
        <f t="shared" ref="A3:A32" si="0">""&amp;WEEKNUM(B3,2)</f>
        <v>14</v>
      </c>
      <c r="B3" s="20">
        <f>DATE(Détails!A1,4,1)</f>
        <v>45383</v>
      </c>
      <c r="C3" s="45" t="str" cm="1">
        <f t="array" ref="C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IF(OR(WEEKDAY(Tabel16[[#This Row],[Date]],2)=7, DAY(Tabel16[[#This Row],[Date]])=DAY(EOMONTH(Tabel16[[#This Row],[Date]],0))),SUMIF(Tabel16[Semaine],Tabel16[[#This Row],[Semaine]],Tabel16[Total Heures]),0)</f>
        <v>0</v>
      </c>
      <c r="L3" s="24" t="str">
        <f>IFERROR(IF(K3&gt;Détails!E$4,K3-Détails!E$4,""),0)</f>
        <v/>
      </c>
      <c r="N3" s="57">
        <f>COUNTIFS(Tabel16[Ordre],"En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14</v>
      </c>
      <c r="B4" s="20">
        <f t="shared" ref="B4:B32" si="2">B3+1</f>
        <v>45384</v>
      </c>
      <c r="C4" s="45" t="str" cm="1">
        <f t="array" ref="C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IF(OR(WEEKDAY(Tabel16[[#This Row],[Date]],2)=7, DAY(Tabel16[[#This Row],[Date]])=DAY(EOMONTH(Tabel16[[#This Row],[Date]],0))),SUMIF(Tabel16[Semaine],Tabel16[[#This Row],[Semaine]],Tabel16[Total Heures]),0)</f>
        <v>0</v>
      </c>
      <c r="L4" s="24" t="str">
        <f>IFERROR(IF(K4&gt;Détails!E$4,K4-Détails!E$4,""),0)</f>
        <v/>
      </c>
      <c r="N4" s="57">
        <f>COUNTIFS(Tabel16[Ordre],"Férié")</f>
        <v>1</v>
      </c>
    </row>
    <row r="5" spans="1:17" ht="30" customHeight="1" x14ac:dyDescent="0.3">
      <c r="A5" s="19" t="str">
        <f t="shared" si="0"/>
        <v>14</v>
      </c>
      <c r="B5" s="20">
        <f t="shared" si="2"/>
        <v>45385</v>
      </c>
      <c r="C5" s="45" t="str" cm="1">
        <f t="array" ref="C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IF(OR(WEEKDAY(Tabel16[[#This Row],[Date]],2)=7, DAY(Tabel16[[#This Row],[Date]])=DAY(EOMONTH(Tabel16[[#This Row],[Date]],0))),SUMIF(Tabel16[Semaine],Tabel16[[#This Row],[Semaine]],Tabel16[Total Heures]),0)</f>
        <v>0</v>
      </c>
      <c r="L5" s="24" t="str">
        <f>IFERROR(IF(K5&gt;Détails!E$4,K5-Détails!E$4,""),0)</f>
        <v/>
      </c>
      <c r="N5" s="57">
        <f>COUNTIFS(Tabel16[Ordre],"Repos")</f>
        <v>0</v>
      </c>
    </row>
    <row r="6" spans="1:17" ht="30" customHeight="1" x14ac:dyDescent="0.3">
      <c r="A6" s="19" t="str">
        <f t="shared" si="0"/>
        <v>14</v>
      </c>
      <c r="B6" s="20">
        <f t="shared" si="2"/>
        <v>45386</v>
      </c>
      <c r="C6" s="45" t="str" cm="1">
        <f t="array" ref="C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IF(OR(WEEKDAY(Tabel16[[#This Row],[Date]],2)=7, DAY(Tabel16[[#This Row],[Date]])=DAY(EOMONTH(Tabel16[[#This Row],[Date]],0))),SUMIF(Tabel16[Semaine],Tabel16[[#This Row],[Semaine]],Tabel16[Total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3">
      <c r="A7" s="19" t="str">
        <f t="shared" si="0"/>
        <v>14</v>
      </c>
      <c r="B7" s="20">
        <f t="shared" si="2"/>
        <v>45387</v>
      </c>
      <c r="C7" s="45" t="str" cm="1">
        <f t="array" ref="C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IF(OR(WEEKDAY(Tabel16[[#This Row],[Date]],2)=7, DAY(Tabel16[[#This Row],[Date]])=DAY(EOMONTH(Tabel16[[#This Row],[Date]],0))),SUMIF(Tabel16[Semaine],Tabel16[[#This Row],[Semaine]],Tabel16[Total Heures]),0)</f>
        <v>0</v>
      </c>
      <c r="L7" s="24" t="str">
        <f>IFERROR(IF(K7&gt;Détails!E$4,K7-Détails!E$4,""),0)</f>
        <v/>
      </c>
      <c r="N7" s="59"/>
    </row>
    <row r="8" spans="1:17" ht="30" customHeight="1" x14ac:dyDescent="0.3">
      <c r="A8" s="19" t="str">
        <f t="shared" si="0"/>
        <v>14</v>
      </c>
      <c r="B8" s="20">
        <f t="shared" si="2"/>
        <v>45388</v>
      </c>
      <c r="C8" s="45" t="str" cm="1">
        <f t="array" ref="C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IF(OR(WEEKDAY(Tabel16[[#This Row],[Date]],2)=7, DAY(Tabel16[[#This Row],[Date]])=DAY(EOMONTH(Tabel16[[#This Row],[Date]],0))),SUMIF(Tabel16[Semaine],Tabel16[[#This Row],[Semaine]],Tabel16[Total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14</v>
      </c>
      <c r="B9" s="20">
        <f t="shared" si="2"/>
        <v>45389</v>
      </c>
      <c r="C9" s="45" t="str" cm="1">
        <f t="array" ref="C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IF(OR(WEEKDAY(Tabel16[[#This Row],[Date]],2)=7, DAY(Tabel16[[#This Row],[Date]])=DAY(EOMONTH(Tabel16[[#This Row],[Date]],0))),SUMIF(Tabel16[Semaine],Tabel16[[#This Row],[Semaine]],Tabel16[Total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15</v>
      </c>
      <c r="B10" s="20">
        <f t="shared" si="2"/>
        <v>45390</v>
      </c>
      <c r="C10" s="45" t="str" cm="1">
        <f t="array" ref="C1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IF(OR(WEEKDAY(Tabel16[[#This Row],[Date]],2)=7, DAY(Tabel16[[#This Row],[Date]])=DAY(EOMONTH(Tabel16[[#This Row],[Date]],0))),SUMIF(Tabel16[Semaine],Tabel16[[#This Row],[Semaine]],Tabel16[Total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15</v>
      </c>
      <c r="B11" s="20">
        <f t="shared" si="2"/>
        <v>45391</v>
      </c>
      <c r="C11" s="45" t="str" cm="1">
        <f t="array" ref="C1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IF(OR(WEEKDAY(Tabel16[[#This Row],[Date]],2)=7, DAY(Tabel16[[#This Row],[Date]])=DAY(EOMONTH(Tabel16[[#This Row],[Date]],0))),SUMIF(Tabel16[Semaine],Tabel16[[#This Row],[Semaine]],Tabel16[Total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15</v>
      </c>
      <c r="B12" s="20">
        <f t="shared" si="2"/>
        <v>45392</v>
      </c>
      <c r="C12" s="45" t="str" cm="1">
        <f t="array" ref="C1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IF(OR(WEEKDAY(Tabel16[[#This Row],[Date]],2)=7, DAY(Tabel16[[#This Row],[Date]])=DAY(EOMONTH(Tabel16[[#This Row],[Date]],0))),SUMIF(Tabel16[Semaine],Tabel16[[#This Row],[Semaine]],Tabel16[Total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15</v>
      </c>
      <c r="B13" s="20">
        <f t="shared" si="2"/>
        <v>45393</v>
      </c>
      <c r="C13" s="45" t="str" cm="1">
        <f t="array" ref="C1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IF(OR(WEEKDAY(Tabel16[[#This Row],[Date]],2)=7, DAY(Tabel16[[#This Row],[Date]])=DAY(EOMONTH(Tabel16[[#This Row],[Date]],0))),SUMIF(Tabel16[Semaine],Tabel16[[#This Row],[Semaine]],Tabel16[Total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15</v>
      </c>
      <c r="B14" s="20">
        <f t="shared" si="2"/>
        <v>45394</v>
      </c>
      <c r="C14" s="45" t="str" cm="1">
        <f t="array" ref="C1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IF(OR(WEEKDAY(Tabel16[[#This Row],[Date]],2)=7, DAY(Tabel16[[#This Row],[Date]])=DAY(EOMONTH(Tabel16[[#This Row],[Date]],0))),SUMIF(Tabel16[Semaine],Tabel16[[#This Row],[Semaine]],Tabel16[Total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15</v>
      </c>
      <c r="B15" s="20">
        <f t="shared" si="2"/>
        <v>45395</v>
      </c>
      <c r="C15" s="45" t="str" cm="1">
        <f t="array" ref="C1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IF(OR(WEEKDAY(Tabel16[[#This Row],[Date]],2)=7, DAY(Tabel16[[#This Row],[Date]])=DAY(EOMONTH(Tabel16[[#This Row],[Date]],0))),SUMIF(Tabel16[Semaine],Tabel16[[#This Row],[Semaine]],Tabel16[Total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15</v>
      </c>
      <c r="B16" s="20">
        <f t="shared" si="2"/>
        <v>45396</v>
      </c>
      <c r="C16" s="45" t="str" cm="1">
        <f t="array" ref="C1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IF(OR(WEEKDAY(Tabel16[[#This Row],[Date]],2)=7, DAY(Tabel16[[#This Row],[Date]])=DAY(EOMONTH(Tabel16[[#This Row],[Date]],0))),SUMIF(Tabel16[Semaine],Tabel16[[#This Row],[Semaine]],Tabel16[Total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16</v>
      </c>
      <c r="B17" s="20">
        <f t="shared" si="2"/>
        <v>45397</v>
      </c>
      <c r="C17" s="45" t="str" cm="1">
        <f t="array" ref="C1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IF(OR(WEEKDAY(Tabel16[[#This Row],[Date]],2)=7, DAY(Tabel16[[#This Row],[Date]])=DAY(EOMONTH(Tabel16[[#This Row],[Date]],0))),SUMIF(Tabel16[Semaine],Tabel16[[#This Row],[Semaine]],Tabel16[Total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16</v>
      </c>
      <c r="B18" s="20">
        <f t="shared" si="2"/>
        <v>45398</v>
      </c>
      <c r="C18" s="45" t="str" cm="1">
        <f t="array" ref="C1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IF(OR(WEEKDAY(Tabel16[[#This Row],[Date]],2)=7, DAY(Tabel16[[#This Row],[Date]])=DAY(EOMONTH(Tabel16[[#This Row],[Date]],0))),SUMIF(Tabel16[Semaine],Tabel16[[#This Row],[Semaine]],Tabel16[Total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16</v>
      </c>
      <c r="B19" s="20">
        <f t="shared" si="2"/>
        <v>45399</v>
      </c>
      <c r="C19" s="45" t="str" cm="1">
        <f t="array" ref="C1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IF(OR(WEEKDAY(Tabel16[[#This Row],[Date]],2)=7, DAY(Tabel16[[#This Row],[Date]])=DAY(EOMONTH(Tabel16[[#This Row],[Date]],0))),SUMIF(Tabel16[Semaine],Tabel16[[#This Row],[Semaine]],Tabel16[Total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16</v>
      </c>
      <c r="B20" s="20">
        <f t="shared" si="2"/>
        <v>45400</v>
      </c>
      <c r="C20" s="45" t="str" cm="1">
        <f t="array" ref="C2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IF(OR(WEEKDAY(Tabel16[[#This Row],[Date]],2)=7, DAY(Tabel16[[#This Row],[Date]])=DAY(EOMONTH(Tabel16[[#This Row],[Date]],0))),SUMIF(Tabel16[Semaine],Tabel16[[#This Row],[Semaine]],Tabel16[Total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16</v>
      </c>
      <c r="B21" s="20">
        <f t="shared" si="2"/>
        <v>45401</v>
      </c>
      <c r="C21" s="45" t="str" cm="1">
        <f t="array" ref="C2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IF(OR(WEEKDAY(Tabel16[[#This Row],[Date]],2)=7, DAY(Tabel16[[#This Row],[Date]])=DAY(EOMONTH(Tabel16[[#This Row],[Date]],0))),SUMIF(Tabel16[Semaine],Tabel16[[#This Row],[Semaine]],Tabel16[Total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16</v>
      </c>
      <c r="B22" s="20">
        <f t="shared" si="2"/>
        <v>45402</v>
      </c>
      <c r="C22" s="45" t="str" cm="1">
        <f t="array" ref="C2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IF(OR(WEEKDAY(Tabel16[[#This Row],[Date]],2)=7, DAY(Tabel16[[#This Row],[Date]])=DAY(EOMONTH(Tabel16[[#This Row],[Date]],0))),SUMIF(Tabel16[Semaine],Tabel16[[#This Row],[Semaine]],Tabel16[Total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16</v>
      </c>
      <c r="B23" s="20">
        <f t="shared" si="2"/>
        <v>45403</v>
      </c>
      <c r="C23" s="45" t="str" cm="1">
        <f t="array" ref="C2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IF(OR(WEEKDAY(Tabel16[[#This Row],[Date]],2)=7, DAY(Tabel16[[#This Row],[Date]])=DAY(EOMONTH(Tabel16[[#This Row],[Date]],0))),SUMIF(Tabel16[Semaine],Tabel16[[#This Row],[Semaine]],Tabel16[Total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17</v>
      </c>
      <c r="B24" s="20">
        <f t="shared" si="2"/>
        <v>45404</v>
      </c>
      <c r="C24" s="45" t="str" cm="1">
        <f t="array" ref="C2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IF(OR(WEEKDAY(Tabel16[[#This Row],[Date]],2)=7, DAY(Tabel16[[#This Row],[Date]])=DAY(EOMONTH(Tabel16[[#This Row],[Date]],0))),SUMIF(Tabel16[Semaine],Tabel16[[#This Row],[Semaine]],Tabel16[Total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17</v>
      </c>
      <c r="B25" s="20">
        <f t="shared" si="2"/>
        <v>45405</v>
      </c>
      <c r="C25" s="45" t="str" cm="1">
        <f t="array" ref="C2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IF(OR(WEEKDAY(Tabel16[[#This Row],[Date]],2)=7, DAY(Tabel16[[#This Row],[Date]])=DAY(EOMONTH(Tabel16[[#This Row],[Date]],0))),SUMIF(Tabel16[Semaine],Tabel16[[#This Row],[Semaine]],Tabel16[Total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17</v>
      </c>
      <c r="B26" s="20">
        <f t="shared" si="2"/>
        <v>45406</v>
      </c>
      <c r="C26" s="45" t="str" cm="1">
        <f t="array" ref="C2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IF(OR(WEEKDAY(Tabel16[[#This Row],[Date]],2)=7, DAY(Tabel16[[#This Row],[Date]])=DAY(EOMONTH(Tabel16[[#This Row],[Date]],0))),SUMIF(Tabel16[Semaine],Tabel16[[#This Row],[Semaine]],Tabel16[Total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17</v>
      </c>
      <c r="B27" s="20">
        <f t="shared" si="2"/>
        <v>45407</v>
      </c>
      <c r="C27" s="45" t="str" cm="1">
        <f t="array" ref="C2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IF(OR(WEEKDAY(Tabel16[[#This Row],[Date]],2)=7, DAY(Tabel16[[#This Row],[Date]])=DAY(EOMONTH(Tabel16[[#This Row],[Date]],0))),SUMIF(Tabel16[Semaine],Tabel16[[#This Row],[Semaine]],Tabel16[Total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17</v>
      </c>
      <c r="B28" s="20">
        <f t="shared" si="2"/>
        <v>45408</v>
      </c>
      <c r="C28" s="45" t="str" cm="1">
        <f t="array" ref="C2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IF(OR(WEEKDAY(Tabel16[[#This Row],[Date]],2)=7, DAY(Tabel16[[#This Row],[Date]])=DAY(EOMONTH(Tabel16[[#This Row],[Date]],0))),SUMIF(Tabel16[Semaine],Tabel16[[#This Row],[Semaine]],Tabel16[Total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17</v>
      </c>
      <c r="B29" s="20">
        <f t="shared" si="2"/>
        <v>45409</v>
      </c>
      <c r="C29" s="45" t="str" cm="1">
        <f t="array" ref="C2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IF(OR(WEEKDAY(Tabel16[[#This Row],[Date]],2)=7, DAY(Tabel16[[#This Row],[Date]])=DAY(EOMONTH(Tabel16[[#This Row],[Date]],0))),SUMIF(Tabel16[Semaine],Tabel16[[#This Row],[Semaine]],Tabel16[Total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17</v>
      </c>
      <c r="B30" s="20">
        <f t="shared" si="2"/>
        <v>45410</v>
      </c>
      <c r="C30" s="45" t="str" cm="1">
        <f t="array" ref="C3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IF(OR(WEEKDAY(Tabel16[[#This Row],[Date]],2)=7, DAY(Tabel16[[#This Row],[Date]])=DAY(EOMONTH(Tabel16[[#This Row],[Date]],0))),SUMIF(Tabel16[Semaine],Tabel16[[#This Row],[Semaine]],Tabel16[Total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18</v>
      </c>
      <c r="B31" s="20">
        <f t="shared" si="2"/>
        <v>45411</v>
      </c>
      <c r="C31" s="45" t="str" cm="1">
        <f t="array" ref="C3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IF(OR(WEEKDAY(Tabel16[[#This Row],[Date]],2)=7, DAY(Tabel16[[#This Row],[Date]])=DAY(EOMONTH(Tabel16[[#This Row],[Date]],0))),SUMIF(Tabel16[Semaine],Tabel16[[#This Row],[Semaine]],Tabel16[Total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18</v>
      </c>
      <c r="B32" s="20">
        <f t="shared" si="2"/>
        <v>45412</v>
      </c>
      <c r="C32" s="45" t="str" cm="1">
        <f t="array" ref="C3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IF(OR(WEEKDAY(Tabel16[[#This Row],[Date]],2)=7, DAY(Tabel16[[#This Row],[Date]])=DAY(EOMONTH(Tabel16[[#This Row],[Date]],0))),SUMIF(Tabel16[Semaine],Tabel16[[#This Row],[Semaine]],Tabel16[Total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35" priority="1">
      <formula>OR($C3="Arrêt maladie",$C3="Accident du travail")</formula>
    </cfRule>
    <cfRule type="expression" dxfId="34" priority="2">
      <formula>OR($C3="Congé",$C3="Congé pour évènement familial")</formula>
    </cfRule>
    <cfRule type="expression" dxfId="32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0E22DCF-FDD1-4C8C-A5F1-EA9C05459635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6E165A1C-5A13-4C91-955D-22A1A9669E5A}">
          <x14:formula1>
            <xm:f>#REF!</xm:f>
          </x14:formula1>
          <xm:sqref>C3:C32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8"/>
  <sheetViews>
    <sheetView topLeftCell="D1" zoomScale="85" zoomScaleNormal="85" workbookViewId="0">
      <selection activeCell="N5" sqref="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6" s="16" customFormat="1" ht="30" customHeight="1" x14ac:dyDescent="0.3">
      <c r="A1" s="38"/>
      <c r="B1" s="39">
        <f>SUBTOTAL(102,Tabel17[Date])</f>
        <v>31</v>
      </c>
      <c r="C1" s="43"/>
      <c r="D1" s="56">
        <f>SUBTOTAL(102,Tabel17[Ouverture de poste])</f>
        <v>0</v>
      </c>
      <c r="E1" s="39">
        <f>SUBTOTAL(102,Tabel17[Pause entre 06:00 et 21:00])</f>
        <v>0</v>
      </c>
      <c r="F1" s="39">
        <f>SUBTOTAL(102,Tabel17[Pause entre 21:00 et 06:00])</f>
        <v>0</v>
      </c>
      <c r="G1" s="39">
        <f>SUBTOTAL(102,Tabel17[Fermeture de poste])</f>
        <v>0</v>
      </c>
      <c r="H1" s="42">
        <f>SUBTOTAL(109,Tabel17[Total Heures])</f>
        <v>0</v>
      </c>
      <c r="I1" s="40">
        <f>SUBTOTAL(109,Tabel17[Heures de jour])</f>
        <v>0</v>
      </c>
      <c r="J1" s="40">
        <f>SUBTOTAL(109,Tabel17[Heures de nuit])</f>
        <v>0</v>
      </c>
      <c r="K1" s="35">
        <f>SUBTOTAL(109,Tabel17[Total semaine])</f>
        <v>0</v>
      </c>
      <c r="L1" s="40">
        <f>SUBTOTAL(109,Tabel17[Heures supplémentaires])</f>
        <v>0</v>
      </c>
      <c r="N1" s="17"/>
    </row>
    <row r="2" spans="1:16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6" ht="30" customHeight="1" x14ac:dyDescent="0.3">
      <c r="A3" s="19" t="str">
        <f t="shared" ref="A3:A33" si="0">""&amp;WEEKNUM(B3,2)</f>
        <v>18</v>
      </c>
      <c r="B3" s="20">
        <f>DATE(Détails!A1,5,1)</f>
        <v>45413</v>
      </c>
      <c r="C3" s="45" t="str" cm="1">
        <f t="array" ref="C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IF(OR(WEEKDAY(Tabel17[[#This Row],[Date]],2)=7, DAY(Tabel17[[#This Row],[Date]])=DAY(EOMONTH(Tabel17[[#This Row],[Date]],0))),SUMIF(Tabel17[Semaine],Tabel17[[#This Row],[Semaine]],Tabel17[Total Heures]),0)</f>
        <v>0</v>
      </c>
      <c r="L3" s="24" t="str">
        <f>IFERROR(IF(K3&gt;Détails!E$4,K3-Détails!E$4,""),0)</f>
        <v/>
      </c>
      <c r="N3" s="57" t="e">
        <f>IF(AND(NOT(ISNA(VLOOKUP(#REF!,Détails!$H$2:$H$16,1,0))),#REF!&gt;0),1)</f>
        <v>#REF!</v>
      </c>
      <c r="O3" s="25"/>
      <c r="P3" s="25"/>
    </row>
    <row r="4" spans="1:16" ht="30" customHeight="1" x14ac:dyDescent="0.3">
      <c r="A4" s="19" t="str">
        <f t="shared" si="0"/>
        <v>18</v>
      </c>
      <c r="B4" s="20">
        <f t="shared" ref="B4:B33" si="2">B3+1</f>
        <v>45414</v>
      </c>
      <c r="C4" s="45" t="str" cm="1">
        <f t="array" ref="C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IF(OR(WEEKDAY(Tabel17[[#This Row],[Date]],2)=7, DAY(Tabel17[[#This Row],[Date]])=DAY(EOMONTH(Tabel17[[#This Row],[Date]],0))),SUMIF(Tabel17[Semaine],Tabel17[[#This Row],[Semaine]],Tabel17[Total Heures]),0)</f>
        <v>0</v>
      </c>
      <c r="L4" s="24" t="str">
        <f>IFERROR(IF(K4&gt;Détails!E$4,K4-Détails!E$4,""),0)</f>
        <v/>
      </c>
      <c r="N4" s="57">
        <f>COUNTIFS(Tabel17[Ordre],"Férié")</f>
        <v>5</v>
      </c>
    </row>
    <row r="5" spans="1:16" ht="30" customHeight="1" x14ac:dyDescent="0.3">
      <c r="A5" s="19" t="str">
        <f t="shared" si="0"/>
        <v>18</v>
      </c>
      <c r="B5" s="20">
        <f t="shared" si="2"/>
        <v>45415</v>
      </c>
      <c r="C5" s="45" t="str" cm="1">
        <f t="array" ref="C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IF(OR(WEEKDAY(Tabel17[[#This Row],[Date]],2)=7, DAY(Tabel17[[#This Row],[Date]])=DAY(EOMONTH(Tabel17[[#This Row],[Date]],0))),SUMIF(Tabel17[Semaine],Tabel17[[#This Row],[Semaine]],Tabel17[Total Heures]),0)</f>
        <v>0</v>
      </c>
      <c r="L5" s="24" t="str">
        <f>IFERROR(IF(K5&gt;Détails!E$4,K5-Détails!E$4,""),0)</f>
        <v/>
      </c>
      <c r="N5" s="57">
        <f>COUNTIFS(Tabel17[Ordre],"Repos")</f>
        <v>0</v>
      </c>
    </row>
    <row r="6" spans="1:16" ht="30" customHeight="1" x14ac:dyDescent="0.3">
      <c r="A6" s="19" t="str">
        <f t="shared" si="0"/>
        <v>18</v>
      </c>
      <c r="B6" s="20">
        <f t="shared" si="2"/>
        <v>45416</v>
      </c>
      <c r="C6" s="45" t="str" cm="1">
        <f t="array" ref="C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IF(OR(WEEKDAY(Tabel17[[#This Row],[Date]],2)=7, DAY(Tabel17[[#This Row],[Date]])=DAY(EOMONTH(Tabel17[[#This Row],[Date]],0))),SUMIF(Tabel17[Semaine],Tabel17[[#This Row],[Semaine]],Tabel17[Total Heures]),0)</f>
        <v>0</v>
      </c>
      <c r="L6" s="24" t="str">
        <f>IFERROR(IF(K6&gt;Détails!E$4,K6-Détails!E$4,""),0)</f>
        <v/>
      </c>
      <c r="N6" s="26"/>
    </row>
    <row r="7" spans="1:16" ht="30" customHeight="1" x14ac:dyDescent="0.3">
      <c r="A7" s="19" t="str">
        <f t="shared" si="0"/>
        <v>18</v>
      </c>
      <c r="B7" s="20">
        <f t="shared" si="2"/>
        <v>45417</v>
      </c>
      <c r="C7" s="45" t="str" cm="1">
        <f t="array" ref="C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IF(OR(WEEKDAY(Tabel17[[#This Row],[Date]],2)=7, DAY(Tabel17[[#This Row],[Date]])=DAY(EOMONTH(Tabel17[[#This Row],[Date]],0))),SUMIF(Tabel17[Semaine],Tabel17[[#This Row],[Semaine]],Tabel17[Total Heures]),0)</f>
        <v>0</v>
      </c>
      <c r="L7" s="24" t="str">
        <f>IFERROR(IF(K7&gt;Détails!E$4,K7-Détails!E$4,""),0)</f>
        <v/>
      </c>
      <c r="N7" s="25"/>
    </row>
    <row r="8" spans="1:16" ht="30" customHeight="1" x14ac:dyDescent="0.3">
      <c r="A8" s="19" t="str">
        <f t="shared" si="0"/>
        <v>19</v>
      </c>
      <c r="B8" s="20">
        <f t="shared" si="2"/>
        <v>45418</v>
      </c>
      <c r="C8" s="45" t="str" cm="1">
        <f t="array" ref="C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IF(OR(WEEKDAY(Tabel17[[#This Row],[Date]],2)=7, DAY(Tabel17[[#This Row],[Date]])=DAY(EOMONTH(Tabel17[[#This Row],[Date]],0))),SUMIF(Tabel17[Semaine],Tabel17[[#This Row],[Semaine]],Tabel17[Total Heures]),0)</f>
        <v>0</v>
      </c>
      <c r="L8" s="24" t="str">
        <f>IFERROR(IF(K8&gt;Détails!E$4,K8-Détails!E$4,""),0)</f>
        <v/>
      </c>
      <c r="N8" s="25"/>
    </row>
    <row r="9" spans="1:16" ht="30" customHeight="1" x14ac:dyDescent="0.3">
      <c r="A9" s="19" t="str">
        <f t="shared" si="0"/>
        <v>19</v>
      </c>
      <c r="B9" s="20">
        <f t="shared" si="2"/>
        <v>45419</v>
      </c>
      <c r="C9" s="45" t="str" cm="1">
        <f t="array" ref="C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IF(OR(WEEKDAY(Tabel17[[#This Row],[Date]],2)=7, DAY(Tabel17[[#This Row],[Date]])=DAY(EOMONTH(Tabel17[[#This Row],[Date]],0))),SUMIF(Tabel17[Semaine],Tabel17[[#This Row],[Semaine]],Tabel17[Total Heures]),0)</f>
        <v>0</v>
      </c>
      <c r="L9" s="41" t="str">
        <f>IFERROR(IF(K9&gt;Détails!E$4,K9-Détails!E$4,""),0)</f>
        <v/>
      </c>
      <c r="N9" s="25"/>
    </row>
    <row r="10" spans="1:16" ht="30" customHeight="1" x14ac:dyDescent="0.3">
      <c r="A10" s="19" t="str">
        <f t="shared" si="0"/>
        <v>19</v>
      </c>
      <c r="B10" s="20">
        <f t="shared" si="2"/>
        <v>45420</v>
      </c>
      <c r="C10" s="45" t="str" cm="1">
        <f t="array" ref="C1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familial",IFERROR(IF(VLOOKUP($B10,Détails!$H$2:$H$16,1,0),"Férié",""),"")))))</f>
        <v>Férié</v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IF(OR(WEEKDAY(Tabel17[[#This Row],[Date]],2)=7, DAY(Tabel17[[#This Row],[Date]])=DAY(EOMONTH(Tabel17[[#This Row],[Date]],0))),SUMIF(Tabel17[Semaine],Tabel17[[#This Row],[Semaine]],Tabel17[Total Heures]),0)</f>
        <v>0</v>
      </c>
      <c r="L10" s="24" t="str">
        <f>IFERROR(IF(K10&gt;Détails!E$4,K10-Détails!E$4,""),0)</f>
        <v/>
      </c>
      <c r="N10" s="25"/>
    </row>
    <row r="11" spans="1:16" ht="30" customHeight="1" x14ac:dyDescent="0.3">
      <c r="A11" s="19" t="str">
        <f t="shared" si="0"/>
        <v>19</v>
      </c>
      <c r="B11" s="20">
        <f t="shared" si="2"/>
        <v>45421</v>
      </c>
      <c r="C11" s="45" t="str" cm="1">
        <f t="array" ref="C1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familial",IFERROR(IF(VLOOKUP($B11,Détails!$H$2:$H$16,1,0),"Férié",""),"")))))</f>
        <v>Férié</v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IF(OR(WEEKDAY(Tabel17[[#This Row],[Date]],2)=7, DAY(Tabel17[[#This Row],[Date]])=DAY(EOMONTH(Tabel17[[#This Row],[Date]],0))),SUMIF(Tabel17[Semaine],Tabel17[[#This Row],[Semaine]],Tabel17[Total Heures]),0)</f>
        <v>0</v>
      </c>
      <c r="L11" s="24" t="str">
        <f>IFERROR(IF(K11&gt;Détails!E$4,K11-Détails!E$4,""),0)</f>
        <v/>
      </c>
      <c r="N11" s="25"/>
    </row>
    <row r="12" spans="1:16" ht="30" customHeight="1" x14ac:dyDescent="0.3">
      <c r="A12" s="19" t="str">
        <f t="shared" si="0"/>
        <v>19</v>
      </c>
      <c r="B12" s="20">
        <f t="shared" si="2"/>
        <v>45422</v>
      </c>
      <c r="C12" s="45" t="str" cm="1">
        <f t="array" ref="C1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IF(OR(WEEKDAY(Tabel17[[#This Row],[Date]],2)=7, DAY(Tabel17[[#This Row],[Date]])=DAY(EOMONTH(Tabel17[[#This Row],[Date]],0))),SUMIF(Tabel17[Semaine],Tabel17[[#This Row],[Semaine]],Tabel17[Total Heures]),0)</f>
        <v>0</v>
      </c>
      <c r="L12" s="24" t="str">
        <f>IFERROR(IF(K12&gt;Détails!E$4,K12-Détails!E$4,""),0)</f>
        <v/>
      </c>
      <c r="N12" s="25"/>
    </row>
    <row r="13" spans="1:16" ht="30" customHeight="1" x14ac:dyDescent="0.3">
      <c r="A13" s="19" t="str">
        <f t="shared" si="0"/>
        <v>19</v>
      </c>
      <c r="B13" s="20">
        <f t="shared" si="2"/>
        <v>45423</v>
      </c>
      <c r="C13" s="45" t="str" cm="1">
        <f t="array" ref="C1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IF(OR(WEEKDAY(Tabel17[[#This Row],[Date]],2)=7, DAY(Tabel17[[#This Row],[Date]])=DAY(EOMONTH(Tabel17[[#This Row],[Date]],0))),SUMIF(Tabel17[Semaine],Tabel17[[#This Row],[Semaine]],Tabel17[Total Heures]),0)</f>
        <v>0</v>
      </c>
      <c r="L13" s="24" t="str">
        <f>IFERROR(IF(K13&gt;Détails!E$4,K13-Détails!E$4,""),0)</f>
        <v/>
      </c>
      <c r="N13" s="25"/>
    </row>
    <row r="14" spans="1:16" ht="30" customHeight="1" x14ac:dyDescent="0.3">
      <c r="A14" s="19" t="str">
        <f t="shared" si="0"/>
        <v>19</v>
      </c>
      <c r="B14" s="20">
        <f t="shared" si="2"/>
        <v>45424</v>
      </c>
      <c r="C14" s="45" t="str" cm="1">
        <f t="array" ref="C1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IF(OR(WEEKDAY(Tabel17[[#This Row],[Date]],2)=7, DAY(Tabel17[[#This Row],[Date]])=DAY(EOMONTH(Tabel17[[#This Row],[Date]],0))),SUMIF(Tabel17[Semaine],Tabel17[[#This Row],[Semaine]],Tabel17[Total Heures]),0)</f>
        <v>0</v>
      </c>
      <c r="L14" s="24" t="str">
        <f>IFERROR(IF(K14&gt;Détails!E$4,K14-Détails!E$4,""),0)</f>
        <v/>
      </c>
      <c r="N14" s="25"/>
    </row>
    <row r="15" spans="1:16" ht="30" customHeight="1" x14ac:dyDescent="0.3">
      <c r="A15" s="19" t="str">
        <f t="shared" si="0"/>
        <v>20</v>
      </c>
      <c r="B15" s="20">
        <f t="shared" si="2"/>
        <v>45425</v>
      </c>
      <c r="C15" s="45" t="str" cm="1">
        <f t="array" ref="C1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IF(OR(WEEKDAY(Tabel17[[#This Row],[Date]],2)=7, DAY(Tabel17[[#This Row],[Date]])=DAY(EOMONTH(Tabel17[[#This Row],[Date]],0))),SUMIF(Tabel17[Semaine],Tabel17[[#This Row],[Semaine]],Tabel17[Total Heures]),0)</f>
        <v>0</v>
      </c>
      <c r="L15" s="24" t="str">
        <f>IFERROR(IF(K15&gt;Détails!E$4,K15-Détails!E$4,""),0)</f>
        <v/>
      </c>
      <c r="N15" s="25"/>
    </row>
    <row r="16" spans="1:16" ht="30" customHeight="1" x14ac:dyDescent="0.3">
      <c r="A16" s="19" t="str">
        <f t="shared" si="0"/>
        <v>20</v>
      </c>
      <c r="B16" s="20">
        <f t="shared" si="2"/>
        <v>45426</v>
      </c>
      <c r="C16" s="45" t="str" cm="1">
        <f t="array" ref="C1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IF(OR(WEEKDAY(Tabel17[[#This Row],[Date]],2)=7, DAY(Tabel17[[#This Row],[Date]])=DAY(EOMONTH(Tabel17[[#This Row],[Date]],0))),SUMIF(Tabel17[Semaine],Tabel17[[#This Row],[Semaine]],Tabel17[Total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20</v>
      </c>
      <c r="B17" s="20">
        <f t="shared" si="2"/>
        <v>45427</v>
      </c>
      <c r="C17" s="45" t="str" cm="1">
        <f t="array" ref="C1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IF(OR(WEEKDAY(Tabel17[[#This Row],[Date]],2)=7, DAY(Tabel17[[#This Row],[Date]])=DAY(EOMONTH(Tabel17[[#This Row],[Date]],0))),SUMIF(Tabel17[Semaine],Tabel17[[#This Row],[Semaine]],Tabel17[Total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20</v>
      </c>
      <c r="B18" s="20">
        <f t="shared" si="2"/>
        <v>45428</v>
      </c>
      <c r="C18" s="45" t="str" cm="1">
        <f t="array" ref="C1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IF(OR(WEEKDAY(Tabel17[[#This Row],[Date]],2)=7, DAY(Tabel17[[#This Row],[Date]])=DAY(EOMONTH(Tabel17[[#This Row],[Date]],0))),SUMIF(Tabel17[Semaine],Tabel17[[#This Row],[Semaine]],Tabel17[Total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20</v>
      </c>
      <c r="B19" s="20">
        <f t="shared" si="2"/>
        <v>45429</v>
      </c>
      <c r="C19" s="45" t="str" cm="1">
        <f t="array" ref="C1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IF(OR(WEEKDAY(Tabel17[[#This Row],[Date]],2)=7, DAY(Tabel17[[#This Row],[Date]])=DAY(EOMONTH(Tabel17[[#This Row],[Date]],0))),SUMIF(Tabel17[Semaine],Tabel17[[#This Row],[Semaine]],Tabel17[Total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20</v>
      </c>
      <c r="B20" s="20">
        <f t="shared" si="2"/>
        <v>45430</v>
      </c>
      <c r="C20" s="45" t="str" cm="1">
        <f t="array" ref="C2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IF(OR(WEEKDAY(Tabel17[[#This Row],[Date]],2)=7, DAY(Tabel17[[#This Row],[Date]])=DAY(EOMONTH(Tabel17[[#This Row],[Date]],0))),SUMIF(Tabel17[Semaine],Tabel17[[#This Row],[Semaine]],Tabel17[Total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20</v>
      </c>
      <c r="B21" s="20">
        <f t="shared" si="2"/>
        <v>45431</v>
      </c>
      <c r="C21" s="45" t="str" cm="1">
        <f t="array" ref="C2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familial",IFERROR(IF(VLOOKUP($B21,Détails!$H$2:$H$16,1,0),"Férié",""),"")))))</f>
        <v>Férié</v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IF(OR(WEEKDAY(Tabel17[[#This Row],[Date]],2)=7, DAY(Tabel17[[#This Row],[Date]])=DAY(EOMONTH(Tabel17[[#This Row],[Date]],0))),SUMIF(Tabel17[Semaine],Tabel17[[#This Row],[Semaine]],Tabel17[Total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21</v>
      </c>
      <c r="B22" s="20">
        <f t="shared" si="2"/>
        <v>45432</v>
      </c>
      <c r="C22" s="45" t="str" cm="1">
        <f t="array" ref="C2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familial",IFERROR(IF(VLOOKUP($B22,Détails!$H$2:$H$16,1,0),"Férié",""),"")))))</f>
        <v>Férié</v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IF(OR(WEEKDAY(Tabel17[[#This Row],[Date]],2)=7, DAY(Tabel17[[#This Row],[Date]])=DAY(EOMONTH(Tabel17[[#This Row],[Date]],0))),SUMIF(Tabel17[Semaine],Tabel17[[#This Row],[Semaine]],Tabel17[Total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21</v>
      </c>
      <c r="B23" s="20">
        <f t="shared" si="2"/>
        <v>45433</v>
      </c>
      <c r="C23" s="45" t="str" cm="1">
        <f t="array" ref="C2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IF(OR(WEEKDAY(Tabel17[[#This Row],[Date]],2)=7, DAY(Tabel17[[#This Row],[Date]])=DAY(EOMONTH(Tabel17[[#This Row],[Date]],0))),SUMIF(Tabel17[Semaine],Tabel17[[#This Row],[Semaine]],Tabel17[Total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21</v>
      </c>
      <c r="B24" s="20">
        <f t="shared" si="2"/>
        <v>45434</v>
      </c>
      <c r="C24" s="45" t="str" cm="1">
        <f t="array" ref="C2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IF(OR(WEEKDAY(Tabel17[[#This Row],[Date]],2)=7, DAY(Tabel17[[#This Row],[Date]])=DAY(EOMONTH(Tabel17[[#This Row],[Date]],0))),SUMIF(Tabel17[Semaine],Tabel17[[#This Row],[Semaine]],Tabel17[Total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21</v>
      </c>
      <c r="B25" s="20">
        <f t="shared" si="2"/>
        <v>45435</v>
      </c>
      <c r="C25" s="45" t="str" cm="1">
        <f t="array" ref="C2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IF(OR(WEEKDAY(Tabel17[[#This Row],[Date]],2)=7, DAY(Tabel17[[#This Row],[Date]])=DAY(EOMONTH(Tabel17[[#This Row],[Date]],0))),SUMIF(Tabel17[Semaine],Tabel17[[#This Row],[Semaine]],Tabel17[Total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21</v>
      </c>
      <c r="B26" s="20">
        <f t="shared" si="2"/>
        <v>45436</v>
      </c>
      <c r="C26" s="45" t="str" cm="1">
        <f t="array" ref="C2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IF(OR(WEEKDAY(Tabel17[[#This Row],[Date]],2)=7, DAY(Tabel17[[#This Row],[Date]])=DAY(EOMONTH(Tabel17[[#This Row],[Date]],0))),SUMIF(Tabel17[Semaine],Tabel17[[#This Row],[Semaine]],Tabel17[Total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21</v>
      </c>
      <c r="B27" s="20">
        <f t="shared" si="2"/>
        <v>45437</v>
      </c>
      <c r="C27" s="45" t="str" cm="1">
        <f t="array" ref="C2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IF(OR(WEEKDAY(Tabel17[[#This Row],[Date]],2)=7, DAY(Tabel17[[#This Row],[Date]])=DAY(EOMONTH(Tabel17[[#This Row],[Date]],0))),SUMIF(Tabel17[Semaine],Tabel17[[#This Row],[Semaine]],Tabel17[Total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21</v>
      </c>
      <c r="B28" s="20">
        <f t="shared" si="2"/>
        <v>45438</v>
      </c>
      <c r="C28" s="45" t="str" cm="1">
        <f t="array" ref="C2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IF(OR(WEEKDAY(Tabel17[[#This Row],[Date]],2)=7, DAY(Tabel17[[#This Row],[Date]])=DAY(EOMONTH(Tabel17[[#This Row],[Date]],0))),SUMIF(Tabel17[Semaine],Tabel17[[#This Row],[Semaine]],Tabel17[Total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22</v>
      </c>
      <c r="B29" s="20">
        <f t="shared" si="2"/>
        <v>45439</v>
      </c>
      <c r="C29" s="45" t="str" cm="1">
        <f t="array" ref="C2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IF(OR(WEEKDAY(Tabel17[[#This Row],[Date]],2)=7, DAY(Tabel17[[#This Row],[Date]])=DAY(EOMONTH(Tabel17[[#This Row],[Date]],0))),SUMIF(Tabel17[Semaine],Tabel17[[#This Row],[Semaine]],Tabel17[Total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22</v>
      </c>
      <c r="B30" s="20">
        <f t="shared" si="2"/>
        <v>45440</v>
      </c>
      <c r="C30" s="45" t="str" cm="1">
        <f t="array" ref="C3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IF(OR(WEEKDAY(Tabel17[[#This Row],[Date]],2)=7, DAY(Tabel17[[#This Row],[Date]])=DAY(EOMONTH(Tabel17[[#This Row],[Date]],0))),SUMIF(Tabel17[Semaine],Tabel17[[#This Row],[Semaine]],Tabel17[Total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22</v>
      </c>
      <c r="B31" s="20">
        <f t="shared" si="2"/>
        <v>45441</v>
      </c>
      <c r="C31" s="45" t="str" cm="1">
        <f t="array" ref="C3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IF(OR(WEEKDAY(Tabel17[[#This Row],[Date]],2)=7, DAY(Tabel17[[#This Row],[Date]])=DAY(EOMONTH(Tabel17[[#This Row],[Date]],0))),SUMIF(Tabel17[Semaine],Tabel17[[#This Row],[Semaine]],Tabel17[Total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22</v>
      </c>
      <c r="B32" s="20">
        <f t="shared" si="2"/>
        <v>45442</v>
      </c>
      <c r="C32" s="45" t="str" cm="1">
        <f t="array" ref="C3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IF(OR(WEEKDAY(Tabel17[[#This Row],[Date]],2)=7, DAY(Tabel17[[#This Row],[Date]])=DAY(EOMONTH(Tabel17[[#This Row],[Date]],0))),SUMIF(Tabel17[Semaine],Tabel17[[#This Row],[Semaine]],Tabel17[Total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22</v>
      </c>
      <c r="B33" s="20">
        <f t="shared" si="2"/>
        <v>45443</v>
      </c>
      <c r="C33" s="45" t="str" cm="1">
        <f t="array" ref="C3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IF(OR(WEEKDAY(Tabel17[[#This Row],[Date]],2)=7, DAY(Tabel17[[#This Row],[Date]])=DAY(EOMONTH(Tabel17[[#This Row],[Date]],0))),SUMIF(Tabel17[Semaine],Tabel17[[#This Row],[Semaine]],Tabel17[Total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1" priority="1">
      <formula>OR($C3="Arrêt maladie",$C3="Accident du travail")</formula>
    </cfRule>
    <cfRule type="expression" dxfId="30" priority="2">
      <formula>OR($C3="Congé",$C3="Congé pour évènement familial")</formula>
    </cfRule>
    <cfRule type="expression" dxfId="28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090FFCE-B746-4C06-9DE6-08B70DD0F85F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D62151EA-C2DE-4EE6-9527-E0B55F997A97}">
          <x14:formula1>
            <xm:f>#REF!</xm:f>
          </x14:formula1>
          <xm:sqref>C3:C33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37"/>
  <sheetViews>
    <sheetView zoomScale="85" zoomScaleNormal="85" workbookViewId="0">
      <selection activeCell="Q14" sqref="Q14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SUBTOTAL(102,Tabel18[Date])</f>
        <v>30</v>
      </c>
      <c r="C1" s="43"/>
      <c r="D1" s="56">
        <f>SUBTOTAL(102,Tabel18[Ouverture de poste])</f>
        <v>0</v>
      </c>
      <c r="E1" s="39">
        <f>SUBTOTAL(102,Tabel18[Pause entre 06:00 et 21:00])</f>
        <v>0</v>
      </c>
      <c r="F1" s="39">
        <f>SUBTOTAL(102,Tabel18[Pause entre 21:00 et 06:00])</f>
        <v>0</v>
      </c>
      <c r="G1" s="39">
        <f>SUBTOTAL(102,Tabel18[Fermeture de poste])</f>
        <v>0</v>
      </c>
      <c r="H1" s="42">
        <f>SUBTOTAL(109,Tabel18[Total Heures])</f>
        <v>0</v>
      </c>
      <c r="I1" s="40">
        <f>SUBTOTAL(109,Tabel18[Heures de jour])</f>
        <v>0</v>
      </c>
      <c r="J1" s="40">
        <f>SUBTOTAL(109,Tabel18[Heures de nuit])</f>
        <v>0</v>
      </c>
      <c r="K1" s="35">
        <f>SUBTOTAL(109,Tabel18[Total semaine])</f>
        <v>0</v>
      </c>
      <c r="L1" s="40">
        <f>SUBTOTAL(109,Tabel18[Heures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2" si="0">""&amp;WEEKNUM(B3,2)</f>
        <v>22</v>
      </c>
      <c r="B3" s="20">
        <f>DATE(Détails!A1,6,1)</f>
        <v>45444</v>
      </c>
      <c r="C3" s="45" t="str" cm="1">
        <f t="array" ref="C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IF(OR(WEEKDAY(Tabel18[[#This Row],[Date]],2)=7, DAY(Tabel18[[#This Row],[Date]])=DAY(EOMONTH(Tabel18[[#This Row],[Date]],0))),SUMIF(Tabel18[Semaine],Tabel18[[#This Row],[Semaine]],Tabel18[Total Heures]),0)</f>
        <v>0</v>
      </c>
      <c r="L3" s="24" t="str">
        <f>IFERROR(IF(K3&gt;Détails!E$4,K3-Détails!E$4,""),0)</f>
        <v/>
      </c>
      <c r="N3" s="57">
        <f>COUNTIFS(Tabel18[Ordre],"En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22</v>
      </c>
      <c r="B4" s="20">
        <f t="shared" ref="B4:B32" si="2">B3+1</f>
        <v>45445</v>
      </c>
      <c r="C4" s="45" t="str" cm="1">
        <f t="array" ref="C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IF(OR(WEEKDAY(Tabel18[[#This Row],[Date]],2)=7, DAY(Tabel18[[#This Row],[Date]])=DAY(EOMONTH(Tabel18[[#This Row],[Date]],0))),SUMIF(Tabel18[Semaine],Tabel18[[#This Row],[Semaine]],Tabel18[Total Heures]),0)</f>
        <v>0</v>
      </c>
      <c r="L4" s="24" t="str">
        <f>IFERROR(IF(K4&gt;Détails!E$4,K4-Détails!E$4,""),0)</f>
        <v/>
      </c>
      <c r="N4" s="57">
        <f>COUNTIFS(Tabel18[Ordre],"Férié")</f>
        <v>0</v>
      </c>
    </row>
    <row r="5" spans="1:17" ht="30" customHeight="1" x14ac:dyDescent="0.3">
      <c r="A5" s="19" t="str">
        <f t="shared" si="0"/>
        <v>23</v>
      </c>
      <c r="B5" s="20">
        <f t="shared" si="2"/>
        <v>45446</v>
      </c>
      <c r="C5" s="45" t="str" cm="1">
        <f t="array" ref="C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IF(OR(WEEKDAY(Tabel18[[#This Row],[Date]],2)=7, DAY(Tabel18[[#This Row],[Date]])=DAY(EOMONTH(Tabel18[[#This Row],[Date]],0))),SUMIF(Tabel18[Semaine],Tabel18[[#This Row],[Semaine]],Tabel18[Total Heures]),0)</f>
        <v>0</v>
      </c>
      <c r="L5" s="24" t="str">
        <f>IFERROR(IF(K5&gt;Détails!E$4,K5-Détails!E$4,""),0)</f>
        <v/>
      </c>
      <c r="N5" s="57">
        <f>COUNTIFS(Tabel18[Ordre],"Repos")</f>
        <v>0</v>
      </c>
    </row>
    <row r="6" spans="1:17" ht="30" customHeight="1" x14ac:dyDescent="0.3">
      <c r="A6" s="19" t="str">
        <f t="shared" si="0"/>
        <v>23</v>
      </c>
      <c r="B6" s="20">
        <f t="shared" si="2"/>
        <v>45447</v>
      </c>
      <c r="C6" s="45" t="str" cm="1">
        <f t="array" ref="C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IF(OR(WEEKDAY(Tabel18[[#This Row],[Date]],2)=7, DAY(Tabel18[[#This Row],[Date]])=DAY(EOMONTH(Tabel18[[#This Row],[Date]],0))),SUMIF(Tabel18[Semaine],Tabel18[[#This Row],[Semaine]],Tabel18[Total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3">
      <c r="A7" s="19" t="str">
        <f t="shared" si="0"/>
        <v>23</v>
      </c>
      <c r="B7" s="20">
        <f t="shared" si="2"/>
        <v>45448</v>
      </c>
      <c r="C7" s="45" t="str" cm="1">
        <f t="array" ref="C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IF(OR(WEEKDAY(Tabel18[[#This Row],[Date]],2)=7, DAY(Tabel18[[#This Row],[Date]])=DAY(EOMONTH(Tabel18[[#This Row],[Date]],0))),SUMIF(Tabel18[Semaine],Tabel18[[#This Row],[Semaine]],Tabel18[Total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23</v>
      </c>
      <c r="B8" s="20">
        <f t="shared" si="2"/>
        <v>45449</v>
      </c>
      <c r="C8" s="45" t="str" cm="1">
        <f t="array" ref="C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IF(OR(WEEKDAY(Tabel18[[#This Row],[Date]],2)=7, DAY(Tabel18[[#This Row],[Date]])=DAY(EOMONTH(Tabel18[[#This Row],[Date]],0))),SUMIF(Tabel18[Semaine],Tabel18[[#This Row],[Semaine]],Tabel18[Total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23</v>
      </c>
      <c r="B9" s="20">
        <f t="shared" si="2"/>
        <v>45450</v>
      </c>
      <c r="C9" s="45" t="str" cm="1">
        <f t="array" ref="C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IF(OR(WEEKDAY(Tabel18[[#This Row],[Date]],2)=7, DAY(Tabel18[[#This Row],[Date]])=DAY(EOMONTH(Tabel18[[#This Row],[Date]],0))),SUMIF(Tabel18[Semaine],Tabel18[[#This Row],[Semaine]],Tabel18[Total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23</v>
      </c>
      <c r="B10" s="20">
        <f t="shared" si="2"/>
        <v>45451</v>
      </c>
      <c r="C10" s="45" t="str" cm="1">
        <f t="array" ref="C1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IF(OR(WEEKDAY(Tabel18[[#This Row],[Date]],2)=7, DAY(Tabel18[[#This Row],[Date]])=DAY(EOMONTH(Tabel18[[#This Row],[Date]],0))),SUMIF(Tabel18[Semaine],Tabel18[[#This Row],[Semaine]],Tabel18[Total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23</v>
      </c>
      <c r="B11" s="20">
        <f t="shared" si="2"/>
        <v>45452</v>
      </c>
      <c r="C11" s="45" t="str" cm="1">
        <f t="array" ref="C1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IF(OR(WEEKDAY(Tabel18[[#This Row],[Date]],2)=7, DAY(Tabel18[[#This Row],[Date]])=DAY(EOMONTH(Tabel18[[#This Row],[Date]],0))),SUMIF(Tabel18[Semaine],Tabel18[[#This Row],[Semaine]],Tabel18[Total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24</v>
      </c>
      <c r="B12" s="20">
        <f t="shared" si="2"/>
        <v>45453</v>
      </c>
      <c r="C12" s="45" t="str" cm="1">
        <f t="array" ref="C1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IF(OR(WEEKDAY(Tabel18[[#This Row],[Date]],2)=7, DAY(Tabel18[[#This Row],[Date]])=DAY(EOMONTH(Tabel18[[#This Row],[Date]],0))),SUMIF(Tabel18[Semaine],Tabel18[[#This Row],[Semaine]],Tabel18[Total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24</v>
      </c>
      <c r="B13" s="20">
        <f t="shared" si="2"/>
        <v>45454</v>
      </c>
      <c r="C13" s="45" t="str" cm="1">
        <f t="array" ref="C1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IF(OR(WEEKDAY(Tabel18[[#This Row],[Date]],2)=7, DAY(Tabel18[[#This Row],[Date]])=DAY(EOMONTH(Tabel18[[#This Row],[Date]],0))),SUMIF(Tabel18[Semaine],Tabel18[[#This Row],[Semaine]],Tabel18[Total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24</v>
      </c>
      <c r="B14" s="20">
        <f t="shared" si="2"/>
        <v>45455</v>
      </c>
      <c r="C14" s="45" t="str" cm="1">
        <f t="array" ref="C1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IF(OR(WEEKDAY(Tabel18[[#This Row],[Date]],2)=7, DAY(Tabel18[[#This Row],[Date]])=DAY(EOMONTH(Tabel18[[#This Row],[Date]],0))),SUMIF(Tabel18[Semaine],Tabel18[[#This Row],[Semaine]],Tabel18[Total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24</v>
      </c>
      <c r="B15" s="20">
        <f t="shared" si="2"/>
        <v>45456</v>
      </c>
      <c r="C15" s="45" t="str" cm="1">
        <f t="array" ref="C1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IF(OR(WEEKDAY(Tabel18[[#This Row],[Date]],2)=7, DAY(Tabel18[[#This Row],[Date]])=DAY(EOMONTH(Tabel18[[#This Row],[Date]],0))),SUMIF(Tabel18[Semaine],Tabel18[[#This Row],[Semaine]],Tabel18[Total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24</v>
      </c>
      <c r="B16" s="20">
        <f t="shared" si="2"/>
        <v>45457</v>
      </c>
      <c r="C16" s="45" t="str" cm="1">
        <f t="array" ref="C1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IF(OR(WEEKDAY(Tabel18[[#This Row],[Date]],2)=7, DAY(Tabel18[[#This Row],[Date]])=DAY(EOMONTH(Tabel18[[#This Row],[Date]],0))),SUMIF(Tabel18[Semaine],Tabel18[[#This Row],[Semaine]],Tabel18[Total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24</v>
      </c>
      <c r="B17" s="20">
        <f t="shared" si="2"/>
        <v>45458</v>
      </c>
      <c r="C17" s="45" t="str" cm="1">
        <f t="array" ref="C1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IF(OR(WEEKDAY(Tabel18[[#This Row],[Date]],2)=7, DAY(Tabel18[[#This Row],[Date]])=DAY(EOMONTH(Tabel18[[#This Row],[Date]],0))),SUMIF(Tabel18[Semaine],Tabel18[[#This Row],[Semaine]],Tabel18[Total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24</v>
      </c>
      <c r="B18" s="20">
        <f t="shared" si="2"/>
        <v>45459</v>
      </c>
      <c r="C18" s="45" t="str" cm="1">
        <f t="array" ref="C1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IF(OR(WEEKDAY(Tabel18[[#This Row],[Date]],2)=7, DAY(Tabel18[[#This Row],[Date]])=DAY(EOMONTH(Tabel18[[#This Row],[Date]],0))),SUMIF(Tabel18[Semaine],Tabel18[[#This Row],[Semaine]],Tabel18[Total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25</v>
      </c>
      <c r="B19" s="20">
        <f t="shared" si="2"/>
        <v>45460</v>
      </c>
      <c r="C19" s="45" t="str" cm="1">
        <f t="array" ref="C1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IF(OR(WEEKDAY(Tabel18[[#This Row],[Date]],2)=7, DAY(Tabel18[[#This Row],[Date]])=DAY(EOMONTH(Tabel18[[#This Row],[Date]],0))),SUMIF(Tabel18[Semaine],Tabel18[[#This Row],[Semaine]],Tabel18[Total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25</v>
      </c>
      <c r="B20" s="20">
        <f t="shared" si="2"/>
        <v>45461</v>
      </c>
      <c r="C20" s="45" t="str" cm="1">
        <f t="array" ref="C2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IF(OR(WEEKDAY(Tabel18[[#This Row],[Date]],2)=7, DAY(Tabel18[[#This Row],[Date]])=DAY(EOMONTH(Tabel18[[#This Row],[Date]],0))),SUMIF(Tabel18[Semaine],Tabel18[[#This Row],[Semaine]],Tabel18[Total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25</v>
      </c>
      <c r="B21" s="20">
        <f t="shared" si="2"/>
        <v>45462</v>
      </c>
      <c r="C21" s="45" t="str" cm="1">
        <f t="array" ref="C2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IF(OR(WEEKDAY(Tabel18[[#This Row],[Date]],2)=7, DAY(Tabel18[[#This Row],[Date]])=DAY(EOMONTH(Tabel18[[#This Row],[Date]],0))),SUMIF(Tabel18[Semaine],Tabel18[[#This Row],[Semaine]],Tabel18[Total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25</v>
      </c>
      <c r="B22" s="20">
        <f t="shared" si="2"/>
        <v>45463</v>
      </c>
      <c r="C22" s="45" t="str" cm="1">
        <f t="array" ref="C2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IF(OR(WEEKDAY(Tabel18[[#This Row],[Date]],2)=7, DAY(Tabel18[[#This Row],[Date]])=DAY(EOMONTH(Tabel18[[#This Row],[Date]],0))),SUMIF(Tabel18[Semaine],Tabel18[[#This Row],[Semaine]],Tabel18[Total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25</v>
      </c>
      <c r="B23" s="20">
        <f t="shared" si="2"/>
        <v>45464</v>
      </c>
      <c r="C23" s="45" t="str" cm="1">
        <f t="array" ref="C2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IF(OR(WEEKDAY(Tabel18[[#This Row],[Date]],2)=7, DAY(Tabel18[[#This Row],[Date]])=DAY(EOMONTH(Tabel18[[#This Row],[Date]],0))),SUMIF(Tabel18[Semaine],Tabel18[[#This Row],[Semaine]],Tabel18[Total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25</v>
      </c>
      <c r="B24" s="20">
        <f t="shared" si="2"/>
        <v>45465</v>
      </c>
      <c r="C24" s="45" t="str" cm="1">
        <f t="array" ref="C2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IF(OR(WEEKDAY(Tabel18[[#This Row],[Date]],2)=7, DAY(Tabel18[[#This Row],[Date]])=DAY(EOMONTH(Tabel18[[#This Row],[Date]],0))),SUMIF(Tabel18[Semaine],Tabel18[[#This Row],[Semaine]],Tabel18[Total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25</v>
      </c>
      <c r="B25" s="20">
        <f t="shared" si="2"/>
        <v>45466</v>
      </c>
      <c r="C25" s="45" t="str" cm="1">
        <f t="array" ref="C2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IF(OR(WEEKDAY(Tabel18[[#This Row],[Date]],2)=7, DAY(Tabel18[[#This Row],[Date]])=DAY(EOMONTH(Tabel18[[#This Row],[Date]],0))),SUMIF(Tabel18[Semaine],Tabel18[[#This Row],[Semaine]],Tabel18[Total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26</v>
      </c>
      <c r="B26" s="20">
        <f t="shared" si="2"/>
        <v>45467</v>
      </c>
      <c r="C26" s="45" t="str" cm="1">
        <f t="array" ref="C2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IF(OR(WEEKDAY(Tabel18[[#This Row],[Date]],2)=7, DAY(Tabel18[[#This Row],[Date]])=DAY(EOMONTH(Tabel18[[#This Row],[Date]],0))),SUMIF(Tabel18[Semaine],Tabel18[[#This Row],[Semaine]],Tabel18[Total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26</v>
      </c>
      <c r="B27" s="20">
        <f t="shared" si="2"/>
        <v>45468</v>
      </c>
      <c r="C27" s="45" t="str" cm="1">
        <f t="array" ref="C2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IF(OR(WEEKDAY(Tabel18[[#This Row],[Date]],2)=7, DAY(Tabel18[[#This Row],[Date]])=DAY(EOMONTH(Tabel18[[#This Row],[Date]],0))),SUMIF(Tabel18[Semaine],Tabel18[[#This Row],[Semaine]],Tabel18[Total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26</v>
      </c>
      <c r="B28" s="20">
        <f t="shared" si="2"/>
        <v>45469</v>
      </c>
      <c r="C28" s="45" t="str" cm="1">
        <f t="array" ref="C2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IF(OR(WEEKDAY(Tabel18[[#This Row],[Date]],2)=7, DAY(Tabel18[[#This Row],[Date]])=DAY(EOMONTH(Tabel18[[#This Row],[Date]],0))),SUMIF(Tabel18[Semaine],Tabel18[[#This Row],[Semaine]],Tabel18[Total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26</v>
      </c>
      <c r="B29" s="20">
        <f t="shared" si="2"/>
        <v>45470</v>
      </c>
      <c r="C29" s="45" t="str" cm="1">
        <f t="array" ref="C2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IF(OR(WEEKDAY(Tabel18[[#This Row],[Date]],2)=7, DAY(Tabel18[[#This Row],[Date]])=DAY(EOMONTH(Tabel18[[#This Row],[Date]],0))),SUMIF(Tabel18[Semaine],Tabel18[[#This Row],[Semaine]],Tabel18[Total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26</v>
      </c>
      <c r="B30" s="20">
        <f t="shared" si="2"/>
        <v>45471</v>
      </c>
      <c r="C30" s="45" t="str" cm="1">
        <f t="array" ref="C3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IF(OR(WEEKDAY(Tabel18[[#This Row],[Date]],2)=7, DAY(Tabel18[[#This Row],[Date]])=DAY(EOMONTH(Tabel18[[#This Row],[Date]],0))),SUMIF(Tabel18[Semaine],Tabel18[[#This Row],[Semaine]],Tabel18[Total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26</v>
      </c>
      <c r="B31" s="20">
        <f t="shared" si="2"/>
        <v>45472</v>
      </c>
      <c r="C31" s="45" t="str" cm="1">
        <f t="array" ref="C3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IF(OR(WEEKDAY(Tabel18[[#This Row],[Date]],2)=7, DAY(Tabel18[[#This Row],[Date]])=DAY(EOMONTH(Tabel18[[#This Row],[Date]],0))),SUMIF(Tabel18[Semaine],Tabel18[[#This Row],[Semaine]],Tabel18[Total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26</v>
      </c>
      <c r="B32" s="20">
        <f t="shared" si="2"/>
        <v>45473</v>
      </c>
      <c r="C32" s="45" t="str" cm="1">
        <f t="array" ref="C3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IF(OR(WEEKDAY(Tabel18[[#This Row],[Date]],2)=7, DAY(Tabel18[[#This Row],[Date]])=DAY(EOMONTH(Tabel18[[#This Row],[Date]],0))),SUMIF(Tabel18[Semaine],Tabel18[[#This Row],[Semaine]],Tabel18[Total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27" priority="1">
      <formula>OR($C3="Arrêt maladie",$C3="Accident du travail")</formula>
    </cfRule>
    <cfRule type="expression" dxfId="26" priority="2">
      <formula>OR($C3="Congé",$C3="Congé pour évènement familial")</formula>
    </cfRule>
    <cfRule type="expression" dxfId="24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EDD774C-8AB2-4BD4-B20D-6416EAE1B600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8622989E-5F3D-44FD-940F-CC620BAF05ED}">
          <x14:formula1>
            <xm:f>#REF!</xm:f>
          </x14:formula1>
          <xm:sqref>C3:C32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SUBTOTAL(102,Tabel19[Date])</f>
        <v>31</v>
      </c>
      <c r="C1" s="43"/>
      <c r="D1" s="56">
        <f>SUBTOTAL(102,Tabel19[Ouverture de poste])</f>
        <v>0</v>
      </c>
      <c r="E1" s="39">
        <f>SUBTOTAL(102,Tabel19[Pause entre 06:00 et 21:00])</f>
        <v>0</v>
      </c>
      <c r="F1" s="39">
        <f>SUBTOTAL(102,Tabel19[Pause entre 21:00 et 06:00])</f>
        <v>0</v>
      </c>
      <c r="G1" s="39">
        <f>SUBTOTAL(102,Tabel19[Fermeture de poste])</f>
        <v>0</v>
      </c>
      <c r="H1" s="42">
        <f>SUBTOTAL(109,Tabel19[Total Heures])</f>
        <v>0</v>
      </c>
      <c r="I1" s="40">
        <f>SUBTOTAL(109,Tabel19[Heures de jour])</f>
        <v>0</v>
      </c>
      <c r="J1" s="40">
        <f>SUBTOTAL(109,Tabel19[Heures de nuit])</f>
        <v>0</v>
      </c>
      <c r="K1" s="35">
        <f>SUBTOTAL(109,Tabel19[Total semaine])</f>
        <v>0</v>
      </c>
      <c r="L1" s="40">
        <f>SUBTOTAL(109,Tabel19[Heures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27</v>
      </c>
      <c r="B3" s="20">
        <f>DATE(Détails!A1,7,1)</f>
        <v>45474</v>
      </c>
      <c r="C3" s="45" t="str" cm="1">
        <f t="array" ref="C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IF(OR(WEEKDAY(Tabel19[[#This Row],[Date]],2)=7, DAY(Tabel19[[#This Row],[Date]])=DAY(EOMONTH(Tabel19[[#This Row],[Date]],0))),SUMIF(Tabel19[Semaine],Tabel19[[#This Row],[Semaine]],Tabel19[Total Heures]),0)</f>
        <v>0</v>
      </c>
      <c r="L3" s="24" t="str">
        <f>IFERROR(IF(K3&gt;Détails!E$4,K3-Détails!E$4,""),0)</f>
        <v/>
      </c>
      <c r="N3" s="57">
        <f>COUNTIFS(Tabel19[Ordre],"En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27</v>
      </c>
      <c r="B4" s="20">
        <f t="shared" ref="B4:B33" si="2">B3+1</f>
        <v>45475</v>
      </c>
      <c r="C4" s="45" t="str" cm="1">
        <f t="array" ref="C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IF(OR(WEEKDAY(Tabel19[[#This Row],[Date]],2)=7, DAY(Tabel19[[#This Row],[Date]])=DAY(EOMONTH(Tabel19[[#This Row],[Date]],0))),SUMIF(Tabel19[Semaine],Tabel19[[#This Row],[Semaine]],Tabel19[Total Heures]),0)</f>
        <v>0</v>
      </c>
      <c r="L4" s="24" t="str">
        <f>IFERROR(IF(K4&gt;Détails!E$4,K4-Détails!E$4,""),0)</f>
        <v/>
      </c>
      <c r="N4" s="57">
        <f>COUNTIFS(Tabel19[Ordre],"Férié")</f>
        <v>1</v>
      </c>
    </row>
    <row r="5" spans="1:17" ht="30" customHeight="1" x14ac:dyDescent="0.3">
      <c r="A5" s="19" t="str">
        <f t="shared" si="0"/>
        <v>27</v>
      </c>
      <c r="B5" s="20">
        <f t="shared" si="2"/>
        <v>45476</v>
      </c>
      <c r="C5" s="45" t="str" cm="1">
        <f t="array" ref="C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IF(OR(WEEKDAY(Tabel19[[#This Row],[Date]],2)=7, DAY(Tabel19[[#This Row],[Date]])=DAY(EOMONTH(Tabel19[[#This Row],[Date]],0))),SUMIF(Tabel19[Semaine],Tabel19[[#This Row],[Semaine]],Tabel19[Total Heures]),0)</f>
        <v>0</v>
      </c>
      <c r="L5" s="24" t="str">
        <f>IFERROR(IF(K5&gt;Détails!E$4,K5-Détails!E$4,""),0)</f>
        <v/>
      </c>
      <c r="N5" s="57">
        <f>COUNTIFS(Tabel19[Ordre],"Repos")</f>
        <v>0</v>
      </c>
    </row>
    <row r="6" spans="1:17" ht="30" customHeight="1" x14ac:dyDescent="0.3">
      <c r="A6" s="19" t="str">
        <f t="shared" si="0"/>
        <v>27</v>
      </c>
      <c r="B6" s="20">
        <f t="shared" si="2"/>
        <v>45477</v>
      </c>
      <c r="C6" s="45" t="str" cm="1">
        <f t="array" ref="C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IF(OR(WEEKDAY(Tabel19[[#This Row],[Date]],2)=7, DAY(Tabel19[[#This Row],[Date]])=DAY(EOMONTH(Tabel19[[#This Row],[Date]],0))),SUMIF(Tabel19[Semaine],Tabel19[[#This Row],[Semaine]],Tabel19[Total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27</v>
      </c>
      <c r="B7" s="20">
        <f t="shared" si="2"/>
        <v>45478</v>
      </c>
      <c r="C7" s="45" t="str" cm="1">
        <f t="array" ref="C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IF(OR(WEEKDAY(Tabel19[[#This Row],[Date]],2)=7, DAY(Tabel19[[#This Row],[Date]])=DAY(EOMONTH(Tabel19[[#This Row],[Date]],0))),SUMIF(Tabel19[Semaine],Tabel19[[#This Row],[Semaine]],Tabel19[Total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27</v>
      </c>
      <c r="B8" s="20">
        <f t="shared" si="2"/>
        <v>45479</v>
      </c>
      <c r="C8" s="45" t="str" cm="1">
        <f t="array" ref="C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IF(OR(WEEKDAY(Tabel19[[#This Row],[Date]],2)=7, DAY(Tabel19[[#This Row],[Date]])=DAY(EOMONTH(Tabel19[[#This Row],[Date]],0))),SUMIF(Tabel19[Semaine],Tabel19[[#This Row],[Semaine]],Tabel19[Total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27</v>
      </c>
      <c r="B9" s="20">
        <f t="shared" si="2"/>
        <v>45480</v>
      </c>
      <c r="C9" s="45" t="str" cm="1">
        <f t="array" ref="C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IF(OR(WEEKDAY(Tabel19[[#This Row],[Date]],2)=7, DAY(Tabel19[[#This Row],[Date]])=DAY(EOMONTH(Tabel19[[#This Row],[Date]],0))),SUMIF(Tabel19[Semaine],Tabel19[[#This Row],[Semaine]],Tabel19[Total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28</v>
      </c>
      <c r="B10" s="20">
        <f t="shared" si="2"/>
        <v>45481</v>
      </c>
      <c r="C10" s="45" t="str" cm="1">
        <f t="array" ref="C1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IF(OR(WEEKDAY(Tabel19[[#This Row],[Date]],2)=7, DAY(Tabel19[[#This Row],[Date]])=DAY(EOMONTH(Tabel19[[#This Row],[Date]],0))),SUMIF(Tabel19[Semaine],Tabel19[[#This Row],[Semaine]],Tabel19[Total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28</v>
      </c>
      <c r="B11" s="20">
        <f t="shared" si="2"/>
        <v>45482</v>
      </c>
      <c r="C11" s="45" t="str" cm="1">
        <f t="array" ref="C1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IF(OR(WEEKDAY(Tabel19[[#This Row],[Date]],2)=7, DAY(Tabel19[[#This Row],[Date]])=DAY(EOMONTH(Tabel19[[#This Row],[Date]],0))),SUMIF(Tabel19[Semaine],Tabel19[[#This Row],[Semaine]],Tabel19[Total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28</v>
      </c>
      <c r="B12" s="20">
        <f t="shared" si="2"/>
        <v>45483</v>
      </c>
      <c r="C12" s="45" t="str" cm="1">
        <f t="array" ref="C1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IF(OR(WEEKDAY(Tabel19[[#This Row],[Date]],2)=7, DAY(Tabel19[[#This Row],[Date]])=DAY(EOMONTH(Tabel19[[#This Row],[Date]],0))),SUMIF(Tabel19[Semaine],Tabel19[[#This Row],[Semaine]],Tabel19[Total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28</v>
      </c>
      <c r="B13" s="20">
        <f t="shared" si="2"/>
        <v>45484</v>
      </c>
      <c r="C13" s="45" t="str" cm="1">
        <f t="array" ref="C1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IF(OR(WEEKDAY(Tabel19[[#This Row],[Date]],2)=7, DAY(Tabel19[[#This Row],[Date]])=DAY(EOMONTH(Tabel19[[#This Row],[Date]],0))),SUMIF(Tabel19[Semaine],Tabel19[[#This Row],[Semaine]],Tabel19[Total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28</v>
      </c>
      <c r="B14" s="20">
        <f t="shared" si="2"/>
        <v>45485</v>
      </c>
      <c r="C14" s="45" t="str" cm="1">
        <f t="array" ref="C1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IF(OR(WEEKDAY(Tabel19[[#This Row],[Date]],2)=7, DAY(Tabel19[[#This Row],[Date]])=DAY(EOMONTH(Tabel19[[#This Row],[Date]],0))),SUMIF(Tabel19[Semaine],Tabel19[[#This Row],[Semaine]],Tabel19[Total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28</v>
      </c>
      <c r="B15" s="20">
        <f t="shared" si="2"/>
        <v>45486</v>
      </c>
      <c r="C15" s="45" t="str" cm="1">
        <f t="array" ref="C1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IF(OR(WEEKDAY(Tabel19[[#This Row],[Date]],2)=7, DAY(Tabel19[[#This Row],[Date]])=DAY(EOMONTH(Tabel19[[#This Row],[Date]],0))),SUMIF(Tabel19[Semaine],Tabel19[[#This Row],[Semaine]],Tabel19[Total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28</v>
      </c>
      <c r="B16" s="20">
        <f t="shared" si="2"/>
        <v>45487</v>
      </c>
      <c r="C16" s="45" t="str" cm="1">
        <f t="array" ref="C1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familial",IFERROR(IF(VLOOKUP($B16,Détails!$H$2:$H$16,1,0),"Férié",""),"")))))</f>
        <v>Férié</v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IF(OR(WEEKDAY(Tabel19[[#This Row],[Date]],2)=7, DAY(Tabel19[[#This Row],[Date]])=DAY(EOMONTH(Tabel19[[#This Row],[Date]],0))),SUMIF(Tabel19[Semaine],Tabel19[[#This Row],[Semaine]],Tabel19[Total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29</v>
      </c>
      <c r="B17" s="20">
        <f t="shared" si="2"/>
        <v>45488</v>
      </c>
      <c r="C17" s="45" t="str" cm="1">
        <f t="array" ref="C1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IF(OR(WEEKDAY(Tabel19[[#This Row],[Date]],2)=7, DAY(Tabel19[[#This Row],[Date]])=DAY(EOMONTH(Tabel19[[#This Row],[Date]],0))),SUMIF(Tabel19[Semaine],Tabel19[[#This Row],[Semaine]],Tabel19[Total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29</v>
      </c>
      <c r="B18" s="20">
        <f t="shared" si="2"/>
        <v>45489</v>
      </c>
      <c r="C18" s="45" t="str" cm="1">
        <f t="array" ref="C1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IF(OR(WEEKDAY(Tabel19[[#This Row],[Date]],2)=7, DAY(Tabel19[[#This Row],[Date]])=DAY(EOMONTH(Tabel19[[#This Row],[Date]],0))),SUMIF(Tabel19[Semaine],Tabel19[[#This Row],[Semaine]],Tabel19[Total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29</v>
      </c>
      <c r="B19" s="20">
        <f t="shared" si="2"/>
        <v>45490</v>
      </c>
      <c r="C19" s="45" t="str" cm="1">
        <f t="array" ref="C1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IF(OR(WEEKDAY(Tabel19[[#This Row],[Date]],2)=7, DAY(Tabel19[[#This Row],[Date]])=DAY(EOMONTH(Tabel19[[#This Row],[Date]],0))),SUMIF(Tabel19[Semaine],Tabel19[[#This Row],[Semaine]],Tabel19[Total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29</v>
      </c>
      <c r="B20" s="20">
        <f t="shared" si="2"/>
        <v>45491</v>
      </c>
      <c r="C20" s="45" t="str" cm="1">
        <f t="array" ref="C2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IF(OR(WEEKDAY(Tabel19[[#This Row],[Date]],2)=7, DAY(Tabel19[[#This Row],[Date]])=DAY(EOMONTH(Tabel19[[#This Row],[Date]],0))),SUMIF(Tabel19[Semaine],Tabel19[[#This Row],[Semaine]],Tabel19[Total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29</v>
      </c>
      <c r="B21" s="20">
        <f t="shared" si="2"/>
        <v>45492</v>
      </c>
      <c r="C21" s="45" t="str" cm="1">
        <f t="array" ref="C2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IF(OR(WEEKDAY(Tabel19[[#This Row],[Date]],2)=7, DAY(Tabel19[[#This Row],[Date]])=DAY(EOMONTH(Tabel19[[#This Row],[Date]],0))),SUMIF(Tabel19[Semaine],Tabel19[[#This Row],[Semaine]],Tabel19[Total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29</v>
      </c>
      <c r="B22" s="20">
        <f t="shared" si="2"/>
        <v>45493</v>
      </c>
      <c r="C22" s="45" t="str" cm="1">
        <f t="array" ref="C2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IF(OR(WEEKDAY(Tabel19[[#This Row],[Date]],2)=7, DAY(Tabel19[[#This Row],[Date]])=DAY(EOMONTH(Tabel19[[#This Row],[Date]],0))),SUMIF(Tabel19[Semaine],Tabel19[[#This Row],[Semaine]],Tabel19[Total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29</v>
      </c>
      <c r="B23" s="20">
        <f t="shared" si="2"/>
        <v>45494</v>
      </c>
      <c r="C23" s="45" t="str" cm="1">
        <f t="array" ref="C2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IF(OR(WEEKDAY(Tabel19[[#This Row],[Date]],2)=7, DAY(Tabel19[[#This Row],[Date]])=DAY(EOMONTH(Tabel19[[#This Row],[Date]],0))),SUMIF(Tabel19[Semaine],Tabel19[[#This Row],[Semaine]],Tabel19[Total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30</v>
      </c>
      <c r="B24" s="20">
        <f t="shared" si="2"/>
        <v>45495</v>
      </c>
      <c r="C24" s="45" t="str" cm="1">
        <f t="array" ref="C2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IF(OR(WEEKDAY(Tabel19[[#This Row],[Date]],2)=7, DAY(Tabel19[[#This Row],[Date]])=DAY(EOMONTH(Tabel19[[#This Row],[Date]],0))),SUMIF(Tabel19[Semaine],Tabel19[[#This Row],[Semaine]],Tabel19[Total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30</v>
      </c>
      <c r="B25" s="20">
        <f t="shared" si="2"/>
        <v>45496</v>
      </c>
      <c r="C25" s="45" t="str" cm="1">
        <f t="array" ref="C2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IF(OR(WEEKDAY(Tabel19[[#This Row],[Date]],2)=7, DAY(Tabel19[[#This Row],[Date]])=DAY(EOMONTH(Tabel19[[#This Row],[Date]],0))),SUMIF(Tabel19[Semaine],Tabel19[[#This Row],[Semaine]],Tabel19[Total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30</v>
      </c>
      <c r="B26" s="20">
        <f t="shared" si="2"/>
        <v>45497</v>
      </c>
      <c r="C26" s="45" t="str" cm="1">
        <f t="array" ref="C2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IF(OR(WEEKDAY(Tabel19[[#This Row],[Date]],2)=7, DAY(Tabel19[[#This Row],[Date]])=DAY(EOMONTH(Tabel19[[#This Row],[Date]],0))),SUMIF(Tabel19[Semaine],Tabel19[[#This Row],[Semaine]],Tabel19[Total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30</v>
      </c>
      <c r="B27" s="20">
        <f t="shared" si="2"/>
        <v>45498</v>
      </c>
      <c r="C27" s="45" t="str" cm="1">
        <f t="array" ref="C2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IF(OR(WEEKDAY(Tabel19[[#This Row],[Date]],2)=7, DAY(Tabel19[[#This Row],[Date]])=DAY(EOMONTH(Tabel19[[#This Row],[Date]],0))),SUMIF(Tabel19[Semaine],Tabel19[[#This Row],[Semaine]],Tabel19[Total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30</v>
      </c>
      <c r="B28" s="20">
        <f t="shared" si="2"/>
        <v>45499</v>
      </c>
      <c r="C28" s="45" t="str" cm="1">
        <f t="array" ref="C2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IF(OR(WEEKDAY(Tabel19[[#This Row],[Date]],2)=7, DAY(Tabel19[[#This Row],[Date]])=DAY(EOMONTH(Tabel19[[#This Row],[Date]],0))),SUMIF(Tabel19[Semaine],Tabel19[[#This Row],[Semaine]],Tabel19[Total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30</v>
      </c>
      <c r="B29" s="20">
        <f t="shared" si="2"/>
        <v>45500</v>
      </c>
      <c r="C29" s="45" t="str" cm="1">
        <f t="array" ref="C2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IF(OR(WEEKDAY(Tabel19[[#This Row],[Date]],2)=7, DAY(Tabel19[[#This Row],[Date]])=DAY(EOMONTH(Tabel19[[#This Row],[Date]],0))),SUMIF(Tabel19[Semaine],Tabel19[[#This Row],[Semaine]],Tabel19[Total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30</v>
      </c>
      <c r="B30" s="20">
        <f t="shared" si="2"/>
        <v>45501</v>
      </c>
      <c r="C30" s="45" t="str" cm="1">
        <f t="array" ref="C3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IF(OR(WEEKDAY(Tabel19[[#This Row],[Date]],2)=7, DAY(Tabel19[[#This Row],[Date]])=DAY(EOMONTH(Tabel19[[#This Row],[Date]],0))),SUMIF(Tabel19[Semaine],Tabel19[[#This Row],[Semaine]],Tabel19[Total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31</v>
      </c>
      <c r="B31" s="20">
        <f t="shared" si="2"/>
        <v>45502</v>
      </c>
      <c r="C31" s="45" t="str" cm="1">
        <f t="array" ref="C3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IF(OR(WEEKDAY(Tabel19[[#This Row],[Date]],2)=7, DAY(Tabel19[[#This Row],[Date]])=DAY(EOMONTH(Tabel19[[#This Row],[Date]],0))),SUMIF(Tabel19[Semaine],Tabel19[[#This Row],[Semaine]],Tabel19[Total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31</v>
      </c>
      <c r="B32" s="20">
        <f t="shared" si="2"/>
        <v>45503</v>
      </c>
      <c r="C32" s="45" t="str" cm="1">
        <f t="array" ref="C3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IF(OR(WEEKDAY(Tabel19[[#This Row],[Date]],2)=7, DAY(Tabel19[[#This Row],[Date]])=DAY(EOMONTH(Tabel19[[#This Row],[Date]],0))),SUMIF(Tabel19[Semaine],Tabel19[[#This Row],[Semaine]],Tabel19[Total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31</v>
      </c>
      <c r="B33" s="20">
        <f t="shared" si="2"/>
        <v>45504</v>
      </c>
      <c r="C33" s="45" t="str" cm="1">
        <f t="array" ref="C3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IF(OR(WEEKDAY(Tabel19[[#This Row],[Date]],2)=7, DAY(Tabel19[[#This Row],[Date]])=DAY(EOMONTH(Tabel19[[#This Row],[Date]],0))),SUMIF(Tabel19[Semaine],Tabel19[[#This Row],[Semaine]],Tabel19[Total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23" priority="1">
      <formula>OR($C3="Arrêt maladie",$C3="Accident du travail")</formula>
    </cfRule>
    <cfRule type="expression" dxfId="22" priority="2">
      <formula>OR($C3="Congé",$C3="Congé pour évènement familial")</formula>
    </cfRule>
    <cfRule type="expression" dxfId="20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A2EF74B-4978-4E70-90BB-EFB2D1BED867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1B584B6C-F6B9-4695-BD2C-F9616FAB1AA4}">
          <x14:formula1>
            <xm:f>#REF!</xm:f>
          </x14:formula1>
          <xm:sqref>C3:C33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SUBTOTAL(102,Tabel110[Date])</f>
        <v>31</v>
      </c>
      <c r="C1" s="43"/>
      <c r="D1" s="56">
        <f>SUBTOTAL(102,Tabel110[Ouverture de poste])</f>
        <v>0</v>
      </c>
      <c r="E1" s="39">
        <f>SUBTOTAL(102,Tabel110[Pause entre 06:00 et 21:00])</f>
        <v>0</v>
      </c>
      <c r="F1" s="39">
        <f>SUBTOTAL(102,Tabel110[Pause entre 21:00 et 06:00])</f>
        <v>0</v>
      </c>
      <c r="G1" s="39">
        <f>SUBTOTAL(102,Tabel110[Fermeture de poste])</f>
        <v>0</v>
      </c>
      <c r="H1" s="42">
        <f>SUBTOTAL(109,Tabel110[Total Heures])</f>
        <v>0</v>
      </c>
      <c r="I1" s="40">
        <f>SUBTOTAL(109,Tabel110[Heures de jour])</f>
        <v>0</v>
      </c>
      <c r="J1" s="40">
        <f>SUBTOTAL(109,Tabel110[Heures de nuit])</f>
        <v>0</v>
      </c>
      <c r="K1" s="35">
        <f>SUBTOTAL(109,Tabel110[Total semaine])</f>
        <v>0</v>
      </c>
      <c r="L1" s="40">
        <f>SUBTOTAL(109,Tabel110[Heures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31</v>
      </c>
      <c r="B3" s="20">
        <f>DATE(Détails!A1,8,1)</f>
        <v>45505</v>
      </c>
      <c r="C3" s="45" t="str" cm="1">
        <f t="array" ref="C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IF(OR(WEEKDAY(Tabel110[[#This Row],[Date]],2)=7, DAY(Tabel110[[#This Row],[Date]])=DAY(EOMONTH(Tabel110[[#This Row],[Date]],0))),SUMIF(Tabel110[Semaine],Tabel110[[#This Row],[Semaine]],Tabel110[Total Heures]),0)</f>
        <v>0</v>
      </c>
      <c r="L3" s="24" t="str">
        <f>IFERROR(IF(K3&gt;Détails!E$4,K3-Détails!E$4,""),0)</f>
        <v/>
      </c>
      <c r="N3" s="57">
        <f>COUNTIFS(Tabel110[Ordre],"En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31</v>
      </c>
      <c r="B4" s="20">
        <f t="shared" ref="B4:B33" si="2">B3+1</f>
        <v>45506</v>
      </c>
      <c r="C4" s="45" t="str" cm="1">
        <f t="array" ref="C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IF(OR(WEEKDAY(Tabel110[[#This Row],[Date]],2)=7, DAY(Tabel110[[#This Row],[Date]])=DAY(EOMONTH(Tabel110[[#This Row],[Date]],0))),SUMIF(Tabel110[Semaine],Tabel110[[#This Row],[Semaine]],Tabel110[Total Heures]),0)</f>
        <v>0</v>
      </c>
      <c r="L4" s="24" t="str">
        <f>IFERROR(IF(K4&gt;Détails!E$4,K4-Détails!E$4,""),0)</f>
        <v/>
      </c>
      <c r="N4" s="57">
        <f>COUNTIFS(Tabel110[Ordre],"Férié")</f>
        <v>1</v>
      </c>
    </row>
    <row r="5" spans="1:17" ht="30" customHeight="1" x14ac:dyDescent="0.3">
      <c r="A5" s="19" t="str">
        <f t="shared" si="0"/>
        <v>31</v>
      </c>
      <c r="B5" s="20">
        <f t="shared" si="2"/>
        <v>45507</v>
      </c>
      <c r="C5" s="45" t="str" cm="1">
        <f t="array" ref="C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IF(OR(WEEKDAY(Tabel110[[#This Row],[Date]],2)=7, DAY(Tabel110[[#This Row],[Date]])=DAY(EOMONTH(Tabel110[[#This Row],[Date]],0))),SUMIF(Tabel110[Semaine],Tabel110[[#This Row],[Semaine]],Tabel110[Total Heures]),0)</f>
        <v>0</v>
      </c>
      <c r="L5" s="24" t="str">
        <f>IFERROR(IF(K5&gt;Détails!E$4,K5-Détails!E$4,""),0)</f>
        <v/>
      </c>
      <c r="N5" s="57">
        <f>COUNTIFS(Tabel110[Ordre],"Repos")</f>
        <v>0</v>
      </c>
    </row>
    <row r="6" spans="1:17" ht="30" customHeight="1" x14ac:dyDescent="0.3">
      <c r="A6" s="19" t="str">
        <f t="shared" si="0"/>
        <v>31</v>
      </c>
      <c r="B6" s="20">
        <f t="shared" si="2"/>
        <v>45508</v>
      </c>
      <c r="C6" s="45" t="str" cm="1">
        <f t="array" ref="C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IF(OR(WEEKDAY(Tabel110[[#This Row],[Date]],2)=7, DAY(Tabel110[[#This Row],[Date]])=DAY(EOMONTH(Tabel110[[#This Row],[Date]],0))),SUMIF(Tabel110[Semaine],Tabel110[[#This Row],[Semaine]],Tabel110[Total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32</v>
      </c>
      <c r="B7" s="20">
        <f t="shared" si="2"/>
        <v>45509</v>
      </c>
      <c r="C7" s="45" t="str" cm="1">
        <f t="array" ref="C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IF(OR(WEEKDAY(Tabel110[[#This Row],[Date]],2)=7, DAY(Tabel110[[#This Row],[Date]])=DAY(EOMONTH(Tabel110[[#This Row],[Date]],0))),SUMIF(Tabel110[Semaine],Tabel110[[#This Row],[Semaine]],Tabel110[Total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32</v>
      </c>
      <c r="B8" s="20">
        <f t="shared" si="2"/>
        <v>45510</v>
      </c>
      <c r="C8" s="45" t="str" cm="1">
        <f t="array" ref="C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IF(OR(WEEKDAY(Tabel110[[#This Row],[Date]],2)=7, DAY(Tabel110[[#This Row],[Date]])=DAY(EOMONTH(Tabel110[[#This Row],[Date]],0))),SUMIF(Tabel110[Semaine],Tabel110[[#This Row],[Semaine]],Tabel110[Total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32</v>
      </c>
      <c r="B9" s="20">
        <f t="shared" si="2"/>
        <v>45511</v>
      </c>
      <c r="C9" s="45" t="str" cm="1">
        <f t="array" ref="C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IF(OR(WEEKDAY(Tabel110[[#This Row],[Date]],2)=7, DAY(Tabel110[[#This Row],[Date]])=DAY(EOMONTH(Tabel110[[#This Row],[Date]],0))),SUMIF(Tabel110[Semaine],Tabel110[[#This Row],[Semaine]],Tabel110[Total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32</v>
      </c>
      <c r="B10" s="20">
        <f t="shared" si="2"/>
        <v>45512</v>
      </c>
      <c r="C10" s="45" t="str" cm="1">
        <f t="array" ref="C1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IF(OR(WEEKDAY(Tabel110[[#This Row],[Date]],2)=7, DAY(Tabel110[[#This Row],[Date]])=DAY(EOMONTH(Tabel110[[#This Row],[Date]],0))),SUMIF(Tabel110[Semaine],Tabel110[[#This Row],[Semaine]],Tabel110[Total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32</v>
      </c>
      <c r="B11" s="20">
        <f t="shared" si="2"/>
        <v>45513</v>
      </c>
      <c r="C11" s="45" t="str" cm="1">
        <f t="array" ref="C1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IF(OR(WEEKDAY(Tabel110[[#This Row],[Date]],2)=7, DAY(Tabel110[[#This Row],[Date]])=DAY(EOMONTH(Tabel110[[#This Row],[Date]],0))),SUMIF(Tabel110[Semaine],Tabel110[[#This Row],[Semaine]],Tabel110[Total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32</v>
      </c>
      <c r="B12" s="20">
        <f t="shared" si="2"/>
        <v>45514</v>
      </c>
      <c r="C12" s="45" t="str" cm="1">
        <f t="array" ref="C1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IF(OR(WEEKDAY(Tabel110[[#This Row],[Date]],2)=7, DAY(Tabel110[[#This Row],[Date]])=DAY(EOMONTH(Tabel110[[#This Row],[Date]],0))),SUMIF(Tabel110[Semaine],Tabel110[[#This Row],[Semaine]],Tabel110[Total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32</v>
      </c>
      <c r="B13" s="20">
        <f t="shared" si="2"/>
        <v>45515</v>
      </c>
      <c r="C13" s="45" t="str" cm="1">
        <f t="array" ref="C1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IF(OR(WEEKDAY(Tabel110[[#This Row],[Date]],2)=7, DAY(Tabel110[[#This Row],[Date]])=DAY(EOMONTH(Tabel110[[#This Row],[Date]],0))),SUMIF(Tabel110[Semaine],Tabel110[[#This Row],[Semaine]],Tabel110[Total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33</v>
      </c>
      <c r="B14" s="20">
        <f t="shared" si="2"/>
        <v>45516</v>
      </c>
      <c r="C14" s="45" t="str" cm="1">
        <f t="array" ref="C1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IF(OR(WEEKDAY(Tabel110[[#This Row],[Date]],2)=7, DAY(Tabel110[[#This Row],[Date]])=DAY(EOMONTH(Tabel110[[#This Row],[Date]],0))),SUMIF(Tabel110[Semaine],Tabel110[[#This Row],[Semaine]],Tabel110[Total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33</v>
      </c>
      <c r="B15" s="20">
        <f t="shared" si="2"/>
        <v>45517</v>
      </c>
      <c r="C15" s="45" t="str" cm="1">
        <f t="array" ref="C1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IF(OR(WEEKDAY(Tabel110[[#This Row],[Date]],2)=7, DAY(Tabel110[[#This Row],[Date]])=DAY(EOMONTH(Tabel110[[#This Row],[Date]],0))),SUMIF(Tabel110[Semaine],Tabel110[[#This Row],[Semaine]],Tabel110[Total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33</v>
      </c>
      <c r="B16" s="20">
        <f t="shared" si="2"/>
        <v>45518</v>
      </c>
      <c r="C16" s="45" t="str" cm="1">
        <f t="array" ref="C1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IF(OR(WEEKDAY(Tabel110[[#This Row],[Date]],2)=7, DAY(Tabel110[[#This Row],[Date]])=DAY(EOMONTH(Tabel110[[#This Row],[Date]],0))),SUMIF(Tabel110[Semaine],Tabel110[[#This Row],[Semaine]],Tabel110[Total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33</v>
      </c>
      <c r="B17" s="20">
        <f t="shared" si="2"/>
        <v>45519</v>
      </c>
      <c r="C17" s="45" t="str" cm="1">
        <f t="array" ref="C1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familial",IFERROR(IF(VLOOKUP($B17,Détails!$H$2:$H$16,1,0),"Férié",""),"")))))</f>
        <v>Férié</v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IF(OR(WEEKDAY(Tabel110[[#This Row],[Date]],2)=7, DAY(Tabel110[[#This Row],[Date]])=DAY(EOMONTH(Tabel110[[#This Row],[Date]],0))),SUMIF(Tabel110[Semaine],Tabel110[[#This Row],[Semaine]],Tabel110[Total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33</v>
      </c>
      <c r="B18" s="20">
        <f t="shared" si="2"/>
        <v>45520</v>
      </c>
      <c r="C18" s="45" t="str" cm="1">
        <f t="array" ref="C1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IF(OR(WEEKDAY(Tabel110[[#This Row],[Date]],2)=7, DAY(Tabel110[[#This Row],[Date]])=DAY(EOMONTH(Tabel110[[#This Row],[Date]],0))),SUMIF(Tabel110[Semaine],Tabel110[[#This Row],[Semaine]],Tabel110[Total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33</v>
      </c>
      <c r="B19" s="20">
        <f t="shared" si="2"/>
        <v>45521</v>
      </c>
      <c r="C19" s="45" t="str" cm="1">
        <f t="array" ref="C1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IF(OR(WEEKDAY(Tabel110[[#This Row],[Date]],2)=7, DAY(Tabel110[[#This Row],[Date]])=DAY(EOMONTH(Tabel110[[#This Row],[Date]],0))),SUMIF(Tabel110[Semaine],Tabel110[[#This Row],[Semaine]],Tabel110[Total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33</v>
      </c>
      <c r="B20" s="20">
        <f t="shared" si="2"/>
        <v>45522</v>
      </c>
      <c r="C20" s="45" t="str" cm="1">
        <f t="array" ref="C2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IF(OR(WEEKDAY(Tabel110[[#This Row],[Date]],2)=7, DAY(Tabel110[[#This Row],[Date]])=DAY(EOMONTH(Tabel110[[#This Row],[Date]],0))),SUMIF(Tabel110[Semaine],Tabel110[[#This Row],[Semaine]],Tabel110[Total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34</v>
      </c>
      <c r="B21" s="20">
        <f t="shared" si="2"/>
        <v>45523</v>
      </c>
      <c r="C21" s="45" t="str" cm="1">
        <f t="array" ref="C2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IF(OR(WEEKDAY(Tabel110[[#This Row],[Date]],2)=7, DAY(Tabel110[[#This Row],[Date]])=DAY(EOMONTH(Tabel110[[#This Row],[Date]],0))),SUMIF(Tabel110[Semaine],Tabel110[[#This Row],[Semaine]],Tabel110[Total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34</v>
      </c>
      <c r="B22" s="20">
        <f t="shared" si="2"/>
        <v>45524</v>
      </c>
      <c r="C22" s="45" t="str" cm="1">
        <f t="array" ref="C2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IF(OR(WEEKDAY(Tabel110[[#This Row],[Date]],2)=7, DAY(Tabel110[[#This Row],[Date]])=DAY(EOMONTH(Tabel110[[#This Row],[Date]],0))),SUMIF(Tabel110[Semaine],Tabel110[[#This Row],[Semaine]],Tabel110[Total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34</v>
      </c>
      <c r="B23" s="20">
        <f t="shared" si="2"/>
        <v>45525</v>
      </c>
      <c r="C23" s="45" t="str" cm="1">
        <f t="array" ref="C2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IF(OR(WEEKDAY(Tabel110[[#This Row],[Date]],2)=7, DAY(Tabel110[[#This Row],[Date]])=DAY(EOMONTH(Tabel110[[#This Row],[Date]],0))),SUMIF(Tabel110[Semaine],Tabel110[[#This Row],[Semaine]],Tabel110[Total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34</v>
      </c>
      <c r="B24" s="20">
        <f t="shared" si="2"/>
        <v>45526</v>
      </c>
      <c r="C24" s="45" t="str" cm="1">
        <f t="array" ref="C2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IF(OR(WEEKDAY(Tabel110[[#This Row],[Date]],2)=7, DAY(Tabel110[[#This Row],[Date]])=DAY(EOMONTH(Tabel110[[#This Row],[Date]],0))),SUMIF(Tabel110[Semaine],Tabel110[[#This Row],[Semaine]],Tabel110[Total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34</v>
      </c>
      <c r="B25" s="20">
        <f t="shared" si="2"/>
        <v>45527</v>
      </c>
      <c r="C25" s="45" t="str" cm="1">
        <f t="array" ref="C2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IF(OR(WEEKDAY(Tabel110[[#This Row],[Date]],2)=7, DAY(Tabel110[[#This Row],[Date]])=DAY(EOMONTH(Tabel110[[#This Row],[Date]],0))),SUMIF(Tabel110[Semaine],Tabel110[[#This Row],[Semaine]],Tabel110[Total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34</v>
      </c>
      <c r="B26" s="20">
        <f t="shared" si="2"/>
        <v>45528</v>
      </c>
      <c r="C26" s="45" t="str" cm="1">
        <f t="array" ref="C2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IF(OR(WEEKDAY(Tabel110[[#This Row],[Date]],2)=7, DAY(Tabel110[[#This Row],[Date]])=DAY(EOMONTH(Tabel110[[#This Row],[Date]],0))),SUMIF(Tabel110[Semaine],Tabel110[[#This Row],[Semaine]],Tabel110[Total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34</v>
      </c>
      <c r="B27" s="20">
        <f t="shared" si="2"/>
        <v>45529</v>
      </c>
      <c r="C27" s="45" t="str" cm="1">
        <f t="array" ref="C2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IF(OR(WEEKDAY(Tabel110[[#This Row],[Date]],2)=7, DAY(Tabel110[[#This Row],[Date]])=DAY(EOMONTH(Tabel110[[#This Row],[Date]],0))),SUMIF(Tabel110[Semaine],Tabel110[[#This Row],[Semaine]],Tabel110[Total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35</v>
      </c>
      <c r="B28" s="20">
        <f t="shared" si="2"/>
        <v>45530</v>
      </c>
      <c r="C28" s="45" t="str" cm="1">
        <f t="array" ref="C2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IF(OR(WEEKDAY(Tabel110[[#This Row],[Date]],2)=7, DAY(Tabel110[[#This Row],[Date]])=DAY(EOMONTH(Tabel110[[#This Row],[Date]],0))),SUMIF(Tabel110[Semaine],Tabel110[[#This Row],[Semaine]],Tabel110[Total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35</v>
      </c>
      <c r="B29" s="20">
        <f t="shared" si="2"/>
        <v>45531</v>
      </c>
      <c r="C29" s="45" t="str" cm="1">
        <f t="array" ref="C2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IF(OR(WEEKDAY(Tabel110[[#This Row],[Date]],2)=7, DAY(Tabel110[[#This Row],[Date]])=DAY(EOMONTH(Tabel110[[#This Row],[Date]],0))),SUMIF(Tabel110[Semaine],Tabel110[[#This Row],[Semaine]],Tabel110[Total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35</v>
      </c>
      <c r="B30" s="20">
        <f t="shared" si="2"/>
        <v>45532</v>
      </c>
      <c r="C30" s="45" t="str" cm="1">
        <f t="array" ref="C3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IF(OR(WEEKDAY(Tabel110[[#This Row],[Date]],2)=7, DAY(Tabel110[[#This Row],[Date]])=DAY(EOMONTH(Tabel110[[#This Row],[Date]],0))),SUMIF(Tabel110[Semaine],Tabel110[[#This Row],[Semaine]],Tabel110[Total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35</v>
      </c>
      <c r="B31" s="20">
        <f t="shared" si="2"/>
        <v>45533</v>
      </c>
      <c r="C31" s="45" t="str" cm="1">
        <f t="array" ref="C3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IF(OR(WEEKDAY(Tabel110[[#This Row],[Date]],2)=7, DAY(Tabel110[[#This Row],[Date]])=DAY(EOMONTH(Tabel110[[#This Row],[Date]],0))),SUMIF(Tabel110[Semaine],Tabel110[[#This Row],[Semaine]],Tabel110[Total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35</v>
      </c>
      <c r="B32" s="20">
        <f t="shared" si="2"/>
        <v>45534</v>
      </c>
      <c r="C32" s="45" t="str" cm="1">
        <f t="array" ref="C3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IF(OR(WEEKDAY(Tabel110[[#This Row],[Date]],2)=7, DAY(Tabel110[[#This Row],[Date]])=DAY(EOMONTH(Tabel110[[#This Row],[Date]],0))),SUMIF(Tabel110[Semaine],Tabel110[[#This Row],[Semaine]],Tabel110[Total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35</v>
      </c>
      <c r="B33" s="20">
        <f t="shared" si="2"/>
        <v>45535</v>
      </c>
      <c r="C33" s="45" t="str" cm="1">
        <f t="array" ref="C3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IF(OR(WEEKDAY(Tabel110[[#This Row],[Date]],2)=7, DAY(Tabel110[[#This Row],[Date]])=DAY(EOMONTH(Tabel110[[#This Row],[Date]],0))),SUMIF(Tabel110[Semaine],Tabel110[[#This Row],[Semaine]],Tabel110[Total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19" priority="1">
      <formula>OR($C3="Arrêt maladie",$C3="Accident du travail")</formula>
    </cfRule>
    <cfRule type="expression" dxfId="18" priority="2">
      <formula>OR($C3="Congé",$C3="Congé pour évènement familial")</formula>
    </cfRule>
    <cfRule type="expression" dxfId="16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E0594FB-62A1-46D8-AE22-D5D3F234EDB3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48E94DCF-890A-4A67-8A85-B09A526008BC}">
          <x14:formula1>
            <xm:f>#REF!</xm:f>
          </x14:formula1>
          <xm:sqref>C3:C33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37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SUBTOTAL(102,Tabel111[Date])</f>
        <v>30</v>
      </c>
      <c r="C1" s="43"/>
      <c r="D1" s="56">
        <f>SUBTOTAL(102,Tabel111[Ouverture de poste])</f>
        <v>0</v>
      </c>
      <c r="E1" s="39">
        <f>SUBTOTAL(102,Tabel111[Pause entre 06:00 et 21:00])</f>
        <v>0</v>
      </c>
      <c r="F1" s="39">
        <f>SUBTOTAL(102,Tabel111[Pause entre 21:00 et 06:00])</f>
        <v>0</v>
      </c>
      <c r="G1" s="39">
        <f>SUBTOTAL(102,Tabel111[Fermeture de poste])</f>
        <v>0</v>
      </c>
      <c r="H1" s="42">
        <f>SUBTOTAL(109,Tabel111[Total Heures])</f>
        <v>0</v>
      </c>
      <c r="I1" s="40">
        <f>SUBTOTAL(109,Tabel111[Heures de jour])</f>
        <v>0</v>
      </c>
      <c r="J1" s="40">
        <f>SUBTOTAL(109,Tabel111[Heures de nuit])</f>
        <v>0</v>
      </c>
      <c r="K1" s="35">
        <f>SUBTOTAL(109,Tabel111[Total semaine])</f>
        <v>0</v>
      </c>
      <c r="L1" s="40">
        <f>SUBTOTAL(109,Tabel111[Heures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2" si="0">""&amp;WEEKNUM(B3,2)</f>
        <v>35</v>
      </c>
      <c r="B3" s="20">
        <f>DATE(Détails!A1,9,1)</f>
        <v>45536</v>
      </c>
      <c r="C3" s="45" t="str" cm="1">
        <f t="array" ref="C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IF(OR(WEEKDAY(Tabel111[[#This Row],[Date]],2)=7, DAY(Tabel111[[#This Row],[Date]])=DAY(EOMONTH(Tabel111[[#This Row],[Date]],0))),SUMIF(Tabel111[Semaine],Tabel111[[#This Row],[Semaine]],Tabel111[Total Heures]),0)</f>
        <v>0</v>
      </c>
      <c r="L3" s="24" t="str">
        <f>IFERROR(IF(K3&gt;Détails!E$4,K3-Détails!E$4,""),0)</f>
        <v/>
      </c>
      <c r="N3" s="57">
        <f>COUNTIFS(Tabel111[Ordre],"En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36</v>
      </c>
      <c r="B4" s="20">
        <f t="shared" ref="B4:B32" si="2">B3+1</f>
        <v>45537</v>
      </c>
      <c r="C4" s="45" t="str" cm="1">
        <f t="array" ref="C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IF(OR(WEEKDAY(Tabel111[[#This Row],[Date]],2)=7, DAY(Tabel111[[#This Row],[Date]])=DAY(EOMONTH(Tabel111[[#This Row],[Date]],0))),SUMIF(Tabel111[Semaine],Tabel111[[#This Row],[Semaine]],Tabel111[Total Heures]),0)</f>
        <v>0</v>
      </c>
      <c r="L4" s="24" t="str">
        <f>IFERROR(IF(K4&gt;Détails!E$4,K4-Détails!E$4,""),0)</f>
        <v/>
      </c>
      <c r="N4" s="57">
        <f>COUNTIFS(Tabel111[Ordre],"Férié")</f>
        <v>0</v>
      </c>
    </row>
    <row r="5" spans="1:17" ht="30" customHeight="1" x14ac:dyDescent="0.3">
      <c r="A5" s="19" t="str">
        <f t="shared" si="0"/>
        <v>36</v>
      </c>
      <c r="B5" s="20">
        <f t="shared" si="2"/>
        <v>45538</v>
      </c>
      <c r="C5" s="45" t="str" cm="1">
        <f t="array" ref="C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IF(OR(WEEKDAY(Tabel111[[#This Row],[Date]],2)=7, DAY(Tabel111[[#This Row],[Date]])=DAY(EOMONTH(Tabel111[[#This Row],[Date]],0))),SUMIF(Tabel111[Semaine],Tabel111[[#This Row],[Semaine]],Tabel111[Total Heures]),0)</f>
        <v>0</v>
      </c>
      <c r="L5" s="24" t="str">
        <f>IFERROR(IF(K5&gt;Détails!E$4,K5-Détails!E$4,""),0)</f>
        <v/>
      </c>
      <c r="N5" s="57">
        <f>COUNTIFS(Tabel111[Ordre],"Repos")</f>
        <v>0</v>
      </c>
    </row>
    <row r="6" spans="1:17" ht="30" customHeight="1" x14ac:dyDescent="0.3">
      <c r="A6" s="19" t="str">
        <f t="shared" si="0"/>
        <v>36</v>
      </c>
      <c r="B6" s="20">
        <f t="shared" si="2"/>
        <v>45539</v>
      </c>
      <c r="C6" s="45" t="str" cm="1">
        <f t="array" ref="C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IF(OR(WEEKDAY(Tabel111[[#This Row],[Date]],2)=7, DAY(Tabel111[[#This Row],[Date]])=DAY(EOMONTH(Tabel111[[#This Row],[Date]],0))),SUMIF(Tabel111[Semaine],Tabel111[[#This Row],[Semaine]],Tabel111[Total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36</v>
      </c>
      <c r="B7" s="20">
        <f t="shared" si="2"/>
        <v>45540</v>
      </c>
      <c r="C7" s="45" t="str" cm="1">
        <f t="array" ref="C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IF(OR(WEEKDAY(Tabel111[[#This Row],[Date]],2)=7, DAY(Tabel111[[#This Row],[Date]])=DAY(EOMONTH(Tabel111[[#This Row],[Date]],0))),SUMIF(Tabel111[Semaine],Tabel111[[#This Row],[Semaine]],Tabel111[Total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36</v>
      </c>
      <c r="B8" s="20">
        <f t="shared" si="2"/>
        <v>45541</v>
      </c>
      <c r="C8" s="45" t="str" cm="1">
        <f t="array" ref="C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IF(OR(WEEKDAY(Tabel111[[#This Row],[Date]],2)=7, DAY(Tabel111[[#This Row],[Date]])=DAY(EOMONTH(Tabel111[[#This Row],[Date]],0))),SUMIF(Tabel111[Semaine],Tabel111[[#This Row],[Semaine]],Tabel111[Total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36</v>
      </c>
      <c r="B9" s="20">
        <f t="shared" si="2"/>
        <v>45542</v>
      </c>
      <c r="C9" s="45" t="str" cm="1">
        <f t="array" ref="C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IF(OR(WEEKDAY(Tabel111[[#This Row],[Date]],2)=7, DAY(Tabel111[[#This Row],[Date]])=DAY(EOMONTH(Tabel111[[#This Row],[Date]],0))),SUMIF(Tabel111[Semaine],Tabel111[[#This Row],[Semaine]],Tabel111[Total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36</v>
      </c>
      <c r="B10" s="20">
        <f t="shared" si="2"/>
        <v>45543</v>
      </c>
      <c r="C10" s="45" t="str" cm="1">
        <f t="array" ref="C1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IF(OR(WEEKDAY(Tabel111[[#This Row],[Date]],2)=7, DAY(Tabel111[[#This Row],[Date]])=DAY(EOMONTH(Tabel111[[#This Row],[Date]],0))),SUMIF(Tabel111[Semaine],Tabel111[[#This Row],[Semaine]],Tabel111[Total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37</v>
      </c>
      <c r="B11" s="20">
        <f t="shared" si="2"/>
        <v>45544</v>
      </c>
      <c r="C11" s="45" t="str" cm="1">
        <f t="array" ref="C1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IF(OR(WEEKDAY(Tabel111[[#This Row],[Date]],2)=7, DAY(Tabel111[[#This Row],[Date]])=DAY(EOMONTH(Tabel111[[#This Row],[Date]],0))),SUMIF(Tabel111[Semaine],Tabel111[[#This Row],[Semaine]],Tabel111[Total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37</v>
      </c>
      <c r="B12" s="20">
        <f t="shared" si="2"/>
        <v>45545</v>
      </c>
      <c r="C12" s="45" t="str" cm="1">
        <f t="array" ref="C1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IF(OR(WEEKDAY(Tabel111[[#This Row],[Date]],2)=7, DAY(Tabel111[[#This Row],[Date]])=DAY(EOMONTH(Tabel111[[#This Row],[Date]],0))),SUMIF(Tabel111[Semaine],Tabel111[[#This Row],[Semaine]],Tabel111[Total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37</v>
      </c>
      <c r="B13" s="20">
        <f t="shared" si="2"/>
        <v>45546</v>
      </c>
      <c r="C13" s="45" t="str" cm="1">
        <f t="array" ref="C1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IF(OR(WEEKDAY(Tabel111[[#This Row],[Date]],2)=7, DAY(Tabel111[[#This Row],[Date]])=DAY(EOMONTH(Tabel111[[#This Row],[Date]],0))),SUMIF(Tabel111[Semaine],Tabel111[[#This Row],[Semaine]],Tabel111[Total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37</v>
      </c>
      <c r="B14" s="20">
        <f t="shared" si="2"/>
        <v>45547</v>
      </c>
      <c r="C14" s="45" t="str" cm="1">
        <f t="array" ref="C1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IF(OR(WEEKDAY(Tabel111[[#This Row],[Date]],2)=7, DAY(Tabel111[[#This Row],[Date]])=DAY(EOMONTH(Tabel111[[#This Row],[Date]],0))),SUMIF(Tabel111[Semaine],Tabel111[[#This Row],[Semaine]],Tabel111[Total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37</v>
      </c>
      <c r="B15" s="20">
        <f t="shared" si="2"/>
        <v>45548</v>
      </c>
      <c r="C15" s="45" t="str" cm="1">
        <f t="array" ref="C1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IF(OR(WEEKDAY(Tabel111[[#This Row],[Date]],2)=7, DAY(Tabel111[[#This Row],[Date]])=DAY(EOMONTH(Tabel111[[#This Row],[Date]],0))),SUMIF(Tabel111[Semaine],Tabel111[[#This Row],[Semaine]],Tabel111[Total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37</v>
      </c>
      <c r="B16" s="20">
        <f t="shared" si="2"/>
        <v>45549</v>
      </c>
      <c r="C16" s="45" t="str" cm="1">
        <f t="array" ref="C1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IF(OR(WEEKDAY(Tabel111[[#This Row],[Date]],2)=7, DAY(Tabel111[[#This Row],[Date]])=DAY(EOMONTH(Tabel111[[#This Row],[Date]],0))),SUMIF(Tabel111[Semaine],Tabel111[[#This Row],[Semaine]],Tabel111[Total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37</v>
      </c>
      <c r="B17" s="20">
        <f t="shared" si="2"/>
        <v>45550</v>
      </c>
      <c r="C17" s="45" t="str" cm="1">
        <f t="array" ref="C1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IF(OR(WEEKDAY(Tabel111[[#This Row],[Date]],2)=7, DAY(Tabel111[[#This Row],[Date]])=DAY(EOMONTH(Tabel111[[#This Row],[Date]],0))),SUMIF(Tabel111[Semaine],Tabel111[[#This Row],[Semaine]],Tabel111[Total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38</v>
      </c>
      <c r="B18" s="20">
        <f t="shared" si="2"/>
        <v>45551</v>
      </c>
      <c r="C18" s="45" t="str" cm="1">
        <f t="array" ref="C1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IF(OR(WEEKDAY(Tabel111[[#This Row],[Date]],2)=7, DAY(Tabel111[[#This Row],[Date]])=DAY(EOMONTH(Tabel111[[#This Row],[Date]],0))),SUMIF(Tabel111[Semaine],Tabel111[[#This Row],[Semaine]],Tabel111[Total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38</v>
      </c>
      <c r="B19" s="20">
        <f t="shared" si="2"/>
        <v>45552</v>
      </c>
      <c r="C19" s="45" t="str" cm="1">
        <f t="array" ref="C1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IF(OR(WEEKDAY(Tabel111[[#This Row],[Date]],2)=7, DAY(Tabel111[[#This Row],[Date]])=DAY(EOMONTH(Tabel111[[#This Row],[Date]],0))),SUMIF(Tabel111[Semaine],Tabel111[[#This Row],[Semaine]],Tabel111[Total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38</v>
      </c>
      <c r="B20" s="20">
        <f t="shared" si="2"/>
        <v>45553</v>
      </c>
      <c r="C20" s="45" t="str" cm="1">
        <f t="array" ref="C2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IF(OR(WEEKDAY(Tabel111[[#This Row],[Date]],2)=7, DAY(Tabel111[[#This Row],[Date]])=DAY(EOMONTH(Tabel111[[#This Row],[Date]],0))),SUMIF(Tabel111[Semaine],Tabel111[[#This Row],[Semaine]],Tabel111[Total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38</v>
      </c>
      <c r="B21" s="20">
        <f t="shared" si="2"/>
        <v>45554</v>
      </c>
      <c r="C21" s="45" t="str" cm="1">
        <f t="array" ref="C2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IF(OR(WEEKDAY(Tabel111[[#This Row],[Date]],2)=7, DAY(Tabel111[[#This Row],[Date]])=DAY(EOMONTH(Tabel111[[#This Row],[Date]],0))),SUMIF(Tabel111[Semaine],Tabel111[[#This Row],[Semaine]],Tabel111[Total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38</v>
      </c>
      <c r="B22" s="20">
        <f t="shared" si="2"/>
        <v>45555</v>
      </c>
      <c r="C22" s="45" t="str" cm="1">
        <f t="array" ref="C2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IF(OR(WEEKDAY(Tabel111[[#This Row],[Date]],2)=7, DAY(Tabel111[[#This Row],[Date]])=DAY(EOMONTH(Tabel111[[#This Row],[Date]],0))),SUMIF(Tabel111[Semaine],Tabel111[[#This Row],[Semaine]],Tabel111[Total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38</v>
      </c>
      <c r="B23" s="20">
        <f t="shared" si="2"/>
        <v>45556</v>
      </c>
      <c r="C23" s="45" t="str" cm="1">
        <f t="array" ref="C2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IF(OR(WEEKDAY(Tabel111[[#This Row],[Date]],2)=7, DAY(Tabel111[[#This Row],[Date]])=DAY(EOMONTH(Tabel111[[#This Row],[Date]],0))),SUMIF(Tabel111[Semaine],Tabel111[[#This Row],[Semaine]],Tabel111[Total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38</v>
      </c>
      <c r="B24" s="20">
        <f t="shared" si="2"/>
        <v>45557</v>
      </c>
      <c r="C24" s="45" t="str" cm="1">
        <f t="array" ref="C2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IF(OR(WEEKDAY(Tabel111[[#This Row],[Date]],2)=7, DAY(Tabel111[[#This Row],[Date]])=DAY(EOMONTH(Tabel111[[#This Row],[Date]],0))),SUMIF(Tabel111[Semaine],Tabel111[[#This Row],[Semaine]],Tabel111[Total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39</v>
      </c>
      <c r="B25" s="20">
        <f t="shared" si="2"/>
        <v>45558</v>
      </c>
      <c r="C25" s="45" t="str" cm="1">
        <f t="array" ref="C2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IF(OR(WEEKDAY(Tabel111[[#This Row],[Date]],2)=7, DAY(Tabel111[[#This Row],[Date]])=DAY(EOMONTH(Tabel111[[#This Row],[Date]],0))),SUMIF(Tabel111[Semaine],Tabel111[[#This Row],[Semaine]],Tabel111[Total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39</v>
      </c>
      <c r="B26" s="20">
        <f t="shared" si="2"/>
        <v>45559</v>
      </c>
      <c r="C26" s="45" t="str" cm="1">
        <f t="array" ref="C2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IF(OR(WEEKDAY(Tabel111[[#This Row],[Date]],2)=7, DAY(Tabel111[[#This Row],[Date]])=DAY(EOMONTH(Tabel111[[#This Row],[Date]],0))),SUMIF(Tabel111[Semaine],Tabel111[[#This Row],[Semaine]],Tabel111[Total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39</v>
      </c>
      <c r="B27" s="20">
        <f t="shared" si="2"/>
        <v>45560</v>
      </c>
      <c r="C27" s="45" t="str" cm="1">
        <f t="array" ref="C2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IF(OR(WEEKDAY(Tabel111[[#This Row],[Date]],2)=7, DAY(Tabel111[[#This Row],[Date]])=DAY(EOMONTH(Tabel111[[#This Row],[Date]],0))),SUMIF(Tabel111[Semaine],Tabel111[[#This Row],[Semaine]],Tabel111[Total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39</v>
      </c>
      <c r="B28" s="20">
        <f t="shared" si="2"/>
        <v>45561</v>
      </c>
      <c r="C28" s="45" t="str" cm="1">
        <f t="array" ref="C2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IF(OR(WEEKDAY(Tabel111[[#This Row],[Date]],2)=7, DAY(Tabel111[[#This Row],[Date]])=DAY(EOMONTH(Tabel111[[#This Row],[Date]],0))),SUMIF(Tabel111[Semaine],Tabel111[[#This Row],[Semaine]],Tabel111[Total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39</v>
      </c>
      <c r="B29" s="20">
        <f t="shared" si="2"/>
        <v>45562</v>
      </c>
      <c r="C29" s="45" t="str" cm="1">
        <f t="array" ref="C2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IF(OR(WEEKDAY(Tabel111[[#This Row],[Date]],2)=7, DAY(Tabel111[[#This Row],[Date]])=DAY(EOMONTH(Tabel111[[#This Row],[Date]],0))),SUMIF(Tabel111[Semaine],Tabel111[[#This Row],[Semaine]],Tabel111[Total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39</v>
      </c>
      <c r="B30" s="20">
        <f t="shared" si="2"/>
        <v>45563</v>
      </c>
      <c r="C30" s="45" t="str" cm="1">
        <f t="array" ref="C3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IF(OR(WEEKDAY(Tabel111[[#This Row],[Date]],2)=7, DAY(Tabel111[[#This Row],[Date]])=DAY(EOMONTH(Tabel111[[#This Row],[Date]],0))),SUMIF(Tabel111[Semaine],Tabel111[[#This Row],[Semaine]],Tabel111[Total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39</v>
      </c>
      <c r="B31" s="20">
        <f t="shared" si="2"/>
        <v>45564</v>
      </c>
      <c r="C31" s="45" t="str" cm="1">
        <f t="array" ref="C3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IF(OR(WEEKDAY(Tabel111[[#This Row],[Date]],2)=7, DAY(Tabel111[[#This Row],[Date]])=DAY(EOMONTH(Tabel111[[#This Row],[Date]],0))),SUMIF(Tabel111[Semaine],Tabel111[[#This Row],[Semaine]],Tabel111[Total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40</v>
      </c>
      <c r="B32" s="20">
        <f t="shared" si="2"/>
        <v>45565</v>
      </c>
      <c r="C32" s="45" t="str" cm="1">
        <f t="array" ref="C3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IF(OR(WEEKDAY(Tabel111[[#This Row],[Date]],2)=7, DAY(Tabel111[[#This Row],[Date]])=DAY(EOMONTH(Tabel111[[#This Row],[Date]],0))),SUMIF(Tabel111[Semaine],Tabel111[[#This Row],[Semaine]],Tabel111[Total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15" priority="1">
      <formula>OR($C3="Arrêt maladie",$C3="Accident du travail")</formula>
    </cfRule>
    <cfRule type="expression" dxfId="14" priority="2">
      <formula>OR($C3="Congé",$C3="Congé pour évènement familial")</formula>
    </cfRule>
    <cfRule type="expression" dxfId="12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4AFF01A-BE68-484F-AEC5-94DED3F7B719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DBEC4C08-DB29-4BE1-B275-0EE6CDF20505}">
          <x14:formula1>
            <xm:f>#REF!</xm:f>
          </x14:formula1>
          <xm:sqref>C3:C32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SUBTOTAL(102,Tabel113[Date])</f>
        <v>31</v>
      </c>
      <c r="C1" s="43"/>
      <c r="D1" s="56">
        <f>SUBTOTAL(102,Tabel113[Ouverture de poste])</f>
        <v>0</v>
      </c>
      <c r="E1" s="39">
        <f>SUBTOTAL(102,Tabel113[Pause entre 06:00 et 21:00])</f>
        <v>0</v>
      </c>
      <c r="F1" s="39">
        <f>SUBTOTAL(102,Tabel113[Pause entre 21:00 et 06:00])</f>
        <v>0</v>
      </c>
      <c r="G1" s="39">
        <f>SUBTOTAL(102,Tabel113[Fermeture de poste])</f>
        <v>0</v>
      </c>
      <c r="H1" s="42">
        <f>SUBTOTAL(109,Tabel113[Total Heures])</f>
        <v>0</v>
      </c>
      <c r="I1" s="40">
        <f>SUBTOTAL(109,Tabel113[Heures de jour])</f>
        <v>0</v>
      </c>
      <c r="J1" s="40">
        <f>SUBTOTAL(109,Tabel113[Heures de nuit])</f>
        <v>0</v>
      </c>
      <c r="K1" s="35">
        <f>SUBTOTAL(109,Tabel113[Total semaine])</f>
        <v>0</v>
      </c>
      <c r="L1" s="40">
        <f>SUBTOTAL(109,Tabel113[Heures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40</v>
      </c>
      <c r="B3" s="20">
        <f>DATE(Détails!A1,10,1)</f>
        <v>45566</v>
      </c>
      <c r="C3" s="45" t="str" cm="1">
        <f t="array" ref="C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IF(OR(WEEKDAY(Tabel113[[#This Row],[Date]],2)=7, DAY(Tabel113[[#This Row],[Date]])=DAY(EOMONTH(Tabel113[[#This Row],[Date]],0))),SUMIF(Tabel113[Semaine],Tabel113[[#This Row],[Semaine]],Tabel113[Total Heures]),0)</f>
        <v>0</v>
      </c>
      <c r="L3" s="24" t="str">
        <f>IFERROR(IF(K3&gt;Détails!E$4,K3-Détails!E$4,""),0)</f>
        <v/>
      </c>
      <c r="N3" s="57">
        <f>COUNTIFS(Tabel113[Ordre],"En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40</v>
      </c>
      <c r="B4" s="20">
        <f t="shared" ref="B4:B33" si="2">B3+1</f>
        <v>45567</v>
      </c>
      <c r="C4" s="45" t="str" cm="1">
        <f t="array" ref="C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IF(OR(WEEKDAY(Tabel113[[#This Row],[Date]],2)=7, DAY(Tabel113[[#This Row],[Date]])=DAY(EOMONTH(Tabel113[[#This Row],[Date]],0))),SUMIF(Tabel113[Semaine],Tabel113[[#This Row],[Semaine]],Tabel113[Total Heures]),0)</f>
        <v>0</v>
      </c>
      <c r="L4" s="24" t="str">
        <f>IFERROR(IF(K4&gt;Détails!E$4,K4-Détails!E$4,""),0)</f>
        <v/>
      </c>
      <c r="N4" s="57">
        <f>COUNTIFS(Tabel113[Ordre],"Férié")</f>
        <v>0</v>
      </c>
    </row>
    <row r="5" spans="1:17" ht="30" customHeight="1" x14ac:dyDescent="0.3">
      <c r="A5" s="19" t="str">
        <f t="shared" si="0"/>
        <v>40</v>
      </c>
      <c r="B5" s="20">
        <f t="shared" si="2"/>
        <v>45568</v>
      </c>
      <c r="C5" s="45" t="str" cm="1">
        <f t="array" ref="C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IF(OR(WEEKDAY(Tabel113[[#This Row],[Date]],2)=7, DAY(Tabel113[[#This Row],[Date]])=DAY(EOMONTH(Tabel113[[#This Row],[Date]],0))),SUMIF(Tabel113[Semaine],Tabel113[[#This Row],[Semaine]],Tabel113[Total Heures]),0)</f>
        <v>0</v>
      </c>
      <c r="L5" s="24" t="str">
        <f>IFERROR(IF(K5&gt;Détails!E$4,K5-Détails!E$4,""),0)</f>
        <v/>
      </c>
      <c r="N5" s="57">
        <f>COUNTIFS(Tabel113[Ordre],"Repos")</f>
        <v>0</v>
      </c>
    </row>
    <row r="6" spans="1:17" ht="30" customHeight="1" x14ac:dyDescent="0.3">
      <c r="A6" s="19" t="str">
        <f t="shared" si="0"/>
        <v>40</v>
      </c>
      <c r="B6" s="20">
        <f t="shared" si="2"/>
        <v>45569</v>
      </c>
      <c r="C6" s="45" t="str" cm="1">
        <f t="array" ref="C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IF(OR(WEEKDAY(Tabel113[[#This Row],[Date]],2)=7, DAY(Tabel113[[#This Row],[Date]])=DAY(EOMONTH(Tabel113[[#This Row],[Date]],0))),SUMIF(Tabel113[Semaine],Tabel113[[#This Row],[Semaine]],Tabel113[Total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40</v>
      </c>
      <c r="B7" s="20">
        <f t="shared" si="2"/>
        <v>45570</v>
      </c>
      <c r="C7" s="45" t="str" cm="1">
        <f t="array" ref="C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IF(OR(WEEKDAY(Tabel113[[#This Row],[Date]],2)=7, DAY(Tabel113[[#This Row],[Date]])=DAY(EOMONTH(Tabel113[[#This Row],[Date]],0))),SUMIF(Tabel113[Semaine],Tabel113[[#This Row],[Semaine]],Tabel113[Total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40</v>
      </c>
      <c r="B8" s="20">
        <f t="shared" si="2"/>
        <v>45571</v>
      </c>
      <c r="C8" s="45" t="str" cm="1">
        <f t="array" ref="C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IF(OR(WEEKDAY(Tabel113[[#This Row],[Date]],2)=7, DAY(Tabel113[[#This Row],[Date]])=DAY(EOMONTH(Tabel113[[#This Row],[Date]],0))),SUMIF(Tabel113[Semaine],Tabel113[[#This Row],[Semaine]],Tabel113[Total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41</v>
      </c>
      <c r="B9" s="20">
        <f t="shared" si="2"/>
        <v>45572</v>
      </c>
      <c r="C9" s="45" t="str" cm="1">
        <f t="array" ref="C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IF(OR(WEEKDAY(Tabel113[[#This Row],[Date]],2)=7, DAY(Tabel113[[#This Row],[Date]])=DAY(EOMONTH(Tabel113[[#This Row],[Date]],0))),SUMIF(Tabel113[Semaine],Tabel113[[#This Row],[Semaine]],Tabel113[Total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41</v>
      </c>
      <c r="B10" s="20">
        <f t="shared" si="2"/>
        <v>45573</v>
      </c>
      <c r="C10" s="45" t="str" cm="1">
        <f t="array" ref="C1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IF(OR(WEEKDAY(Tabel113[[#This Row],[Date]],2)=7, DAY(Tabel113[[#This Row],[Date]])=DAY(EOMONTH(Tabel113[[#This Row],[Date]],0))),SUMIF(Tabel113[Semaine],Tabel113[[#This Row],[Semaine]],Tabel113[Total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41</v>
      </c>
      <c r="B11" s="20">
        <f t="shared" si="2"/>
        <v>45574</v>
      </c>
      <c r="C11" s="45" t="str" cm="1">
        <f t="array" ref="C1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IF(OR(WEEKDAY(Tabel113[[#This Row],[Date]],2)=7, DAY(Tabel113[[#This Row],[Date]])=DAY(EOMONTH(Tabel113[[#This Row],[Date]],0))),SUMIF(Tabel113[Semaine],Tabel113[[#This Row],[Semaine]],Tabel113[Total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41</v>
      </c>
      <c r="B12" s="20">
        <f t="shared" si="2"/>
        <v>45575</v>
      </c>
      <c r="C12" s="45" t="str" cm="1">
        <f t="array" ref="C1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IF(OR(WEEKDAY(Tabel113[[#This Row],[Date]],2)=7, DAY(Tabel113[[#This Row],[Date]])=DAY(EOMONTH(Tabel113[[#This Row],[Date]],0))),SUMIF(Tabel113[Semaine],Tabel113[[#This Row],[Semaine]],Tabel113[Total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41</v>
      </c>
      <c r="B13" s="20">
        <f t="shared" si="2"/>
        <v>45576</v>
      </c>
      <c r="C13" s="45" t="str" cm="1">
        <f t="array" ref="C1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IF(OR(WEEKDAY(Tabel113[[#This Row],[Date]],2)=7, DAY(Tabel113[[#This Row],[Date]])=DAY(EOMONTH(Tabel113[[#This Row],[Date]],0))),SUMIF(Tabel113[Semaine],Tabel113[[#This Row],[Semaine]],Tabel113[Total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41</v>
      </c>
      <c r="B14" s="20">
        <f t="shared" si="2"/>
        <v>45577</v>
      </c>
      <c r="C14" s="45" t="str" cm="1">
        <f t="array" ref="C1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IF(OR(WEEKDAY(Tabel113[[#This Row],[Date]],2)=7, DAY(Tabel113[[#This Row],[Date]])=DAY(EOMONTH(Tabel113[[#This Row],[Date]],0))),SUMIF(Tabel113[Semaine],Tabel113[[#This Row],[Semaine]],Tabel113[Total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41</v>
      </c>
      <c r="B15" s="20">
        <f t="shared" si="2"/>
        <v>45578</v>
      </c>
      <c r="C15" s="45" t="str" cm="1">
        <f t="array" ref="C1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IF(OR(WEEKDAY(Tabel113[[#This Row],[Date]],2)=7, DAY(Tabel113[[#This Row],[Date]])=DAY(EOMONTH(Tabel113[[#This Row],[Date]],0))),SUMIF(Tabel113[Semaine],Tabel113[[#This Row],[Semaine]],Tabel113[Total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42</v>
      </c>
      <c r="B16" s="20">
        <f t="shared" si="2"/>
        <v>45579</v>
      </c>
      <c r="C16" s="45" t="str" cm="1">
        <f t="array" ref="C1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IF(OR(WEEKDAY(Tabel113[[#This Row],[Date]],2)=7, DAY(Tabel113[[#This Row],[Date]])=DAY(EOMONTH(Tabel113[[#This Row],[Date]],0))),SUMIF(Tabel113[Semaine],Tabel113[[#This Row],[Semaine]],Tabel113[Total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42</v>
      </c>
      <c r="B17" s="20">
        <f t="shared" si="2"/>
        <v>45580</v>
      </c>
      <c r="C17" s="45" t="str" cm="1">
        <f t="array" ref="C1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IF(OR(WEEKDAY(Tabel113[[#This Row],[Date]],2)=7, DAY(Tabel113[[#This Row],[Date]])=DAY(EOMONTH(Tabel113[[#This Row],[Date]],0))),SUMIF(Tabel113[Semaine],Tabel113[[#This Row],[Semaine]],Tabel113[Total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42</v>
      </c>
      <c r="B18" s="20">
        <f t="shared" si="2"/>
        <v>45581</v>
      </c>
      <c r="C18" s="45" t="str" cm="1">
        <f t="array" ref="C1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IF(OR(WEEKDAY(Tabel113[[#This Row],[Date]],2)=7, DAY(Tabel113[[#This Row],[Date]])=DAY(EOMONTH(Tabel113[[#This Row],[Date]],0))),SUMIF(Tabel113[Semaine],Tabel113[[#This Row],[Semaine]],Tabel113[Total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42</v>
      </c>
      <c r="B19" s="20">
        <f t="shared" si="2"/>
        <v>45582</v>
      </c>
      <c r="C19" s="45" t="str" cm="1">
        <f t="array" ref="C1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IF(OR(WEEKDAY(Tabel113[[#This Row],[Date]],2)=7, DAY(Tabel113[[#This Row],[Date]])=DAY(EOMONTH(Tabel113[[#This Row],[Date]],0))),SUMIF(Tabel113[Semaine],Tabel113[[#This Row],[Semaine]],Tabel113[Total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42</v>
      </c>
      <c r="B20" s="20">
        <f t="shared" si="2"/>
        <v>45583</v>
      </c>
      <c r="C20" s="45" t="str" cm="1">
        <f t="array" ref="C2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IF(OR(WEEKDAY(Tabel113[[#This Row],[Date]],2)=7, DAY(Tabel113[[#This Row],[Date]])=DAY(EOMONTH(Tabel113[[#This Row],[Date]],0))),SUMIF(Tabel113[Semaine],Tabel113[[#This Row],[Semaine]],Tabel113[Total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42</v>
      </c>
      <c r="B21" s="20">
        <f t="shared" si="2"/>
        <v>45584</v>
      </c>
      <c r="C21" s="45" t="str" cm="1">
        <f t="array" ref="C2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IF(OR(WEEKDAY(Tabel113[[#This Row],[Date]],2)=7, DAY(Tabel113[[#This Row],[Date]])=DAY(EOMONTH(Tabel113[[#This Row],[Date]],0))),SUMIF(Tabel113[Semaine],Tabel113[[#This Row],[Semaine]],Tabel113[Total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42</v>
      </c>
      <c r="B22" s="20">
        <f t="shared" si="2"/>
        <v>45585</v>
      </c>
      <c r="C22" s="45" t="str" cm="1">
        <f t="array" ref="C2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IF(OR(WEEKDAY(Tabel113[[#This Row],[Date]],2)=7, DAY(Tabel113[[#This Row],[Date]])=DAY(EOMONTH(Tabel113[[#This Row],[Date]],0))),SUMIF(Tabel113[Semaine],Tabel113[[#This Row],[Semaine]],Tabel113[Total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43</v>
      </c>
      <c r="B23" s="20">
        <f t="shared" si="2"/>
        <v>45586</v>
      </c>
      <c r="C23" s="45" t="str" cm="1">
        <f t="array" ref="C2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IF(OR(WEEKDAY(Tabel113[[#This Row],[Date]],2)=7, DAY(Tabel113[[#This Row],[Date]])=DAY(EOMONTH(Tabel113[[#This Row],[Date]],0))),SUMIF(Tabel113[Semaine],Tabel113[[#This Row],[Semaine]],Tabel113[Total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43</v>
      </c>
      <c r="B24" s="20">
        <f t="shared" si="2"/>
        <v>45587</v>
      </c>
      <c r="C24" s="45" t="str" cm="1">
        <f t="array" ref="C2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IF(OR(WEEKDAY(Tabel113[[#This Row],[Date]],2)=7, DAY(Tabel113[[#This Row],[Date]])=DAY(EOMONTH(Tabel113[[#This Row],[Date]],0))),SUMIF(Tabel113[Semaine],Tabel113[[#This Row],[Semaine]],Tabel113[Total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43</v>
      </c>
      <c r="B25" s="20">
        <f t="shared" si="2"/>
        <v>45588</v>
      </c>
      <c r="C25" s="45" t="str" cm="1">
        <f t="array" ref="C2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IF(OR(WEEKDAY(Tabel113[[#This Row],[Date]],2)=7, DAY(Tabel113[[#This Row],[Date]])=DAY(EOMONTH(Tabel113[[#This Row],[Date]],0))),SUMIF(Tabel113[Semaine],Tabel113[[#This Row],[Semaine]],Tabel113[Total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43</v>
      </c>
      <c r="B26" s="20">
        <f t="shared" si="2"/>
        <v>45589</v>
      </c>
      <c r="C26" s="45" t="str" cm="1">
        <f t="array" ref="C2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IF(OR(WEEKDAY(Tabel113[[#This Row],[Date]],2)=7, DAY(Tabel113[[#This Row],[Date]])=DAY(EOMONTH(Tabel113[[#This Row],[Date]],0))),SUMIF(Tabel113[Semaine],Tabel113[[#This Row],[Semaine]],Tabel113[Total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43</v>
      </c>
      <c r="B27" s="20">
        <f t="shared" si="2"/>
        <v>45590</v>
      </c>
      <c r="C27" s="45" t="str" cm="1">
        <f t="array" ref="C2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IF(OR(WEEKDAY(Tabel113[[#This Row],[Date]],2)=7, DAY(Tabel113[[#This Row],[Date]])=DAY(EOMONTH(Tabel113[[#This Row],[Date]],0))),SUMIF(Tabel113[Semaine],Tabel113[[#This Row],[Semaine]],Tabel113[Total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43</v>
      </c>
      <c r="B28" s="20">
        <f t="shared" si="2"/>
        <v>45591</v>
      </c>
      <c r="C28" s="45" t="str" cm="1">
        <f t="array" ref="C2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IF(OR(WEEKDAY(Tabel113[[#This Row],[Date]],2)=7, DAY(Tabel113[[#This Row],[Date]])=DAY(EOMONTH(Tabel113[[#This Row],[Date]],0))),SUMIF(Tabel113[Semaine],Tabel113[[#This Row],[Semaine]],Tabel113[Total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43</v>
      </c>
      <c r="B29" s="20">
        <f t="shared" si="2"/>
        <v>45592</v>
      </c>
      <c r="C29" s="45" t="str" cm="1">
        <f t="array" ref="C2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IF(OR(WEEKDAY(Tabel113[[#This Row],[Date]],2)=7, DAY(Tabel113[[#This Row],[Date]])=DAY(EOMONTH(Tabel113[[#This Row],[Date]],0))),SUMIF(Tabel113[Semaine],Tabel113[[#This Row],[Semaine]],Tabel113[Total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44</v>
      </c>
      <c r="B30" s="20">
        <f t="shared" si="2"/>
        <v>45593</v>
      </c>
      <c r="C30" s="45" t="str" cm="1">
        <f t="array" ref="C3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IF(OR(WEEKDAY(Tabel113[[#This Row],[Date]],2)=7, DAY(Tabel113[[#This Row],[Date]])=DAY(EOMONTH(Tabel113[[#This Row],[Date]],0))),SUMIF(Tabel113[Semaine],Tabel113[[#This Row],[Semaine]],Tabel113[Total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44</v>
      </c>
      <c r="B31" s="20">
        <f t="shared" si="2"/>
        <v>45594</v>
      </c>
      <c r="C31" s="45" t="str" cm="1">
        <f t="array" ref="C3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IF(OR(WEEKDAY(Tabel113[[#This Row],[Date]],2)=7, DAY(Tabel113[[#This Row],[Date]])=DAY(EOMONTH(Tabel113[[#This Row],[Date]],0))),SUMIF(Tabel113[Semaine],Tabel113[[#This Row],[Semaine]],Tabel113[Total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44</v>
      </c>
      <c r="B32" s="20">
        <f t="shared" si="2"/>
        <v>45595</v>
      </c>
      <c r="C32" s="45" t="str" cm="1">
        <f t="array" ref="C3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IF(OR(WEEKDAY(Tabel113[[#This Row],[Date]],2)=7, DAY(Tabel113[[#This Row],[Date]])=DAY(EOMONTH(Tabel113[[#This Row],[Date]],0))),SUMIF(Tabel113[Semaine],Tabel113[[#This Row],[Semaine]],Tabel113[Total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44</v>
      </c>
      <c r="B33" s="20">
        <f t="shared" si="2"/>
        <v>45596</v>
      </c>
      <c r="C33" s="45" t="str" cm="1">
        <f t="array" ref="C3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IF(OR(WEEKDAY(Tabel113[[#This Row],[Date]],2)=7, DAY(Tabel113[[#This Row],[Date]])=DAY(EOMONTH(Tabel113[[#This Row],[Date]],0))),SUMIF(Tabel113[Semaine],Tabel113[[#This Row],[Semaine]],Tabel113[Total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11" priority="1">
      <formula>OR($C3="Arrêt maladie",$C3="Accident du travail")</formula>
    </cfRule>
    <cfRule type="expression" dxfId="10" priority="2">
      <formula>OR($C3="Congé",$C3="Congé pour évènement familial")</formula>
    </cfRule>
    <cfRule type="expression" dxfId="8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8875B5C7-3032-418C-AB64-16825042C443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BA3722DA-9FAB-41EA-AF47-604564D1898B}">
          <x14:formula1>
            <xm:f>#REF!</xm:f>
          </x14:formula1>
          <xm:sqref>C3:C33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Q37"/>
  <sheetViews>
    <sheetView topLeftCell="D1"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SUBTOTAL(102,Tabel114[Date])</f>
        <v>30</v>
      </c>
      <c r="C1" s="43"/>
      <c r="D1" s="56">
        <f>SUBTOTAL(102,Tabel114[Ouverture de poste])</f>
        <v>0</v>
      </c>
      <c r="E1" s="39">
        <f>SUBTOTAL(102,Tabel114[Pause entre 06:00 et 21:00])</f>
        <v>0</v>
      </c>
      <c r="F1" s="39">
        <f>SUBTOTAL(102,Tabel114[Pause entre 21:00 et 06:00])</f>
        <v>0</v>
      </c>
      <c r="G1" s="39">
        <f>SUBTOTAL(102,Tabel114[Fermeture de poste])</f>
        <v>0</v>
      </c>
      <c r="H1" s="42">
        <f>SUBTOTAL(109,Tabel114[Total Heures])</f>
        <v>0</v>
      </c>
      <c r="I1" s="40">
        <f>SUBTOTAL(109,Tabel114[Heures de jour])</f>
        <v>0</v>
      </c>
      <c r="J1" s="40">
        <f>SUBTOTAL(109,Tabel114[Heures de nuit])</f>
        <v>0</v>
      </c>
      <c r="K1" s="35">
        <f>SUBTOTAL(109,Tabel114[Total semaine])</f>
        <v>0</v>
      </c>
      <c r="L1" s="40">
        <f>SUBTOTAL(109,Tabel114[Heures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2" si="0">""&amp;WEEKNUM(B3,2)</f>
        <v>44</v>
      </c>
      <c r="B3" s="20">
        <f>DATE(Détails!A1,11,1)</f>
        <v>45597</v>
      </c>
      <c r="C3" s="45" t="str" cm="1">
        <f t="array" ref="C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IF(OR(WEEKDAY(Tabel114[[#This Row],[Date]],2)=7, DAY(Tabel114[[#This Row],[Date]])=DAY(EOMONTH(Tabel114[[#This Row],[Date]],0))),SUMIF(Tabel114[Semaine],Tabel114[[#This Row],[Semaine]],Tabel114[Total Heures]),0)</f>
        <v>0</v>
      </c>
      <c r="L3" s="24" t="str">
        <f>IFERROR(IF(K3&gt;Détails!E$4,K3-Détails!E$4,""),0)</f>
        <v/>
      </c>
      <c r="N3" s="57">
        <f>COUNTIFS(Tabel114[Ordre],"En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44</v>
      </c>
      <c r="B4" s="20">
        <f t="shared" ref="B4:B32" si="2">B3+1</f>
        <v>45598</v>
      </c>
      <c r="C4" s="45" t="str" cm="1">
        <f t="array" ref="C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IF(OR(WEEKDAY(Tabel114[[#This Row],[Date]],2)=7, DAY(Tabel114[[#This Row],[Date]])=DAY(EOMONTH(Tabel114[[#This Row],[Date]],0))),SUMIF(Tabel114[Semaine],Tabel114[[#This Row],[Semaine]],Tabel114[Total Heures]),0)</f>
        <v>0</v>
      </c>
      <c r="L4" s="24" t="str">
        <f>IFERROR(IF(K4&gt;Détails!E$4,K4-Détails!E$4,""),0)</f>
        <v/>
      </c>
      <c r="N4" s="57">
        <f>COUNTIFS(Tabel114[Ordre],"Férié")</f>
        <v>2</v>
      </c>
    </row>
    <row r="5" spans="1:17" ht="30" customHeight="1" x14ac:dyDescent="0.3">
      <c r="A5" s="19" t="str">
        <f t="shared" si="0"/>
        <v>44</v>
      </c>
      <c r="B5" s="20">
        <f t="shared" si="2"/>
        <v>45599</v>
      </c>
      <c r="C5" s="45" t="str" cm="1">
        <f t="array" ref="C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IF(OR(WEEKDAY(Tabel114[[#This Row],[Date]],2)=7, DAY(Tabel114[[#This Row],[Date]])=DAY(EOMONTH(Tabel114[[#This Row],[Date]],0))),SUMIF(Tabel114[Semaine],Tabel114[[#This Row],[Semaine]],Tabel114[Total Heures]),0)</f>
        <v>0</v>
      </c>
      <c r="L5" s="24" t="str">
        <f>IFERROR(IF(K5&gt;Détails!E$4,K5-Détails!E$4,""),0)</f>
        <v/>
      </c>
      <c r="N5" s="57">
        <f>COUNTIFS(Tabel114[Ordre],"Repos")</f>
        <v>0</v>
      </c>
    </row>
    <row r="6" spans="1:17" ht="30" customHeight="1" x14ac:dyDescent="0.3">
      <c r="A6" s="19" t="str">
        <f t="shared" si="0"/>
        <v>45</v>
      </c>
      <c r="B6" s="20">
        <f t="shared" si="2"/>
        <v>45600</v>
      </c>
      <c r="C6" s="45" t="str" cm="1">
        <f t="array" ref="C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IF(OR(WEEKDAY(Tabel114[[#This Row],[Date]],2)=7, DAY(Tabel114[[#This Row],[Date]])=DAY(EOMONTH(Tabel114[[#This Row],[Date]],0))),SUMIF(Tabel114[Semaine],Tabel114[[#This Row],[Semaine]],Tabel114[Total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45</v>
      </c>
      <c r="B7" s="20">
        <f t="shared" si="2"/>
        <v>45601</v>
      </c>
      <c r="C7" s="45" t="str" cm="1">
        <f t="array" ref="C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IF(OR(WEEKDAY(Tabel114[[#This Row],[Date]],2)=7, DAY(Tabel114[[#This Row],[Date]])=DAY(EOMONTH(Tabel114[[#This Row],[Date]],0))),SUMIF(Tabel114[Semaine],Tabel114[[#This Row],[Semaine]],Tabel114[Total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45</v>
      </c>
      <c r="B8" s="20">
        <f t="shared" si="2"/>
        <v>45602</v>
      </c>
      <c r="C8" s="45" t="str" cm="1">
        <f t="array" ref="C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IF(OR(WEEKDAY(Tabel114[[#This Row],[Date]],2)=7, DAY(Tabel114[[#This Row],[Date]])=DAY(EOMONTH(Tabel114[[#This Row],[Date]],0))),SUMIF(Tabel114[Semaine],Tabel114[[#This Row],[Semaine]],Tabel114[Total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45</v>
      </c>
      <c r="B9" s="20">
        <f t="shared" si="2"/>
        <v>45603</v>
      </c>
      <c r="C9" s="45" t="str" cm="1">
        <f t="array" ref="C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IF(OR(WEEKDAY(Tabel114[[#This Row],[Date]],2)=7, DAY(Tabel114[[#This Row],[Date]])=DAY(EOMONTH(Tabel114[[#This Row],[Date]],0))),SUMIF(Tabel114[Semaine],Tabel114[[#This Row],[Semaine]],Tabel114[Total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45</v>
      </c>
      <c r="B10" s="20">
        <f t="shared" si="2"/>
        <v>45604</v>
      </c>
      <c r="C10" s="45" t="str" cm="1">
        <f t="array" ref="C1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IF(OR(WEEKDAY(Tabel114[[#This Row],[Date]],2)=7, DAY(Tabel114[[#This Row],[Date]])=DAY(EOMONTH(Tabel114[[#This Row],[Date]],0))),SUMIF(Tabel114[Semaine],Tabel114[[#This Row],[Semaine]],Tabel114[Total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45</v>
      </c>
      <c r="B11" s="20">
        <f t="shared" si="2"/>
        <v>45605</v>
      </c>
      <c r="C11" s="45" t="str" cm="1">
        <f t="array" ref="C1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IF(OR(WEEKDAY(Tabel114[[#This Row],[Date]],2)=7, DAY(Tabel114[[#This Row],[Date]])=DAY(EOMONTH(Tabel114[[#This Row],[Date]],0))),SUMIF(Tabel114[Semaine],Tabel114[[#This Row],[Semaine]],Tabel114[Total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45</v>
      </c>
      <c r="B12" s="20">
        <f t="shared" si="2"/>
        <v>45606</v>
      </c>
      <c r="C12" s="45" t="str" cm="1">
        <f t="array" ref="C1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IF(OR(WEEKDAY(Tabel114[[#This Row],[Date]],2)=7, DAY(Tabel114[[#This Row],[Date]])=DAY(EOMONTH(Tabel114[[#This Row],[Date]],0))),SUMIF(Tabel114[Semaine],Tabel114[[#This Row],[Semaine]],Tabel114[Total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46</v>
      </c>
      <c r="B13" s="20">
        <f t="shared" si="2"/>
        <v>45607</v>
      </c>
      <c r="C13" s="45" t="str" cm="1">
        <f t="array" ref="C1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familial",IFERROR(IF(VLOOKUP($B13,Détails!$H$2:$H$16,1,0),"Férié",""),"")))))</f>
        <v>Férié</v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IF(OR(WEEKDAY(Tabel114[[#This Row],[Date]],2)=7, DAY(Tabel114[[#This Row],[Date]])=DAY(EOMONTH(Tabel114[[#This Row],[Date]],0))),SUMIF(Tabel114[Semaine],Tabel114[[#This Row],[Semaine]],Tabel114[Total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46</v>
      </c>
      <c r="B14" s="20">
        <f t="shared" si="2"/>
        <v>45608</v>
      </c>
      <c r="C14" s="45" t="str" cm="1">
        <f t="array" ref="C1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IF(OR(WEEKDAY(Tabel114[[#This Row],[Date]],2)=7, DAY(Tabel114[[#This Row],[Date]])=DAY(EOMONTH(Tabel114[[#This Row],[Date]],0))),SUMIF(Tabel114[Semaine],Tabel114[[#This Row],[Semaine]],Tabel114[Total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46</v>
      </c>
      <c r="B15" s="20">
        <f t="shared" si="2"/>
        <v>45609</v>
      </c>
      <c r="C15" s="45" t="str" cm="1">
        <f t="array" ref="C1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IF(OR(WEEKDAY(Tabel114[[#This Row],[Date]],2)=7, DAY(Tabel114[[#This Row],[Date]])=DAY(EOMONTH(Tabel114[[#This Row],[Date]],0))),SUMIF(Tabel114[Semaine],Tabel114[[#This Row],[Semaine]],Tabel114[Total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46</v>
      </c>
      <c r="B16" s="20">
        <f t="shared" si="2"/>
        <v>45610</v>
      </c>
      <c r="C16" s="45" t="str" cm="1">
        <f t="array" ref="C1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IF(OR(WEEKDAY(Tabel114[[#This Row],[Date]],2)=7, DAY(Tabel114[[#This Row],[Date]])=DAY(EOMONTH(Tabel114[[#This Row],[Date]],0))),SUMIF(Tabel114[Semaine],Tabel114[[#This Row],[Semaine]],Tabel114[Total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46</v>
      </c>
      <c r="B17" s="20">
        <f t="shared" si="2"/>
        <v>45611</v>
      </c>
      <c r="C17" s="45" t="str" cm="1">
        <f t="array" ref="C1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IF(OR(WEEKDAY(Tabel114[[#This Row],[Date]],2)=7, DAY(Tabel114[[#This Row],[Date]])=DAY(EOMONTH(Tabel114[[#This Row],[Date]],0))),SUMIF(Tabel114[Semaine],Tabel114[[#This Row],[Semaine]],Tabel114[Total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46</v>
      </c>
      <c r="B18" s="20">
        <f t="shared" si="2"/>
        <v>45612</v>
      </c>
      <c r="C18" s="45" t="str" cm="1">
        <f t="array" ref="C1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IF(OR(WEEKDAY(Tabel114[[#This Row],[Date]],2)=7, DAY(Tabel114[[#This Row],[Date]])=DAY(EOMONTH(Tabel114[[#This Row],[Date]],0))),SUMIF(Tabel114[Semaine],Tabel114[[#This Row],[Semaine]],Tabel114[Total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46</v>
      </c>
      <c r="B19" s="20">
        <f t="shared" si="2"/>
        <v>45613</v>
      </c>
      <c r="C19" s="45" t="str" cm="1">
        <f t="array" ref="C1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IF(OR(WEEKDAY(Tabel114[[#This Row],[Date]],2)=7, DAY(Tabel114[[#This Row],[Date]])=DAY(EOMONTH(Tabel114[[#This Row],[Date]],0))),SUMIF(Tabel114[Semaine],Tabel114[[#This Row],[Semaine]],Tabel114[Total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47</v>
      </c>
      <c r="B20" s="20">
        <f t="shared" si="2"/>
        <v>45614</v>
      </c>
      <c r="C20" s="45" t="str" cm="1">
        <f t="array" ref="C2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IF(OR(WEEKDAY(Tabel114[[#This Row],[Date]],2)=7, DAY(Tabel114[[#This Row],[Date]])=DAY(EOMONTH(Tabel114[[#This Row],[Date]],0))),SUMIF(Tabel114[Semaine],Tabel114[[#This Row],[Semaine]],Tabel114[Total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47</v>
      </c>
      <c r="B21" s="20">
        <f t="shared" si="2"/>
        <v>45615</v>
      </c>
      <c r="C21" s="45" t="str" cm="1">
        <f t="array" ref="C2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IF(OR(WEEKDAY(Tabel114[[#This Row],[Date]],2)=7, DAY(Tabel114[[#This Row],[Date]])=DAY(EOMONTH(Tabel114[[#This Row],[Date]],0))),SUMIF(Tabel114[Semaine],Tabel114[[#This Row],[Semaine]],Tabel114[Total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47</v>
      </c>
      <c r="B22" s="20">
        <f t="shared" si="2"/>
        <v>45616</v>
      </c>
      <c r="C22" s="45" t="str" cm="1">
        <f t="array" ref="C2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IF(OR(WEEKDAY(Tabel114[[#This Row],[Date]],2)=7, DAY(Tabel114[[#This Row],[Date]])=DAY(EOMONTH(Tabel114[[#This Row],[Date]],0))),SUMIF(Tabel114[Semaine],Tabel114[[#This Row],[Semaine]],Tabel114[Total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47</v>
      </c>
      <c r="B23" s="20">
        <f t="shared" si="2"/>
        <v>45617</v>
      </c>
      <c r="C23" s="45" t="str" cm="1">
        <f t="array" ref="C2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IF(OR(WEEKDAY(Tabel114[[#This Row],[Date]],2)=7, DAY(Tabel114[[#This Row],[Date]])=DAY(EOMONTH(Tabel114[[#This Row],[Date]],0))),SUMIF(Tabel114[Semaine],Tabel114[[#This Row],[Semaine]],Tabel114[Total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47</v>
      </c>
      <c r="B24" s="20">
        <f t="shared" si="2"/>
        <v>45618</v>
      </c>
      <c r="C24" s="45" t="str" cm="1">
        <f t="array" ref="C2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IF(OR(WEEKDAY(Tabel114[[#This Row],[Date]],2)=7, DAY(Tabel114[[#This Row],[Date]])=DAY(EOMONTH(Tabel114[[#This Row],[Date]],0))),SUMIF(Tabel114[Semaine],Tabel114[[#This Row],[Semaine]],Tabel114[Total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47</v>
      </c>
      <c r="B25" s="20">
        <f t="shared" si="2"/>
        <v>45619</v>
      </c>
      <c r="C25" s="45" t="str" cm="1">
        <f t="array" ref="C2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IF(OR(WEEKDAY(Tabel114[[#This Row],[Date]],2)=7, DAY(Tabel114[[#This Row],[Date]])=DAY(EOMONTH(Tabel114[[#This Row],[Date]],0))),SUMIF(Tabel114[Semaine],Tabel114[[#This Row],[Semaine]],Tabel114[Total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47</v>
      </c>
      <c r="B26" s="20">
        <f t="shared" si="2"/>
        <v>45620</v>
      </c>
      <c r="C26" s="45" t="str" cm="1">
        <f t="array" ref="C2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IF(OR(WEEKDAY(Tabel114[[#This Row],[Date]],2)=7, DAY(Tabel114[[#This Row],[Date]])=DAY(EOMONTH(Tabel114[[#This Row],[Date]],0))),SUMIF(Tabel114[Semaine],Tabel114[[#This Row],[Semaine]],Tabel114[Total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48</v>
      </c>
      <c r="B27" s="20">
        <f t="shared" si="2"/>
        <v>45621</v>
      </c>
      <c r="C27" s="45" t="str" cm="1">
        <f t="array" ref="C2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IF(OR(WEEKDAY(Tabel114[[#This Row],[Date]],2)=7, DAY(Tabel114[[#This Row],[Date]])=DAY(EOMONTH(Tabel114[[#This Row],[Date]],0))),SUMIF(Tabel114[Semaine],Tabel114[[#This Row],[Semaine]],Tabel114[Total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48</v>
      </c>
      <c r="B28" s="20">
        <f t="shared" si="2"/>
        <v>45622</v>
      </c>
      <c r="C28" s="45" t="str" cm="1">
        <f t="array" ref="C2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IF(OR(WEEKDAY(Tabel114[[#This Row],[Date]],2)=7, DAY(Tabel114[[#This Row],[Date]])=DAY(EOMONTH(Tabel114[[#This Row],[Date]],0))),SUMIF(Tabel114[Semaine],Tabel114[[#This Row],[Semaine]],Tabel114[Total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48</v>
      </c>
      <c r="B29" s="20">
        <f t="shared" si="2"/>
        <v>45623</v>
      </c>
      <c r="C29" s="45" t="str" cm="1">
        <f t="array" ref="C2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IF(OR(WEEKDAY(Tabel114[[#This Row],[Date]],2)=7, DAY(Tabel114[[#This Row],[Date]])=DAY(EOMONTH(Tabel114[[#This Row],[Date]],0))),SUMIF(Tabel114[Semaine],Tabel114[[#This Row],[Semaine]],Tabel114[Total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48</v>
      </c>
      <c r="B30" s="20">
        <f t="shared" si="2"/>
        <v>45624</v>
      </c>
      <c r="C30" s="45" t="str" cm="1">
        <f t="array" ref="C3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IF(OR(WEEKDAY(Tabel114[[#This Row],[Date]],2)=7, DAY(Tabel114[[#This Row],[Date]])=DAY(EOMONTH(Tabel114[[#This Row],[Date]],0))),SUMIF(Tabel114[Semaine],Tabel114[[#This Row],[Semaine]],Tabel114[Total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48</v>
      </c>
      <c r="B31" s="20">
        <f t="shared" si="2"/>
        <v>45625</v>
      </c>
      <c r="C31" s="45" t="str" cm="1">
        <f t="array" ref="C3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IF(OR(WEEKDAY(Tabel114[[#This Row],[Date]],2)=7, DAY(Tabel114[[#This Row],[Date]])=DAY(EOMONTH(Tabel114[[#This Row],[Date]],0))),SUMIF(Tabel114[Semaine],Tabel114[[#This Row],[Semaine]],Tabel114[Total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48</v>
      </c>
      <c r="B32" s="20">
        <f t="shared" si="2"/>
        <v>45626</v>
      </c>
      <c r="C32" s="45" t="str" cm="1">
        <f t="array" ref="C3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IF(OR(WEEKDAY(Tabel114[[#This Row],[Date]],2)=7, DAY(Tabel114[[#This Row],[Date]])=DAY(EOMONTH(Tabel114[[#This Row],[Date]],0))),SUMIF(Tabel114[Semaine],Tabel114[[#This Row],[Semaine]],Tabel114[Total Heures]),0)</f>
        <v>0</v>
      </c>
      <c r="L32" s="24" t="str">
        <f>IFERROR(IF(K32&gt;Détails!E$4,K32-Détails!E$4,""),0)</f>
        <v/>
      </c>
    </row>
    <row r="37" spans="5:5" ht="30" customHeight="1" x14ac:dyDescent="0.3">
      <c r="E37" s="18" t="str">
        <f>IFERROR(IF(VLOOKUP($B4,Détails!$H$2:$H$16,1,0),"Férié",""),"")</f>
        <v/>
      </c>
    </row>
  </sheetData>
  <conditionalFormatting sqref="A3:L32">
    <cfRule type="expression" dxfId="7" priority="1">
      <formula>OR($C3="Arrêt maladie",$C3="Accident du travail")</formula>
    </cfRule>
    <cfRule type="expression" dxfId="6" priority="2">
      <formula>OR($C3="Congé",$C3="Congé pour évènement familial")</formula>
    </cfRule>
    <cfRule type="expression" dxfId="4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56DC7EA-A7D0-4C7D-8814-A71FDDD57865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04B16156-677C-4745-9E32-9763997D32A1}">
          <x14:formula1>
            <xm:f>#REF!</xm:f>
          </x14:formula1>
          <xm:sqref>C3:C32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Q38"/>
  <sheetViews>
    <sheetView zoomScale="85" zoomScaleNormal="85" workbookViewId="0">
      <selection activeCell="N3" sqref="N3:N5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7" s="16" customFormat="1" ht="30" customHeight="1" x14ac:dyDescent="0.3">
      <c r="A1" s="38"/>
      <c r="B1" s="39">
        <f>SUBTOTAL(102,Tabel115[Date])</f>
        <v>31</v>
      </c>
      <c r="C1" s="43"/>
      <c r="D1" s="56">
        <f>SUBTOTAL(102,Tabel115[Ouverture de poste])</f>
        <v>0</v>
      </c>
      <c r="E1" s="39">
        <f>SUBTOTAL(102,Tabel115[Pause entre 06:00 et 21:00])</f>
        <v>0</v>
      </c>
      <c r="F1" s="39">
        <f>SUBTOTAL(102,Tabel115[Pause entre 21:00 et 06:00])</f>
        <v>0</v>
      </c>
      <c r="G1" s="39">
        <f>SUBTOTAL(102,Tabel115[Fermeture de poste])</f>
        <v>0</v>
      </c>
      <c r="H1" s="42">
        <f>SUBTOTAL(109,Tabel115[Total Heures])</f>
        <v>0</v>
      </c>
      <c r="I1" s="40">
        <f>SUBTOTAL(109,Tabel115[Heures de jour])</f>
        <v>0</v>
      </c>
      <c r="J1" s="40">
        <f>SUBTOTAL(109,Tabel115[Heures de nuit])</f>
        <v>0</v>
      </c>
      <c r="K1" s="35">
        <f>SUBTOTAL(109,Tabel115[Total semaine])</f>
        <v>0</v>
      </c>
      <c r="L1" s="40">
        <f>SUBTOTAL(109,Tabel115[Heures supplémentaires])</f>
        <v>0</v>
      </c>
      <c r="N1" s="17"/>
    </row>
    <row r="2" spans="1:17" ht="30" customHeight="1" x14ac:dyDescent="0.3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3">
      <c r="A3" s="19" t="str">
        <f t="shared" ref="A3:A33" si="0">""&amp;WEEKNUM(B3,2)</f>
        <v>48</v>
      </c>
      <c r="B3" s="20">
        <f>DATE(Détails!A1,12,1)</f>
        <v>45627</v>
      </c>
      <c r="C3" s="45" t="str" cm="1">
        <f t="array" ref="C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IF(OR(WEEKDAY(Tabel115[[#This Row],[Date]],2)=7, DAY(Tabel115[[#This Row],[Date]])=DAY(EOMONTH(Tabel115[[#This Row],[Date]],0))),SUMIF(Tabel115[Semaine],Tabel115[[#This Row],[Semaine]],Tabel115[Total Heures]),0)</f>
        <v>0</v>
      </c>
      <c r="L3" s="24" t="str">
        <f>IFERROR(IF(K3&gt;Détails!E$4,K3-Détails!E$4,""),0)</f>
        <v/>
      </c>
      <c r="N3" s="57">
        <f>COUNTIFS(Tabel115[Ordre],"En poste")</f>
        <v>0</v>
      </c>
      <c r="O3" s="25"/>
      <c r="P3" s="25"/>
      <c r="Q3" s="25"/>
    </row>
    <row r="4" spans="1:17" ht="30" customHeight="1" x14ac:dyDescent="0.3">
      <c r="A4" s="19" t="str">
        <f t="shared" si="0"/>
        <v>49</v>
      </c>
      <c r="B4" s="20">
        <f t="shared" ref="B4:B33" si="2">B3+1</f>
        <v>45628</v>
      </c>
      <c r="C4" s="45" t="str" cm="1">
        <f t="array" ref="C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IF(OR(WEEKDAY(Tabel115[[#This Row],[Date]],2)=7, DAY(Tabel115[[#This Row],[Date]])=DAY(EOMONTH(Tabel115[[#This Row],[Date]],0))),SUMIF(Tabel115[Semaine],Tabel115[[#This Row],[Semaine]],Tabel115[Total Heures]),0)</f>
        <v>0</v>
      </c>
      <c r="L4" s="24" t="str">
        <f>IFERROR(IF(K4&gt;Détails!E$4,K4-Détails!E$4,""),0)</f>
        <v/>
      </c>
      <c r="N4" s="57">
        <f>COUNTIFS(Tabel115[Ordre],"Férié")</f>
        <v>2</v>
      </c>
    </row>
    <row r="5" spans="1:17" ht="30" customHeight="1" x14ac:dyDescent="0.3">
      <c r="A5" s="19" t="str">
        <f t="shared" si="0"/>
        <v>49</v>
      </c>
      <c r="B5" s="20">
        <f t="shared" si="2"/>
        <v>45629</v>
      </c>
      <c r="C5" s="45" t="str" cm="1">
        <f t="array" ref="C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IF(OR(WEEKDAY(Tabel115[[#This Row],[Date]],2)=7, DAY(Tabel115[[#This Row],[Date]])=DAY(EOMONTH(Tabel115[[#This Row],[Date]],0))),SUMIF(Tabel115[Semaine],Tabel115[[#This Row],[Semaine]],Tabel115[Total Heures]),0)</f>
        <v>0</v>
      </c>
      <c r="L5" s="24" t="str">
        <f>IFERROR(IF(K5&gt;Détails!E$4,K5-Détails!E$4,""),0)</f>
        <v/>
      </c>
      <c r="N5" s="57">
        <f>COUNTIFS(Tabel115[Ordre],"Repos")</f>
        <v>0</v>
      </c>
    </row>
    <row r="6" spans="1:17" ht="30" customHeight="1" x14ac:dyDescent="0.3">
      <c r="A6" s="19" t="str">
        <f t="shared" si="0"/>
        <v>49</v>
      </c>
      <c r="B6" s="20">
        <f t="shared" si="2"/>
        <v>45630</v>
      </c>
      <c r="C6" s="45" t="str" cm="1">
        <f t="array" ref="C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IF(OR(WEEKDAY(Tabel115[[#This Row],[Date]],2)=7, DAY(Tabel115[[#This Row],[Date]])=DAY(EOMONTH(Tabel115[[#This Row],[Date]],0))),SUMIF(Tabel115[Semaine],Tabel115[[#This Row],[Semaine]],Tabel115[Total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3">
      <c r="A7" s="19" t="str">
        <f t="shared" si="0"/>
        <v>49</v>
      </c>
      <c r="B7" s="20">
        <f t="shared" si="2"/>
        <v>45631</v>
      </c>
      <c r="C7" s="45" t="str" cm="1">
        <f t="array" ref="C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IF(OR(WEEKDAY(Tabel115[[#This Row],[Date]],2)=7, DAY(Tabel115[[#This Row],[Date]])=DAY(EOMONTH(Tabel115[[#This Row],[Date]],0))),SUMIF(Tabel115[Semaine],Tabel115[[#This Row],[Semaine]],Tabel115[Total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3">
      <c r="A8" s="19" t="str">
        <f t="shared" si="0"/>
        <v>49</v>
      </c>
      <c r="B8" s="20">
        <f t="shared" si="2"/>
        <v>45632</v>
      </c>
      <c r="C8" s="45" t="str" cm="1">
        <f t="array" ref="C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IF(OR(WEEKDAY(Tabel115[[#This Row],[Date]],2)=7, DAY(Tabel115[[#This Row],[Date]])=DAY(EOMONTH(Tabel115[[#This Row],[Date]],0))),SUMIF(Tabel115[Semaine],Tabel115[[#This Row],[Semaine]],Tabel115[Total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3">
      <c r="A9" s="19" t="str">
        <f t="shared" si="0"/>
        <v>49</v>
      </c>
      <c r="B9" s="20">
        <f t="shared" si="2"/>
        <v>45633</v>
      </c>
      <c r="C9" s="45" t="str" cm="1">
        <f t="array" ref="C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IF(OR(WEEKDAY(Tabel115[[#This Row],[Date]],2)=7, DAY(Tabel115[[#This Row],[Date]])=DAY(EOMONTH(Tabel115[[#This Row],[Date]],0))),SUMIF(Tabel115[Semaine],Tabel115[[#This Row],[Semaine]],Tabel115[Total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3">
      <c r="A10" s="19" t="str">
        <f t="shared" si="0"/>
        <v>49</v>
      </c>
      <c r="B10" s="20">
        <f t="shared" si="2"/>
        <v>45634</v>
      </c>
      <c r="C10" s="45" t="str" cm="1">
        <f t="array" ref="C1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IF(OR(WEEKDAY(Tabel115[[#This Row],[Date]],2)=7, DAY(Tabel115[[#This Row],[Date]])=DAY(EOMONTH(Tabel115[[#This Row],[Date]],0))),SUMIF(Tabel115[Semaine],Tabel115[[#This Row],[Semaine]],Tabel115[Total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3">
      <c r="A11" s="19" t="str">
        <f t="shared" si="0"/>
        <v>50</v>
      </c>
      <c r="B11" s="20">
        <f t="shared" si="2"/>
        <v>45635</v>
      </c>
      <c r="C11" s="45" t="str" cm="1">
        <f t="array" ref="C1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IF(OR(WEEKDAY(Tabel115[[#This Row],[Date]],2)=7, DAY(Tabel115[[#This Row],[Date]])=DAY(EOMONTH(Tabel115[[#This Row],[Date]],0))),SUMIF(Tabel115[Semaine],Tabel115[[#This Row],[Semaine]],Tabel115[Total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3">
      <c r="A12" s="19" t="str">
        <f t="shared" si="0"/>
        <v>50</v>
      </c>
      <c r="B12" s="20">
        <f t="shared" si="2"/>
        <v>45636</v>
      </c>
      <c r="C12" s="45" t="str" cm="1">
        <f t="array" ref="C1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IF(OR(WEEKDAY(Tabel115[[#This Row],[Date]],2)=7, DAY(Tabel115[[#This Row],[Date]])=DAY(EOMONTH(Tabel115[[#This Row],[Date]],0))),SUMIF(Tabel115[Semaine],Tabel115[[#This Row],[Semaine]],Tabel115[Total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3">
      <c r="A13" s="19" t="str">
        <f t="shared" si="0"/>
        <v>50</v>
      </c>
      <c r="B13" s="20">
        <f t="shared" si="2"/>
        <v>45637</v>
      </c>
      <c r="C13" s="45" t="str" cm="1">
        <f t="array" ref="C1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IF(OR(WEEKDAY(Tabel115[[#This Row],[Date]],2)=7, DAY(Tabel115[[#This Row],[Date]])=DAY(EOMONTH(Tabel115[[#This Row],[Date]],0))),SUMIF(Tabel115[Semaine],Tabel115[[#This Row],[Semaine]],Tabel115[Total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3">
      <c r="A14" s="19" t="str">
        <f t="shared" si="0"/>
        <v>50</v>
      </c>
      <c r="B14" s="20">
        <f t="shared" si="2"/>
        <v>45638</v>
      </c>
      <c r="C14" s="45" t="str" cm="1">
        <f t="array" ref="C1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IF(OR(WEEKDAY(Tabel115[[#This Row],[Date]],2)=7, DAY(Tabel115[[#This Row],[Date]])=DAY(EOMONTH(Tabel115[[#This Row],[Date]],0))),SUMIF(Tabel115[Semaine],Tabel115[[#This Row],[Semaine]],Tabel115[Total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3">
      <c r="A15" s="19" t="str">
        <f t="shared" si="0"/>
        <v>50</v>
      </c>
      <c r="B15" s="20">
        <f t="shared" si="2"/>
        <v>45639</v>
      </c>
      <c r="C15" s="45" t="str" cm="1">
        <f t="array" ref="C1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IF(OR(WEEKDAY(Tabel115[[#This Row],[Date]],2)=7, DAY(Tabel115[[#This Row],[Date]])=DAY(EOMONTH(Tabel115[[#This Row],[Date]],0))),SUMIF(Tabel115[Semaine],Tabel115[[#This Row],[Semaine]],Tabel115[Total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3">
      <c r="A16" s="19" t="str">
        <f t="shared" si="0"/>
        <v>50</v>
      </c>
      <c r="B16" s="20">
        <f t="shared" si="2"/>
        <v>45640</v>
      </c>
      <c r="C16" s="45" t="str" cm="1">
        <f t="array" ref="C1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IF(OR(WEEKDAY(Tabel115[[#This Row],[Date]],2)=7, DAY(Tabel115[[#This Row],[Date]])=DAY(EOMONTH(Tabel115[[#This Row],[Date]],0))),SUMIF(Tabel115[Semaine],Tabel115[[#This Row],[Semaine]],Tabel115[Total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3">
      <c r="A17" s="19" t="str">
        <f t="shared" si="0"/>
        <v>50</v>
      </c>
      <c r="B17" s="20">
        <f t="shared" si="2"/>
        <v>45641</v>
      </c>
      <c r="C17" s="45" t="str" cm="1">
        <f t="array" ref="C1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IF(OR(WEEKDAY(Tabel115[[#This Row],[Date]],2)=7, DAY(Tabel115[[#This Row],[Date]])=DAY(EOMONTH(Tabel115[[#This Row],[Date]],0))),SUMIF(Tabel115[Semaine],Tabel115[[#This Row],[Semaine]],Tabel115[Total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3">
      <c r="A18" s="19" t="str">
        <f t="shared" si="0"/>
        <v>51</v>
      </c>
      <c r="B18" s="20">
        <f t="shared" si="2"/>
        <v>45642</v>
      </c>
      <c r="C18" s="45" t="str" cm="1">
        <f t="array" ref="C1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IF(OR(WEEKDAY(Tabel115[[#This Row],[Date]],2)=7, DAY(Tabel115[[#This Row],[Date]])=DAY(EOMONTH(Tabel115[[#This Row],[Date]],0))),SUMIF(Tabel115[Semaine],Tabel115[[#This Row],[Semaine]],Tabel115[Total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3">
      <c r="A19" s="19" t="str">
        <f t="shared" si="0"/>
        <v>51</v>
      </c>
      <c r="B19" s="20">
        <f t="shared" si="2"/>
        <v>45643</v>
      </c>
      <c r="C19" s="45" t="str" cm="1">
        <f t="array" ref="C1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IF(OR(WEEKDAY(Tabel115[[#This Row],[Date]],2)=7, DAY(Tabel115[[#This Row],[Date]])=DAY(EOMONTH(Tabel115[[#This Row],[Date]],0))),SUMIF(Tabel115[Semaine],Tabel115[[#This Row],[Semaine]],Tabel115[Total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3">
      <c r="A20" s="19" t="str">
        <f t="shared" si="0"/>
        <v>51</v>
      </c>
      <c r="B20" s="20">
        <f t="shared" si="2"/>
        <v>45644</v>
      </c>
      <c r="C20" s="45" t="str" cm="1">
        <f t="array" ref="C2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IF(OR(WEEKDAY(Tabel115[[#This Row],[Date]],2)=7, DAY(Tabel115[[#This Row],[Date]])=DAY(EOMONTH(Tabel115[[#This Row],[Date]],0))),SUMIF(Tabel115[Semaine],Tabel115[[#This Row],[Semaine]],Tabel115[Total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3">
      <c r="A21" s="19" t="str">
        <f t="shared" si="0"/>
        <v>51</v>
      </c>
      <c r="B21" s="20">
        <f t="shared" si="2"/>
        <v>45645</v>
      </c>
      <c r="C21" s="45" t="str" cm="1">
        <f t="array" ref="C2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IF(OR(WEEKDAY(Tabel115[[#This Row],[Date]],2)=7, DAY(Tabel115[[#This Row],[Date]])=DAY(EOMONTH(Tabel115[[#This Row],[Date]],0))),SUMIF(Tabel115[Semaine],Tabel115[[#This Row],[Semaine]],Tabel115[Total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3">
      <c r="A22" s="19" t="str">
        <f t="shared" si="0"/>
        <v>51</v>
      </c>
      <c r="B22" s="20">
        <f t="shared" si="2"/>
        <v>45646</v>
      </c>
      <c r="C22" s="45" t="str" cm="1">
        <f t="array" ref="C2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IF(OR(WEEKDAY(Tabel115[[#This Row],[Date]],2)=7, DAY(Tabel115[[#This Row],[Date]])=DAY(EOMONTH(Tabel115[[#This Row],[Date]],0))),SUMIF(Tabel115[Semaine],Tabel115[[#This Row],[Semaine]],Tabel115[Total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3">
      <c r="A23" s="19" t="str">
        <f t="shared" si="0"/>
        <v>51</v>
      </c>
      <c r="B23" s="20">
        <f t="shared" si="2"/>
        <v>45647</v>
      </c>
      <c r="C23" s="45" t="str" cm="1">
        <f t="array" ref="C2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IF(OR(WEEKDAY(Tabel115[[#This Row],[Date]],2)=7, DAY(Tabel115[[#This Row],[Date]])=DAY(EOMONTH(Tabel115[[#This Row],[Date]],0))),SUMIF(Tabel115[Semaine],Tabel115[[#This Row],[Semaine]],Tabel115[Total Heures]),0)</f>
        <v>0</v>
      </c>
      <c r="L23" s="24" t="str">
        <f>IFERROR(IF(K23&gt;Détails!E$4,K23-Détails!E$4,""),0)</f>
        <v/>
      </c>
    </row>
    <row r="24" spans="1:14" ht="30" customHeight="1" x14ac:dyDescent="0.3">
      <c r="A24" s="19" t="str">
        <f t="shared" si="0"/>
        <v>51</v>
      </c>
      <c r="B24" s="20">
        <f t="shared" si="2"/>
        <v>45648</v>
      </c>
      <c r="C24" s="45" t="str" cm="1">
        <f t="array" ref="C2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IF(OR(WEEKDAY(Tabel115[[#This Row],[Date]],2)=7, DAY(Tabel115[[#This Row],[Date]])=DAY(EOMONTH(Tabel115[[#This Row],[Date]],0))),SUMIF(Tabel115[Semaine],Tabel115[[#This Row],[Semaine]],Tabel115[Total Heures]),0)</f>
        <v>0</v>
      </c>
      <c r="L24" s="24" t="str">
        <f>IFERROR(IF(K24&gt;Détails!E$4,K24-Détails!E$4,""),0)</f>
        <v/>
      </c>
    </row>
    <row r="25" spans="1:14" ht="30" customHeight="1" x14ac:dyDescent="0.3">
      <c r="A25" s="19" t="str">
        <f t="shared" si="0"/>
        <v>52</v>
      </c>
      <c r="B25" s="20">
        <f t="shared" si="2"/>
        <v>45649</v>
      </c>
      <c r="C25" s="45" t="str" cm="1">
        <f t="array" ref="C2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IF(OR(WEEKDAY(Tabel115[[#This Row],[Date]],2)=7, DAY(Tabel115[[#This Row],[Date]])=DAY(EOMONTH(Tabel115[[#This Row],[Date]],0))),SUMIF(Tabel115[Semaine],Tabel115[[#This Row],[Semaine]],Tabel115[Total Heures]),0)</f>
        <v>0</v>
      </c>
      <c r="L25" s="24" t="str">
        <f>IFERROR(IF(K25&gt;Détails!E$4,K25-Détails!E$4,""),0)</f>
        <v/>
      </c>
    </row>
    <row r="26" spans="1:14" ht="30" customHeight="1" x14ac:dyDescent="0.3">
      <c r="A26" s="19" t="str">
        <f t="shared" si="0"/>
        <v>52</v>
      </c>
      <c r="B26" s="20">
        <f t="shared" si="2"/>
        <v>45650</v>
      </c>
      <c r="C26" s="45" t="str" cm="1">
        <f t="array" ref="C2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IF(OR(WEEKDAY(Tabel115[[#This Row],[Date]],2)=7, DAY(Tabel115[[#This Row],[Date]])=DAY(EOMONTH(Tabel115[[#This Row],[Date]],0))),SUMIF(Tabel115[Semaine],Tabel115[[#This Row],[Semaine]],Tabel115[Total Heures]),0)</f>
        <v>0</v>
      </c>
      <c r="L26" s="24" t="str">
        <f>IFERROR(IF(K26&gt;Détails!E$4,K26-Détails!E$4,""),0)</f>
        <v/>
      </c>
    </row>
    <row r="27" spans="1:14" ht="30" customHeight="1" x14ac:dyDescent="0.3">
      <c r="A27" s="19" t="str">
        <f t="shared" si="0"/>
        <v>52</v>
      </c>
      <c r="B27" s="20">
        <f t="shared" si="2"/>
        <v>45651</v>
      </c>
      <c r="C27" s="45" t="str" cm="1">
        <f t="array" ref="C2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familial",IFERROR(IF(VLOOKUP($B27,Détails!$H$2:$H$16,1,0),"Férié",""),"")))))</f>
        <v>Férié</v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IF(OR(WEEKDAY(Tabel115[[#This Row],[Date]],2)=7, DAY(Tabel115[[#This Row],[Date]])=DAY(EOMONTH(Tabel115[[#This Row],[Date]],0))),SUMIF(Tabel115[Semaine],Tabel115[[#This Row],[Semaine]],Tabel115[Total Heures]),0)</f>
        <v>0</v>
      </c>
      <c r="L27" s="24" t="str">
        <f>IFERROR(IF(K27&gt;Détails!E$4,K27-Détails!E$4,""),0)</f>
        <v/>
      </c>
    </row>
    <row r="28" spans="1:14" ht="30" customHeight="1" x14ac:dyDescent="0.3">
      <c r="A28" s="19" t="str">
        <f t="shared" si="0"/>
        <v>52</v>
      </c>
      <c r="B28" s="20">
        <f t="shared" si="2"/>
        <v>45652</v>
      </c>
      <c r="C28" s="45" t="str" cm="1">
        <f t="array" ref="C2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familial",IFERROR(IF(VLOOKUP($B28,Détails!$H$2:$H$16,1,0),"Férié",""),"")))))</f>
        <v>Férié</v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IF(OR(WEEKDAY(Tabel115[[#This Row],[Date]],2)=7, DAY(Tabel115[[#This Row],[Date]])=DAY(EOMONTH(Tabel115[[#This Row],[Date]],0))),SUMIF(Tabel115[Semaine],Tabel115[[#This Row],[Semaine]],Tabel115[Total Heures]),0)</f>
        <v>0</v>
      </c>
      <c r="L28" s="24" t="str">
        <f>IFERROR(IF(K28&gt;Détails!E$4,K28-Détails!E$4,""),0)</f>
        <v/>
      </c>
    </row>
    <row r="29" spans="1:14" ht="30" customHeight="1" x14ac:dyDescent="0.3">
      <c r="A29" s="19" t="str">
        <f t="shared" si="0"/>
        <v>52</v>
      </c>
      <c r="B29" s="20">
        <f t="shared" si="2"/>
        <v>45653</v>
      </c>
      <c r="C29" s="45" t="str" cm="1">
        <f t="array" ref="C2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IF(OR(WEEKDAY(Tabel115[[#This Row],[Date]],2)=7, DAY(Tabel115[[#This Row],[Date]])=DAY(EOMONTH(Tabel115[[#This Row],[Date]],0))),SUMIF(Tabel115[Semaine],Tabel115[[#This Row],[Semaine]],Tabel115[Total Heures]),0)</f>
        <v>0</v>
      </c>
      <c r="L29" s="24" t="str">
        <f>IFERROR(IF(K29&gt;Détails!E$4,K29-Détails!E$4,""),0)</f>
        <v/>
      </c>
    </row>
    <row r="30" spans="1:14" ht="30" customHeight="1" x14ac:dyDescent="0.3">
      <c r="A30" s="19" t="str">
        <f t="shared" si="0"/>
        <v>52</v>
      </c>
      <c r="B30" s="20">
        <f t="shared" si="2"/>
        <v>45654</v>
      </c>
      <c r="C30" s="45" t="str" cm="1">
        <f t="array" ref="C3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IF(OR(WEEKDAY(Tabel115[[#This Row],[Date]],2)=7, DAY(Tabel115[[#This Row],[Date]])=DAY(EOMONTH(Tabel115[[#This Row],[Date]],0))),SUMIF(Tabel115[Semaine],Tabel115[[#This Row],[Semaine]],Tabel115[Total Heures]),0)</f>
        <v>0</v>
      </c>
      <c r="L30" s="24" t="str">
        <f>IFERROR(IF(K30&gt;Détails!E$4,K30-Détails!E$4,""),0)</f>
        <v/>
      </c>
    </row>
    <row r="31" spans="1:14" ht="30" customHeight="1" x14ac:dyDescent="0.3">
      <c r="A31" s="19" t="str">
        <f t="shared" si="0"/>
        <v>52</v>
      </c>
      <c r="B31" s="20">
        <f t="shared" si="2"/>
        <v>45655</v>
      </c>
      <c r="C31" s="45" t="str" cm="1">
        <f t="array" ref="C3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IF(OR(WEEKDAY(Tabel115[[#This Row],[Date]],2)=7, DAY(Tabel115[[#This Row],[Date]])=DAY(EOMONTH(Tabel115[[#This Row],[Date]],0))),SUMIF(Tabel115[Semaine],Tabel115[[#This Row],[Semaine]],Tabel115[Total Heures]),0)</f>
        <v>0</v>
      </c>
      <c r="L31" s="24" t="str">
        <f>IFERROR(IF(K31&gt;Détails!E$4,K31-Détails!E$4,""),0)</f>
        <v/>
      </c>
    </row>
    <row r="32" spans="1:14" ht="30" customHeight="1" x14ac:dyDescent="0.3">
      <c r="A32" s="19" t="str">
        <f t="shared" si="0"/>
        <v>53</v>
      </c>
      <c r="B32" s="20">
        <f t="shared" si="2"/>
        <v>45656</v>
      </c>
      <c r="C32" s="45" t="str" cm="1">
        <f t="array" ref="C3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IF(OR(WEEKDAY(Tabel115[[#This Row],[Date]],2)=7, DAY(Tabel115[[#This Row],[Date]])=DAY(EOMONTH(Tabel115[[#This Row],[Date]],0))),SUMIF(Tabel115[Semaine],Tabel115[[#This Row],[Semaine]],Tabel115[Total Heures]),0)</f>
        <v>0</v>
      </c>
      <c r="L32" s="24" t="str">
        <f>IFERROR(IF(K32&gt;Détails!E$4,K32-Détails!E$4,""),0)</f>
        <v/>
      </c>
    </row>
    <row r="33" spans="1:12" ht="30" customHeight="1" x14ac:dyDescent="0.3">
      <c r="A33" s="19" t="str">
        <f t="shared" si="0"/>
        <v>53</v>
      </c>
      <c r="B33" s="20">
        <f t="shared" si="2"/>
        <v>45657</v>
      </c>
      <c r="C33" s="45" t="str" cm="1">
        <f t="array" ref="C3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IF(OR(WEEKDAY(Tabel115[[#This Row],[Date]],2)=7, DAY(Tabel115[[#This Row],[Date]])=DAY(EOMONTH(Tabel115[[#This Row],[Date]],0))),SUMIF(Tabel115[Semaine],Tabel115[[#This Row],[Semaine]],Tabel115[Total Heures]),0)</f>
        <v>0</v>
      </c>
      <c r="L33" s="24" t="str">
        <f>IFERROR(IF(K33&gt;Détails!E$4,K33-Détails!E$4,""),0)</f>
        <v/>
      </c>
    </row>
    <row r="38" spans="1:12" ht="30" customHeight="1" x14ac:dyDescent="0.3">
      <c r="E38" s="18" t="str">
        <f>IFERROR(IF(VLOOKUP($B4,Détails!$H$2:$H$16,1,0),"Férié",""),"")</f>
        <v/>
      </c>
    </row>
  </sheetData>
  <conditionalFormatting sqref="A3:L33">
    <cfRule type="expression" dxfId="3" priority="1">
      <formula>OR($C3="Arrêt maladie",$C3="Accident du travail")</formula>
    </cfRule>
    <cfRule type="expression" dxfId="2" priority="2">
      <formula>OR($C3="Congé",$C3="Congé pour évènement familial")</formula>
    </cfRule>
    <cfRule type="expression" dxfId="0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38B12F5-A3C3-4744-AE58-FDACDF4BF0EA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652747FB-DCBC-44F4-A3DB-D155BEA645ED}">
          <x14:formula1>
            <xm:f>#REF!</xm:f>
          </x14:formula1>
          <xm:sqref>C3:C33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Liste des choses à faire</vt:lpstr>
      <vt:lpstr>Détails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Féries</vt:lpstr>
      <vt:lpstr>Fériés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2024-06-13T14:37:12Z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