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Stessy\Downloads\"/>
    </mc:Choice>
  </mc:AlternateContent>
  <xr:revisionPtr revIDLastSave="0" documentId="13_ncr:1_{2118AE2C-75C1-490D-90EF-9D8C8F11040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étails" sheetId="17" r:id="rId1"/>
    <sheet name="Synthèse" sheetId="13" r:id="rId2"/>
    <sheet name="Janvier" sheetId="14" r:id="rId3"/>
    <sheet name="Février" sheetId="2" r:id="rId4"/>
    <sheet name="Mars" sheetId="3" r:id="rId5"/>
    <sheet name="Avril" sheetId="4" r:id="rId6"/>
    <sheet name="Mai" sheetId="5" r:id="rId7"/>
    <sheet name="Juin" sheetId="6" r:id="rId8"/>
    <sheet name="Juillet" sheetId="7" r:id="rId9"/>
    <sheet name="Août" sheetId="8" r:id="rId10"/>
    <sheet name="Septembre" sheetId="9" r:id="rId11"/>
    <sheet name="Octobre" sheetId="10" r:id="rId12"/>
    <sheet name="Novembre" sheetId="11" r:id="rId13"/>
    <sheet name="Décembre" sheetId="12" r:id="rId14"/>
  </sheets>
  <externalReferences>
    <externalReference r:id="rId15"/>
  </externalReferences>
  <definedNames>
    <definedName name="d">Janvier!$N$1</definedName>
    <definedName name="f">Janvier!$O$1</definedName>
    <definedName name="Fériés">[1]Détails!$B$2:$L$16</definedName>
    <definedName name="MesFeries">Détails!$M$2:$M$16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" i="14" l="1"/>
  <c r="P5" i="14"/>
  <c r="P8" i="14"/>
  <c r="P6" i="14"/>
  <c r="P7" i="14"/>
  <c r="P4" i="14"/>
  <c r="B13" i="17"/>
  <c r="B17" i="17" a="1"/>
  <c r="B16" i="17" a="1"/>
  <c r="B17" i="17" l="1"/>
  <c r="B16" i="17"/>
  <c r="B15" i="17"/>
  <c r="B14" i="17"/>
  <c r="B6" i="17"/>
  <c r="B5" i="17"/>
  <c r="B3" i="17"/>
  <c r="B2" i="17"/>
  <c r="B4" i="17" l="1"/>
  <c r="E5" i="17"/>
  <c r="B3" i="14"/>
  <c r="D1" i="14"/>
  <c r="H1" i="14"/>
  <c r="J4" i="14"/>
  <c r="J5" i="14"/>
  <c r="J6" i="14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4" i="14"/>
  <c r="I3" i="14"/>
  <c r="H4" i="14"/>
  <c r="H5" i="14"/>
  <c r="H6" i="14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" i="14"/>
  <c r="I1" i="14" l="1"/>
  <c r="B4" i="14"/>
  <c r="A3" i="14"/>
  <c r="B5" i="14" l="1"/>
  <c r="M15" i="17"/>
  <c r="M14" i="17"/>
  <c r="M13" i="17"/>
  <c r="M11" i="17"/>
  <c r="M7" i="17"/>
  <c r="M6" i="17"/>
  <c r="M4" i="17"/>
  <c r="M2" i="17"/>
  <c r="L1" i="14"/>
  <c r="G1" i="14"/>
  <c r="F1" i="14"/>
  <c r="B6" i="14" l="1"/>
  <c r="K6" i="14" s="1"/>
  <c r="A4" i="14"/>
  <c r="B7" i="14" l="1"/>
  <c r="A5" i="14"/>
  <c r="B8" i="14" l="1"/>
  <c r="K8" i="14" s="1"/>
  <c r="A6" i="14"/>
  <c r="B9" i="14" l="1"/>
  <c r="A7" i="14"/>
  <c r="B10" i="14" l="1"/>
  <c r="A8" i="14"/>
  <c r="M12" i="17"/>
  <c r="A32" i="17"/>
  <c r="A33" i="17" s="1"/>
  <c r="A34" i="17" s="1"/>
  <c r="A35" i="17" s="1"/>
  <c r="A36" i="17" s="1"/>
  <c r="A37" i="17" s="1"/>
  <c r="A38" i="17" s="1"/>
  <c r="B11" i="14" l="1"/>
  <c r="A9" i="14"/>
  <c r="E2" i="17"/>
  <c r="B12" i="14" l="1"/>
  <c r="A10" i="14"/>
  <c r="C2" i="13"/>
  <c r="C3" i="13"/>
  <c r="B2" i="13"/>
  <c r="B3" i="13"/>
  <c r="M8" i="17"/>
  <c r="M16" i="17"/>
  <c r="B13" i="14" l="1"/>
  <c r="K13" i="14" s="1"/>
  <c r="A11" i="14"/>
  <c r="M9" i="17"/>
  <c r="M10" i="17" s="1"/>
  <c r="M5" i="17"/>
  <c r="M3" i="17"/>
  <c r="G2" i="13"/>
  <c r="F2" i="13"/>
  <c r="D2" i="13"/>
  <c r="E2" i="13"/>
  <c r="G13" i="13"/>
  <c r="F13" i="13"/>
  <c r="E13" i="13"/>
  <c r="D13" i="13"/>
  <c r="C13" i="13"/>
  <c r="B13" i="13"/>
  <c r="G12" i="13"/>
  <c r="F12" i="13"/>
  <c r="E12" i="13"/>
  <c r="D12" i="13"/>
  <c r="C12" i="13"/>
  <c r="B12" i="13"/>
  <c r="G11" i="13"/>
  <c r="F11" i="13"/>
  <c r="E11" i="13"/>
  <c r="D11" i="13"/>
  <c r="C11" i="13"/>
  <c r="B11" i="13"/>
  <c r="G10" i="13"/>
  <c r="F10" i="13"/>
  <c r="E10" i="13"/>
  <c r="D10" i="13"/>
  <c r="C10" i="13"/>
  <c r="B10" i="13"/>
  <c r="G9" i="13"/>
  <c r="F9" i="13"/>
  <c r="E9" i="13"/>
  <c r="D9" i="13"/>
  <c r="C9" i="13"/>
  <c r="B9" i="13"/>
  <c r="G8" i="13"/>
  <c r="F8" i="13"/>
  <c r="E8" i="13"/>
  <c r="D8" i="13"/>
  <c r="C8" i="13"/>
  <c r="B8" i="13"/>
  <c r="G7" i="13"/>
  <c r="F7" i="13"/>
  <c r="E7" i="13"/>
  <c r="D7" i="13"/>
  <c r="C7" i="13"/>
  <c r="B7" i="13"/>
  <c r="G6" i="13"/>
  <c r="F6" i="13"/>
  <c r="E6" i="13"/>
  <c r="D6" i="13"/>
  <c r="C6" i="13"/>
  <c r="B6" i="13"/>
  <c r="G5" i="13"/>
  <c r="F5" i="13"/>
  <c r="E5" i="13"/>
  <c r="D5" i="13"/>
  <c r="C5" i="13"/>
  <c r="B5" i="13"/>
  <c r="G4" i="13"/>
  <c r="F4" i="13"/>
  <c r="E4" i="13"/>
  <c r="D4" i="13"/>
  <c r="C4" i="13"/>
  <c r="B4" i="13"/>
  <c r="G3" i="13"/>
  <c r="F3" i="13"/>
  <c r="E3" i="13"/>
  <c r="D3" i="13"/>
  <c r="B8" i="17" l="1" a="1"/>
  <c r="B8" i="17" s="1"/>
  <c r="B7" i="17" a="1"/>
  <c r="B7" i="17" s="1"/>
  <c r="K3" i="17"/>
  <c r="K11" i="17"/>
  <c r="K4" i="17"/>
  <c r="K5" i="17"/>
  <c r="K6" i="17"/>
  <c r="K10" i="17"/>
  <c r="K7" i="17"/>
  <c r="K8" i="17"/>
  <c r="K9" i="17"/>
  <c r="K2" i="17"/>
  <c r="B14" i="14"/>
  <c r="A12" i="14"/>
  <c r="E14" i="13"/>
  <c r="F14" i="13"/>
  <c r="D14" i="13"/>
  <c r="G14" i="13"/>
  <c r="C14" i="13"/>
  <c r="B14" i="13"/>
  <c r="B15" i="14" l="1"/>
  <c r="K15" i="14" s="1"/>
  <c r="A13" i="14"/>
  <c r="B16" i="14" l="1"/>
  <c r="A14" i="14"/>
  <c r="B17" i="14" l="1"/>
  <c r="A15" i="14"/>
  <c r="B18" i="14" l="1"/>
  <c r="A16" i="14"/>
  <c r="B19" i="14" l="1"/>
  <c r="A17" i="14"/>
  <c r="B20" i="14" l="1"/>
  <c r="K20" i="14" s="1"/>
  <c r="A18" i="14"/>
  <c r="B21" i="14" l="1"/>
  <c r="A19" i="14"/>
  <c r="B22" i="14" l="1"/>
  <c r="K22" i="14" s="1"/>
  <c r="A20" i="14"/>
  <c r="B23" i="14" l="1"/>
  <c r="A21" i="14"/>
  <c r="B24" i="14" l="1"/>
  <c r="A22" i="14"/>
  <c r="B25" i="14" l="1"/>
  <c r="A23" i="14"/>
  <c r="B26" i="14" l="1"/>
  <c r="A24" i="14"/>
  <c r="B27" i="14" l="1"/>
  <c r="K27" i="14" s="1"/>
  <c r="A25" i="14"/>
  <c r="B28" i="14" l="1"/>
  <c r="A26" i="14"/>
  <c r="B29" i="14" l="1"/>
  <c r="K29" i="14" s="1"/>
  <c r="A27" i="14"/>
  <c r="B30" i="14" l="1"/>
  <c r="A28" i="14"/>
  <c r="B31" i="14" l="1"/>
  <c r="A29" i="14"/>
  <c r="B32" i="14" l="1"/>
  <c r="A30" i="14"/>
  <c r="B33" i="14" l="1"/>
  <c r="A31" i="14"/>
  <c r="A32" i="14" l="1"/>
  <c r="K32" i="14" l="1"/>
  <c r="K30" i="14"/>
  <c r="A33" i="14"/>
  <c r="B1" i="14"/>
  <c r="K4" i="14" l="1"/>
  <c r="K11" i="14"/>
  <c r="K18" i="14"/>
  <c r="K25" i="14"/>
  <c r="K3" i="14"/>
  <c r="K10" i="14"/>
  <c r="K17" i="14"/>
  <c r="K24" i="14"/>
  <c r="K31" i="14"/>
  <c r="K7" i="14"/>
  <c r="K14" i="14"/>
  <c r="K21" i="14"/>
  <c r="K28" i="14"/>
  <c r="K9" i="14"/>
  <c r="K16" i="14"/>
  <c r="K23" i="14"/>
  <c r="K5" i="14"/>
  <c r="K12" i="14"/>
  <c r="K19" i="14"/>
  <c r="K26" i="14"/>
  <c r="K33" i="14"/>
  <c r="J1" i="14"/>
  <c r="K1" i="1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<sst xmlns="http://schemas.openxmlformats.org/spreadsheetml/2006/main" count="106" uniqueCount="78">
  <si>
    <t>Heures supplémentaires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</si>
  <si>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</si>
  <si>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</si>
  <si>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</si>
  <si>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</si>
  <si>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</si>
  <si>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</si>
  <si>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</si>
  <si>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</si>
  <si>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</si>
  <si>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</si>
  <si>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</si>
  <si>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</si>
  <si>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</si>
  <si>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Arrêt maladie</t>
  </si>
  <si>
    <t>En poste</t>
  </si>
  <si>
    <t>Congé</t>
  </si>
  <si>
    <t>Accident de travail</t>
  </si>
  <si>
    <t>Ordre</t>
  </si>
  <si>
    <t>Repos</t>
  </si>
  <si>
    <t>Férié</t>
  </si>
  <si>
    <t>Totaux</t>
  </si>
  <si>
    <t>Heures de nuit</t>
  </si>
  <si>
    <t>Heures en journée</t>
  </si>
  <si>
    <t>Fermeture de poste</t>
  </si>
  <si>
    <t>Heures de jour</t>
  </si>
  <si>
    <t>Ouverture de poste</t>
  </si>
  <si>
    <t>Total semaine</t>
  </si>
  <si>
    <t xml:space="preserve">Jours fériés </t>
  </si>
  <si>
    <t>Jour de l'an</t>
  </si>
  <si>
    <t>Vendredi saint</t>
  </si>
  <si>
    <t>Lundi de Pâques</t>
  </si>
  <si>
    <t>Fête du travail</t>
  </si>
  <si>
    <t xml:space="preserve">Ascension </t>
  </si>
  <si>
    <t>Lundi de Pentecôte</t>
  </si>
  <si>
    <t>Fête Nationale</t>
  </si>
  <si>
    <t>Assomption</t>
  </si>
  <si>
    <t>Toussaint</t>
  </si>
  <si>
    <t>Commémoration de la victoire de 1945</t>
  </si>
  <si>
    <t>Commémoration de la victoire de 1918</t>
  </si>
  <si>
    <t>Noël</t>
  </si>
  <si>
    <t>Saint-Étienne</t>
  </si>
  <si>
    <t>Pentecôte</t>
  </si>
  <si>
    <t>Pâques</t>
  </si>
  <si>
    <t>Contrat</t>
  </si>
  <si>
    <t>Journalier</t>
  </si>
  <si>
    <t>Hedomadaire</t>
  </si>
  <si>
    <t>Mensuel</t>
  </si>
  <si>
    <t>Semaine</t>
  </si>
  <si>
    <t>Congés N-1</t>
  </si>
  <si>
    <t>Congés</t>
  </si>
  <si>
    <t>RTT N-1</t>
  </si>
  <si>
    <t>RTT</t>
  </si>
  <si>
    <t>RCN N-1</t>
  </si>
  <si>
    <t>RCN</t>
  </si>
  <si>
    <t>Total Heures</t>
  </si>
  <si>
    <t>Pause entre 06:00 et 21:00</t>
  </si>
  <si>
    <t>Pause entre 21:00 et 06:00</t>
  </si>
  <si>
    <t>du</t>
  </si>
  <si>
    <t>au</t>
  </si>
  <si>
    <t>Premier jour de l'année</t>
  </si>
  <si>
    <t>Dernier jour de l'année</t>
  </si>
  <si>
    <t>Nombre de jour dans l'année</t>
  </si>
  <si>
    <t>Nombre de samedi et dimanche</t>
  </si>
  <si>
    <t>Nombre de jours ouvrés</t>
  </si>
  <si>
    <t>Nombre de jours fériés en semaine</t>
  </si>
  <si>
    <t>Nombre de jours fériés le week-end</t>
  </si>
  <si>
    <t>Nombre de jour prévu par la convention</t>
  </si>
  <si>
    <t>Nombre de jour travaillé par semaine</t>
  </si>
  <si>
    <t>Nombre de Jours de l’année – nombre de samedis et dimanche – jours fériés en semaine – 25 jours de cp – 218 jours travaillés</t>
  </si>
  <si>
    <t>Calcul entre deux dates</t>
  </si>
  <si>
    <t>Nombre de jours</t>
  </si>
  <si>
    <t>samedi &amp; dimanche</t>
  </si>
  <si>
    <t>jours fériés</t>
  </si>
  <si>
    <t>jours</t>
  </si>
  <si>
    <t>jours fériés pendant weekend</t>
  </si>
  <si>
    <t>jours ouvrables</t>
  </si>
  <si>
    <t>uniquement samedis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</si>
</sst>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[$-F800]dddd\,\ mmmm\ dd\,\ yyyy"/>
    <numFmt numFmtId="165" formatCode="h:mm;@"/>
    <numFmt numFmtId="166" formatCode="[hh]:mm"/>
    <numFmt numFmtId="167" formatCode="[hh]:mm;\-0.000;"/>
    <numFmt numFmtId="168" formatCode="_-* #,##0_-;\-* #,##0_-;_-* &quot;-&quot;??_-;_-@_-"/>
    <numFmt numFmtId="169" formatCode="#,##0.00\ _€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Bahnschrift"/>
      <family val="2"/>
    </font>
    <font>
      <b/>
      <sz val="9"/>
      <color theme="1"/>
      <name val="Bahnschrift"/>
      <family val="2"/>
    </font>
    <font>
      <sz val="9"/>
      <color theme="1"/>
      <name val="Bahnschrift"/>
      <family val="2"/>
    </font>
    <font>
      <sz val="9"/>
      <color theme="0"/>
      <name val="Bahnschrift"/>
      <family val="2"/>
    </font>
    <font>
      <sz val="11"/>
      <color rgb="FFFF0000"/>
      <name val="Bahnschrift"/>
      <family val="2"/>
    </font>
    <font>
      <b/>
      <sz val="18"/>
      <color theme="1"/>
      <name val="Bahnschrift"/>
      <family val="2"/>
    </font>
    <font>
      <b/>
      <sz val="12"/>
      <color theme="1"/>
      <name val="Bahnschrift"/>
      <family val="2"/>
    </font>
    <font>
      <b/>
      <sz val="18"/>
      <name val="Bahnschrift"/>
      <family val="2"/>
    </font>
    <font>
      <b/>
      <sz val="18"/>
      <color theme="0"/>
      <name val="Bahnschrift"/>
      <family val="2"/>
    </font>
    <font>
      <b/>
      <sz val="14"/>
      <color rgb="FFFF0000"/>
      <name val="Bahnschrift"/>
      <family val="2"/>
    </font>
    <font>
      <b/>
      <sz val="9"/>
      <color theme="0"/>
      <name val="Bahnschrift"/>
      <family val="2"/>
    </font>
    <font>
      <b/>
      <sz val="11"/>
      <color theme="1"/>
      <name val="Bahnschrift"/>
      <family val="2"/>
    </font>
    <font>
      <sz val="11"/>
      <color theme="1"/>
      <name val="Calibri"/>
      <family val="2"/>
      <scheme val="minor"/>
    </font>
    <font>
      <b/>
      <sz val="16"/>
      <color theme="0"/>
      <name val="Bahnschrift"/>
      <family val="2"/>
    </font>
    <font>
      <b/>
      <sz val="12"/>
      <color theme="0"/>
      <name val="Bahnschrift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167" fontId="10" fillId="0" borderId="0" xfId="0" applyNumberFormat="1" applyFont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1" fontId="10" fillId="0" borderId="0" xfId="0" applyNumberFormat="1" applyFont="1" applyAlignment="1">
      <alignment horizontal="center" vertical="center" shrinkToFit="1"/>
    </xf>
    <xf numFmtId="1" fontId="3" fillId="0" borderId="0" xfId="0" applyNumberFormat="1" applyFont="1" applyAlignment="1">
      <alignment horizontal="center" vertical="center"/>
    </xf>
    <xf numFmtId="167" fontId="8" fillId="0" borderId="0" xfId="0" applyNumberFormat="1" applyFont="1" applyAlignment="1">
      <alignment horizontal="center" vertical="center" shrinkToFit="1"/>
    </xf>
    <xf numFmtId="1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67" fontId="7" fillId="0" borderId="1" xfId="0" applyNumberFormat="1" applyFont="1" applyBorder="1" applyAlignment="1">
      <alignment horizontal="center" vertical="center"/>
    </xf>
    <xf numFmtId="20" fontId="12" fillId="0" borderId="0" xfId="0" applyNumberFormat="1" applyFont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7" fontId="13" fillId="0" borderId="3" xfId="0" applyNumberFormat="1" applyFont="1" applyBorder="1" applyAlignment="1">
      <alignment horizontal="center" vertical="center"/>
    </xf>
    <xf numFmtId="167" fontId="4" fillId="0" borderId="4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165" fontId="14" fillId="0" borderId="1" xfId="0" applyNumberFormat="1" applyFont="1" applyBorder="1" applyAlignment="1">
      <alignment horizontal="center" vertical="center"/>
    </xf>
    <xf numFmtId="168" fontId="10" fillId="0" borderId="0" xfId="1" applyNumberFormat="1" applyFont="1" applyAlignment="1">
      <alignment horizontal="center" vertical="center" shrinkToFit="1"/>
    </xf>
    <xf numFmtId="169" fontId="5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4" fontId="5" fillId="7" borderId="5" xfId="0" applyNumberFormat="1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9" fillId="8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1" fontId="5" fillId="9" borderId="1" xfId="0" applyNumberFormat="1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8"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Bahnschrift"/>
        <scheme val="none"/>
      </font>
      <numFmt numFmtId="167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6" formatCode="[h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hnschrif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Jonathan\RoyalForm\Perso\Suivi%20des%20heures\pointage%20test%20final.xlsx" TargetMode="External"/><Relationship Id="rId1" Type="http://schemas.openxmlformats.org/officeDocument/2006/relationships/externalLinkPath" Target="file:///P:\Jonathan\RoyalForm\Perso\Suivi%20des%20heures\pointage%20test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étails"/>
      <sheetName val="Synthèse"/>
      <sheetName val="Heures"/>
    </sheetNames>
    <sheetDataSet>
      <sheetData sheetId="0" refreshError="1">
        <row r="2">
          <cell r="B2">
            <v>45292</v>
          </cell>
          <cell r="C2">
            <v>45658</v>
          </cell>
          <cell r="D2">
            <v>46023</v>
          </cell>
          <cell r="E2">
            <v>46388</v>
          </cell>
          <cell r="F2">
            <v>46753</v>
          </cell>
          <cell r="G2">
            <v>47119</v>
          </cell>
          <cell r="H2">
            <v>47484</v>
          </cell>
          <cell r="I2">
            <v>47849</v>
          </cell>
          <cell r="J2">
            <v>48214</v>
          </cell>
          <cell r="K2">
            <v>48580</v>
          </cell>
          <cell r="L2">
            <v>48945</v>
          </cell>
        </row>
        <row r="3">
          <cell r="B3">
            <v>45380</v>
          </cell>
          <cell r="C3">
            <v>45765</v>
          </cell>
          <cell r="D3">
            <v>46115</v>
          </cell>
          <cell r="E3">
            <v>46472</v>
          </cell>
          <cell r="F3">
            <v>46857</v>
          </cell>
          <cell r="G3">
            <v>47207</v>
          </cell>
          <cell r="H3">
            <v>47592</v>
          </cell>
          <cell r="I3">
            <v>47949</v>
          </cell>
          <cell r="J3">
            <v>48299</v>
          </cell>
          <cell r="K3">
            <v>48684</v>
          </cell>
          <cell r="L3">
            <v>49041</v>
          </cell>
        </row>
        <row r="4">
          <cell r="B4">
            <v>45382</v>
          </cell>
          <cell r="C4">
            <v>45767</v>
          </cell>
          <cell r="D4">
            <v>46117</v>
          </cell>
          <cell r="E4">
            <v>46474</v>
          </cell>
          <cell r="F4">
            <v>46859</v>
          </cell>
          <cell r="G4">
            <v>47209</v>
          </cell>
          <cell r="H4">
            <v>47594</v>
          </cell>
          <cell r="I4">
            <v>47951</v>
          </cell>
          <cell r="J4">
            <v>48301</v>
          </cell>
          <cell r="K4">
            <v>48686</v>
          </cell>
          <cell r="L4">
            <v>49043</v>
          </cell>
        </row>
        <row r="5">
          <cell r="B5">
            <v>45383</v>
          </cell>
          <cell r="C5">
            <v>45768</v>
          </cell>
          <cell r="D5">
            <v>46118</v>
          </cell>
          <cell r="E5">
            <v>46475</v>
          </cell>
          <cell r="F5">
            <v>46860</v>
          </cell>
          <cell r="G5">
            <v>47210</v>
          </cell>
          <cell r="H5">
            <v>47595</v>
          </cell>
          <cell r="I5">
            <v>47952</v>
          </cell>
          <cell r="J5">
            <v>48302</v>
          </cell>
          <cell r="K5">
            <v>48687</v>
          </cell>
          <cell r="L5">
            <v>49044</v>
          </cell>
        </row>
        <row r="6">
          <cell r="B6">
            <v>45413</v>
          </cell>
          <cell r="C6">
            <v>45778</v>
          </cell>
          <cell r="D6">
            <v>46143</v>
          </cell>
          <cell r="E6">
            <v>46508</v>
          </cell>
          <cell r="F6">
            <v>46874</v>
          </cell>
          <cell r="G6">
            <v>47239</v>
          </cell>
          <cell r="H6">
            <v>47604</v>
          </cell>
          <cell r="I6">
            <v>47969</v>
          </cell>
          <cell r="J6">
            <v>48335</v>
          </cell>
          <cell r="K6">
            <v>48700</v>
          </cell>
          <cell r="L6">
            <v>49065</v>
          </cell>
        </row>
        <row r="7">
          <cell r="B7">
            <v>45420</v>
          </cell>
          <cell r="C7">
            <v>45785</v>
          </cell>
          <cell r="D7">
            <v>46150</v>
          </cell>
          <cell r="E7">
            <v>46515</v>
          </cell>
          <cell r="F7">
            <v>46881</v>
          </cell>
          <cell r="G7">
            <v>47246</v>
          </cell>
          <cell r="H7">
            <v>47611</v>
          </cell>
          <cell r="I7">
            <v>47976</v>
          </cell>
          <cell r="J7">
            <v>48342</v>
          </cell>
          <cell r="K7">
            <v>48707</v>
          </cell>
          <cell r="L7">
            <v>49072</v>
          </cell>
        </row>
        <row r="8">
          <cell r="B8">
            <v>45421</v>
          </cell>
          <cell r="C8">
            <v>45806</v>
          </cell>
          <cell r="D8">
            <v>46156</v>
          </cell>
          <cell r="E8">
            <v>46513</v>
          </cell>
          <cell r="F8">
            <v>46898</v>
          </cell>
          <cell r="G8">
            <v>47248</v>
          </cell>
          <cell r="H8">
            <v>47633</v>
          </cell>
          <cell r="I8">
            <v>47990</v>
          </cell>
          <cell r="J8">
            <v>48340</v>
          </cell>
          <cell r="K8">
            <v>48725</v>
          </cell>
          <cell r="L8">
            <v>49082</v>
          </cell>
        </row>
        <row r="9">
          <cell r="B9">
            <v>45431</v>
          </cell>
          <cell r="C9">
            <v>45816</v>
          </cell>
          <cell r="D9">
            <v>46166</v>
          </cell>
          <cell r="E9">
            <v>46523</v>
          </cell>
          <cell r="F9">
            <v>46908</v>
          </cell>
          <cell r="G9">
            <v>47258</v>
          </cell>
          <cell r="H9">
            <v>47643</v>
          </cell>
          <cell r="I9">
            <v>48000</v>
          </cell>
          <cell r="J9">
            <v>48350</v>
          </cell>
          <cell r="K9">
            <v>48735</v>
          </cell>
          <cell r="L9">
            <v>49092</v>
          </cell>
        </row>
        <row r="10">
          <cell r="B10">
            <v>45432</v>
          </cell>
          <cell r="C10">
            <v>45817</v>
          </cell>
          <cell r="D10">
            <v>46167</v>
          </cell>
          <cell r="E10">
            <v>46524</v>
          </cell>
          <cell r="F10">
            <v>46909</v>
          </cell>
          <cell r="G10">
            <v>47259</v>
          </cell>
          <cell r="H10">
            <v>47644</v>
          </cell>
          <cell r="I10">
            <v>48001</v>
          </cell>
          <cell r="J10">
            <v>48351</v>
          </cell>
          <cell r="K10">
            <v>48736</v>
          </cell>
          <cell r="L10">
            <v>49093</v>
          </cell>
        </row>
        <row r="11">
          <cell r="B11">
            <v>45487</v>
          </cell>
          <cell r="C11">
            <v>45852</v>
          </cell>
          <cell r="D11">
            <v>46217</v>
          </cell>
          <cell r="E11">
            <v>46582</v>
          </cell>
          <cell r="F11">
            <v>46948</v>
          </cell>
          <cell r="G11">
            <v>47313</v>
          </cell>
          <cell r="H11">
            <v>47678</v>
          </cell>
          <cell r="I11">
            <v>48043</v>
          </cell>
          <cell r="J11">
            <v>48409</v>
          </cell>
          <cell r="K11">
            <v>48774</v>
          </cell>
          <cell r="L11">
            <v>49139</v>
          </cell>
        </row>
        <row r="12">
          <cell r="B12">
            <v>45519</v>
          </cell>
          <cell r="C12">
            <v>45884</v>
          </cell>
          <cell r="D12">
            <v>46249</v>
          </cell>
          <cell r="E12">
            <v>46614</v>
          </cell>
          <cell r="F12">
            <v>46980</v>
          </cell>
          <cell r="G12">
            <v>47345</v>
          </cell>
          <cell r="H12">
            <v>47710</v>
          </cell>
          <cell r="I12">
            <v>48075</v>
          </cell>
          <cell r="J12">
            <v>48441</v>
          </cell>
          <cell r="K12">
            <v>48806</v>
          </cell>
          <cell r="L12">
            <v>49171</v>
          </cell>
        </row>
        <row r="13">
          <cell r="B13">
            <v>45597</v>
          </cell>
          <cell r="C13">
            <v>45962</v>
          </cell>
          <cell r="D13">
            <v>46327</v>
          </cell>
          <cell r="E13">
            <v>46692</v>
          </cell>
          <cell r="F13">
            <v>47058</v>
          </cell>
          <cell r="G13">
            <v>47423</v>
          </cell>
          <cell r="H13">
            <v>47788</v>
          </cell>
          <cell r="I13">
            <v>48153</v>
          </cell>
          <cell r="J13">
            <v>48519</v>
          </cell>
          <cell r="K13">
            <v>48884</v>
          </cell>
          <cell r="L13">
            <v>49249</v>
          </cell>
        </row>
        <row r="14">
          <cell r="B14">
            <v>45607</v>
          </cell>
          <cell r="C14">
            <v>45972</v>
          </cell>
          <cell r="D14">
            <v>46337</v>
          </cell>
          <cell r="E14">
            <v>46702</v>
          </cell>
          <cell r="F14">
            <v>47068</v>
          </cell>
          <cell r="G14">
            <v>47433</v>
          </cell>
          <cell r="H14">
            <v>47798</v>
          </cell>
          <cell r="I14">
            <v>48163</v>
          </cell>
          <cell r="J14">
            <v>48529</v>
          </cell>
          <cell r="K14">
            <v>48894</v>
          </cell>
          <cell r="L14">
            <v>49259</v>
          </cell>
        </row>
        <row r="15">
          <cell r="B15">
            <v>45651</v>
          </cell>
          <cell r="C15">
            <v>46016</v>
          </cell>
          <cell r="D15">
            <v>46381</v>
          </cell>
          <cell r="E15">
            <v>46746</v>
          </cell>
          <cell r="F15">
            <v>47112</v>
          </cell>
          <cell r="G15">
            <v>47477</v>
          </cell>
          <cell r="H15">
            <v>47842</v>
          </cell>
          <cell r="I15">
            <v>48207</v>
          </cell>
          <cell r="J15">
            <v>48573</v>
          </cell>
          <cell r="K15">
            <v>48938</v>
          </cell>
          <cell r="L15">
            <v>49303</v>
          </cell>
        </row>
        <row r="16">
          <cell r="B16">
            <v>45652</v>
          </cell>
          <cell r="C16">
            <v>46017</v>
          </cell>
          <cell r="D16">
            <v>46382</v>
          </cell>
          <cell r="E16">
            <v>46747</v>
          </cell>
          <cell r="F16">
            <v>47113</v>
          </cell>
          <cell r="G16">
            <v>47478</v>
          </cell>
          <cell r="H16">
            <v>47843</v>
          </cell>
          <cell r="I16">
            <v>48208</v>
          </cell>
          <cell r="J16">
            <v>48574</v>
          </cell>
          <cell r="K16">
            <v>48939</v>
          </cell>
          <cell r="L16">
            <v>49304</v>
          </cell>
        </row>
      </sheetData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1" displayName="Tabel1" ref="A2:L33" totalsRowShown="0" headerRowDxfId="17" dataDxfId="16">
  <autoFilter ref="A2:L33" xr:uid="{00000000-0009-0000-0100-000001000000}"/>
  <sortState xmlns:xlrd2="http://schemas.microsoft.com/office/spreadsheetml/2017/richdata2" ref="A3:K33">
    <sortCondition ref="B2:B33"/>
  </sortState>
  <tableColumns count="12">
    <tableColumn id="1" xr3:uid="{00000000-0010-0000-0000-000001000000}" name="Semaine" dataDxfId="15">
      <calculatedColumnFormula>""&amp;WEEKNUM(B3,2)</calculatedColumnFormula>
    </tableColumn>
    <tableColumn id="2" xr3:uid="{00000000-0010-0000-0000-000002000000}" name="Date" dataDxfId="14">
      <calculatedColumnFormula>DATE(Détails!$A$1,1,1)</calculatedColumnFormula>
    </tableColumn>
    <tableColumn id="3" xr3:uid="{00000000-0010-0000-0000-000003000000}" name="Ordre" dataDxfId="13"/>
    <tableColumn id="4" xr3:uid="{00000000-0010-0000-0000-000004000000}" name="Ouverture de poste" dataDxfId="12"/>
    <tableColumn id="12" xr3:uid="{00000000-0010-0000-0000-00000C000000}" name="Pause entre 06:00 et 21:00" dataDxfId="11"/>
    <tableColumn id="5" xr3:uid="{00000000-0010-0000-0000-000005000000}" name="Pause entre 21:00 et 06:00" dataDxfId="10"/>
    <tableColumn id="6" xr3:uid="{00000000-0010-0000-0000-000006000000}" name="Fermeture de poste" dataDxfId="9"/>
    <tableColumn id="7" xr3:uid="{00000000-0010-0000-0000-000007000000}" name="Total Heures" dataDxfId="8">
      <calculatedColumnFormula>IF(OR(D3&lt;&gt;"",G3&lt;&gt;""),MOD(G3-D3-F3-E3,1),"")</calculatedColumnFormula>
    </tableColumn>
    <tableColumn id="8" xr3:uid="{00000000-0010-0000-0000-000008000000}" name="Heures de jour" dataDxfId="7">
      <calculatedColumnFormula>IF($G3&gt;$D3,MEDIAN($G3,Détails!$R$2,Détails!$R$3)-MEDIAN($D3,Détails!$R$2,Détails!$R$3),($G3&lt;$D3)*(Détails!$R$2-Détails!$R$3)+MEDIAN($G3,Détails!$R$3,Détails!$R$2)-MEDIAN($D3,Détails!$R$3,Détails!$R$2))-$E3</calculatedColumnFormula>
    </tableColumn>
    <tableColumn id="9" xr3:uid="{00000000-0010-0000-0000-000009000000}" name="Heures de nuit" dataDxfId="6">
      <calculatedColumnFormula>MOD($G3-$D3,1)-($G3&lt;$D3)*(Détails!$R$2-Détails!$R$3)-MEDIAN($G3,Détails!$R$3,Détails!$R$2)+MEDIAN($D3,Détails!$R$3,Détails!$R$2)-$F3</calculatedColumnFormula>
    </tableColumn>
    <tableColumn id="10" xr3:uid="{00000000-0010-0000-0000-00000A000000}" name="Total semaine" dataDxfId="5">
      <calculatedColumnFormula>IF(OR(WEEKDAY(Tabel1[[#This Row],[Date]],2)=7, DAY(Tabel1[[#This Row],[Date]])=DAY(EOMONTH(Tabel1[[#This Row],[Date]],0))),SUMIF(Tabel1[Semaine],Tabel1[[#This Row],[Semaine]],Tabel1[Total Heures]),0)</calculatedColumnFormula>
    </tableColumn>
    <tableColumn id="11" xr3:uid="{00000000-0010-0000-0000-00000B000000}" name="Heures supplémentaires" dataDxfId="4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38"/>
  <sheetViews>
    <sheetView tabSelected="1" workbookViewId="0">
      <selection activeCell="D11" sqref="D11"/>
    </sheetView>
  </sheetViews>
  <sheetFormatPr baseColWidth="10" defaultColWidth="11.5546875" defaultRowHeight="11.4" x14ac:dyDescent="0.3"/>
  <cols>
    <col min="1" max="2" width="30.6640625" style="10" customWidth="1"/>
    <col min="3" max="3" width="10.6640625" style="10" customWidth="1"/>
    <col min="4" max="5" width="30.6640625" style="10" customWidth="1"/>
    <col min="6" max="6" width="10.6640625" style="10" customWidth="1"/>
    <col min="7" max="7" width="4.6640625" style="10" customWidth="1"/>
    <col min="8" max="8" width="30.6640625" style="10" customWidth="1"/>
    <col min="9" max="9" width="4.6640625" style="10" customWidth="1"/>
    <col min="10" max="10" width="30.6640625" style="10" customWidth="1"/>
    <col min="11" max="11" width="10.6640625" style="10" customWidth="1"/>
    <col min="12" max="13" width="30.6640625" style="10" customWidth="1"/>
    <col min="14" max="14" width="10.6640625" style="10" customWidth="1"/>
    <col min="15" max="16" width="30.6640625" style="10" customWidth="1"/>
    <col min="17" max="17" width="11.5546875" style="10"/>
    <col min="18" max="20" width="20.6640625" style="10" customWidth="1"/>
    <col min="21" max="16384" width="11.5546875" style="10"/>
  </cols>
  <sheetData>
    <row r="1" spans="1:18" ht="19.95" customHeight="1" x14ac:dyDescent="0.3">
      <c r="A1" s="55">
        <v>2024</v>
      </c>
      <c r="B1" s="55"/>
      <c r="C1" s="41"/>
      <c r="D1" s="52" t="s">
        <v>44</v>
      </c>
      <c r="E1" s="52"/>
      <c r="F1" s="37"/>
      <c r="G1" s="53" t="s">
        <v>50</v>
      </c>
      <c r="H1" s="53"/>
      <c r="I1" s="53"/>
      <c r="J1" s="53"/>
      <c r="K1" s="37"/>
      <c r="L1" s="51" t="s">
        <v>28</v>
      </c>
      <c r="M1" s="51"/>
      <c r="R1" s="42" t="s">
        <v>22</v>
      </c>
    </row>
    <row r="2" spans="1:18" ht="19.95" customHeight="1" x14ac:dyDescent="0.3">
      <c r="A2" s="9" t="s">
        <v>60</v>
      </c>
      <c r="B2" s="9">
        <f>DATE(A1,1,1)</f>
        <v>45292</v>
      </c>
      <c r="C2" s="40"/>
      <c r="D2" s="38" t="s">
        <v>45</v>
      </c>
      <c r="E2" s="43">
        <f>E4/E3</f>
        <v>0.32500000000000001</v>
      </c>
      <c r="F2" s="11"/>
      <c r="G2" s="39" t="s">
        <v>58</v>
      </c>
      <c r="H2" s="44"/>
      <c r="I2" s="39" t="s">
        <v>59</v>
      </c>
      <c r="J2" s="44"/>
      <c r="K2" s="10">
        <f t="shared" ref="K2:K11" si="0">NETWORKDAYS.INTL(H2,J2,1,M$2:M$16)</f>
        <v>0</v>
      </c>
      <c r="L2" s="8" t="s">
        <v>29</v>
      </c>
      <c r="M2" s="9">
        <f>DATE(A1,1,1)</f>
        <v>45292</v>
      </c>
      <c r="R2" s="45">
        <v>0.875</v>
      </c>
    </row>
    <row r="3" spans="1:18" ht="19.95" customHeight="1" x14ac:dyDescent="0.3">
      <c r="A3" s="9" t="s">
        <v>61</v>
      </c>
      <c r="B3" s="9">
        <f>DATE(A1,12,31)</f>
        <v>45657</v>
      </c>
      <c r="C3" s="40"/>
      <c r="D3" s="38" t="s">
        <v>68</v>
      </c>
      <c r="E3" s="38">
        <v>5</v>
      </c>
      <c r="F3" s="11"/>
      <c r="G3" s="39" t="s">
        <v>58</v>
      </c>
      <c r="H3" s="44"/>
      <c r="I3" s="39" t="s">
        <v>59</v>
      </c>
      <c r="J3" s="44"/>
      <c r="K3" s="10">
        <f t="shared" si="0"/>
        <v>0</v>
      </c>
      <c r="L3" s="8" t="s">
        <v>30</v>
      </c>
      <c r="M3" s="9">
        <f>M4-2</f>
        <v>45380</v>
      </c>
      <c r="R3" s="45">
        <v>0.25</v>
      </c>
    </row>
    <row r="4" spans="1:18" ht="19.95" customHeight="1" x14ac:dyDescent="0.3">
      <c r="A4" s="38" t="s">
        <v>62</v>
      </c>
      <c r="B4" s="47">
        <f>NETWORKDAYS.INTL(B2,B3,"0000000")</f>
        <v>366</v>
      </c>
      <c r="D4" s="38" t="s">
        <v>46</v>
      </c>
      <c r="E4" s="43">
        <v>1.625</v>
      </c>
      <c r="F4" s="36"/>
      <c r="G4" s="39" t="s">
        <v>58</v>
      </c>
      <c r="H4" s="44"/>
      <c r="I4" s="39" t="s">
        <v>59</v>
      </c>
      <c r="J4" s="44"/>
      <c r="K4" s="10">
        <f t="shared" si="0"/>
        <v>0</v>
      </c>
      <c r="L4" s="8" t="s">
        <v>43</v>
      </c>
      <c r="M4" s="9">
        <f>ROUND(DATE(A1,4,MOD(234-11*MOD($A$1,19),30))/7,)*7-6</f>
        <v>45382</v>
      </c>
    </row>
    <row r="5" spans="1:18" ht="19.95" customHeight="1" x14ac:dyDescent="0.3">
      <c r="A5" s="38" t="s">
        <v>64</v>
      </c>
      <c r="B5" s="38">
        <f>NETWORKDAYS(B2,B3, M1:M16)</f>
        <v>250</v>
      </c>
      <c r="D5" s="38" t="s">
        <v>47</v>
      </c>
      <c r="E5" s="43">
        <f>E4*4.33333</f>
        <v>7.0416612500000006</v>
      </c>
      <c r="F5" s="11"/>
      <c r="G5" s="39" t="s">
        <v>58</v>
      </c>
      <c r="H5" s="44"/>
      <c r="I5" s="39" t="s">
        <v>59</v>
      </c>
      <c r="J5" s="44"/>
      <c r="K5" s="10">
        <f t="shared" si="0"/>
        <v>0</v>
      </c>
      <c r="L5" s="8" t="s">
        <v>31</v>
      </c>
      <c r="M5" s="9">
        <f>M4+1</f>
        <v>45383</v>
      </c>
    </row>
    <row r="6" spans="1:18" ht="19.95" customHeight="1" x14ac:dyDescent="0.3">
      <c r="A6" s="38" t="s">
        <v>63</v>
      </c>
      <c r="B6" s="47">
        <f>NETWORKDAYS.INTL(B2,B3,"1111100")</f>
        <v>104</v>
      </c>
      <c r="D6" s="38" t="s">
        <v>67</v>
      </c>
      <c r="E6" s="46"/>
      <c r="F6" s="11"/>
      <c r="G6" s="39" t="s">
        <v>58</v>
      </c>
      <c r="H6" s="44"/>
      <c r="I6" s="39" t="s">
        <v>59</v>
      </c>
      <c r="J6" s="44"/>
      <c r="K6" s="10">
        <f t="shared" si="0"/>
        <v>0</v>
      </c>
      <c r="L6" s="8" t="s">
        <v>32</v>
      </c>
      <c r="M6" s="9">
        <f>DATE(A1,5,1)</f>
        <v>45413</v>
      </c>
    </row>
    <row r="7" spans="1:18" ht="19.95" customHeight="1" x14ac:dyDescent="0.3">
      <c r="A7" s="38" t="s">
        <v>65</v>
      </c>
      <c r="B7" s="38" cm="1">
        <f t="array" ref="B7">ROWS(_xlfn._xlws.FILTER(M2:M16,WEEKDAY(M2:M16,2)&lt;6))</f>
        <v>12</v>
      </c>
      <c r="D7" s="11"/>
      <c r="E7" s="11"/>
      <c r="F7" s="11"/>
      <c r="G7" s="39" t="s">
        <v>58</v>
      </c>
      <c r="H7" s="44"/>
      <c r="I7" s="39" t="s">
        <v>59</v>
      </c>
      <c r="J7" s="44"/>
      <c r="K7" s="10">
        <f t="shared" si="0"/>
        <v>0</v>
      </c>
      <c r="L7" s="8" t="s">
        <v>38</v>
      </c>
      <c r="M7" s="9">
        <f>DATE(A1,5,8)</f>
        <v>45420</v>
      </c>
    </row>
    <row r="8" spans="1:18" ht="19.95" customHeight="1" x14ac:dyDescent="0.3">
      <c r="A8" s="38" t="s">
        <v>66</v>
      </c>
      <c r="B8" s="38" cm="1">
        <f t="array" ref="B8">ROWS(_xlfn._xlws.FILTER(M2:M16,WEEKDAY(M2:M16,2)&gt;5))</f>
        <v>3</v>
      </c>
      <c r="D8" s="11"/>
      <c r="E8" s="11"/>
      <c r="F8" s="11"/>
      <c r="G8" s="39" t="s">
        <v>58</v>
      </c>
      <c r="H8" s="44"/>
      <c r="I8" s="39" t="s">
        <v>59</v>
      </c>
      <c r="J8" s="44"/>
      <c r="K8" s="10">
        <f t="shared" si="0"/>
        <v>0</v>
      </c>
      <c r="L8" s="8" t="s">
        <v>33</v>
      </c>
      <c r="M8" s="9">
        <f>M4+39</f>
        <v>45421</v>
      </c>
    </row>
    <row r="9" spans="1:18" ht="19.95" customHeight="1" x14ac:dyDescent="0.3">
      <c r="A9" s="54"/>
      <c r="B9" s="54"/>
      <c r="D9" s="48" t="s">
        <v>69</v>
      </c>
      <c r="E9" s="10" t="s">
        <v>52</v>
      </c>
      <c r="F9" s="11"/>
      <c r="G9" s="39" t="s">
        <v>58</v>
      </c>
      <c r="H9" s="44"/>
      <c r="I9" s="39" t="s">
        <v>59</v>
      </c>
      <c r="J9" s="44"/>
      <c r="K9" s="10">
        <f t="shared" si="0"/>
        <v>0</v>
      </c>
      <c r="L9" s="8" t="s">
        <v>42</v>
      </c>
      <c r="M9" s="9">
        <f>M4+49</f>
        <v>45431</v>
      </c>
    </row>
    <row r="10" spans="1:18" ht="19.95" customHeight="1" x14ac:dyDescent="0.3">
      <c r="A10" s="56" t="s">
        <v>70</v>
      </c>
      <c r="B10" s="56"/>
      <c r="C10" s="11"/>
      <c r="D10" s="11"/>
      <c r="E10" s="11"/>
      <c r="F10" s="11"/>
      <c r="G10" s="39" t="s">
        <v>58</v>
      </c>
      <c r="H10" s="44"/>
      <c r="I10" s="39" t="s">
        <v>59</v>
      </c>
      <c r="J10" s="44"/>
      <c r="K10" s="10">
        <f t="shared" si="0"/>
        <v>0</v>
      </c>
      <c r="L10" s="8" t="s">
        <v>34</v>
      </c>
      <c r="M10" s="9">
        <f>M9+1</f>
        <v>45432</v>
      </c>
    </row>
    <row r="11" spans="1:18" ht="19.95" customHeight="1" x14ac:dyDescent="0.3">
      <c r="A11" s="38" t="s">
        <v>58</v>
      </c>
      <c r="B11" s="9">
        <v>45413</v>
      </c>
      <c r="C11" s="11"/>
      <c r="D11" s="11"/>
      <c r="E11" s="11"/>
      <c r="F11" s="11"/>
      <c r="G11" s="39" t="s">
        <v>58</v>
      </c>
      <c r="H11" s="44"/>
      <c r="I11" s="39" t="s">
        <v>59</v>
      </c>
      <c r="J11" s="44"/>
      <c r="K11" s="10">
        <f t="shared" si="0"/>
        <v>0</v>
      </c>
      <c r="L11" s="8" t="s">
        <v>35</v>
      </c>
      <c r="M11" s="9">
        <f>DATE(A1,7,14)</f>
        <v>45487</v>
      </c>
    </row>
    <row r="12" spans="1:18" ht="19.95" customHeight="1" x14ac:dyDescent="0.3">
      <c r="A12" s="38" t="s">
        <v>59</v>
      </c>
      <c r="B12" s="9">
        <v>45432</v>
      </c>
      <c r="C12" s="11"/>
      <c r="D12" s="11"/>
      <c r="E12" s="11"/>
      <c r="F12" s="11"/>
      <c r="G12" s="50"/>
      <c r="H12" s="50"/>
      <c r="I12" s="50"/>
      <c r="J12" s="50"/>
      <c r="L12" s="8" t="s">
        <v>36</v>
      </c>
      <c r="M12" s="9">
        <f>DATE($A$1,8,15)</f>
        <v>45519</v>
      </c>
    </row>
    <row r="13" spans="1:18" ht="19.95" customHeight="1" x14ac:dyDescent="0.3">
      <c r="A13" s="38" t="s">
        <v>71</v>
      </c>
      <c r="B13" s="38">
        <f>NETWORKDAYS.INTL(B11,B12,"0000000")</f>
        <v>20</v>
      </c>
      <c r="C13" s="11"/>
      <c r="D13" s="11"/>
      <c r="F13" s="11"/>
      <c r="G13" s="50" t="s">
        <v>49</v>
      </c>
      <c r="H13" s="50"/>
      <c r="I13" s="50"/>
      <c r="J13" s="50"/>
      <c r="L13" s="8" t="s">
        <v>37</v>
      </c>
      <c r="M13" s="9">
        <f>DATE(A1,11,1)</f>
        <v>45597</v>
      </c>
    </row>
    <row r="14" spans="1:18" ht="19.95" customHeight="1" x14ac:dyDescent="0.3">
      <c r="A14" s="38" t="s">
        <v>64</v>
      </c>
      <c r="B14" s="38">
        <f>NETWORKDAYS(B11,B12, M1:M16)</f>
        <v>10</v>
      </c>
      <c r="C14" s="11"/>
      <c r="D14" s="11"/>
      <c r="F14" s="11"/>
      <c r="G14" s="50" t="s">
        <v>50</v>
      </c>
      <c r="H14" s="50"/>
      <c r="I14" s="50"/>
      <c r="J14" s="50"/>
      <c r="L14" s="8" t="s">
        <v>39</v>
      </c>
      <c r="M14" s="9">
        <f>DATE(A1,11,11)</f>
        <v>45607</v>
      </c>
    </row>
    <row r="15" spans="1:18" ht="19.95" customHeight="1" x14ac:dyDescent="0.3">
      <c r="A15" s="38" t="s">
        <v>63</v>
      </c>
      <c r="B15" s="47">
        <f>NETWORKDAYS.INTL(B11,B12,"1111100")</f>
        <v>6</v>
      </c>
      <c r="C15" s="11"/>
      <c r="D15" s="11"/>
      <c r="E15" s="10" t="s">
        <v>51</v>
      </c>
      <c r="F15" s="11"/>
      <c r="G15" s="50"/>
      <c r="H15" s="50"/>
      <c r="I15" s="50"/>
      <c r="J15" s="50"/>
      <c r="L15" s="8" t="s">
        <v>40</v>
      </c>
      <c r="M15" s="9">
        <f>DATE(A1,12,25)</f>
        <v>45651</v>
      </c>
    </row>
    <row r="16" spans="1:18" ht="19.95" customHeight="1" x14ac:dyDescent="0.3">
      <c r="A16" s="38" t="s">
        <v>65</v>
      </c>
      <c r="B16" s="57" cm="1">
        <f t="array" aca="1" ref="B16" ca="1">SUMPRODUCT(COUNTIF(M2:M16,ROW(INDIRECT(B11&amp;":"&amp;B12))))</f>
        <v>5</v>
      </c>
      <c r="C16" s="11"/>
      <c r="D16" s="11"/>
      <c r="E16" s="10" t="s">
        <v>52</v>
      </c>
      <c r="F16" s="11"/>
      <c r="G16" s="50"/>
      <c r="H16" s="50"/>
      <c r="I16" s="50"/>
      <c r="J16" s="50"/>
      <c r="L16" s="8" t="s">
        <v>41</v>
      </c>
      <c r="M16" s="9">
        <f>M15+1</f>
        <v>45652</v>
      </c>
    </row>
    <row r="17" spans="1:11" ht="19.95" customHeight="1" x14ac:dyDescent="0.3">
      <c r="A17" s="38" t="s">
        <v>66</v>
      </c>
      <c r="B17" s="58" cm="1">
        <f t="array" aca="1" ref="B17" ca="1">SUMPRODUCT((WEEKDAY(ROW(INDIRECT(B11&amp;":"&amp;B12)),2)&gt;5))</f>
        <v>0</v>
      </c>
      <c r="C17" s="11"/>
      <c r="D17" s="11"/>
      <c r="E17" s="10" t="s">
        <v>53</v>
      </c>
      <c r="F17" s="11"/>
      <c r="G17" s="50"/>
      <c r="H17" s="50"/>
      <c r="I17" s="50"/>
      <c r="J17" s="50"/>
      <c r="K17" s="11"/>
    </row>
    <row r="18" spans="1:11" ht="19.95" customHeight="1" x14ac:dyDescent="0.3">
      <c r="A18" s="11"/>
      <c r="C18" s="11"/>
      <c r="D18" s="11"/>
      <c r="E18" s="10" t="s">
        <v>54</v>
      </c>
      <c r="F18" s="11"/>
      <c r="G18" s="50"/>
      <c r="H18" s="50"/>
      <c r="I18" s="50"/>
      <c r="J18" s="50"/>
      <c r="K18" s="11"/>
    </row>
    <row r="19" spans="1:11" ht="19.95" customHeight="1" x14ac:dyDescent="0.3">
      <c r="A19" s="11"/>
      <c r="B19" s="11"/>
      <c r="C19" s="11"/>
      <c r="D19" s="11"/>
      <c r="E19" s="11"/>
      <c r="F19" s="11"/>
      <c r="K19" s="11"/>
    </row>
    <row r="20" spans="1:11" ht="19.95" customHeight="1" x14ac:dyDescent="0.3">
      <c r="A20" s="11"/>
      <c r="B20" s="11"/>
      <c r="C20" s="11"/>
      <c r="D20" s="11"/>
      <c r="E20" s="11"/>
      <c r="F20" s="11"/>
      <c r="K20" s="11"/>
    </row>
    <row r="21" spans="1:11" ht="19.95" customHeight="1" x14ac:dyDescent="0.3">
      <c r="A21" s="11"/>
      <c r="B21" s="11"/>
      <c r="C21" s="11"/>
      <c r="D21" s="11"/>
      <c r="E21" s="11"/>
      <c r="F21" s="11"/>
      <c r="K21" s="11"/>
    </row>
    <row r="22" spans="1:11" ht="19.95" customHeight="1" x14ac:dyDescent="0.3">
      <c r="A22" s="11"/>
      <c r="B22" s="11"/>
      <c r="C22" s="11"/>
      <c r="D22" s="11"/>
      <c r="E22" s="11"/>
      <c r="F22" s="11"/>
      <c r="K22" s="11"/>
    </row>
    <row r="23" spans="1:11" ht="19.95" customHeight="1" x14ac:dyDescent="0.3">
      <c r="A23" s="11"/>
      <c r="B23" s="11"/>
      <c r="C23" s="11"/>
      <c r="D23" s="11"/>
      <c r="E23" s="11"/>
      <c r="F23" s="11"/>
      <c r="K23" s="11"/>
    </row>
    <row r="24" spans="1:11" ht="19.95" customHeight="1" x14ac:dyDescent="0.3">
      <c r="A24" s="11"/>
      <c r="B24" s="11"/>
      <c r="C24" s="11"/>
      <c r="D24" s="11"/>
      <c r="E24" s="11"/>
      <c r="F24" s="11"/>
      <c r="K24" s="11"/>
    </row>
    <row r="25" spans="1:11" ht="19.95" customHeight="1" x14ac:dyDescent="0.3">
      <c r="A25" s="11"/>
      <c r="B25" s="11"/>
      <c r="C25" s="11"/>
      <c r="D25" s="11"/>
      <c r="E25" s="11"/>
      <c r="F25" s="11"/>
      <c r="K25" s="11"/>
    </row>
    <row r="26" spans="1:11" ht="19.95" customHeight="1" x14ac:dyDescent="0.3">
      <c r="A26" s="11"/>
      <c r="B26" s="11"/>
      <c r="C26" s="11"/>
      <c r="D26" s="11"/>
      <c r="E26" s="11"/>
      <c r="F26" s="11"/>
      <c r="K26" s="11"/>
    </row>
    <row r="27" spans="1:11" ht="19.95" customHeight="1" x14ac:dyDescent="0.3">
      <c r="A27" s="11"/>
      <c r="B27" s="11"/>
      <c r="C27" s="11"/>
      <c r="D27" s="11"/>
      <c r="E27" s="11"/>
      <c r="F27" s="11"/>
      <c r="K27" s="11"/>
    </row>
    <row r="28" spans="1:11" ht="19.95" customHeight="1" x14ac:dyDescent="0.3">
      <c r="A28" s="11"/>
      <c r="B28" s="11"/>
      <c r="C28" s="11"/>
      <c r="D28" s="11"/>
      <c r="E28" s="11"/>
      <c r="F28" s="11"/>
      <c r="K28" s="11"/>
    </row>
    <row r="29" spans="1:11" ht="19.95" customHeight="1" x14ac:dyDescent="0.3">
      <c r="A29" s="11"/>
      <c r="B29" s="11"/>
      <c r="C29" s="11"/>
      <c r="D29" s="11"/>
      <c r="E29" s="11"/>
      <c r="F29" s="11"/>
      <c r="K29" s="11"/>
    </row>
    <row r="30" spans="1:11" ht="19.95" customHeight="1" x14ac:dyDescent="0.3">
      <c r="A30" s="11"/>
      <c r="B30" s="11"/>
      <c r="C30" s="11"/>
      <c r="D30" s="11"/>
      <c r="E30" s="11"/>
      <c r="F30" s="11"/>
      <c r="K30" s="11"/>
    </row>
    <row r="31" spans="1:11" ht="19.95" customHeight="1" x14ac:dyDescent="0.3">
      <c r="A31" s="11"/>
      <c r="B31" s="11"/>
      <c r="C31" s="11"/>
      <c r="D31" s="11"/>
      <c r="E31" s="11"/>
      <c r="F31" s="11"/>
      <c r="K31" s="11"/>
    </row>
    <row r="32" spans="1:11" ht="19.95" customHeight="1" x14ac:dyDescent="0.3">
      <c r="A32" s="11">
        <f t="shared" ref="A32:A38" si="1">A31+1</f>
        <v>1</v>
      </c>
      <c r="B32" s="11"/>
      <c r="C32" s="11"/>
      <c r="D32" s="11"/>
      <c r="E32" s="11"/>
      <c r="F32" s="11"/>
      <c r="K32" s="11"/>
    </row>
    <row r="33" spans="1:11" ht="19.95" customHeight="1" x14ac:dyDescent="0.3">
      <c r="A33" s="11">
        <f>A32+1</f>
        <v>2</v>
      </c>
      <c r="B33" s="11"/>
      <c r="C33" s="11"/>
      <c r="D33" s="11"/>
      <c r="E33" s="11"/>
      <c r="F33" s="11"/>
      <c r="K33" s="11"/>
    </row>
    <row r="34" spans="1:11" ht="19.95" customHeight="1" x14ac:dyDescent="0.3">
      <c r="A34" s="11">
        <f t="shared" si="1"/>
        <v>3</v>
      </c>
      <c r="B34" s="11"/>
      <c r="C34" s="11"/>
      <c r="D34" s="11"/>
      <c r="E34" s="11"/>
      <c r="F34" s="11"/>
      <c r="K34" s="11"/>
    </row>
    <row r="35" spans="1:11" ht="19.95" customHeight="1" x14ac:dyDescent="0.3">
      <c r="A35" s="11">
        <f t="shared" si="1"/>
        <v>4</v>
      </c>
      <c r="B35" s="11"/>
      <c r="C35" s="11"/>
      <c r="D35" s="11"/>
      <c r="E35" s="11"/>
      <c r="F35" s="11"/>
      <c r="K35" s="11"/>
    </row>
    <row r="36" spans="1:11" ht="19.95" customHeight="1" x14ac:dyDescent="0.3">
      <c r="A36" s="11">
        <f t="shared" si="1"/>
        <v>5</v>
      </c>
      <c r="B36" s="11"/>
      <c r="C36" s="11"/>
      <c r="D36" s="11"/>
      <c r="E36" s="11"/>
      <c r="F36" s="11"/>
      <c r="K36" s="11"/>
    </row>
    <row r="37" spans="1:11" ht="19.95" customHeight="1" x14ac:dyDescent="0.3">
      <c r="A37" s="11">
        <f t="shared" si="1"/>
        <v>6</v>
      </c>
      <c r="B37" s="11"/>
      <c r="C37" s="11"/>
      <c r="D37" s="11"/>
      <c r="E37" s="11"/>
      <c r="F37" s="11"/>
      <c r="K37" s="11"/>
    </row>
    <row r="38" spans="1:11" ht="19.95" customHeight="1" x14ac:dyDescent="0.3">
      <c r="A38" s="11">
        <f t="shared" si="1"/>
        <v>7</v>
      </c>
      <c r="B38" s="11"/>
      <c r="C38" s="11"/>
      <c r="D38" s="11"/>
      <c r="E38" s="11"/>
      <c r="F38" s="11"/>
      <c r="K38" s="11"/>
    </row>
  </sheetData>
  <mergeCells count="20">
    <mergeCell ref="L1:M1"/>
    <mergeCell ref="D1:E1"/>
    <mergeCell ref="G1:J1"/>
    <mergeCell ref="A9:B9"/>
    <mergeCell ref="G12:H12"/>
    <mergeCell ref="I12:J12"/>
    <mergeCell ref="A1:B1"/>
    <mergeCell ref="A10:B10"/>
    <mergeCell ref="G18:H18"/>
    <mergeCell ref="I13:J13"/>
    <mergeCell ref="I14:J14"/>
    <mergeCell ref="I15:J15"/>
    <mergeCell ref="I16:J16"/>
    <mergeCell ref="I17:J17"/>
    <mergeCell ref="I18:J18"/>
    <mergeCell ref="G13:H13"/>
    <mergeCell ref="G14:H14"/>
    <mergeCell ref="G15:H15"/>
    <mergeCell ref="G16:H16"/>
    <mergeCell ref="G17:H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4"/>
  <sheetViews>
    <sheetView workbookViewId="0">
      <selection activeCell="H2" sqref="H2"/>
    </sheetView>
  </sheetViews>
  <sheetFormatPr baseColWidth="10" defaultColWidth="11.5546875" defaultRowHeight="14.4" x14ac:dyDescent="0.3"/>
  <cols>
    <col min="1" max="11" width="20.6640625" style="1" customWidth="1"/>
    <col min="12" max="16384" width="11.5546875" style="1"/>
  </cols>
  <sheetData>
    <row r="1" spans="1:9" ht="19.95" customHeight="1" x14ac:dyDescent="0.3">
      <c r="A1" s="2"/>
      <c r="B1" s="2" t="s">
        <v>17</v>
      </c>
      <c r="C1" s="2" t="s">
        <v>14</v>
      </c>
      <c r="D1" s="2" t="s">
        <v>16</v>
      </c>
      <c r="E1" s="2" t="s">
        <v>15</v>
      </c>
      <c r="F1" s="2" t="s">
        <v>20</v>
      </c>
      <c r="G1" s="2" t="s">
        <v>19</v>
      </c>
      <c r="H1" s="2" t="s">
        <v>23</v>
      </c>
      <c r="I1" s="2" t="s">
        <v>22</v>
      </c>
    </row>
    <row r="2" spans="1:9" ht="19.95" customHeight="1" x14ac:dyDescent="0.3">
      <c r="A2" s="2" t="s">
        <v>1</v>
      </c>
      <c r="B2" s="3" t="e">
        <f>Janvier!#REF!</f>
        <v>#REF!</v>
      </c>
      <c r="C2" s="3" t="e">
        <f>Janvier!#REF!</f>
        <v>#REF!</v>
      </c>
      <c r="D2" s="3" t="e">
        <f>Janvier!#REF!</f>
        <v>#REF!</v>
      </c>
      <c r="E2" s="3" t="e">
        <f>Janvier!#REF!</f>
        <v>#REF!</v>
      </c>
      <c r="F2" s="3" t="e">
        <f>Janvier!#REF!</f>
        <v>#REF!</v>
      </c>
      <c r="G2" s="3" t="e">
        <f>Janvier!#REF!</f>
        <v>#REF!</v>
      </c>
      <c r="H2" s="3"/>
      <c r="I2" s="3"/>
    </row>
    <row r="3" spans="1:9" ht="19.95" customHeight="1" x14ac:dyDescent="0.3">
      <c r="A3" s="2" t="s">
        <v>2</v>
      </c>
      <c r="B3" s="3">
        <f>Février!I1</f>
        <v>0</v>
      </c>
      <c r="C3" s="3">
        <f>Février!I2</f>
        <v>0</v>
      </c>
      <c r="D3" s="3" t="e">
        <f>Février!#REF!</f>
        <v>#REF!</v>
      </c>
      <c r="E3" s="3" t="e">
        <f>Février!#REF!</f>
        <v>#REF!</v>
      </c>
      <c r="F3" s="3" t="e">
        <f>Février!#REF!</f>
        <v>#REF!</v>
      </c>
      <c r="G3" s="3" t="e">
        <f>Février!#REF!</f>
        <v>#REF!</v>
      </c>
      <c r="H3" s="3"/>
      <c r="I3" s="3"/>
    </row>
    <row r="4" spans="1:9" ht="19.95" customHeight="1" x14ac:dyDescent="0.3">
      <c r="A4" s="2" t="s">
        <v>3</v>
      </c>
      <c r="B4" s="3">
        <f>Mars!I1</f>
        <v>0</v>
      </c>
      <c r="C4" s="3">
        <f>Mars!I2</f>
        <v>0</v>
      </c>
      <c r="D4" s="3">
        <f>Mars!I3</f>
        <v>0</v>
      </c>
      <c r="E4" s="3">
        <f>Mars!I4</f>
        <v>0</v>
      </c>
      <c r="F4" s="3">
        <f>Mars!I5</f>
        <v>0</v>
      </c>
      <c r="G4" s="3">
        <f>Mars!I6</f>
        <v>0</v>
      </c>
      <c r="H4" s="3"/>
      <c r="I4" s="3"/>
    </row>
    <row r="5" spans="1:9" ht="19.95" customHeight="1" x14ac:dyDescent="0.3">
      <c r="A5" s="2" t="s">
        <v>4</v>
      </c>
      <c r="B5" s="3">
        <f>Avril!I1</f>
        <v>0</v>
      </c>
      <c r="C5" s="3">
        <f>Avril!I2</f>
        <v>0</v>
      </c>
      <c r="D5" s="3">
        <f>Avril!I3</f>
        <v>0</v>
      </c>
      <c r="E5" s="3">
        <f>Avril!I4</f>
        <v>0</v>
      </c>
      <c r="F5" s="3">
        <f>Avril!I5</f>
        <v>0</v>
      </c>
      <c r="G5" s="3">
        <f>Avril!I6</f>
        <v>0</v>
      </c>
      <c r="H5" s="3"/>
      <c r="I5" s="3"/>
    </row>
    <row r="6" spans="1:9" ht="19.95" customHeight="1" x14ac:dyDescent="0.3">
      <c r="A6" s="2" t="s">
        <v>5</v>
      </c>
      <c r="B6" s="3">
        <f>Mai!I1</f>
        <v>0</v>
      </c>
      <c r="C6" s="3">
        <f>Mai!I2</f>
        <v>0</v>
      </c>
      <c r="D6" s="3">
        <f>Mai!I3</f>
        <v>0</v>
      </c>
      <c r="E6" s="3">
        <f>Mai!I4</f>
        <v>0</v>
      </c>
      <c r="F6" s="3">
        <f>Mai!I5</f>
        <v>0</v>
      </c>
      <c r="G6" s="3">
        <f>Mai!I6</f>
        <v>0</v>
      </c>
      <c r="H6" s="3"/>
      <c r="I6" s="3"/>
    </row>
    <row r="7" spans="1:9" ht="19.95" customHeight="1" x14ac:dyDescent="0.3">
      <c r="A7" s="2" t="s">
        <v>6</v>
      </c>
      <c r="B7" s="3">
        <f>Juin!I1</f>
        <v>0</v>
      </c>
      <c r="C7" s="3">
        <f>Juin!I2</f>
        <v>0</v>
      </c>
      <c r="D7" s="3">
        <f>Juin!I3</f>
        <v>0</v>
      </c>
      <c r="E7" s="3">
        <f>Juin!I4</f>
        <v>0</v>
      </c>
      <c r="F7" s="3">
        <f>Juin!I5</f>
        <v>0</v>
      </c>
      <c r="G7" s="3">
        <f>Juin!I6</f>
        <v>0</v>
      </c>
      <c r="H7" s="3"/>
      <c r="I7" s="3"/>
    </row>
    <row r="8" spans="1:9" ht="19.95" customHeight="1" x14ac:dyDescent="0.3">
      <c r="A8" s="2" t="s">
        <v>7</v>
      </c>
      <c r="B8" s="3">
        <f>Juillet!I1</f>
        <v>0</v>
      </c>
      <c r="C8" s="3">
        <f>Juillet!I2</f>
        <v>0</v>
      </c>
      <c r="D8" s="3">
        <f>Juillet!I3</f>
        <v>0</v>
      </c>
      <c r="E8" s="3">
        <f>Juillet!I4</f>
        <v>0</v>
      </c>
      <c r="F8" s="3">
        <f>Juillet!I5</f>
        <v>0</v>
      </c>
      <c r="G8" s="3">
        <f>Juillet!I6</f>
        <v>0</v>
      </c>
      <c r="H8" s="3"/>
      <c r="I8" s="3"/>
    </row>
    <row r="9" spans="1:9" ht="19.95" customHeight="1" x14ac:dyDescent="0.3">
      <c r="A9" s="2" t="s">
        <v>8</v>
      </c>
      <c r="B9" s="3">
        <f>Août!I1</f>
        <v>0</v>
      </c>
      <c r="C9" s="3">
        <f>Août!I2</f>
        <v>0</v>
      </c>
      <c r="D9" s="3">
        <f>Août!I3</f>
        <v>0</v>
      </c>
      <c r="E9" s="3">
        <f>Août!I4</f>
        <v>0</v>
      </c>
      <c r="F9" s="3">
        <f>Août!I5</f>
        <v>0</v>
      </c>
      <c r="G9" s="3">
        <f>Août!I6</f>
        <v>0</v>
      </c>
      <c r="H9" s="3"/>
      <c r="I9" s="3"/>
    </row>
    <row r="10" spans="1:9" ht="19.95" customHeight="1" x14ac:dyDescent="0.3">
      <c r="A10" s="2" t="s">
        <v>9</v>
      </c>
      <c r="B10" s="3">
        <f>Septembre!I1</f>
        <v>0</v>
      </c>
      <c r="C10" s="3">
        <f>Septembre!I2</f>
        <v>0</v>
      </c>
      <c r="D10" s="3">
        <f>Septembre!I3</f>
        <v>0</v>
      </c>
      <c r="E10" s="3">
        <f>Septembre!I4</f>
        <v>0</v>
      </c>
      <c r="F10" s="3">
        <f>Septembre!I5</f>
        <v>0</v>
      </c>
      <c r="G10" s="3">
        <f>Septembre!I6</f>
        <v>0</v>
      </c>
      <c r="H10" s="3"/>
      <c r="I10" s="3"/>
    </row>
    <row r="11" spans="1:9" ht="19.95" customHeight="1" x14ac:dyDescent="0.3">
      <c r="A11" s="2" t="s">
        <v>10</v>
      </c>
      <c r="B11" s="3">
        <f>Octobre!I1</f>
        <v>0</v>
      </c>
      <c r="C11" s="3">
        <f>Octobre!I2</f>
        <v>0</v>
      </c>
      <c r="D11" s="3">
        <f>Octobre!I3</f>
        <v>0</v>
      </c>
      <c r="E11" s="3">
        <f>Octobre!I4</f>
        <v>0</v>
      </c>
      <c r="F11" s="3">
        <f>Octobre!I5</f>
        <v>0</v>
      </c>
      <c r="G11" s="3">
        <f>Octobre!I6</f>
        <v>0</v>
      </c>
      <c r="H11" s="3"/>
      <c r="I11" s="3"/>
    </row>
    <row r="12" spans="1:9" ht="19.95" customHeight="1" x14ac:dyDescent="0.3">
      <c r="A12" s="2" t="s">
        <v>11</v>
      </c>
      <c r="B12" s="3">
        <f>Novembre!I1</f>
        <v>0</v>
      </c>
      <c r="C12" s="3">
        <f>Novembre!I2</f>
        <v>0</v>
      </c>
      <c r="D12" s="3">
        <f>Novembre!I3</f>
        <v>0</v>
      </c>
      <c r="E12" s="3">
        <f>Novembre!I4</f>
        <v>0</v>
      </c>
      <c r="F12" s="3">
        <f>Novembre!I5</f>
        <v>0</v>
      </c>
      <c r="G12" s="3">
        <f>Novembre!I6</f>
        <v>0</v>
      </c>
      <c r="H12" s="3"/>
      <c r="I12" s="3"/>
    </row>
    <row r="13" spans="1:9" ht="19.95" customHeight="1" x14ac:dyDescent="0.3">
      <c r="A13" s="2" t="s">
        <v>12</v>
      </c>
      <c r="B13" s="3">
        <f>Décembre!I1</f>
        <v>0</v>
      </c>
      <c r="C13" s="3">
        <f>Décembre!I2</f>
        <v>0</v>
      </c>
      <c r="D13" s="3">
        <f>Décembre!I3</f>
        <v>0</v>
      </c>
      <c r="E13" s="3">
        <f>Décembre!I4</f>
        <v>0</v>
      </c>
      <c r="F13" s="3">
        <f>Décembre!I5</f>
        <v>0</v>
      </c>
      <c r="G13" s="3">
        <f>Décembre!I6</f>
        <v>0</v>
      </c>
      <c r="H13" s="3"/>
      <c r="I13" s="3"/>
    </row>
    <row r="14" spans="1:9" ht="19.95" customHeight="1" x14ac:dyDescent="0.3">
      <c r="A14" s="7" t="s">
        <v>21</v>
      </c>
      <c r="B14" s="3" t="e">
        <f>SUM(B2:B13)</f>
        <v>#REF!</v>
      </c>
      <c r="C14" s="3" t="e">
        <f t="shared" ref="C14:G14" si="0">SUM(C2:C13)</f>
        <v>#REF!</v>
      </c>
      <c r="D14" s="3" t="e">
        <f t="shared" si="0"/>
        <v>#REF!</v>
      </c>
      <c r="E14" s="3" t="e">
        <f t="shared" si="0"/>
        <v>#REF!</v>
      </c>
      <c r="F14" s="3" t="e">
        <f t="shared" si="0"/>
        <v>#REF!</v>
      </c>
      <c r="G14" s="3" t="e">
        <f t="shared" si="0"/>
        <v>#REF!</v>
      </c>
      <c r="H14" s="3"/>
      <c r="I14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3"/>
  <sheetViews>
    <sheetView topLeftCell="D1" zoomScale="85" zoomScaleNormal="85" workbookViewId="0">
      <selection activeCell="P8" sqref="P8"/>
    </sheetView>
  </sheetViews>
  <sheetFormatPr baseColWidth="10" defaultColWidth="11.5546875" defaultRowHeight="30" customHeight="1" x14ac:dyDescent="0.3"/>
  <cols>
    <col min="1" max="1" width="8.6640625" style="20" customWidth="1"/>
    <col min="2" max="2" width="30.6640625" style="6" customWidth="1"/>
    <col min="3" max="7" width="20.6640625" style="4" customWidth="1"/>
    <col min="8" max="10" width="20.6640625" style="17" customWidth="1"/>
    <col min="11" max="11" width="20.6640625" style="18" customWidth="1"/>
    <col min="12" max="12" width="20.6640625" style="17" customWidth="1"/>
    <col min="13" max="14" width="11.5546875" style="4"/>
    <col min="15" max="15" width="34.44140625" style="4" bestFit="1" customWidth="1"/>
    <col min="16" max="16" width="3.88671875" style="4" bestFit="1" customWidth="1"/>
    <col min="17" max="16384" width="11.5546875" style="4"/>
  </cols>
  <sheetData>
    <row r="1" spans="1:16" s="16" customFormat="1" ht="30" customHeight="1" x14ac:dyDescent="0.3">
      <c r="A1" s="19"/>
      <c r="B1" s="14">
        <f>SUBTOTAL(102,Tabel1[Date])</f>
        <v>31</v>
      </c>
      <c r="C1" s="13"/>
      <c r="D1" s="35">
        <f>SUBTOTAL(102,Tabel1[Ouverture de poste])</f>
        <v>19</v>
      </c>
      <c r="E1" s="33"/>
      <c r="F1" s="14">
        <f>SUBTOTAL(102,Tabel1[Pause entre 21:00 et 06:00])</f>
        <v>9</v>
      </c>
      <c r="G1" s="14">
        <f>SUBTOTAL(102,Tabel1[Fermeture de poste])</f>
        <v>19</v>
      </c>
      <c r="H1" s="21">
        <f>SUBTOTAL(109,Tabel1[Total Heures])</f>
        <v>7.4999999999999973</v>
      </c>
      <c r="I1" s="21">
        <f>SUBTOTAL(109,Tabel1[Heures de jour])</f>
        <v>4.5416666666666661</v>
      </c>
      <c r="J1" s="21">
        <f>SUBTOTAL(109,Tabel1[Heures de nuit])</f>
        <v>2.9583333333333317</v>
      </c>
      <c r="K1" s="15">
        <f>SUBTOTAL(109,Tabel1[Total semaine])</f>
        <v>7.4999999999999982</v>
      </c>
      <c r="L1" s="15">
        <f>SUBTOTAL(109,Tabel1[Heures supplémentaires])</f>
        <v>0</v>
      </c>
      <c r="N1" s="27"/>
      <c r="O1" s="27"/>
    </row>
    <row r="2" spans="1:16" ht="30" customHeight="1" x14ac:dyDescent="0.3">
      <c r="A2" s="28" t="s">
        <v>48</v>
      </c>
      <c r="B2" s="29" t="s">
        <v>13</v>
      </c>
      <c r="C2" s="29" t="s">
        <v>18</v>
      </c>
      <c r="D2" s="29" t="s">
        <v>26</v>
      </c>
      <c r="E2" s="29" t="s">
        <v>56</v>
      </c>
      <c r="F2" s="29" t="s">
        <v>57</v>
      </c>
      <c r="G2" s="29" t="s">
        <v>24</v>
      </c>
      <c r="H2" s="30" t="s">
        <v>55</v>
      </c>
      <c r="I2" s="30" t="s">
        <v>25</v>
      </c>
      <c r="J2" s="30" t="s">
        <v>22</v>
      </c>
      <c r="K2" s="31" t="s">
        <v>27</v>
      </c>
      <c r="L2" s="32" t="s">
        <v>0</v>
      </c>
    </row>
    <row r="3" spans="1:16" ht="30" customHeight="1" x14ac:dyDescent="0.3">
      <c r="A3" s="22" t="str">
        <f t="shared" ref="A3:A33" si="0">""&amp;WEEKNUM(B3,2)</f>
        <v>1</v>
      </c>
      <c r="B3" s="23">
        <f>DATE(Détails!A1,1,1)</f>
        <v>45292</v>
      </c>
      <c r="C3" s="5"/>
      <c r="D3" s="24">
        <v>0.83333333333333337</v>
      </c>
      <c r="E3" s="34"/>
      <c r="F3" s="34">
        <v>4.1666666666666664E-2</v>
      </c>
      <c r="G3" s="24">
        <v>0.16666666666666666</v>
      </c>
      <c r="H3" s="25">
        <f t="shared" ref="H3:H33" si="1">IF(OR(D3&lt;&gt;"",G3&lt;&gt;""),MOD(G3-D3-F3-E3,1),"")</f>
        <v>0.29166666666666663</v>
      </c>
      <c r="I3" s="25">
        <f>IF($G3&gt;$D3,MEDIAN($G3,Détails!$R$2,Détails!$R$3)-MEDIAN($D3,Détails!$R$2,Détails!$R$3),($G3&lt;$D3)*(Détails!$R$2-Détails!$R$3)+MEDIAN($G3,Détails!$R$3,Détails!$R$2)-MEDIAN($D3,Détails!$R$3,Détails!$R$2))-$E3</f>
        <v>4.166666666666663E-2</v>
      </c>
      <c r="J3" s="12">
        <f>MOD($G3-$D3,1)-($G3&lt;$D3)*(Détails!$R$2-Détails!$R$3)-MEDIAN($G3,Détails!$R$3,Détails!$R$2)+MEDIAN($D3,Détails!$R$3,Détails!$R$2)-$F3</f>
        <v>0.24999999999999997</v>
      </c>
      <c r="K3" s="26">
        <f>IF(OR(WEEKDAY(Tabel1[[#This Row],[Date]],2)=7, DAY(Tabel1[[#This Row],[Date]])=DAY(EOMONTH(Tabel1[[#This Row],[Date]],0))),SUMIF(Tabel1[Semaine],Tabel1[[#This Row],[Semaine]],Tabel1[Total Heures]),0)</f>
        <v>0</v>
      </c>
      <c r="L3" s="25"/>
    </row>
    <row r="4" spans="1:16" ht="30" customHeight="1" x14ac:dyDescent="0.3">
      <c r="A4" s="22" t="str">
        <f t="shared" si="0"/>
        <v>1</v>
      </c>
      <c r="B4" s="23">
        <f>B3+1</f>
        <v>45293</v>
      </c>
      <c r="C4" s="5"/>
      <c r="D4" s="24">
        <v>0.61458333333333337</v>
      </c>
      <c r="E4" s="34">
        <v>4.1666666666666664E-2</v>
      </c>
      <c r="F4" s="34"/>
      <c r="G4" s="24">
        <v>1.0208333333333333</v>
      </c>
      <c r="H4" s="25">
        <f t="shared" si="1"/>
        <v>0.3645833333333332</v>
      </c>
      <c r="I4" s="25">
        <f>IF($G4&gt;$D4,MEDIAN($G4,Détails!$R$2,Détails!$R$3)-MEDIAN($D4,Détails!$R$2,Détails!$R$3),($G4&lt;$D4)*(Détails!$R$2-Détails!$R$3)+MEDIAN($G4,Détails!$R$3,Détails!$R$2)-MEDIAN($D4,Détails!$R$3,Détails!$R$2))-$E4</f>
        <v>0.21874999999999997</v>
      </c>
      <c r="J4" s="12">
        <f>MOD($G4-$D4,1)-($G4&lt;$D4)*(Détails!$R$2-Détails!$R$3)-MEDIAN($G4,Détails!$R$3,Détails!$R$2)+MEDIAN($D4,Détails!$R$3,Détails!$R$2)-$F4</f>
        <v>0.14583333333333326</v>
      </c>
      <c r="K4" s="26">
        <f>IF(OR(WEEKDAY(Tabel1[[#This Row],[Date]],2)=7, DAY(Tabel1[[#This Row],[Date]])=DAY(EOMONTH(Tabel1[[#This Row],[Date]],0))),SUMIF(Tabel1[Semaine],Tabel1[[#This Row],[Semaine]],Tabel1[Total Heures]),0)</f>
        <v>0</v>
      </c>
      <c r="L4" s="25"/>
      <c r="O4" s="49" t="s">
        <v>74</v>
      </c>
      <c r="P4" s="49">
        <f>DAY(EOMONTH($B$3,0))</f>
        <v>31</v>
      </c>
    </row>
    <row r="5" spans="1:16" ht="30" customHeight="1" x14ac:dyDescent="0.3">
      <c r="A5" s="22" t="str">
        <f t="shared" si="0"/>
        <v>1</v>
      </c>
      <c r="B5" s="23">
        <f t="shared" ref="B5:B33" si="2">B4+1</f>
        <v>45294</v>
      </c>
      <c r="C5" s="5"/>
      <c r="D5" s="24">
        <v>0.91666666666666663</v>
      </c>
      <c r="E5" s="34"/>
      <c r="F5" s="34">
        <v>4.1666666666666664E-2</v>
      </c>
      <c r="G5" s="24">
        <v>1.25</v>
      </c>
      <c r="H5" s="25">
        <f t="shared" si="1"/>
        <v>0.29166666666666669</v>
      </c>
      <c r="I5" s="25">
        <f>IF($G5&gt;$D5,MEDIAN($G5,Détails!$R$2,Détails!$R$3)-MEDIAN($D5,Détails!$R$2,Détails!$R$3),($G5&lt;$D5)*(Détails!$R$2-Détails!$R$3)+MEDIAN($G5,Détails!$R$3,Détails!$R$2)-MEDIAN($D5,Détails!$R$3,Détails!$R$2))-$E5</f>
        <v>0</v>
      </c>
      <c r="J5" s="12">
        <f>MOD($G5-$D5,1)-($G5&lt;$D5)*(Détails!$R$2-Détails!$R$3)-MEDIAN($G5,Détails!$R$3,Détails!$R$2)+MEDIAN($D5,Détails!$R$3,Détails!$R$2)-$F5</f>
        <v>0.29166666666666669</v>
      </c>
      <c r="K5" s="26">
        <f>IF(OR(WEEKDAY(Tabel1[[#This Row],[Date]],2)=7, DAY(Tabel1[[#This Row],[Date]])=DAY(EOMONTH(Tabel1[[#This Row],[Date]],0))),SUMIF(Tabel1[Semaine],Tabel1[[#This Row],[Semaine]],Tabel1[Total Heures]),0)</f>
        <v>0</v>
      </c>
      <c r="L5" s="25"/>
      <c r="O5" s="49" t="s">
        <v>76</v>
      </c>
      <c r="P5" s="49">
        <f>NETWORKDAYS.INTL($B$3,EOMONTH($B$3,0),,MesFeries)</f>
        <v>22</v>
      </c>
    </row>
    <row r="6" spans="1:16" ht="30" customHeight="1" x14ac:dyDescent="0.3">
      <c r="A6" s="22" t="str">
        <f t="shared" si="0"/>
        <v>1</v>
      </c>
      <c r="B6" s="23">
        <f t="shared" si="2"/>
        <v>45295</v>
      </c>
      <c r="C6" s="5"/>
      <c r="D6" s="24">
        <v>0.5</v>
      </c>
      <c r="E6" s="34"/>
      <c r="F6" s="34"/>
      <c r="G6" s="24">
        <v>1.25</v>
      </c>
      <c r="H6" s="25">
        <f t="shared" si="1"/>
        <v>0.75</v>
      </c>
      <c r="I6" s="25">
        <f>IF($G6&gt;$D6,MEDIAN($G6,Détails!$R$2,Détails!$R$3)-MEDIAN($D6,Détails!$R$2,Détails!$R$3),($G6&lt;$D6)*(Détails!$R$2-Détails!$R$3)+MEDIAN($G6,Détails!$R$3,Détails!$R$2)-MEDIAN($D6,Détails!$R$3,Détails!$R$2))-$E6</f>
        <v>0.375</v>
      </c>
      <c r="J6" s="12">
        <f>MOD($G6-$D6,1)-($G6&lt;$D6)*(Détails!$R$2-Détails!$R$3)-MEDIAN($G6,Détails!$R$3,Détails!$R$2)+MEDIAN($D6,Détails!$R$3,Détails!$R$2)-$F6</f>
        <v>0.375</v>
      </c>
      <c r="K6" s="26">
        <f>IF(OR(WEEKDAY(Tabel1[[#This Row],[Date]],2)=7, DAY(Tabel1[[#This Row],[Date]])=DAY(EOMONTH(Tabel1[[#This Row],[Date]],0))),SUMIF(Tabel1[Semaine],Tabel1[[#This Row],[Semaine]],Tabel1[Total Heures]),0)</f>
        <v>0</v>
      </c>
      <c r="L6" s="25"/>
      <c r="O6" s="49" t="s">
        <v>73</v>
      </c>
      <c r="P6" s="49">
        <f>DAY(EOMONTH($B$3,0))-NETWORKDAYS.INTL($B$3,EOMONTH($B$3,0),"0000000",MesFeries)</f>
        <v>1</v>
      </c>
    </row>
    <row r="7" spans="1:16" ht="30" customHeight="1" x14ac:dyDescent="0.3">
      <c r="A7" s="22" t="str">
        <f t="shared" si="0"/>
        <v>1</v>
      </c>
      <c r="B7" s="23">
        <f t="shared" si="2"/>
        <v>45296</v>
      </c>
      <c r="C7" s="5"/>
      <c r="D7" s="24"/>
      <c r="E7" s="34"/>
      <c r="F7" s="34"/>
      <c r="G7" s="24"/>
      <c r="H7" s="25" t="str">
        <f t="shared" si="1"/>
        <v/>
      </c>
      <c r="I7" s="25">
        <f>IF($G7&gt;$D7,MEDIAN($G7,Détails!$R$2,Détails!$R$3)-MEDIAN($D7,Détails!$R$2,Détails!$R$3),($G7&lt;$D7)*(Détails!$R$2-Détails!$R$3)+MEDIAN($G7,Détails!$R$3,Détails!$R$2)-MEDIAN($D7,Détails!$R$3,Détails!$R$2))-$E7</f>
        <v>0</v>
      </c>
      <c r="J7" s="12">
        <f>MOD($G7-$D7,1)-($G7&lt;$D7)*(Détails!$R$2-Détails!$R$3)-MEDIAN($G7,Détails!$R$3,Détails!$R$2)+MEDIAN($D7,Détails!$R$3,Détails!$R$2)-$F7</f>
        <v>0</v>
      </c>
      <c r="K7" s="26">
        <f>IF(OR(WEEKDAY(Tabel1[[#This Row],[Date]],2)=7, DAY(Tabel1[[#This Row],[Date]])=DAY(EOMONTH(Tabel1[[#This Row],[Date]],0))),SUMIF(Tabel1[Semaine],Tabel1[[#This Row],[Semaine]],Tabel1[Total Heures]),0)</f>
        <v>0</v>
      </c>
      <c r="L7" s="25"/>
      <c r="O7" s="49" t="s">
        <v>72</v>
      </c>
      <c r="P7" s="49">
        <f>NETWORKDAYS.INTL($B$3,EOMONTH($B$3,0),"1111100")</f>
        <v>8</v>
      </c>
    </row>
    <row r="8" spans="1:16" ht="30" customHeight="1" x14ac:dyDescent="0.3">
      <c r="A8" s="22" t="str">
        <f t="shared" si="0"/>
        <v>1</v>
      </c>
      <c r="B8" s="23">
        <f t="shared" si="2"/>
        <v>45297</v>
      </c>
      <c r="C8" s="5"/>
      <c r="D8" s="24"/>
      <c r="E8" s="34"/>
      <c r="F8" s="34"/>
      <c r="G8" s="24"/>
      <c r="H8" s="25" t="str">
        <f t="shared" si="1"/>
        <v/>
      </c>
      <c r="I8" s="25">
        <f>IF($G8&gt;$D8,MEDIAN($G8,Détails!$R$2,Détails!$R$3)-MEDIAN($D8,Détails!$R$2,Détails!$R$3),($G8&lt;$D8)*(Détails!$R$2-Détails!$R$3)+MEDIAN($G8,Détails!$R$3,Détails!$R$2)-MEDIAN($D8,Détails!$R$3,Détails!$R$2))-$E8</f>
        <v>0</v>
      </c>
      <c r="J8" s="12">
        <f>MOD($G8-$D8,1)-($G8&lt;$D8)*(Détails!$R$2-Détails!$R$3)-MEDIAN($G8,Détails!$R$3,Détails!$R$2)+MEDIAN($D8,Détails!$R$3,Détails!$R$2)-$F8</f>
        <v>0</v>
      </c>
      <c r="K8" s="26">
        <f>IF(OR(WEEKDAY(Tabel1[[#This Row],[Date]],2)=7, DAY(Tabel1[[#This Row],[Date]])=DAY(EOMONTH(Tabel1[[#This Row],[Date]],0))),SUMIF(Tabel1[Semaine],Tabel1[[#This Row],[Semaine]],Tabel1[Total Heures]),0)</f>
        <v>0</v>
      </c>
      <c r="L8" s="25"/>
      <c r="O8" s="49" t="s">
        <v>75</v>
      </c>
      <c r="P8" s="49">
        <f>NETWORKDAYS.INTL($B$3,EOMONTH($B$3,0),"1111100")-NETWORKDAYS.INTL($B$3,EOMONTH($B$3,0),"1111100",MesFeries)</f>
        <v>0</v>
      </c>
    </row>
    <row r="9" spans="1:16" ht="30" customHeight="1" x14ac:dyDescent="0.3">
      <c r="A9" s="22" t="str">
        <f t="shared" si="0"/>
        <v>1</v>
      </c>
      <c r="B9" s="23">
        <f t="shared" si="2"/>
        <v>45298</v>
      </c>
      <c r="C9" s="5"/>
      <c r="D9" s="24"/>
      <c r="E9" s="34"/>
      <c r="F9" s="34"/>
      <c r="G9" s="24"/>
      <c r="H9" s="25" t="str">
        <f t="shared" si="1"/>
        <v/>
      </c>
      <c r="I9" s="25">
        <f>IF($G9&gt;$D9,MEDIAN($G9,Détails!$R$2,Détails!$R$3)-MEDIAN($D9,Détails!$R$2,Détails!$R$3),($G9&lt;$D9)*(Détails!$R$2-Détails!$R$3)+MEDIAN($G9,Détails!$R$3,Détails!$R$2)-MEDIAN($D9,Détails!$R$3,Détails!$R$2))-$E9</f>
        <v>0</v>
      </c>
      <c r="J9" s="12">
        <f>MOD($G9-$D9,1)-($G9&lt;$D9)*(Détails!$R$2-Détails!$R$3)-MEDIAN($G9,Détails!$R$3,Détails!$R$2)+MEDIAN($D9,Détails!$R$3,Détails!$R$2)-$F9</f>
        <v>0</v>
      </c>
      <c r="K9" s="26">
        <f>IF(OR(WEEKDAY(Tabel1[[#This Row],[Date]],2)=7, DAY(Tabel1[[#This Row],[Date]])=DAY(EOMONTH(Tabel1[[#This Row],[Date]],0))),SUMIF(Tabel1[Semaine],Tabel1[[#This Row],[Semaine]],Tabel1[Total Heures]),0)</f>
        <v>1.6979166666666665</v>
      </c>
      <c r="L9" s="25"/>
      <c r="O9" s="49" t="s">
        <v>77</v>
      </c>
      <c r="P9" s="49">
        <f>NETWORKDAYS.INTL($B$3,EOMONTH($B$3,0),"1111101")</f>
        <v>4</v>
      </c>
    </row>
    <row r="10" spans="1:16" ht="30" customHeight="1" x14ac:dyDescent="0.3">
      <c r="A10" s="22" t="str">
        <f t="shared" si="0"/>
        <v>2</v>
      </c>
      <c r="B10" s="23">
        <f t="shared" si="2"/>
        <v>45299</v>
      </c>
      <c r="C10" s="5"/>
      <c r="D10" s="24">
        <v>0.61458333333333337</v>
      </c>
      <c r="E10" s="34"/>
      <c r="F10" s="34"/>
      <c r="G10" s="24">
        <v>1.0208333333333333</v>
      </c>
      <c r="H10" s="25">
        <f t="shared" si="1"/>
        <v>0.40624999999999989</v>
      </c>
      <c r="I10" s="25">
        <f>IF($G10&gt;$D10,MEDIAN($G10,Détails!$R$2,Détails!$R$3)-MEDIAN($D10,Détails!$R$2,Détails!$R$3),($G10&lt;$D10)*(Détails!$R$2-Détails!$R$3)+MEDIAN($G10,Détails!$R$3,Détails!$R$2)-MEDIAN($D10,Détails!$R$3,Détails!$R$2))-$E10</f>
        <v>0.26041666666666663</v>
      </c>
      <c r="J10" s="12">
        <f>MOD($G10-$D10,1)-($G10&lt;$D10)*(Détails!$R$2-Détails!$R$3)-MEDIAN($G10,Détails!$R$3,Détails!$R$2)+MEDIAN($D10,Détails!$R$3,Détails!$R$2)-$F10</f>
        <v>0.14583333333333326</v>
      </c>
      <c r="K10" s="26">
        <f>IF(OR(WEEKDAY(Tabel1[[#This Row],[Date]],2)=7, DAY(Tabel1[[#This Row],[Date]])=DAY(EOMONTH(Tabel1[[#This Row],[Date]],0))),SUMIF(Tabel1[Semaine],Tabel1[[#This Row],[Semaine]],Tabel1[Total Heures]),0)</f>
        <v>0</v>
      </c>
      <c r="L10" s="25"/>
    </row>
    <row r="11" spans="1:16" ht="30" customHeight="1" x14ac:dyDescent="0.3">
      <c r="A11" s="22" t="str">
        <f t="shared" si="0"/>
        <v>2</v>
      </c>
      <c r="B11" s="23">
        <f t="shared" si="2"/>
        <v>45300</v>
      </c>
      <c r="C11" s="5"/>
      <c r="D11" s="24">
        <v>0.61458333333333337</v>
      </c>
      <c r="E11" s="34"/>
      <c r="F11" s="34"/>
      <c r="G11" s="24">
        <v>1.0208333333333333</v>
      </c>
      <c r="H11" s="25">
        <f t="shared" si="1"/>
        <v>0.40624999999999989</v>
      </c>
      <c r="I11" s="25">
        <f>IF($G11&gt;$D11,MEDIAN($G11,Détails!$R$2,Détails!$R$3)-MEDIAN($D11,Détails!$R$2,Détails!$R$3),($G11&lt;$D11)*(Détails!$R$2-Détails!$R$3)+MEDIAN($G11,Détails!$R$3,Détails!$R$2)-MEDIAN($D11,Détails!$R$3,Détails!$R$2))-$E11</f>
        <v>0.26041666666666663</v>
      </c>
      <c r="J11" s="12">
        <f>MOD($G11-$D11,1)-($G11&lt;$D11)*(Détails!$R$2-Détails!$R$3)-MEDIAN($G11,Détails!$R$3,Détails!$R$2)+MEDIAN($D11,Détails!$R$3,Détails!$R$2)-$F11</f>
        <v>0.14583333333333326</v>
      </c>
      <c r="K11" s="26">
        <f>IF(OR(WEEKDAY(Tabel1[[#This Row],[Date]],2)=7, DAY(Tabel1[[#This Row],[Date]])=DAY(EOMONTH(Tabel1[[#This Row],[Date]],0))),SUMIF(Tabel1[Semaine],Tabel1[[#This Row],[Semaine]],Tabel1[Total Heures]),0)</f>
        <v>0</v>
      </c>
      <c r="L11" s="25"/>
    </row>
    <row r="12" spans="1:16" ht="30" customHeight="1" x14ac:dyDescent="0.3">
      <c r="A12" s="22" t="str">
        <f t="shared" si="0"/>
        <v>2</v>
      </c>
      <c r="B12" s="23">
        <f t="shared" si="2"/>
        <v>45301</v>
      </c>
      <c r="C12" s="5"/>
      <c r="D12" s="24">
        <v>0.61458333333333337</v>
      </c>
      <c r="E12" s="34"/>
      <c r="F12" s="34"/>
      <c r="G12" s="24">
        <v>1.0208333333333333</v>
      </c>
      <c r="H12" s="25">
        <f t="shared" si="1"/>
        <v>0.40624999999999989</v>
      </c>
      <c r="I12" s="25">
        <f>IF($G12&gt;$D12,MEDIAN($G12,Détails!$R$2,Détails!$R$3)-MEDIAN($D12,Détails!$R$2,Détails!$R$3),($G12&lt;$D12)*(Détails!$R$2-Détails!$R$3)+MEDIAN($G12,Détails!$R$3,Détails!$R$2)-MEDIAN($D12,Détails!$R$3,Détails!$R$2))-$E12</f>
        <v>0.26041666666666663</v>
      </c>
      <c r="J12" s="12">
        <f>MOD($G12-$D12,1)-($G12&lt;$D12)*(Détails!$R$2-Détails!$R$3)-MEDIAN($G12,Détails!$R$3,Détails!$R$2)+MEDIAN($D12,Détails!$R$3,Détails!$R$2)-$F12</f>
        <v>0.14583333333333326</v>
      </c>
      <c r="K12" s="26">
        <f>IF(OR(WEEKDAY(Tabel1[[#This Row],[Date]],2)=7, DAY(Tabel1[[#This Row],[Date]])=DAY(EOMONTH(Tabel1[[#This Row],[Date]],0))),SUMIF(Tabel1[Semaine],Tabel1[[#This Row],[Semaine]],Tabel1[Total Heures]),0)</f>
        <v>0</v>
      </c>
      <c r="L12" s="25"/>
    </row>
    <row r="13" spans="1:16" ht="30" customHeight="1" x14ac:dyDescent="0.3">
      <c r="A13" s="22" t="str">
        <f t="shared" si="0"/>
        <v>2</v>
      </c>
      <c r="B13" s="23">
        <f t="shared" si="2"/>
        <v>45302</v>
      </c>
      <c r="C13" s="5"/>
      <c r="D13" s="24">
        <v>0.61458333333333337</v>
      </c>
      <c r="E13" s="34"/>
      <c r="F13" s="34"/>
      <c r="G13" s="24">
        <v>1.0208333333333333</v>
      </c>
      <c r="H13" s="25">
        <f t="shared" si="1"/>
        <v>0.40624999999999989</v>
      </c>
      <c r="I13" s="25">
        <f>IF($G13&gt;$D13,MEDIAN($G13,Détails!$R$2,Détails!$R$3)-MEDIAN($D13,Détails!$R$2,Détails!$R$3),($G13&lt;$D13)*(Détails!$R$2-Détails!$R$3)+MEDIAN($G13,Détails!$R$3,Détails!$R$2)-MEDIAN($D13,Détails!$R$3,Détails!$R$2))-$E13</f>
        <v>0.26041666666666663</v>
      </c>
      <c r="J13" s="12">
        <f>MOD($G13-$D13,1)-($G13&lt;$D13)*(Détails!$R$2-Détails!$R$3)-MEDIAN($G13,Détails!$R$3,Détails!$R$2)+MEDIAN($D13,Détails!$R$3,Détails!$R$2)-$F13</f>
        <v>0.14583333333333326</v>
      </c>
      <c r="K13" s="26">
        <f>IF(OR(WEEKDAY(Tabel1[[#This Row],[Date]],2)=7, DAY(Tabel1[[#This Row],[Date]])=DAY(EOMONTH(Tabel1[[#This Row],[Date]],0))),SUMIF(Tabel1[Semaine],Tabel1[[#This Row],[Semaine]],Tabel1[Total Heures]),0)</f>
        <v>0</v>
      </c>
      <c r="L13" s="25"/>
    </row>
    <row r="14" spans="1:16" ht="30" customHeight="1" x14ac:dyDescent="0.3">
      <c r="A14" s="22" t="str">
        <f t="shared" si="0"/>
        <v>2</v>
      </c>
      <c r="B14" s="23">
        <f t="shared" si="2"/>
        <v>45303</v>
      </c>
      <c r="C14" s="5"/>
      <c r="D14" s="24"/>
      <c r="E14" s="34"/>
      <c r="F14" s="34"/>
      <c r="G14" s="24"/>
      <c r="H14" s="25" t="str">
        <f t="shared" si="1"/>
        <v/>
      </c>
      <c r="I14" s="25">
        <f>IF($G14&gt;$D14,MEDIAN($G14,Détails!$R$2,Détails!$R$3)-MEDIAN($D14,Détails!$R$2,Détails!$R$3),($G14&lt;$D14)*(Détails!$R$2-Détails!$R$3)+MEDIAN($G14,Détails!$R$3,Détails!$R$2)-MEDIAN($D14,Détails!$R$3,Détails!$R$2))-$E14</f>
        <v>0</v>
      </c>
      <c r="J14" s="12">
        <f>MOD($G14-$D14,1)-($G14&lt;$D14)*(Détails!$R$2-Détails!$R$3)-MEDIAN($G14,Détails!$R$3,Détails!$R$2)+MEDIAN($D14,Détails!$R$3,Détails!$R$2)-$F14</f>
        <v>0</v>
      </c>
      <c r="K14" s="26">
        <f>IF(OR(WEEKDAY(Tabel1[[#This Row],[Date]],2)=7, DAY(Tabel1[[#This Row],[Date]])=DAY(EOMONTH(Tabel1[[#This Row],[Date]],0))),SUMIF(Tabel1[Semaine],Tabel1[[#This Row],[Semaine]],Tabel1[Total Heures]),0)</f>
        <v>0</v>
      </c>
      <c r="L14" s="25"/>
    </row>
    <row r="15" spans="1:16" ht="30" customHeight="1" x14ac:dyDescent="0.3">
      <c r="A15" s="22" t="str">
        <f t="shared" si="0"/>
        <v>2</v>
      </c>
      <c r="B15" s="23">
        <f t="shared" si="2"/>
        <v>45304</v>
      </c>
      <c r="C15" s="5"/>
      <c r="D15" s="24"/>
      <c r="E15" s="34"/>
      <c r="F15" s="34"/>
      <c r="G15" s="24"/>
      <c r="H15" s="25" t="str">
        <f t="shared" si="1"/>
        <v/>
      </c>
      <c r="I15" s="25">
        <f>IF($G15&gt;$D15,MEDIAN($G15,Détails!$R$2,Détails!$R$3)-MEDIAN($D15,Détails!$R$2,Détails!$R$3),($G15&lt;$D15)*(Détails!$R$2-Détails!$R$3)+MEDIAN($G15,Détails!$R$3,Détails!$R$2)-MEDIAN($D15,Détails!$R$3,Détails!$R$2))-$E15</f>
        <v>0</v>
      </c>
      <c r="J15" s="12">
        <f>MOD($G15-$D15,1)-($G15&lt;$D15)*(Détails!$R$2-Détails!$R$3)-MEDIAN($G15,Détails!$R$3,Détails!$R$2)+MEDIAN($D15,Détails!$R$3,Détails!$R$2)-$F15</f>
        <v>0</v>
      </c>
      <c r="K15" s="26">
        <f>IF(OR(WEEKDAY(Tabel1[[#This Row],[Date]],2)=7, DAY(Tabel1[[#This Row],[Date]])=DAY(EOMONTH(Tabel1[[#This Row],[Date]],0))),SUMIF(Tabel1[Semaine],Tabel1[[#This Row],[Semaine]],Tabel1[Total Heures]),0)</f>
        <v>0</v>
      </c>
      <c r="L15" s="25"/>
    </row>
    <row r="16" spans="1:16" ht="30" customHeight="1" x14ac:dyDescent="0.3">
      <c r="A16" s="22" t="str">
        <f t="shared" si="0"/>
        <v>2</v>
      </c>
      <c r="B16" s="23">
        <f t="shared" si="2"/>
        <v>45305</v>
      </c>
      <c r="C16" s="5"/>
      <c r="D16" s="24"/>
      <c r="E16" s="34"/>
      <c r="F16" s="34"/>
      <c r="G16" s="24"/>
      <c r="H16" s="25" t="str">
        <f t="shared" si="1"/>
        <v/>
      </c>
      <c r="I16" s="25">
        <f>IF($G16&gt;$D16,MEDIAN($G16,Détails!$R$2,Détails!$R$3)-MEDIAN($D16,Détails!$R$2,Détails!$R$3),($G16&lt;$D16)*(Détails!$R$2-Détails!$R$3)+MEDIAN($G16,Détails!$R$3,Détails!$R$2)-MEDIAN($D16,Détails!$R$3,Détails!$R$2))-$E16</f>
        <v>0</v>
      </c>
      <c r="J16" s="12">
        <f>MOD($G16-$D16,1)-($G16&lt;$D16)*(Détails!$R$2-Détails!$R$3)-MEDIAN($G16,Détails!$R$3,Détails!$R$2)+MEDIAN($D16,Détails!$R$3,Détails!$R$2)-$F16</f>
        <v>0</v>
      </c>
      <c r="K16" s="26">
        <f>IF(OR(WEEKDAY(Tabel1[[#This Row],[Date]],2)=7, DAY(Tabel1[[#This Row],[Date]])=DAY(EOMONTH(Tabel1[[#This Row],[Date]],0))),SUMIF(Tabel1[Semaine],Tabel1[[#This Row],[Semaine]],Tabel1[Total Heures]),0)</f>
        <v>1.6249999999999996</v>
      </c>
      <c r="L16" s="25"/>
    </row>
    <row r="17" spans="1:12" ht="30" customHeight="1" x14ac:dyDescent="0.3">
      <c r="A17" s="22" t="str">
        <f t="shared" si="0"/>
        <v>3</v>
      </c>
      <c r="B17" s="23">
        <f t="shared" si="2"/>
        <v>45306</v>
      </c>
      <c r="C17" s="5"/>
      <c r="D17" s="24">
        <v>0.61458333333333337</v>
      </c>
      <c r="E17" s="34"/>
      <c r="F17" s="34"/>
      <c r="G17" s="24">
        <v>1.0208333333333333</v>
      </c>
      <c r="H17" s="25">
        <f t="shared" si="1"/>
        <v>0.40624999999999989</v>
      </c>
      <c r="I17" s="25">
        <f>IF($G17&gt;$D17,MEDIAN($G17,Détails!$R$2,Détails!$R$3)-MEDIAN($D17,Détails!$R$2,Détails!$R$3),($G17&lt;$D17)*(Détails!$R$2-Détails!$R$3)+MEDIAN($G17,Détails!$R$3,Détails!$R$2)-MEDIAN($D17,Détails!$R$3,Détails!$R$2))-$E17</f>
        <v>0.26041666666666663</v>
      </c>
      <c r="J17" s="12">
        <f>MOD($G17-$D17,1)-($G17&lt;$D17)*(Détails!$R$2-Détails!$R$3)-MEDIAN($G17,Détails!$R$3,Détails!$R$2)+MEDIAN($D17,Détails!$R$3,Détails!$R$2)-$F17</f>
        <v>0.14583333333333326</v>
      </c>
      <c r="K17" s="26">
        <f>IF(OR(WEEKDAY(Tabel1[[#This Row],[Date]],2)=7, DAY(Tabel1[[#This Row],[Date]])=DAY(EOMONTH(Tabel1[[#This Row],[Date]],0))),SUMIF(Tabel1[Semaine],Tabel1[[#This Row],[Semaine]],Tabel1[Total Heures]),0)</f>
        <v>0</v>
      </c>
      <c r="L17" s="25"/>
    </row>
    <row r="18" spans="1:12" ht="30" customHeight="1" x14ac:dyDescent="0.3">
      <c r="A18" s="22" t="str">
        <f t="shared" si="0"/>
        <v>3</v>
      </c>
      <c r="B18" s="23">
        <f t="shared" si="2"/>
        <v>45307</v>
      </c>
      <c r="C18" s="5"/>
      <c r="D18" s="24">
        <v>0.61458333333333337</v>
      </c>
      <c r="E18" s="34"/>
      <c r="F18" s="34"/>
      <c r="G18" s="24">
        <v>1.0208333333333333</v>
      </c>
      <c r="H18" s="25">
        <f t="shared" si="1"/>
        <v>0.40624999999999989</v>
      </c>
      <c r="I18" s="25">
        <f>IF($G18&gt;$D18,MEDIAN($G18,Détails!$R$2,Détails!$R$3)-MEDIAN($D18,Détails!$R$2,Détails!$R$3),($G18&lt;$D18)*(Détails!$R$2-Détails!$R$3)+MEDIAN($G18,Détails!$R$3,Détails!$R$2)-MEDIAN($D18,Détails!$R$3,Détails!$R$2))-$E18</f>
        <v>0.26041666666666663</v>
      </c>
      <c r="J18" s="12">
        <f>MOD($G18-$D18,1)-($G18&lt;$D18)*(Détails!$R$2-Détails!$R$3)-MEDIAN($G18,Détails!$R$3,Détails!$R$2)+MEDIAN($D18,Détails!$R$3,Détails!$R$2)-$F18</f>
        <v>0.14583333333333326</v>
      </c>
      <c r="K18" s="26">
        <f>IF(OR(WEEKDAY(Tabel1[[#This Row],[Date]],2)=7, DAY(Tabel1[[#This Row],[Date]])=DAY(EOMONTH(Tabel1[[#This Row],[Date]],0))),SUMIF(Tabel1[Semaine],Tabel1[[#This Row],[Semaine]],Tabel1[Total Heures]),0)</f>
        <v>0</v>
      </c>
      <c r="L18" s="25"/>
    </row>
    <row r="19" spans="1:12" ht="30" customHeight="1" x14ac:dyDescent="0.3">
      <c r="A19" s="22" t="str">
        <f t="shared" si="0"/>
        <v>3</v>
      </c>
      <c r="B19" s="23">
        <f t="shared" si="2"/>
        <v>45308</v>
      </c>
      <c r="C19" s="5"/>
      <c r="D19" s="24">
        <v>0.61458333333333337</v>
      </c>
      <c r="E19" s="34"/>
      <c r="F19" s="34"/>
      <c r="G19" s="24">
        <v>1.0208333333333333</v>
      </c>
      <c r="H19" s="25">
        <f t="shared" si="1"/>
        <v>0.40624999999999989</v>
      </c>
      <c r="I19" s="25">
        <f>IF($G19&gt;$D19,MEDIAN($G19,Détails!$R$2,Détails!$R$3)-MEDIAN($D19,Détails!$R$2,Détails!$R$3),($G19&lt;$D19)*(Détails!$R$2-Détails!$R$3)+MEDIAN($G19,Détails!$R$3,Détails!$R$2)-MEDIAN($D19,Détails!$R$3,Détails!$R$2))-$E19</f>
        <v>0.26041666666666663</v>
      </c>
      <c r="J19" s="12">
        <f>MOD($G19-$D19,1)-($G19&lt;$D19)*(Détails!$R$2-Détails!$R$3)-MEDIAN($G19,Détails!$R$3,Détails!$R$2)+MEDIAN($D19,Détails!$R$3,Détails!$R$2)-$F19</f>
        <v>0.14583333333333326</v>
      </c>
      <c r="K19" s="26">
        <f>IF(OR(WEEKDAY(Tabel1[[#This Row],[Date]],2)=7, DAY(Tabel1[[#This Row],[Date]])=DAY(EOMONTH(Tabel1[[#This Row],[Date]],0))),SUMIF(Tabel1[Semaine],Tabel1[[#This Row],[Semaine]],Tabel1[Total Heures]),0)</f>
        <v>0</v>
      </c>
      <c r="L19" s="25"/>
    </row>
    <row r="20" spans="1:12" ht="30" customHeight="1" x14ac:dyDescent="0.3">
      <c r="A20" s="22" t="str">
        <f t="shared" si="0"/>
        <v>3</v>
      </c>
      <c r="B20" s="23">
        <f t="shared" si="2"/>
        <v>45309</v>
      </c>
      <c r="C20" s="5"/>
      <c r="D20" s="24">
        <v>0.61458333333333337</v>
      </c>
      <c r="E20" s="34"/>
      <c r="F20" s="34"/>
      <c r="G20" s="24">
        <v>1.0208333333333333</v>
      </c>
      <c r="H20" s="25">
        <f t="shared" si="1"/>
        <v>0.40624999999999989</v>
      </c>
      <c r="I20" s="25">
        <f>IF($G20&gt;$D20,MEDIAN($G20,Détails!$R$2,Détails!$R$3)-MEDIAN($D20,Détails!$R$2,Détails!$R$3),($G20&lt;$D20)*(Détails!$R$2-Détails!$R$3)+MEDIAN($G20,Détails!$R$3,Détails!$R$2)-MEDIAN($D20,Détails!$R$3,Détails!$R$2))-$E20</f>
        <v>0.26041666666666663</v>
      </c>
      <c r="J20" s="12">
        <f>MOD($G20-$D20,1)-($G20&lt;$D20)*(Détails!$R$2-Détails!$R$3)-MEDIAN($G20,Détails!$R$3,Détails!$R$2)+MEDIAN($D20,Détails!$R$3,Détails!$R$2)-$F20</f>
        <v>0.14583333333333326</v>
      </c>
      <c r="K20" s="26">
        <f>IF(OR(WEEKDAY(Tabel1[[#This Row],[Date]],2)=7, DAY(Tabel1[[#This Row],[Date]])=DAY(EOMONTH(Tabel1[[#This Row],[Date]],0))),SUMIF(Tabel1[Semaine],Tabel1[[#This Row],[Semaine]],Tabel1[Total Heures]),0)</f>
        <v>0</v>
      </c>
      <c r="L20" s="25"/>
    </row>
    <row r="21" spans="1:12" ht="30" customHeight="1" x14ac:dyDescent="0.3">
      <c r="A21" s="22" t="str">
        <f t="shared" si="0"/>
        <v>3</v>
      </c>
      <c r="B21" s="23">
        <f t="shared" si="2"/>
        <v>45310</v>
      </c>
      <c r="C21" s="5"/>
      <c r="D21" s="24"/>
      <c r="E21" s="34"/>
      <c r="F21" s="34"/>
      <c r="G21" s="24"/>
      <c r="H21" s="25" t="str">
        <f t="shared" si="1"/>
        <v/>
      </c>
      <c r="I21" s="25">
        <f>IF($G21&gt;$D21,MEDIAN($G21,Détails!$R$2,Détails!$R$3)-MEDIAN($D21,Détails!$R$2,Détails!$R$3),($G21&lt;$D21)*(Détails!$R$2-Détails!$R$3)+MEDIAN($G21,Détails!$R$3,Détails!$R$2)-MEDIAN($D21,Détails!$R$3,Détails!$R$2))-$E21</f>
        <v>0</v>
      </c>
      <c r="J21" s="12">
        <f>MOD($G21-$D21,1)-($G21&lt;$D21)*(Détails!$R$2-Détails!$R$3)-MEDIAN($G21,Détails!$R$3,Détails!$R$2)+MEDIAN($D21,Détails!$R$3,Détails!$R$2)-$F21</f>
        <v>0</v>
      </c>
      <c r="K21" s="26">
        <f>IF(OR(WEEKDAY(Tabel1[[#This Row],[Date]],2)=7, DAY(Tabel1[[#This Row],[Date]])=DAY(EOMONTH(Tabel1[[#This Row],[Date]],0))),SUMIF(Tabel1[Semaine],Tabel1[[#This Row],[Semaine]],Tabel1[Total Heures]),0)</f>
        <v>0</v>
      </c>
      <c r="L21" s="25"/>
    </row>
    <row r="22" spans="1:12" ht="30" customHeight="1" x14ac:dyDescent="0.3">
      <c r="A22" s="22" t="str">
        <f t="shared" si="0"/>
        <v>3</v>
      </c>
      <c r="B22" s="23">
        <f t="shared" si="2"/>
        <v>45311</v>
      </c>
      <c r="C22" s="5"/>
      <c r="D22" s="24"/>
      <c r="E22" s="34"/>
      <c r="F22" s="34"/>
      <c r="G22" s="24"/>
      <c r="H22" s="25" t="str">
        <f t="shared" si="1"/>
        <v/>
      </c>
      <c r="I22" s="25">
        <f>IF($G22&gt;$D22,MEDIAN($G22,Détails!$R$2,Détails!$R$3)-MEDIAN($D22,Détails!$R$2,Détails!$R$3),($G22&lt;$D22)*(Détails!$R$2-Détails!$R$3)+MEDIAN($G22,Détails!$R$3,Détails!$R$2)-MEDIAN($D22,Détails!$R$3,Détails!$R$2))-$E22</f>
        <v>0</v>
      </c>
      <c r="J22" s="12">
        <f>MOD($G22-$D22,1)-($G22&lt;$D22)*(Détails!$R$2-Détails!$R$3)-MEDIAN($G22,Détails!$R$3,Détails!$R$2)+MEDIAN($D22,Détails!$R$3,Détails!$R$2)-$F22</f>
        <v>0</v>
      </c>
      <c r="K22" s="26">
        <f>IF(OR(WEEKDAY(Tabel1[[#This Row],[Date]],2)=7, DAY(Tabel1[[#This Row],[Date]])=DAY(EOMONTH(Tabel1[[#This Row],[Date]],0))),SUMIF(Tabel1[Semaine],Tabel1[[#This Row],[Semaine]],Tabel1[Total Heures]),0)</f>
        <v>0</v>
      </c>
      <c r="L22" s="25"/>
    </row>
    <row r="23" spans="1:12" ht="30" customHeight="1" x14ac:dyDescent="0.3">
      <c r="A23" s="22" t="str">
        <f t="shared" si="0"/>
        <v>3</v>
      </c>
      <c r="B23" s="23">
        <f t="shared" si="2"/>
        <v>45312</v>
      </c>
      <c r="C23" s="5"/>
      <c r="D23" s="24"/>
      <c r="E23" s="34"/>
      <c r="F23" s="34"/>
      <c r="G23" s="24"/>
      <c r="H23" s="25" t="str">
        <f t="shared" si="1"/>
        <v/>
      </c>
      <c r="I23" s="25">
        <f>IF($G23&gt;$D23,MEDIAN($G23,Détails!$R$2,Détails!$R$3)-MEDIAN($D23,Détails!$R$2,Détails!$R$3),($G23&lt;$D23)*(Détails!$R$2-Détails!$R$3)+MEDIAN($G23,Détails!$R$3,Détails!$R$2)-MEDIAN($D23,Détails!$R$3,Détails!$R$2))-$E23</f>
        <v>0</v>
      </c>
      <c r="J23" s="12">
        <f>MOD($G23-$D23,1)-($G23&lt;$D23)*(Détails!$R$2-Détails!$R$3)-MEDIAN($G23,Détails!$R$3,Détails!$R$2)+MEDIAN($D23,Détails!$R$3,Détails!$R$2)-$F23</f>
        <v>0</v>
      </c>
      <c r="K23" s="26">
        <f>IF(OR(WEEKDAY(Tabel1[[#This Row],[Date]],2)=7, DAY(Tabel1[[#This Row],[Date]])=DAY(EOMONTH(Tabel1[[#This Row],[Date]],0))),SUMIF(Tabel1[Semaine],Tabel1[[#This Row],[Semaine]],Tabel1[Total Heures]),0)</f>
        <v>1.6249999999999996</v>
      </c>
      <c r="L23" s="25"/>
    </row>
    <row r="24" spans="1:12" ht="30" customHeight="1" x14ac:dyDescent="0.3">
      <c r="A24" s="22" t="str">
        <f t="shared" si="0"/>
        <v>4</v>
      </c>
      <c r="B24" s="23">
        <f t="shared" si="2"/>
        <v>45313</v>
      </c>
      <c r="C24" s="5"/>
      <c r="D24" s="24">
        <v>0.61458333333333337</v>
      </c>
      <c r="E24" s="34"/>
      <c r="F24" s="34">
        <v>4.1666666666666664E-2</v>
      </c>
      <c r="G24" s="24">
        <v>1.0208333333333333</v>
      </c>
      <c r="H24" s="25">
        <f t="shared" si="1"/>
        <v>0.3645833333333332</v>
      </c>
      <c r="I24" s="25">
        <f>IF($G24&gt;$D24,MEDIAN($G24,Détails!$R$2,Détails!$R$3)-MEDIAN($D24,Détails!$R$2,Détails!$R$3),($G24&lt;$D24)*(Détails!$R$2-Détails!$R$3)+MEDIAN($G24,Détails!$R$3,Détails!$R$2)-MEDIAN($D24,Détails!$R$3,Détails!$R$2))-$E24</f>
        <v>0.26041666666666663</v>
      </c>
      <c r="J24" s="12">
        <f>MOD($G24-$D24,1)-($G24&lt;$D24)*(Détails!$R$2-Détails!$R$3)-MEDIAN($G24,Détails!$R$3,Détails!$R$2)+MEDIAN($D24,Détails!$R$3,Détails!$R$2)-$F24</f>
        <v>0.1041666666666666</v>
      </c>
      <c r="K24" s="26">
        <f>IF(OR(WEEKDAY(Tabel1[[#This Row],[Date]],2)=7, DAY(Tabel1[[#This Row],[Date]])=DAY(EOMONTH(Tabel1[[#This Row],[Date]],0))),SUMIF(Tabel1[Semaine],Tabel1[[#This Row],[Semaine]],Tabel1[Total Heures]),0)</f>
        <v>0</v>
      </c>
      <c r="L24" s="25"/>
    </row>
    <row r="25" spans="1:12" ht="30" customHeight="1" x14ac:dyDescent="0.3">
      <c r="A25" s="22" t="str">
        <f t="shared" si="0"/>
        <v>4</v>
      </c>
      <c r="B25" s="23">
        <f t="shared" si="2"/>
        <v>45314</v>
      </c>
      <c r="C25" s="5"/>
      <c r="D25" s="24">
        <v>0.61458333333333337</v>
      </c>
      <c r="E25" s="34"/>
      <c r="F25" s="34">
        <v>4.1666666666666664E-2</v>
      </c>
      <c r="G25" s="24">
        <v>1.0208333333333333</v>
      </c>
      <c r="H25" s="25">
        <f t="shared" si="1"/>
        <v>0.3645833333333332</v>
      </c>
      <c r="I25" s="25">
        <f>IF($G25&gt;$D25,MEDIAN($G25,Détails!$R$2,Détails!$R$3)-MEDIAN($D25,Détails!$R$2,Détails!$R$3),($G25&lt;$D25)*(Détails!$R$2-Détails!$R$3)+MEDIAN($G25,Détails!$R$3,Détails!$R$2)-MEDIAN($D25,Détails!$R$3,Détails!$R$2))-$E25</f>
        <v>0.26041666666666663</v>
      </c>
      <c r="J25" s="12">
        <f>MOD($G25-$D25,1)-($G25&lt;$D25)*(Détails!$R$2-Détails!$R$3)-MEDIAN($G25,Détails!$R$3,Détails!$R$2)+MEDIAN($D25,Détails!$R$3,Détails!$R$2)-$F25</f>
        <v>0.1041666666666666</v>
      </c>
      <c r="K25" s="26">
        <f>IF(OR(WEEKDAY(Tabel1[[#This Row],[Date]],2)=7, DAY(Tabel1[[#This Row],[Date]])=DAY(EOMONTH(Tabel1[[#This Row],[Date]],0))),SUMIF(Tabel1[Semaine],Tabel1[[#This Row],[Semaine]],Tabel1[Total Heures]),0)</f>
        <v>0</v>
      </c>
      <c r="L25" s="25"/>
    </row>
    <row r="26" spans="1:12" ht="30" customHeight="1" x14ac:dyDescent="0.3">
      <c r="A26" s="22" t="str">
        <f t="shared" si="0"/>
        <v>4</v>
      </c>
      <c r="B26" s="23">
        <f t="shared" si="2"/>
        <v>45315</v>
      </c>
      <c r="C26" s="5"/>
      <c r="D26" s="24">
        <v>0.61458333333333337</v>
      </c>
      <c r="E26" s="34"/>
      <c r="F26" s="34">
        <v>4.1666666666666664E-2</v>
      </c>
      <c r="G26" s="24">
        <v>1.0208333333333333</v>
      </c>
      <c r="H26" s="25">
        <f t="shared" si="1"/>
        <v>0.3645833333333332</v>
      </c>
      <c r="I26" s="25">
        <f>IF($G26&gt;$D26,MEDIAN($G26,Détails!$R$2,Détails!$R$3)-MEDIAN($D26,Détails!$R$2,Détails!$R$3),($G26&lt;$D26)*(Détails!$R$2-Détails!$R$3)+MEDIAN($G26,Détails!$R$3,Détails!$R$2)-MEDIAN($D26,Détails!$R$3,Détails!$R$2))-$E26</f>
        <v>0.26041666666666663</v>
      </c>
      <c r="J26" s="12">
        <f>MOD($G26-$D26,1)-($G26&lt;$D26)*(Détails!$R$2-Détails!$R$3)-MEDIAN($G26,Détails!$R$3,Détails!$R$2)+MEDIAN($D26,Détails!$R$3,Détails!$R$2)-$F26</f>
        <v>0.1041666666666666</v>
      </c>
      <c r="K26" s="26">
        <f>IF(OR(WEEKDAY(Tabel1[[#This Row],[Date]],2)=7, DAY(Tabel1[[#This Row],[Date]])=DAY(EOMONTH(Tabel1[[#This Row],[Date]],0))),SUMIF(Tabel1[Semaine],Tabel1[[#This Row],[Semaine]],Tabel1[Total Heures]),0)</f>
        <v>0</v>
      </c>
      <c r="L26" s="25"/>
    </row>
    <row r="27" spans="1:12" ht="30" customHeight="1" x14ac:dyDescent="0.3">
      <c r="A27" s="22" t="str">
        <f t="shared" si="0"/>
        <v>4</v>
      </c>
      <c r="B27" s="23">
        <f t="shared" si="2"/>
        <v>45316</v>
      </c>
      <c r="C27" s="5"/>
      <c r="D27" s="24">
        <v>0.61458333333333337</v>
      </c>
      <c r="E27" s="34"/>
      <c r="F27" s="34">
        <v>4.1666666666666664E-2</v>
      </c>
      <c r="G27" s="24">
        <v>1.0208333333333333</v>
      </c>
      <c r="H27" s="25">
        <f t="shared" si="1"/>
        <v>0.3645833333333332</v>
      </c>
      <c r="I27" s="25">
        <f>IF($G27&gt;$D27,MEDIAN($G27,Détails!$R$2,Détails!$R$3)-MEDIAN($D27,Détails!$R$2,Détails!$R$3),($G27&lt;$D27)*(Détails!$R$2-Détails!$R$3)+MEDIAN($G27,Détails!$R$3,Détails!$R$2)-MEDIAN($D27,Détails!$R$3,Détails!$R$2))-$E27</f>
        <v>0.26041666666666663</v>
      </c>
      <c r="J27" s="12">
        <f>MOD($G27-$D27,1)-($G27&lt;$D27)*(Détails!$R$2-Détails!$R$3)-MEDIAN($G27,Détails!$R$3,Détails!$R$2)+MEDIAN($D27,Détails!$R$3,Détails!$R$2)-$F27</f>
        <v>0.1041666666666666</v>
      </c>
      <c r="K27" s="26">
        <f>IF(OR(WEEKDAY(Tabel1[[#This Row],[Date]],2)=7, DAY(Tabel1[[#This Row],[Date]])=DAY(EOMONTH(Tabel1[[#This Row],[Date]],0))),SUMIF(Tabel1[Semaine],Tabel1[[#This Row],[Semaine]],Tabel1[Total Heures]),0)</f>
        <v>0</v>
      </c>
      <c r="L27" s="25"/>
    </row>
    <row r="28" spans="1:12" ht="30" customHeight="1" x14ac:dyDescent="0.3">
      <c r="A28" s="22" t="str">
        <f t="shared" si="0"/>
        <v>4</v>
      </c>
      <c r="B28" s="23">
        <f t="shared" si="2"/>
        <v>45317</v>
      </c>
      <c r="C28" s="5"/>
      <c r="D28" s="24"/>
      <c r="E28" s="34"/>
      <c r="F28" s="34"/>
      <c r="G28" s="24"/>
      <c r="H28" s="25" t="str">
        <f t="shared" si="1"/>
        <v/>
      </c>
      <c r="I28" s="25">
        <f>IF($G28&gt;$D28,MEDIAN($G28,Détails!$R$2,Détails!$R$3)-MEDIAN($D28,Détails!$R$2,Détails!$R$3),($G28&lt;$D28)*(Détails!$R$2-Détails!$R$3)+MEDIAN($G28,Détails!$R$3,Détails!$R$2)-MEDIAN($D28,Détails!$R$3,Détails!$R$2))-$E28</f>
        <v>0</v>
      </c>
      <c r="J28" s="12">
        <f>MOD($G28-$D28,1)-($G28&lt;$D28)*(Détails!$R$2-Détails!$R$3)-MEDIAN($G28,Détails!$R$3,Détails!$R$2)+MEDIAN($D28,Détails!$R$3,Détails!$R$2)-$F28</f>
        <v>0</v>
      </c>
      <c r="K28" s="26">
        <f>IF(OR(WEEKDAY(Tabel1[[#This Row],[Date]],2)=7, DAY(Tabel1[[#This Row],[Date]])=DAY(EOMONTH(Tabel1[[#This Row],[Date]],0))),SUMIF(Tabel1[Semaine],Tabel1[[#This Row],[Semaine]],Tabel1[Total Heures]),0)</f>
        <v>0</v>
      </c>
      <c r="L28" s="25"/>
    </row>
    <row r="29" spans="1:12" ht="30" customHeight="1" x14ac:dyDescent="0.3">
      <c r="A29" s="22" t="str">
        <f t="shared" si="0"/>
        <v>4</v>
      </c>
      <c r="B29" s="23">
        <f t="shared" si="2"/>
        <v>45318</v>
      </c>
      <c r="C29" s="5"/>
      <c r="D29" s="24"/>
      <c r="E29" s="34"/>
      <c r="F29" s="34"/>
      <c r="G29" s="24"/>
      <c r="H29" s="25" t="str">
        <f t="shared" si="1"/>
        <v/>
      </c>
      <c r="I29" s="25">
        <f>IF($G29&gt;$D29,MEDIAN($G29,Détails!$R$2,Détails!$R$3)-MEDIAN($D29,Détails!$R$2,Détails!$R$3),($G29&lt;$D29)*(Détails!$R$2-Détails!$R$3)+MEDIAN($G29,Détails!$R$3,Détails!$R$2)-MEDIAN($D29,Détails!$R$3,Détails!$R$2))-$E29</f>
        <v>0</v>
      </c>
      <c r="J29" s="12">
        <f>MOD($G29-$D29,1)-($G29&lt;$D29)*(Détails!$R$2-Détails!$R$3)-MEDIAN($G29,Détails!$R$3,Détails!$R$2)+MEDIAN($D29,Détails!$R$3,Détails!$R$2)-$F29</f>
        <v>0</v>
      </c>
      <c r="K29" s="26">
        <f>IF(OR(WEEKDAY(Tabel1[[#This Row],[Date]],2)=7, DAY(Tabel1[[#This Row],[Date]])=DAY(EOMONTH(Tabel1[[#This Row],[Date]],0))),SUMIF(Tabel1[Semaine],Tabel1[[#This Row],[Semaine]],Tabel1[Total Heures]),0)</f>
        <v>0</v>
      </c>
      <c r="L29" s="25"/>
    </row>
    <row r="30" spans="1:12" ht="30" customHeight="1" x14ac:dyDescent="0.3">
      <c r="A30" s="22" t="str">
        <f t="shared" si="0"/>
        <v>4</v>
      </c>
      <c r="B30" s="23">
        <f t="shared" si="2"/>
        <v>45319</v>
      </c>
      <c r="C30" s="5"/>
      <c r="D30" s="24"/>
      <c r="E30" s="34"/>
      <c r="F30" s="34"/>
      <c r="G30" s="24"/>
      <c r="H30" s="25" t="str">
        <f t="shared" si="1"/>
        <v/>
      </c>
      <c r="I30" s="25">
        <f>IF($G30&gt;$D30,MEDIAN($G30,Détails!$R$2,Détails!$R$3)-MEDIAN($D30,Détails!$R$2,Détails!$R$3),($G30&lt;$D30)*(Détails!$R$2-Détails!$R$3)+MEDIAN($G30,Détails!$R$3,Détails!$R$2)-MEDIAN($D30,Détails!$R$3,Détails!$R$2))-$E30</f>
        <v>0</v>
      </c>
      <c r="J30" s="12">
        <f>MOD($G30-$D30,1)-($G30&lt;$D30)*(Détails!$R$2-Détails!$R$3)-MEDIAN($G30,Détails!$R$3,Détails!$R$2)+MEDIAN($D30,Détails!$R$3,Détails!$R$2)-$F30</f>
        <v>0</v>
      </c>
      <c r="K30" s="26">
        <f>IF(OR(WEEKDAY(Tabel1[[#This Row],[Date]],2)=7, DAY(Tabel1[[#This Row],[Date]])=DAY(EOMONTH(Tabel1[[#This Row],[Date]],0))),SUMIF(Tabel1[Semaine],Tabel1[[#This Row],[Semaine]],Tabel1[Total Heures]),0)</f>
        <v>1.4583333333333328</v>
      </c>
      <c r="L30" s="25"/>
    </row>
    <row r="31" spans="1:12" ht="30" customHeight="1" x14ac:dyDescent="0.3">
      <c r="A31" s="22" t="str">
        <f t="shared" si="0"/>
        <v>5</v>
      </c>
      <c r="B31" s="23">
        <f t="shared" si="2"/>
        <v>45320</v>
      </c>
      <c r="C31" s="5"/>
      <c r="D31" s="24">
        <v>0.61458333333333337</v>
      </c>
      <c r="E31" s="34"/>
      <c r="F31" s="34">
        <v>4.1666666666666664E-2</v>
      </c>
      <c r="G31" s="24">
        <v>1.0208333333333333</v>
      </c>
      <c r="H31" s="25">
        <f t="shared" si="1"/>
        <v>0.3645833333333332</v>
      </c>
      <c r="I31" s="25">
        <f>IF($G31&gt;$D31,MEDIAN($G31,Détails!$R$2,Détails!$R$3)-MEDIAN($D31,Détails!$R$2,Détails!$R$3),($G31&lt;$D31)*(Détails!$R$2-Détails!$R$3)+MEDIAN($G31,Détails!$R$3,Détails!$R$2)-MEDIAN($D31,Détails!$R$3,Détails!$R$2))-$E31</f>
        <v>0.26041666666666663</v>
      </c>
      <c r="J31" s="12">
        <f>MOD($G31-$D31,1)-($G31&lt;$D31)*(Détails!$R$2-Détails!$R$3)-MEDIAN($G31,Détails!$R$3,Détails!$R$2)+MEDIAN($D31,Détails!$R$3,Détails!$R$2)-$F31</f>
        <v>0.1041666666666666</v>
      </c>
      <c r="K31" s="26">
        <f>IF(OR(WEEKDAY(Tabel1[[#This Row],[Date]],2)=7, DAY(Tabel1[[#This Row],[Date]])=DAY(EOMONTH(Tabel1[[#This Row],[Date]],0))),SUMIF(Tabel1[Semaine],Tabel1[[#This Row],[Semaine]],Tabel1[Total Heures]),0)</f>
        <v>0</v>
      </c>
      <c r="L31" s="25"/>
    </row>
    <row r="32" spans="1:12" ht="30" customHeight="1" x14ac:dyDescent="0.3">
      <c r="A32" s="22" t="str">
        <f t="shared" si="0"/>
        <v>5</v>
      </c>
      <c r="B32" s="23">
        <f t="shared" si="2"/>
        <v>45321</v>
      </c>
      <c r="C32" s="5"/>
      <c r="D32" s="24">
        <v>0.61458333333333337</v>
      </c>
      <c r="E32" s="34"/>
      <c r="F32" s="34">
        <v>4.1666666666666664E-2</v>
      </c>
      <c r="G32" s="24">
        <v>1.0208333333333333</v>
      </c>
      <c r="H32" s="25">
        <f t="shared" si="1"/>
        <v>0.3645833333333332</v>
      </c>
      <c r="I32" s="25">
        <f>IF($G32&gt;$D32,MEDIAN($G32,Détails!$R$2,Détails!$R$3)-MEDIAN($D32,Détails!$R$2,Détails!$R$3),($G32&lt;$D32)*(Détails!$R$2-Détails!$R$3)+MEDIAN($G32,Détails!$R$3,Détails!$R$2)-MEDIAN($D32,Détails!$R$3,Détails!$R$2))-$E32</f>
        <v>0.26041666666666663</v>
      </c>
      <c r="J32" s="12">
        <f>MOD($G32-$D32,1)-($G32&lt;$D32)*(Détails!$R$2-Détails!$R$3)-MEDIAN($G32,Détails!$R$3,Détails!$R$2)+MEDIAN($D32,Détails!$R$3,Détails!$R$2)-$F32</f>
        <v>0.1041666666666666</v>
      </c>
      <c r="K32" s="26">
        <f>IF(OR(WEEKDAY(Tabel1[[#This Row],[Date]],2)=7, DAY(Tabel1[[#This Row],[Date]])=DAY(EOMONTH(Tabel1[[#This Row],[Date]],0))),SUMIF(Tabel1[Semaine],Tabel1[[#This Row],[Semaine]],Tabel1[Total Heures]),0)</f>
        <v>0</v>
      </c>
      <c r="L32" s="25"/>
    </row>
    <row r="33" spans="1:12" ht="30" customHeight="1" x14ac:dyDescent="0.3">
      <c r="A33" s="22" t="str">
        <f t="shared" si="0"/>
        <v>5</v>
      </c>
      <c r="B33" s="23">
        <f t="shared" si="2"/>
        <v>45322</v>
      </c>
      <c r="C33" s="5"/>
      <c r="D33" s="24">
        <v>0.61458333333333337</v>
      </c>
      <c r="E33" s="34"/>
      <c r="F33" s="34">
        <v>4.1666666666666664E-2</v>
      </c>
      <c r="G33" s="24">
        <v>1.0208333333333333</v>
      </c>
      <c r="H33" s="25">
        <f t="shared" si="1"/>
        <v>0.3645833333333332</v>
      </c>
      <c r="I33" s="25">
        <f>IF($G33&gt;$D33,MEDIAN($G33,Détails!$R$2,Détails!$R$3)-MEDIAN($D33,Détails!$R$2,Détails!$R$3),($G33&lt;$D33)*(Détails!$R$2-Détails!$R$3)+MEDIAN($G33,Détails!$R$3,Détails!$R$2)-MEDIAN($D33,Détails!$R$3,Détails!$R$2))-$E33</f>
        <v>0.26041666666666663</v>
      </c>
      <c r="J33" s="12">
        <f>MOD($G33-$D33,1)-($G33&lt;$D33)*(Détails!$R$2-Détails!$R$3)-MEDIAN($G33,Détails!$R$3,Détails!$R$2)+MEDIAN($D33,Détails!$R$3,Détails!$R$2)-$F33</f>
        <v>0.1041666666666666</v>
      </c>
      <c r="K33" s="26">
        <f>IF(OR(WEEKDAY(Tabel1[[#This Row],[Date]],2)=7, DAY(Tabel1[[#This Row],[Date]])=DAY(EOMONTH(Tabel1[[#This Row],[Date]],0))),SUMIF(Tabel1[Semaine],Tabel1[[#This Row],[Semaine]],Tabel1[Total Heures]),0)</f>
        <v>1.0937499999999996</v>
      </c>
      <c r="L33" s="25"/>
    </row>
  </sheetData>
  <conditionalFormatting sqref="A3:L33">
    <cfRule type="expression" dxfId="3" priority="1">
      <formula>OR($C3="Arrêt maladie",$C3="Accident de travail")</formula>
    </cfRule>
    <cfRule type="expression" dxfId="2" priority="2">
      <formula>AND($C3="Congé")</formula>
    </cfRule>
    <cfRule type="expression" dxfId="0" priority="9">
      <formula>WEEKDAY($B3,2)&gt;5</formula>
    </cfRule>
  </conditionalFormatting>
  <pageMargins left="0.7" right="0.7" top="0.75" bottom="0.75" header="0.3" footer="0.3"/>
  <pageSetup paperSize="9" orientation="portrait" r:id="rId1"/>
  <ignoredErrors>
    <ignoredError sqref="B4:B33" calculatedColumn="1"/>
  </ignoredError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DA6ADA2-7745-44DB-B05B-B41EC8257AEE}">
            <xm:f>NOT(ISNA(VLOOKUP($B3,Détails!$M$2:$M$16,1,0)))</xm:f>
            <x14:dxf>
              <fill>
                <patternFill>
                  <bgColor rgb="FF92D050"/>
                </patternFill>
              </fill>
            </x14:dxf>
          </x14:cfRule>
          <xm:sqref>A3:L33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80164728-BDF5-4AFD-9637-4FB97C1FCA28}">
          <x14:formula1>
            <xm:f>Synthèse!$B$1:$G$1</xm:f>
          </x14:formula1>
          <xm:sqref>C3:C33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E4" sqref="E4"/>
    </sheetView>
  </sheetViews>
  <sheetFormatPr baseColWidth="10" defaultColWidth="11.5546875" defaultRowHeight="13.8" x14ac:dyDescent="0.3"/>
  <cols>
    <col min="1" max="1" width="11.5546875" style="6"/>
    <col min="2" max="16384" width="11.5546875" style="4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Détails</vt:lpstr>
      <vt:lpstr>Synthèse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d</vt:lpstr>
      <vt:lpstr>f</vt:lpstr>
      <vt:lpstr>MesFeries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Stessy HAXAIRE</cp:lastModifiedBy>
  <dcterms:created xsi:type="dcterms:W3CDTF">2015-06-05T18:19:34Z</dcterms:created>
  <dcterms:modified xsi:type="dcterms:W3CDTF">2024-06-06T15:11:55Z</dcterms:modified>
</cp:coreProperties>
</file>