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P:\Jonathan\RoyalForm\Perso\Suivi des heures\"/>
    </mc:Choice>
  </mc:AlternateContent>
  <xr:revisionPtr revIDLastSave="0" documentId="13_ncr:1_{7D409C02-425D-42ED-B187-A46216575554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Fériés">[1]Détails!$B$2:$L$16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3" i="14" l="1"/>
  <c r="J3" i="14"/>
  <c r="J4" i="14"/>
  <c r="J5" i="14"/>
  <c r="J6" i="14"/>
  <c r="J7" i="14"/>
  <c r="J8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G28" i="14"/>
  <c r="G29" i="14"/>
  <c r="G30" i="14"/>
  <c r="G31" i="14"/>
  <c r="G32" i="14"/>
  <c r="G33" i="14"/>
  <c r="G20" i="14"/>
  <c r="G21" i="14"/>
  <c r="G22" i="14"/>
  <c r="G23" i="14"/>
  <c r="G24" i="14"/>
  <c r="G25" i="14"/>
  <c r="G26" i="14"/>
  <c r="G27" i="14"/>
  <c r="I4" i="14"/>
  <c r="I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B3" i="14"/>
  <c r="A3" i="14" s="1"/>
  <c r="C15" i="17" l="1"/>
  <c r="C14" i="17"/>
  <c r="C13" i="17"/>
  <c r="C11" i="17"/>
  <c r="C7" i="17"/>
  <c r="C6" i="17"/>
  <c r="C4" i="17"/>
  <c r="C2" i="17"/>
  <c r="B4" i="14"/>
  <c r="A4" i="14" s="1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J9" i="14" s="1"/>
  <c r="G5" i="14"/>
  <c r="G4" i="14"/>
  <c r="G3" i="14"/>
  <c r="K1" i="14"/>
  <c r="F1" i="14"/>
  <c r="E1" i="14"/>
  <c r="D1" i="14"/>
  <c r="B5" i="14" l="1"/>
  <c r="A5" i="14" s="1"/>
  <c r="G1" i="14"/>
  <c r="H3" i="14"/>
  <c r="I1" i="14" l="1"/>
  <c r="B6" i="14"/>
  <c r="A6" i="14" s="1"/>
  <c r="H4" i="14" l="1"/>
  <c r="B7" i="14"/>
  <c r="A7" i="14" s="1"/>
  <c r="H5" i="14" l="1"/>
  <c r="H6" i="14" s="1"/>
  <c r="H7" i="14" s="1"/>
  <c r="H8" i="14" s="1"/>
  <c r="H9" i="14" s="1"/>
  <c r="H10" i="14" s="1"/>
  <c r="H11" i="14" s="1"/>
  <c r="H12" i="14" s="1"/>
  <c r="H13" i="14" s="1"/>
  <c r="H14" i="14" s="1"/>
  <c r="H15" i="14" s="1"/>
  <c r="H16" i="14" s="1"/>
  <c r="H17" i="14" s="1"/>
  <c r="H18" i="14" s="1"/>
  <c r="H19" i="14" s="1"/>
  <c r="H22" i="14" s="1"/>
  <c r="H23" i="14" s="1"/>
  <c r="H24" i="14" s="1"/>
  <c r="H25" i="14" s="1"/>
  <c r="H26" i="14" s="1"/>
  <c r="H27" i="14" s="1"/>
  <c r="H28" i="14" s="1"/>
  <c r="H29" i="14" s="1"/>
  <c r="H30" i="14" s="1"/>
  <c r="H31" i="14" s="1"/>
  <c r="H32" i="14" s="1"/>
  <c r="H33" i="14" s="1"/>
  <c r="B8" i="14"/>
  <c r="A8" i="14" s="1"/>
  <c r="H1" i="14" l="1"/>
  <c r="B9" i="14"/>
  <c r="A9" i="14" s="1"/>
  <c r="C12" i="17"/>
  <c r="A32" i="17"/>
  <c r="A33" i="17"/>
  <c r="A34" i="17" s="1"/>
  <c r="A35" i="17" s="1"/>
  <c r="A36" i="17" s="1"/>
  <c r="A37" i="17" s="1"/>
  <c r="A38" i="17" s="1"/>
  <c r="B10" i="14" l="1"/>
  <c r="A10" i="14" s="1"/>
  <c r="F2" i="17"/>
  <c r="B11" i="14" l="1"/>
  <c r="A11" i="14" s="1"/>
  <c r="F5" i="17"/>
  <c r="C2" i="13"/>
  <c r="C3" i="13"/>
  <c r="B2" i="13"/>
  <c r="B3" i="13"/>
  <c r="C8" i="17"/>
  <c r="C16" i="17"/>
  <c r="B12" i="14" l="1"/>
  <c r="A12" i="14" s="1"/>
  <c r="C9" i="17"/>
  <c r="C10" i="17" s="1"/>
  <c r="C5" i="17"/>
  <c r="C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3" i="14" l="1"/>
  <c r="A13" i="14" s="1"/>
  <c r="E14" i="13"/>
  <c r="F14" i="13"/>
  <c r="D14" i="13"/>
  <c r="G14" i="13"/>
  <c r="C14" i="13"/>
  <c r="B14" i="13"/>
  <c r="B14" i="14" l="1"/>
  <c r="A14" i="14" s="1"/>
  <c r="B15" i="14" l="1"/>
  <c r="A15" i="14" s="1"/>
  <c r="B16" i="14" l="1"/>
  <c r="A16" i="14" s="1"/>
  <c r="B17" i="14" l="1"/>
  <c r="A17" i="14" s="1"/>
  <c r="B18" i="14" l="1"/>
  <c r="A18" i="14" s="1"/>
  <c r="B19" i="14" l="1"/>
  <c r="A19" i="14" s="1"/>
  <c r="B20" i="14" l="1"/>
  <c r="A20" i="14" s="1"/>
  <c r="B21" i="14" l="1"/>
  <c r="A21" i="14" s="1"/>
  <c r="B22" i="14" l="1"/>
  <c r="A22" i="14" s="1"/>
  <c r="B23" i="14" l="1"/>
  <c r="A23" i="14" s="1"/>
  <c r="B24" i="14" l="1"/>
  <c r="A24" i="14" s="1"/>
  <c r="B25" i="14" l="1"/>
  <c r="A25" i="14" s="1"/>
  <c r="B26" i="14" l="1"/>
  <c r="A26" i="14" s="1"/>
  <c r="B27" i="14" l="1"/>
  <c r="A27" i="14" s="1"/>
  <c r="B28" i="14" l="1"/>
  <c r="A28" i="14" s="1"/>
  <c r="B29" i="14" l="1"/>
  <c r="A29" i="14" s="1"/>
  <c r="B30" i="14" l="1"/>
  <c r="A30" i="14" s="1"/>
  <c r="B31" i="14" l="1"/>
  <c r="A31" i="14" l="1"/>
  <c r="B32" i="14"/>
  <c r="A32" i="14" l="1"/>
  <c r="B33" i="14"/>
  <c r="A33" i="14" l="1"/>
  <c r="B1" i="14"/>
  <c r="J1" i="14" l="1"/>
</calcChain>
</file>

<file path=xl/sharedStrings.xml><?xml version="1.0" encoding="utf-8"?>
<sst xmlns="http://schemas.openxmlformats.org/spreadsheetml/2006/main" count="59" uniqueCount="58">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</sst>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h]:mm"/>
    <numFmt numFmtId="167" formatCode="[hh]:mm;\-0.000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sz val="10"/>
      <color theme="1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10"/>
      <color theme="1"/>
      <name val="Bahnschrift"/>
      <family val="2"/>
    </font>
    <font>
      <b/>
      <sz val="10"/>
      <color theme="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shrinkToFit="1"/>
    </xf>
    <xf numFmtId="0" fontId="12" fillId="0" borderId="0" xfId="0" applyFont="1" applyAlignment="1">
      <alignment horizontal="center" vertical="center" shrinkToFit="1"/>
    </xf>
    <xf numFmtId="167" fontId="12" fillId="0" borderId="0" xfId="0" applyNumberFormat="1" applyFont="1" applyAlignment="1">
      <alignment horizontal="center" vertical="center" shrinkToFit="1"/>
    </xf>
    <xf numFmtId="167" fontId="11" fillId="0" borderId="0" xfId="0" applyNumberFormat="1" applyFont="1" applyAlignment="1">
      <alignment horizontal="center" vertical="center" shrinkToFit="1"/>
    </xf>
    <xf numFmtId="0" fontId="13" fillId="0" borderId="0" xfId="0" applyFont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7" fontId="14" fillId="0" borderId="3" xfId="0" applyNumberFormat="1" applyFont="1" applyBorder="1" applyAlignment="1">
      <alignment horizontal="center" vertical="center"/>
    </xf>
    <xf numFmtId="167" fontId="15" fillId="0" borderId="3" xfId="0" applyNumberFormat="1" applyFont="1" applyBorder="1" applyAlignment="1">
      <alignment horizontal="center" vertical="center"/>
    </xf>
    <xf numFmtId="167" fontId="14" fillId="0" borderId="4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 shrinkToFit="1"/>
    </xf>
    <xf numFmtId="1" fontId="8" fillId="0" borderId="2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67" fontId="9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BD89BD-5EB4-453C-B85D-D3969D266D43}" name="Tabel1" displayName="Tabel1" ref="A2:K33" totalsRowShown="0" headerRowDxfId="14" dataDxfId="13">
  <autoFilter ref="A2:K33" xr:uid="{60BD89BD-5EB4-453C-B85D-D3969D266D43}"/>
  <sortState xmlns:xlrd2="http://schemas.microsoft.com/office/spreadsheetml/2017/richdata2" ref="A3:K33">
    <sortCondition ref="B2:B33"/>
  </sortState>
  <tableColumns count="11">
    <tableColumn id="1" xr3:uid="{1A38051F-D620-4F7F-9CA2-277210C2FE09}" name="Semaine" dataDxfId="12">
      <calculatedColumnFormula>""&amp;WEEKNUM(B3,2)</calculatedColumnFormula>
    </tableColumn>
    <tableColumn id="2" xr3:uid="{3B5533BB-8446-41FC-8759-9AC56552A7D3}" name="Date" dataDxfId="11">
      <calculatedColumnFormula>DATE(Détails!$A$1,1,1)</calculatedColumnFormula>
    </tableColumn>
    <tableColumn id="3" xr3:uid="{7DF8A4F1-8F48-4E6B-889E-76A90A7C3DB8}" name="Ordre" dataDxfId="10"/>
    <tableColumn id="4" xr3:uid="{8E7542C3-73F3-4968-AD06-10931739D429}" name="Ouverture de poste" dataDxfId="9"/>
    <tableColumn id="5" xr3:uid="{A0D16825-C2CD-4831-AD6E-4EAFBC57675A}" name="Pause" dataDxfId="8"/>
    <tableColumn id="6" xr3:uid="{C13DDB9E-2EB5-4E63-BA6D-E888AB22D263}" name="Fermeture de poste" dataDxfId="7"/>
    <tableColumn id="7" xr3:uid="{4487438F-530A-495D-A1D4-7413BE49E39B}" name="Total" dataDxfId="6">
      <calculatedColumnFormula>MOD(F3-D3-E3,1)</calculatedColumnFormula>
    </tableColumn>
    <tableColumn id="8" xr3:uid="{8FBAFC67-C157-49AF-9F47-E1229A96EE85}" name="Heures de jour" dataDxfId="5">
      <calculatedColumnFormula>+Tabel1[[#This Row],[Total]]-Tabel1[[#This Row],[Heures de nuit]]</calculatedColumnFormula>
    </tableColumn>
    <tableColumn id="9" xr3:uid="{8516E9EC-FB7D-438F-9445-80555FE63B6D}" name="Heures de nuit" dataDxfId="4">
      <calculatedColumnFormula>MAX(0,Tabel1[[#This Row],[Fermeture de poste]]-TIME(21,0,0))+IF(Tabel1[[#This Row],[Ouverture de poste]]&lt;&gt;"",MAX(TIME(6,0,0)-Tabel1[[#This Row],[Ouverture de poste]],0),0)</calculatedColumnFormula>
    </tableColumn>
    <tableColumn id="10" xr3:uid="{7C92A229-8D04-4CC9-88F9-24C9998700A7}" name="Total semaine" dataDxfId="3">
      <calculatedColumnFormula>IF(WEEKDAY(Tabel1[[#This Row],[Date]],2)=7, SUMIF(Tabel1[Semaine],Tabel1[[#This Row],[Semaine]],Tabel1[Total]),0)</calculatedColumnFormula>
    </tableColumn>
    <tableColumn id="11" xr3:uid="{F5E82653-314C-47D5-BEB1-935A541F7EB8}" name="Heures supplémentaires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dimension ref="A1:F38"/>
  <sheetViews>
    <sheetView workbookViewId="0">
      <selection activeCell="H5" sqref="H5"/>
    </sheetView>
  </sheetViews>
  <sheetFormatPr baseColWidth="10" defaultRowHeight="13.8" x14ac:dyDescent="0.3"/>
  <cols>
    <col min="1" max="1" width="20.77734375" style="10" customWidth="1"/>
    <col min="2" max="3" width="30.77734375" style="4" customWidth="1"/>
    <col min="4" max="4" width="11.5546875" style="4"/>
    <col min="5" max="6" width="30.77734375" style="4" customWidth="1"/>
    <col min="7" max="16384" width="11.5546875" style="4"/>
  </cols>
  <sheetData>
    <row r="1" spans="1:6" ht="19.95" customHeight="1" x14ac:dyDescent="0.3">
      <c r="A1" s="13">
        <v>2024</v>
      </c>
      <c r="B1" s="34" t="s">
        <v>30</v>
      </c>
      <c r="C1" s="34"/>
      <c r="E1" s="35" t="s">
        <v>46</v>
      </c>
      <c r="F1" s="35"/>
    </row>
    <row r="2" spans="1:6" ht="19.95" customHeight="1" x14ac:dyDescent="0.3">
      <c r="A2" s="11"/>
      <c r="B2" s="8" t="s">
        <v>31</v>
      </c>
      <c r="C2" s="9">
        <f>DATE(A1,1,1)</f>
        <v>45292</v>
      </c>
      <c r="E2" s="5" t="s">
        <v>47</v>
      </c>
      <c r="F2" s="12">
        <f>F4/F3</f>
        <v>0.32500000000000001</v>
      </c>
    </row>
    <row r="3" spans="1:6" ht="19.95" customHeight="1" x14ac:dyDescent="0.3">
      <c r="A3" s="11"/>
      <c r="B3" s="8" t="s">
        <v>32</v>
      </c>
      <c r="C3" s="9">
        <f>C4-2</f>
        <v>45380</v>
      </c>
      <c r="E3" s="5" t="s">
        <v>51</v>
      </c>
      <c r="F3" s="5">
        <v>5</v>
      </c>
    </row>
    <row r="4" spans="1:6" ht="19.95" customHeight="1" x14ac:dyDescent="0.3">
      <c r="A4" s="11"/>
      <c r="B4" s="8" t="s">
        <v>45</v>
      </c>
      <c r="C4" s="9">
        <f>ROUND(DATE(A1,4,MOD(234-11*MOD($A$1,19),30))/7,)*7-6</f>
        <v>45382</v>
      </c>
      <c r="E4" s="5" t="s">
        <v>48</v>
      </c>
      <c r="F4" s="12">
        <v>1.625</v>
      </c>
    </row>
    <row r="5" spans="1:6" ht="19.95" customHeight="1" x14ac:dyDescent="0.3">
      <c r="A5" s="11"/>
      <c r="B5" s="8" t="s">
        <v>33</v>
      </c>
      <c r="C5" s="9">
        <f>C4+1</f>
        <v>45383</v>
      </c>
      <c r="E5" s="5" t="s">
        <v>49</v>
      </c>
      <c r="F5" s="12">
        <f>F4*4.33333</f>
        <v>7.0416612500000006</v>
      </c>
    </row>
    <row r="6" spans="1:6" ht="19.95" customHeight="1" x14ac:dyDescent="0.3">
      <c r="A6" s="11"/>
      <c r="B6" s="8" t="s">
        <v>34</v>
      </c>
      <c r="C6" s="9">
        <f>DATE(A1,5,1)</f>
        <v>45413</v>
      </c>
    </row>
    <row r="7" spans="1:6" ht="19.95" customHeight="1" x14ac:dyDescent="0.3">
      <c r="A7" s="11"/>
      <c r="B7" s="8" t="s">
        <v>40</v>
      </c>
      <c r="C7" s="9">
        <f>DATE(A1,5,8)</f>
        <v>45420</v>
      </c>
      <c r="E7" s="4" t="s">
        <v>52</v>
      </c>
    </row>
    <row r="8" spans="1:6" ht="19.95" customHeight="1" x14ac:dyDescent="0.3">
      <c r="A8" s="11"/>
      <c r="B8" s="8" t="s">
        <v>35</v>
      </c>
      <c r="C8" s="9">
        <f>C4+39</f>
        <v>45421</v>
      </c>
      <c r="E8" s="4" t="s">
        <v>53</v>
      </c>
    </row>
    <row r="9" spans="1:6" ht="19.95" customHeight="1" x14ac:dyDescent="0.3">
      <c r="A9" s="11"/>
      <c r="B9" s="8" t="s">
        <v>44</v>
      </c>
      <c r="C9" s="9">
        <f>C4+49</f>
        <v>45431</v>
      </c>
      <c r="E9" s="4" t="s">
        <v>54</v>
      </c>
    </row>
    <row r="10" spans="1:6" ht="19.95" customHeight="1" x14ac:dyDescent="0.3">
      <c r="A10" s="11"/>
      <c r="B10" s="8" t="s">
        <v>36</v>
      </c>
      <c r="C10" s="9">
        <f>C9+1</f>
        <v>45432</v>
      </c>
      <c r="E10" s="4" t="s">
        <v>55</v>
      </c>
    </row>
    <row r="11" spans="1:6" ht="19.95" customHeight="1" x14ac:dyDescent="0.3">
      <c r="A11" s="11"/>
      <c r="B11" s="8" t="s">
        <v>37</v>
      </c>
      <c r="C11" s="9">
        <f>DATE(A1,7,14)</f>
        <v>45487</v>
      </c>
      <c r="E11" s="4" t="s">
        <v>56</v>
      </c>
    </row>
    <row r="12" spans="1:6" ht="19.95" customHeight="1" x14ac:dyDescent="0.3">
      <c r="A12" s="11"/>
      <c r="B12" s="8" t="s">
        <v>38</v>
      </c>
      <c r="C12" s="9">
        <f>DATE($A$1,8,15)</f>
        <v>45519</v>
      </c>
      <c r="E12" s="4" t="s">
        <v>57</v>
      </c>
    </row>
    <row r="13" spans="1:6" ht="19.95" customHeight="1" x14ac:dyDescent="0.3">
      <c r="A13" s="11"/>
      <c r="B13" s="8" t="s">
        <v>39</v>
      </c>
      <c r="C13" s="9">
        <f>DATE(A1,11,1)</f>
        <v>45597</v>
      </c>
    </row>
    <row r="14" spans="1:6" ht="19.95" customHeight="1" x14ac:dyDescent="0.3">
      <c r="A14" s="11"/>
      <c r="B14" s="8" t="s">
        <v>41</v>
      </c>
      <c r="C14" s="9">
        <f>DATE(A1,11,11)</f>
        <v>45607</v>
      </c>
    </row>
    <row r="15" spans="1:6" ht="19.95" customHeight="1" x14ac:dyDescent="0.3">
      <c r="A15" s="11"/>
      <c r="B15" s="8" t="s">
        <v>42</v>
      </c>
      <c r="C15" s="9">
        <f>DATE(A1,12,25)</f>
        <v>45651</v>
      </c>
    </row>
    <row r="16" spans="1:6" ht="19.95" customHeight="1" x14ac:dyDescent="0.3">
      <c r="A16" s="11"/>
      <c r="B16" s="8" t="s">
        <v>43</v>
      </c>
      <c r="C16" s="9">
        <f>C15+1</f>
        <v>45652</v>
      </c>
    </row>
    <row r="17" spans="1:3" ht="19.95" customHeight="1" x14ac:dyDescent="0.3">
      <c r="A17" s="11"/>
      <c r="C17" s="10"/>
    </row>
    <row r="18" spans="1:3" ht="19.95" customHeight="1" x14ac:dyDescent="0.3">
      <c r="A18" s="11"/>
    </row>
    <row r="19" spans="1:3" ht="19.95" customHeight="1" x14ac:dyDescent="0.3">
      <c r="A19" s="11"/>
    </row>
    <row r="20" spans="1:3" ht="19.95" customHeight="1" x14ac:dyDescent="0.3">
      <c r="A20" s="11"/>
    </row>
    <row r="21" spans="1:3" ht="19.95" customHeight="1" x14ac:dyDescent="0.3">
      <c r="A21" s="11"/>
    </row>
    <row r="22" spans="1:3" ht="19.95" customHeight="1" x14ac:dyDescent="0.3">
      <c r="A22" s="11"/>
    </row>
    <row r="23" spans="1:3" ht="19.95" customHeight="1" x14ac:dyDescent="0.3">
      <c r="A23" s="11"/>
    </row>
    <row r="24" spans="1:3" ht="19.95" customHeight="1" x14ac:dyDescent="0.3">
      <c r="A24" s="11"/>
    </row>
    <row r="25" spans="1:3" ht="19.95" customHeight="1" x14ac:dyDescent="0.3">
      <c r="A25" s="11"/>
    </row>
    <row r="26" spans="1:3" ht="19.95" customHeight="1" x14ac:dyDescent="0.3">
      <c r="A26" s="11"/>
    </row>
    <row r="27" spans="1:3" ht="19.95" customHeight="1" x14ac:dyDescent="0.3">
      <c r="A27" s="11"/>
    </row>
    <row r="28" spans="1:3" ht="19.95" customHeight="1" x14ac:dyDescent="0.3">
      <c r="A28" s="11"/>
    </row>
    <row r="29" spans="1:3" ht="19.95" customHeight="1" x14ac:dyDescent="0.3">
      <c r="A29" s="11"/>
    </row>
    <row r="30" spans="1:3" ht="19.95" customHeight="1" x14ac:dyDescent="0.3">
      <c r="A30" s="11"/>
    </row>
    <row r="31" spans="1:3" ht="19.95" customHeight="1" x14ac:dyDescent="0.3">
      <c r="A31" s="11"/>
    </row>
    <row r="32" spans="1:3" ht="19.95" customHeight="1" x14ac:dyDescent="0.3">
      <c r="A32" s="11">
        <f t="shared" ref="A32:A38" si="0">A31+1</f>
        <v>1</v>
      </c>
    </row>
    <row r="33" spans="1:1" ht="19.95" customHeight="1" x14ac:dyDescent="0.3">
      <c r="A33" s="11">
        <f>A32+1</f>
        <v>2</v>
      </c>
    </row>
    <row r="34" spans="1:1" ht="19.95" customHeight="1" x14ac:dyDescent="0.3">
      <c r="A34" s="11">
        <f t="shared" si="0"/>
        <v>3</v>
      </c>
    </row>
    <row r="35" spans="1:1" ht="19.95" customHeight="1" x14ac:dyDescent="0.3">
      <c r="A35" s="11">
        <f t="shared" si="0"/>
        <v>4</v>
      </c>
    </row>
    <row r="36" spans="1:1" ht="19.95" customHeight="1" x14ac:dyDescent="0.3">
      <c r="A36" s="11">
        <f t="shared" si="0"/>
        <v>5</v>
      </c>
    </row>
    <row r="37" spans="1:1" ht="19.95" customHeight="1" x14ac:dyDescent="0.3">
      <c r="A37" s="11">
        <f t="shared" si="0"/>
        <v>6</v>
      </c>
    </row>
    <row r="38" spans="1:1" ht="19.95" customHeight="1" x14ac:dyDescent="0.3">
      <c r="A38" s="11">
        <f t="shared" si="0"/>
        <v>7</v>
      </c>
    </row>
  </sheetData>
  <mergeCells count="2">
    <mergeCell ref="B1:C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8377-13CD-4E6D-BCDA-4E56DAD91EBE}">
  <dimension ref="A1:I14"/>
  <sheetViews>
    <sheetView workbookViewId="0">
      <selection activeCell="B23" sqref="B23"/>
    </sheetView>
  </sheetViews>
  <sheetFormatPr baseColWidth="10" defaultRowHeight="14.4" x14ac:dyDescent="0.3"/>
  <cols>
    <col min="1" max="11" width="20.77734375" style="1" customWidth="1"/>
    <col min="12" max="16384" width="11.5546875" style="1"/>
  </cols>
  <sheetData>
    <row r="1" spans="1:9" ht="19.95" customHeight="1" x14ac:dyDescent="0.3">
      <c r="A1" s="2"/>
      <c r="B1" s="2" t="s">
        <v>18</v>
      </c>
      <c r="C1" s="2" t="s">
        <v>15</v>
      </c>
      <c r="D1" s="2" t="s">
        <v>17</v>
      </c>
      <c r="E1" s="2" t="s">
        <v>16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95" customHeight="1" x14ac:dyDescent="0.3">
      <c r="A2" s="2" t="s">
        <v>2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95" customHeight="1" x14ac:dyDescent="0.3">
      <c r="A3" s="2" t="s">
        <v>3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95" customHeight="1" x14ac:dyDescent="0.3">
      <c r="A4" s="2" t="s">
        <v>4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95" customHeight="1" x14ac:dyDescent="0.3">
      <c r="A5" s="2" t="s">
        <v>5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95" customHeight="1" x14ac:dyDescent="0.3">
      <c r="A6" s="2" t="s">
        <v>6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95" customHeight="1" x14ac:dyDescent="0.3">
      <c r="A7" s="2" t="s">
        <v>7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95" customHeight="1" x14ac:dyDescent="0.3">
      <c r="A8" s="2" t="s">
        <v>8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95" customHeight="1" x14ac:dyDescent="0.3">
      <c r="A9" s="2" t="s">
        <v>9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95" customHeight="1" x14ac:dyDescent="0.3">
      <c r="A10" s="2" t="s">
        <v>10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95" customHeight="1" x14ac:dyDescent="0.3">
      <c r="A11" s="2" t="s">
        <v>11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95" customHeight="1" x14ac:dyDescent="0.3">
      <c r="A12" s="2" t="s">
        <v>12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95" customHeight="1" x14ac:dyDescent="0.3">
      <c r="A13" s="2" t="s">
        <v>13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95" customHeight="1" x14ac:dyDescent="0.3">
      <c r="A14" s="7" t="s">
        <v>22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dimension ref="A1:K33"/>
  <sheetViews>
    <sheetView tabSelected="1" zoomScaleNormal="100" workbookViewId="0">
      <selection activeCell="B3" sqref="B3"/>
    </sheetView>
  </sheetViews>
  <sheetFormatPr baseColWidth="10" defaultColWidth="11.5546875" defaultRowHeight="30" customHeight="1" x14ac:dyDescent="0.3"/>
  <cols>
    <col min="1" max="1" width="12.77734375" style="27" customWidth="1"/>
    <col min="2" max="2" width="31" style="6" bestFit="1" customWidth="1"/>
    <col min="3" max="3" width="12.77734375" style="4" customWidth="1"/>
    <col min="4" max="4" width="20.33203125" style="4" bestFit="1" customWidth="1"/>
    <col min="5" max="5" width="10.109375" style="4" bestFit="1" customWidth="1"/>
    <col min="6" max="6" width="20.5546875" style="4" bestFit="1" customWidth="1"/>
    <col min="7" max="7" width="9.33203125" style="23" bestFit="1" customWidth="1"/>
    <col min="8" max="8" width="16.6640625" style="23" customWidth="1"/>
    <col min="9" max="9" width="16.5546875" style="23" bestFit="1" customWidth="1"/>
    <col min="10" max="10" width="16" style="24" bestFit="1" customWidth="1"/>
    <col min="11" max="11" width="24.44140625" style="23" bestFit="1" customWidth="1"/>
    <col min="12" max="16384" width="11.5546875" style="4"/>
  </cols>
  <sheetData>
    <row r="1" spans="1:11" s="18" customFormat="1" ht="30" customHeight="1" x14ac:dyDescent="0.3">
      <c r="A1" s="25"/>
      <c r="B1" s="15">
        <f>SUBTOTAL(102,Tabel1[Date])</f>
        <v>31</v>
      </c>
      <c r="C1" s="14"/>
      <c r="D1" s="15">
        <f>SUBTOTAL(102,Tabel1[Ouverture de poste])</f>
        <v>19</v>
      </c>
      <c r="E1" s="15">
        <f>SUBTOTAL(102,Tabel1[Pause])</f>
        <v>19</v>
      </c>
      <c r="F1" s="15">
        <f>SUBTOTAL(102,Tabel1[Fermeture de poste])</f>
        <v>19</v>
      </c>
      <c r="G1" s="16">
        <f>SUBTOTAL(109,Tabel1[Total])</f>
        <v>6.7812499999999956</v>
      </c>
      <c r="H1" s="16">
        <f>SUBTOTAL(109,Tabel1[Heures de jour])</f>
        <v>4.0625</v>
      </c>
      <c r="I1" s="28">
        <f>SUBTOTAL(109,Tabel1[Heures de nuit])</f>
        <v>3.2291666666666634</v>
      </c>
      <c r="J1" s="17">
        <f>SUBTOTAL(109,Tabel1[Total semaine])</f>
        <v>5.6874999999999982</v>
      </c>
      <c r="K1" s="17">
        <f>SUBTOTAL(109,Tabel1[Heures supplémentaires])</f>
        <v>0</v>
      </c>
    </row>
    <row r="2" spans="1:11" ht="30" customHeight="1" x14ac:dyDescent="0.3">
      <c r="A2" s="26" t="s">
        <v>50</v>
      </c>
      <c r="B2" s="19" t="s">
        <v>14</v>
      </c>
      <c r="C2" s="19" t="s">
        <v>19</v>
      </c>
      <c r="D2" s="19" t="s">
        <v>27</v>
      </c>
      <c r="E2" s="19" t="s">
        <v>0</v>
      </c>
      <c r="F2" s="19" t="s">
        <v>25</v>
      </c>
      <c r="G2" s="20" t="s">
        <v>28</v>
      </c>
      <c r="H2" s="20" t="s">
        <v>26</v>
      </c>
      <c r="I2" s="20" t="s">
        <v>23</v>
      </c>
      <c r="J2" s="21" t="s">
        <v>29</v>
      </c>
      <c r="K2" s="22" t="s">
        <v>1</v>
      </c>
    </row>
    <row r="3" spans="1:11" ht="30" customHeight="1" x14ac:dyDescent="0.3">
      <c r="A3" s="29" t="str">
        <f t="shared" ref="A3:A33" si="0">""&amp;WEEKNUM(B3,2)</f>
        <v>1</v>
      </c>
      <c r="B3" s="30">
        <f>DATE(Détails!A1,1,1)</f>
        <v>45292</v>
      </c>
      <c r="C3" s="5"/>
      <c r="D3" s="31">
        <v>0.61458333333333337</v>
      </c>
      <c r="E3" s="31">
        <v>4.1666666666666664E-2</v>
      </c>
      <c r="F3" s="31">
        <v>1.0208333333333333</v>
      </c>
      <c r="G3" s="32">
        <f t="shared" ref="G3:G33" si="1">MOD(F3-D3-E3,1)</f>
        <v>0.3645833333333332</v>
      </c>
      <c r="H3" s="32">
        <f>+Tabel1[[#This Row],[Total]]-Tabel1[[#This Row],[Heures de nuit]]</f>
        <v>0.21874999999999994</v>
      </c>
      <c r="I3" s="32">
        <f>MAX(0,Tabel1[[#This Row],[Fermeture de poste]]-TIME(21,0,0))+IF(Tabel1[[#This Row],[Ouverture de poste]]&lt;&gt;"",MAX(TIME(6,0,0)-Tabel1[[#This Row],[Ouverture de poste]],0),0)</f>
        <v>0.14583333333333326</v>
      </c>
      <c r="J3" s="33">
        <f>IF(WEEKDAY(Tabel1[[#This Row],[Date]],2)=7, SUMIF(Tabel1[Semaine],Tabel1[[#This Row],[Semaine]],Tabel1[Total]),0)</f>
        <v>0</v>
      </c>
      <c r="K3" s="32"/>
    </row>
    <row r="4" spans="1:11" ht="30" customHeight="1" x14ac:dyDescent="0.3">
      <c r="A4" s="29" t="str">
        <f t="shared" si="0"/>
        <v>1</v>
      </c>
      <c r="B4" s="30">
        <f>B3+1</f>
        <v>45293</v>
      </c>
      <c r="C4" s="5"/>
      <c r="D4" s="31">
        <v>0.61458333333333337</v>
      </c>
      <c r="E4" s="31">
        <v>4.1666666666666664E-2</v>
      </c>
      <c r="F4" s="31">
        <v>1.0208333333333333</v>
      </c>
      <c r="G4" s="32">
        <f t="shared" si="1"/>
        <v>0.3645833333333332</v>
      </c>
      <c r="H4" s="32">
        <f>+Tabel1[[#This Row],[Total]]-Tabel1[[#This Row],[Heures de nuit]]</f>
        <v>0.21874999999999994</v>
      </c>
      <c r="I4" s="32">
        <f>MAX(0,Tabel1[[#This Row],[Fermeture de poste]]-TIME(21,0,0))+IF(Tabel1[[#This Row],[Ouverture de poste]]&lt;&gt;"",MAX(TIME(6,0,0)-Tabel1[[#This Row],[Ouverture de poste]],0),0)</f>
        <v>0.14583333333333326</v>
      </c>
      <c r="J4" s="33">
        <f>IF(WEEKDAY(Tabel1[[#This Row],[Date]],2)=7, SUMIF(Tabel1[Semaine],Tabel1[[#This Row],[Semaine]],Tabel1[Total]),0)</f>
        <v>0</v>
      </c>
      <c r="K4" s="32"/>
    </row>
    <row r="5" spans="1:11" ht="30" customHeight="1" x14ac:dyDescent="0.3">
      <c r="A5" s="29" t="str">
        <f t="shared" si="0"/>
        <v>1</v>
      </c>
      <c r="B5" s="30">
        <f t="shared" ref="B5:B33" si="2">B4+1</f>
        <v>45294</v>
      </c>
      <c r="C5" s="5"/>
      <c r="D5" s="31">
        <v>0.91666666666666663</v>
      </c>
      <c r="E5" s="31">
        <v>4.1666666666666664E-2</v>
      </c>
      <c r="F5" s="31">
        <v>1.25</v>
      </c>
      <c r="G5" s="32">
        <f t="shared" si="1"/>
        <v>0.29166666666666669</v>
      </c>
      <c r="H5" s="32">
        <f>+Tabel1[[#This Row],[Total]]-Tabel1[[#This Row],[Heures de nuit]]</f>
        <v>-8.3333333333333315E-2</v>
      </c>
      <c r="I5" s="32">
        <f>MAX(0,Tabel1[[#This Row],[Fermeture de poste]]-TIME(21,0,0))+IF(Tabel1[[#This Row],[Ouverture de poste]]&lt;&gt;"",MAX(TIME(6,0,0)-Tabel1[[#This Row],[Ouverture de poste]],0),0)</f>
        <v>0.375</v>
      </c>
      <c r="J5" s="33">
        <f>IF(WEEKDAY(Tabel1[[#This Row],[Date]],2)=7, SUMIF(Tabel1[Semaine],Tabel1[[#This Row],[Semaine]],Tabel1[Total]),0)</f>
        <v>0</v>
      </c>
      <c r="K5" s="32"/>
    </row>
    <row r="6" spans="1:11" ht="30" customHeight="1" x14ac:dyDescent="0.3">
      <c r="A6" s="29" t="str">
        <f t="shared" si="0"/>
        <v>1</v>
      </c>
      <c r="B6" s="30">
        <f t="shared" si="2"/>
        <v>45295</v>
      </c>
      <c r="C6" s="5"/>
      <c r="D6" s="31">
        <v>0.91666666666666663</v>
      </c>
      <c r="E6" s="31">
        <v>4.1666666666666664E-2</v>
      </c>
      <c r="F6" s="31">
        <v>1.25</v>
      </c>
      <c r="G6" s="32">
        <f t="shared" si="1"/>
        <v>0.29166666666666669</v>
      </c>
      <c r="H6" s="32">
        <f>+Tabel1[[#This Row],[Total]]-Tabel1[[#This Row],[Heures de nuit]]</f>
        <v>-8.3333333333333315E-2</v>
      </c>
      <c r="I6" s="32">
        <f>MAX(0,Tabel1[[#This Row],[Fermeture de poste]]-TIME(21,0,0))+IF(Tabel1[[#This Row],[Ouverture de poste]]&lt;&gt;"",MAX(TIME(6,0,0)-Tabel1[[#This Row],[Ouverture de poste]],0),0)</f>
        <v>0.375</v>
      </c>
      <c r="J6" s="33">
        <f>IF(WEEKDAY(Tabel1[[#This Row],[Date]],2)=7, SUMIF(Tabel1[Semaine],Tabel1[[#This Row],[Semaine]],Tabel1[Total]),0)</f>
        <v>0</v>
      </c>
      <c r="K6" s="32"/>
    </row>
    <row r="7" spans="1:11" ht="30" customHeight="1" x14ac:dyDescent="0.3">
      <c r="A7" s="29" t="str">
        <f t="shared" si="0"/>
        <v>1</v>
      </c>
      <c r="B7" s="30">
        <f t="shared" si="2"/>
        <v>45296</v>
      </c>
      <c r="C7" s="5"/>
      <c r="D7" s="31"/>
      <c r="E7" s="31"/>
      <c r="F7" s="31"/>
      <c r="G7" s="32">
        <f t="shared" si="1"/>
        <v>0</v>
      </c>
      <c r="H7" s="32">
        <f>+Tabel1[[#This Row],[Total]]-Tabel1[[#This Row],[Heures de nuit]]</f>
        <v>0</v>
      </c>
      <c r="I7" s="32">
        <f>MAX(0,Tabel1[[#This Row],[Fermeture de poste]]-TIME(21,0,0))+IF(Tabel1[[#This Row],[Ouverture de poste]]&lt;&gt;"",MAX(TIME(6,0,0)-Tabel1[[#This Row],[Ouverture de poste]],0),0)</f>
        <v>0</v>
      </c>
      <c r="J7" s="33">
        <f>IF(WEEKDAY(Tabel1[[#This Row],[Date]],2)=7, SUMIF(Tabel1[Semaine],Tabel1[[#This Row],[Semaine]],Tabel1[Total]),0)</f>
        <v>0</v>
      </c>
      <c r="K7" s="32"/>
    </row>
    <row r="8" spans="1:11" ht="30" customHeight="1" x14ac:dyDescent="0.3">
      <c r="A8" s="29" t="str">
        <f t="shared" si="0"/>
        <v>1</v>
      </c>
      <c r="B8" s="30">
        <f t="shared" si="2"/>
        <v>45297</v>
      </c>
      <c r="C8" s="5"/>
      <c r="D8" s="31"/>
      <c r="E8" s="31"/>
      <c r="F8" s="31"/>
      <c r="G8" s="32">
        <f t="shared" si="1"/>
        <v>0</v>
      </c>
      <c r="H8" s="32">
        <f>+Tabel1[[#This Row],[Total]]-Tabel1[[#This Row],[Heures de nuit]]</f>
        <v>0</v>
      </c>
      <c r="I8" s="32">
        <f>MAX(0,Tabel1[[#This Row],[Fermeture de poste]]-TIME(21,0,0))+IF(Tabel1[[#This Row],[Ouverture de poste]]&lt;&gt;"",MAX(TIME(6,0,0)-Tabel1[[#This Row],[Ouverture de poste]],0),0)</f>
        <v>0</v>
      </c>
      <c r="J8" s="33">
        <f>IF(WEEKDAY(Tabel1[[#This Row],[Date]],2)=7, SUMIF(Tabel1[Semaine],Tabel1[[#This Row],[Semaine]],Tabel1[Total]),0)</f>
        <v>0</v>
      </c>
      <c r="K8" s="32"/>
    </row>
    <row r="9" spans="1:11" ht="30" customHeight="1" x14ac:dyDescent="0.3">
      <c r="A9" s="29" t="str">
        <f t="shared" si="0"/>
        <v>1</v>
      </c>
      <c r="B9" s="30">
        <f t="shared" si="2"/>
        <v>45298</v>
      </c>
      <c r="C9" s="5"/>
      <c r="D9" s="31"/>
      <c r="E9" s="31"/>
      <c r="F9" s="31"/>
      <c r="G9" s="32">
        <f t="shared" si="1"/>
        <v>0</v>
      </c>
      <c r="H9" s="32">
        <f>+Tabel1[[#This Row],[Total]]-Tabel1[[#This Row],[Heures de nuit]]</f>
        <v>0</v>
      </c>
      <c r="I9" s="32">
        <f>MAX(0,Tabel1[[#This Row],[Fermeture de poste]]-TIME(21,0,0))+IF(Tabel1[[#This Row],[Ouverture de poste]]&lt;&gt;"",MAX(TIME(6,0,0)-Tabel1[[#This Row],[Ouverture de poste]],0),0)</f>
        <v>0</v>
      </c>
      <c r="J9" s="33">
        <f>IF(WEEKDAY(Tabel1[[#This Row],[Date]],2)=7, SUMIF(Tabel1[Semaine],Tabel1[[#This Row],[Semaine]],Tabel1[Total]),0)</f>
        <v>1.3124999999999998</v>
      </c>
      <c r="K9" s="32"/>
    </row>
    <row r="10" spans="1:11" ht="30" customHeight="1" x14ac:dyDescent="0.3">
      <c r="A10" s="29" t="str">
        <f t="shared" si="0"/>
        <v>2</v>
      </c>
      <c r="B10" s="30">
        <f t="shared" si="2"/>
        <v>45299</v>
      </c>
      <c r="C10" s="5"/>
      <c r="D10" s="31">
        <v>0.61458333333333337</v>
      </c>
      <c r="E10" s="31">
        <v>4.1666666666666664E-2</v>
      </c>
      <c r="F10" s="31">
        <v>1.0208333333333333</v>
      </c>
      <c r="G10" s="32">
        <f t="shared" si="1"/>
        <v>0.3645833333333332</v>
      </c>
      <c r="H10" s="32">
        <f>+Tabel1[[#This Row],[Total]]-Tabel1[[#This Row],[Heures de nuit]]</f>
        <v>0.21874999999999994</v>
      </c>
      <c r="I10" s="32">
        <f>MAX(0,Tabel1[[#This Row],[Fermeture de poste]]-TIME(21,0,0))+IF(Tabel1[[#This Row],[Ouverture de poste]]&lt;&gt;"",MAX(TIME(6,0,0)-Tabel1[[#This Row],[Ouverture de poste]],0),0)</f>
        <v>0.14583333333333326</v>
      </c>
      <c r="J10" s="33">
        <f>IF(WEEKDAY(Tabel1[[#This Row],[Date]],2)=7, SUMIF(Tabel1[Semaine],Tabel1[[#This Row],[Semaine]],Tabel1[Total]),0)</f>
        <v>0</v>
      </c>
      <c r="K10" s="32"/>
    </row>
    <row r="11" spans="1:11" ht="30" customHeight="1" x14ac:dyDescent="0.3">
      <c r="A11" s="29" t="str">
        <f t="shared" si="0"/>
        <v>2</v>
      </c>
      <c r="B11" s="30">
        <f t="shared" si="2"/>
        <v>45300</v>
      </c>
      <c r="C11" s="5"/>
      <c r="D11" s="31">
        <v>0.61458333333333337</v>
      </c>
      <c r="E11" s="31">
        <v>4.1666666666666664E-2</v>
      </c>
      <c r="F11" s="31">
        <v>1.0208333333333333</v>
      </c>
      <c r="G11" s="32">
        <f t="shared" si="1"/>
        <v>0.3645833333333332</v>
      </c>
      <c r="H11" s="32">
        <f>+Tabel1[[#This Row],[Total]]-Tabel1[[#This Row],[Heures de nuit]]</f>
        <v>0.21874999999999994</v>
      </c>
      <c r="I11" s="32">
        <f>MAX(0,Tabel1[[#This Row],[Fermeture de poste]]-TIME(21,0,0))+IF(Tabel1[[#This Row],[Ouverture de poste]]&lt;&gt;"",MAX(TIME(6,0,0)-Tabel1[[#This Row],[Ouverture de poste]],0),0)</f>
        <v>0.14583333333333326</v>
      </c>
      <c r="J11" s="33">
        <f>IF(WEEKDAY(Tabel1[[#This Row],[Date]],2)=7, SUMIF(Tabel1[Semaine],Tabel1[[#This Row],[Semaine]],Tabel1[Total]),0)</f>
        <v>0</v>
      </c>
      <c r="K11" s="32"/>
    </row>
    <row r="12" spans="1:11" ht="30" customHeight="1" x14ac:dyDescent="0.3">
      <c r="A12" s="29" t="str">
        <f t="shared" si="0"/>
        <v>2</v>
      </c>
      <c r="B12" s="30">
        <f t="shared" si="2"/>
        <v>45301</v>
      </c>
      <c r="C12" s="5"/>
      <c r="D12" s="31">
        <v>0.61458333333333337</v>
      </c>
      <c r="E12" s="31">
        <v>4.1666666666666664E-2</v>
      </c>
      <c r="F12" s="31">
        <v>1.0208333333333333</v>
      </c>
      <c r="G12" s="32">
        <f t="shared" si="1"/>
        <v>0.3645833333333332</v>
      </c>
      <c r="H12" s="32">
        <f>+Tabel1[[#This Row],[Total]]-Tabel1[[#This Row],[Heures de nuit]]</f>
        <v>0.21874999999999994</v>
      </c>
      <c r="I12" s="32">
        <f>MAX(0,Tabel1[[#This Row],[Fermeture de poste]]-TIME(21,0,0))+IF(Tabel1[[#This Row],[Ouverture de poste]]&lt;&gt;"",MAX(TIME(6,0,0)-Tabel1[[#This Row],[Ouverture de poste]],0),0)</f>
        <v>0.14583333333333326</v>
      </c>
      <c r="J12" s="33">
        <f>IF(WEEKDAY(Tabel1[[#This Row],[Date]],2)=7, SUMIF(Tabel1[Semaine],Tabel1[[#This Row],[Semaine]],Tabel1[Total]),0)</f>
        <v>0</v>
      </c>
      <c r="K12" s="32"/>
    </row>
    <row r="13" spans="1:11" ht="30" customHeight="1" x14ac:dyDescent="0.3">
      <c r="A13" s="29" t="str">
        <f t="shared" si="0"/>
        <v>2</v>
      </c>
      <c r="B13" s="30">
        <f t="shared" si="2"/>
        <v>45302</v>
      </c>
      <c r="C13" s="5"/>
      <c r="D13" s="31">
        <v>0.61458333333333337</v>
      </c>
      <c r="E13" s="31">
        <v>4.1666666666666664E-2</v>
      </c>
      <c r="F13" s="31">
        <v>1.0208333333333333</v>
      </c>
      <c r="G13" s="32">
        <f t="shared" si="1"/>
        <v>0.3645833333333332</v>
      </c>
      <c r="H13" s="32">
        <f>+Tabel1[[#This Row],[Total]]-Tabel1[[#This Row],[Heures de nuit]]</f>
        <v>0.21874999999999994</v>
      </c>
      <c r="I13" s="32">
        <f>MAX(0,Tabel1[[#This Row],[Fermeture de poste]]-TIME(21,0,0))+IF(Tabel1[[#This Row],[Ouverture de poste]]&lt;&gt;"",MAX(TIME(6,0,0)-Tabel1[[#This Row],[Ouverture de poste]],0),0)</f>
        <v>0.14583333333333326</v>
      </c>
      <c r="J13" s="33">
        <f>IF(WEEKDAY(Tabel1[[#This Row],[Date]],2)=7, SUMIF(Tabel1[Semaine],Tabel1[[#This Row],[Semaine]],Tabel1[Total]),0)</f>
        <v>0</v>
      </c>
      <c r="K13" s="32"/>
    </row>
    <row r="14" spans="1:11" ht="30" customHeight="1" x14ac:dyDescent="0.3">
      <c r="A14" s="29" t="str">
        <f t="shared" si="0"/>
        <v>2</v>
      </c>
      <c r="B14" s="30">
        <f t="shared" si="2"/>
        <v>45303</v>
      </c>
      <c r="C14" s="5"/>
      <c r="D14" s="31"/>
      <c r="E14" s="31"/>
      <c r="F14" s="31"/>
      <c r="G14" s="32">
        <f t="shared" si="1"/>
        <v>0</v>
      </c>
      <c r="H14" s="32">
        <f>+Tabel1[[#This Row],[Total]]-Tabel1[[#This Row],[Heures de nuit]]</f>
        <v>0</v>
      </c>
      <c r="I14" s="32">
        <f>MAX(0,Tabel1[[#This Row],[Fermeture de poste]]-TIME(21,0,0))+IF(Tabel1[[#This Row],[Ouverture de poste]]&lt;&gt;"",MAX(TIME(6,0,0)-Tabel1[[#This Row],[Ouverture de poste]],0),0)</f>
        <v>0</v>
      </c>
      <c r="J14" s="33">
        <f>IF(WEEKDAY(Tabel1[[#This Row],[Date]],2)=7, SUMIF(Tabel1[Semaine],Tabel1[[#This Row],[Semaine]],Tabel1[Total]),0)</f>
        <v>0</v>
      </c>
      <c r="K14" s="32"/>
    </row>
    <row r="15" spans="1:11" ht="30" customHeight="1" x14ac:dyDescent="0.3">
      <c r="A15" s="29" t="str">
        <f t="shared" si="0"/>
        <v>2</v>
      </c>
      <c r="B15" s="30">
        <f t="shared" si="2"/>
        <v>45304</v>
      </c>
      <c r="C15" s="5"/>
      <c r="D15" s="31"/>
      <c r="E15" s="31"/>
      <c r="F15" s="31"/>
      <c r="G15" s="32">
        <f t="shared" si="1"/>
        <v>0</v>
      </c>
      <c r="H15" s="32">
        <f>+Tabel1[[#This Row],[Total]]-Tabel1[[#This Row],[Heures de nuit]]</f>
        <v>0</v>
      </c>
      <c r="I15" s="32">
        <f>MAX(0,Tabel1[[#This Row],[Fermeture de poste]]-TIME(21,0,0))+IF(Tabel1[[#This Row],[Ouverture de poste]]&lt;&gt;"",MAX(TIME(6,0,0)-Tabel1[[#This Row],[Ouverture de poste]],0),0)</f>
        <v>0</v>
      </c>
      <c r="J15" s="33">
        <f>IF(WEEKDAY(Tabel1[[#This Row],[Date]],2)=7, SUMIF(Tabel1[Semaine],Tabel1[[#This Row],[Semaine]],Tabel1[Total]),0)</f>
        <v>0</v>
      </c>
      <c r="K15" s="32"/>
    </row>
    <row r="16" spans="1:11" ht="30" customHeight="1" x14ac:dyDescent="0.3">
      <c r="A16" s="29" t="str">
        <f t="shared" si="0"/>
        <v>2</v>
      </c>
      <c r="B16" s="30">
        <f t="shared" si="2"/>
        <v>45305</v>
      </c>
      <c r="C16" s="5"/>
      <c r="D16" s="31"/>
      <c r="E16" s="31"/>
      <c r="F16" s="31"/>
      <c r="G16" s="32">
        <f t="shared" si="1"/>
        <v>0</v>
      </c>
      <c r="H16" s="32">
        <f>+Tabel1[[#This Row],[Total]]-Tabel1[[#This Row],[Heures de nuit]]</f>
        <v>0</v>
      </c>
      <c r="I16" s="32">
        <f>MAX(0,Tabel1[[#This Row],[Fermeture de poste]]-TIME(21,0,0))+IF(Tabel1[[#This Row],[Ouverture de poste]]&lt;&gt;"",MAX(TIME(6,0,0)-Tabel1[[#This Row],[Ouverture de poste]],0),0)</f>
        <v>0</v>
      </c>
      <c r="J16" s="33">
        <f>IF(WEEKDAY(Tabel1[[#This Row],[Date]],2)=7, SUMIF(Tabel1[Semaine],Tabel1[[#This Row],[Semaine]],Tabel1[Total]),0)</f>
        <v>1.4583333333333328</v>
      </c>
      <c r="K16" s="32"/>
    </row>
    <row r="17" spans="1:11" ht="30" customHeight="1" x14ac:dyDescent="0.3">
      <c r="A17" s="29" t="str">
        <f t="shared" si="0"/>
        <v>3</v>
      </c>
      <c r="B17" s="30">
        <f t="shared" si="2"/>
        <v>45306</v>
      </c>
      <c r="C17" s="5"/>
      <c r="D17" s="31">
        <v>0.61458333333333337</v>
      </c>
      <c r="E17" s="31">
        <v>4.1666666666666664E-2</v>
      </c>
      <c r="F17" s="31">
        <v>1.0208333333333333</v>
      </c>
      <c r="G17" s="32">
        <f t="shared" si="1"/>
        <v>0.3645833333333332</v>
      </c>
      <c r="H17" s="32">
        <f>+Tabel1[[#This Row],[Total]]-Tabel1[[#This Row],[Heures de nuit]]</f>
        <v>0.21874999999999994</v>
      </c>
      <c r="I17" s="32">
        <f>MAX(0,Tabel1[[#This Row],[Fermeture de poste]]-TIME(21,0,0))+IF(Tabel1[[#This Row],[Ouverture de poste]]&lt;&gt;"",MAX(TIME(6,0,0)-Tabel1[[#This Row],[Ouverture de poste]],0),0)</f>
        <v>0.14583333333333326</v>
      </c>
      <c r="J17" s="33">
        <f>IF(WEEKDAY(Tabel1[[#This Row],[Date]],2)=7, SUMIF(Tabel1[Semaine],Tabel1[[#This Row],[Semaine]],Tabel1[Total]),0)</f>
        <v>0</v>
      </c>
      <c r="K17" s="32"/>
    </row>
    <row r="18" spans="1:11" ht="30" customHeight="1" x14ac:dyDescent="0.3">
      <c r="A18" s="29" t="str">
        <f t="shared" si="0"/>
        <v>3</v>
      </c>
      <c r="B18" s="30">
        <f t="shared" si="2"/>
        <v>45307</v>
      </c>
      <c r="C18" s="5"/>
      <c r="D18" s="31">
        <v>0.61458333333333337</v>
      </c>
      <c r="E18" s="31">
        <v>4.1666666666666664E-2</v>
      </c>
      <c r="F18" s="31">
        <v>1.0208333333333333</v>
      </c>
      <c r="G18" s="32">
        <f t="shared" si="1"/>
        <v>0.3645833333333332</v>
      </c>
      <c r="H18" s="32">
        <f>+Tabel1[[#This Row],[Total]]-Tabel1[[#This Row],[Heures de nuit]]</f>
        <v>0.21874999999999994</v>
      </c>
      <c r="I18" s="32">
        <f>MAX(0,Tabel1[[#This Row],[Fermeture de poste]]-TIME(21,0,0))+IF(Tabel1[[#This Row],[Ouverture de poste]]&lt;&gt;"",MAX(TIME(6,0,0)-Tabel1[[#This Row],[Ouverture de poste]],0),0)</f>
        <v>0.14583333333333326</v>
      </c>
      <c r="J18" s="33">
        <f>IF(WEEKDAY(Tabel1[[#This Row],[Date]],2)=7, SUMIF(Tabel1[Semaine],Tabel1[[#This Row],[Semaine]],Tabel1[Total]),0)</f>
        <v>0</v>
      </c>
      <c r="K18" s="32"/>
    </row>
    <row r="19" spans="1:11" ht="30" customHeight="1" x14ac:dyDescent="0.3">
      <c r="A19" s="29" t="str">
        <f t="shared" si="0"/>
        <v>3</v>
      </c>
      <c r="B19" s="30">
        <f t="shared" si="2"/>
        <v>45308</v>
      </c>
      <c r="C19" s="5"/>
      <c r="D19" s="31">
        <v>0.61458333333333337</v>
      </c>
      <c r="E19" s="31">
        <v>4.1666666666666664E-2</v>
      </c>
      <c r="F19" s="31">
        <v>1.0208333333333333</v>
      </c>
      <c r="G19" s="32">
        <f t="shared" si="1"/>
        <v>0.3645833333333332</v>
      </c>
      <c r="H19" s="32">
        <f>+Tabel1[[#This Row],[Total]]-Tabel1[[#This Row],[Heures de nuit]]</f>
        <v>0.21874999999999994</v>
      </c>
      <c r="I19" s="32">
        <f>MAX(0,Tabel1[[#This Row],[Fermeture de poste]]-TIME(21,0,0))+IF(Tabel1[[#This Row],[Ouverture de poste]]&lt;&gt;"",MAX(TIME(6,0,0)-Tabel1[[#This Row],[Ouverture de poste]],0),0)</f>
        <v>0.14583333333333326</v>
      </c>
      <c r="J19" s="33">
        <f>IF(WEEKDAY(Tabel1[[#This Row],[Date]],2)=7, SUMIF(Tabel1[Semaine],Tabel1[[#This Row],[Semaine]],Tabel1[Total]),0)</f>
        <v>0</v>
      </c>
      <c r="K19" s="32"/>
    </row>
    <row r="20" spans="1:11" ht="30" customHeight="1" x14ac:dyDescent="0.3">
      <c r="A20" s="29" t="str">
        <f t="shared" si="0"/>
        <v>3</v>
      </c>
      <c r="B20" s="30">
        <f t="shared" si="2"/>
        <v>45309</v>
      </c>
      <c r="C20" s="5"/>
      <c r="D20" s="31">
        <v>0.61458333333333337</v>
      </c>
      <c r="E20" s="31">
        <v>4.1666666666666664E-2</v>
      </c>
      <c r="F20" s="31">
        <v>1.0208333333333333</v>
      </c>
      <c r="G20" s="32">
        <f t="shared" si="1"/>
        <v>0.3645833333333332</v>
      </c>
      <c r="H20" s="32">
        <v>0.36458333333333337</v>
      </c>
      <c r="I20" s="32">
        <f>MAX(0,Tabel1[[#This Row],[Fermeture de poste]]-TIME(21,0,0))+IF(Tabel1[[#This Row],[Ouverture de poste]]&lt;&gt;"",MAX(TIME(6,0,0)-Tabel1[[#This Row],[Ouverture de poste]],0),0)</f>
        <v>0.14583333333333326</v>
      </c>
      <c r="J20" s="33">
        <f>IF(WEEKDAY(Tabel1[[#This Row],[Date]],2)=7, SUMIF(Tabel1[Semaine],Tabel1[[#This Row],[Semaine]],Tabel1[Total]),0)</f>
        <v>0</v>
      </c>
      <c r="K20" s="32"/>
    </row>
    <row r="21" spans="1:11" ht="30" customHeight="1" x14ac:dyDescent="0.3">
      <c r="A21" s="29" t="str">
        <f t="shared" si="0"/>
        <v>3</v>
      </c>
      <c r="B21" s="30">
        <f t="shared" si="2"/>
        <v>45310</v>
      </c>
      <c r="C21" s="5"/>
      <c r="D21" s="31"/>
      <c r="E21" s="31"/>
      <c r="F21" s="31"/>
      <c r="G21" s="32">
        <f t="shared" si="1"/>
        <v>0</v>
      </c>
      <c r="H21" s="32">
        <v>0.36458333333333337</v>
      </c>
      <c r="I21" s="32">
        <f>MAX(0,Tabel1[[#This Row],[Fermeture de poste]]-TIME(21,0,0))+IF(Tabel1[[#This Row],[Ouverture de poste]]&lt;&gt;"",MAX(TIME(6,0,0)-Tabel1[[#This Row],[Ouverture de poste]],0),0)</f>
        <v>0</v>
      </c>
      <c r="J21" s="33">
        <f>IF(WEEKDAY(Tabel1[[#This Row],[Date]],2)=7, SUMIF(Tabel1[Semaine],Tabel1[[#This Row],[Semaine]],Tabel1[Total]),0)</f>
        <v>0</v>
      </c>
      <c r="K21" s="32"/>
    </row>
    <row r="22" spans="1:11" ht="30" customHeight="1" x14ac:dyDescent="0.3">
      <c r="A22" s="29" t="str">
        <f t="shared" si="0"/>
        <v>3</v>
      </c>
      <c r="B22" s="30">
        <f t="shared" si="2"/>
        <v>45311</v>
      </c>
      <c r="C22" s="5"/>
      <c r="D22" s="31"/>
      <c r="E22" s="31"/>
      <c r="F22" s="31"/>
      <c r="G22" s="32">
        <f t="shared" si="1"/>
        <v>0</v>
      </c>
      <c r="H22" s="32">
        <f>+Tabel1[[#This Row],[Total]]-Tabel1[[#This Row],[Heures de nuit]]</f>
        <v>0</v>
      </c>
      <c r="I22" s="32">
        <f>MAX(0,Tabel1[[#This Row],[Fermeture de poste]]-TIME(21,0,0))+IF(Tabel1[[#This Row],[Ouverture de poste]]&lt;&gt;"",MAX(TIME(6,0,0)-Tabel1[[#This Row],[Ouverture de poste]],0),0)</f>
        <v>0</v>
      </c>
      <c r="J22" s="33">
        <f>IF(WEEKDAY(Tabel1[[#This Row],[Date]],2)=7, SUMIF(Tabel1[Semaine],Tabel1[[#This Row],[Semaine]],Tabel1[Total]),0)</f>
        <v>0</v>
      </c>
      <c r="K22" s="32"/>
    </row>
    <row r="23" spans="1:11" ht="30" customHeight="1" x14ac:dyDescent="0.3">
      <c r="A23" s="29" t="str">
        <f t="shared" si="0"/>
        <v>3</v>
      </c>
      <c r="B23" s="30">
        <f t="shared" si="2"/>
        <v>45312</v>
      </c>
      <c r="C23" s="5"/>
      <c r="D23" s="31"/>
      <c r="E23" s="31"/>
      <c r="F23" s="31"/>
      <c r="G23" s="32">
        <f t="shared" si="1"/>
        <v>0</v>
      </c>
      <c r="H23" s="32">
        <f>+Tabel1[[#This Row],[Total]]-Tabel1[[#This Row],[Heures de nuit]]</f>
        <v>0</v>
      </c>
      <c r="I23" s="32">
        <f>MAX(0,Tabel1[[#This Row],[Fermeture de poste]]-TIME(21,0,0))+IF(Tabel1[[#This Row],[Ouverture de poste]]&lt;&gt;"",MAX(TIME(6,0,0)-Tabel1[[#This Row],[Ouverture de poste]],0),0)</f>
        <v>0</v>
      </c>
      <c r="J23" s="33">
        <f>IF(WEEKDAY(Tabel1[[#This Row],[Date]],2)=7, SUMIF(Tabel1[Semaine],Tabel1[[#This Row],[Semaine]],Tabel1[Total]),0)</f>
        <v>1.4583333333333328</v>
      </c>
      <c r="K23" s="32"/>
    </row>
    <row r="24" spans="1:11" ht="30" customHeight="1" x14ac:dyDescent="0.3">
      <c r="A24" s="29" t="str">
        <f t="shared" si="0"/>
        <v>4</v>
      </c>
      <c r="B24" s="30">
        <f t="shared" si="2"/>
        <v>45313</v>
      </c>
      <c r="C24" s="5"/>
      <c r="D24" s="31">
        <v>0.61458333333333337</v>
      </c>
      <c r="E24" s="31">
        <v>4.1666666666666664E-2</v>
      </c>
      <c r="F24" s="31">
        <v>1.0208333333333333</v>
      </c>
      <c r="G24" s="32">
        <f t="shared" si="1"/>
        <v>0.3645833333333332</v>
      </c>
      <c r="H24" s="32">
        <f>+Tabel1[[#This Row],[Total]]-Tabel1[[#This Row],[Heures de nuit]]</f>
        <v>0.21874999999999994</v>
      </c>
      <c r="I24" s="32">
        <f>MAX(0,Tabel1[[#This Row],[Fermeture de poste]]-TIME(21,0,0))+IF(Tabel1[[#This Row],[Ouverture de poste]]&lt;&gt;"",MAX(TIME(6,0,0)-Tabel1[[#This Row],[Ouverture de poste]],0),0)</f>
        <v>0.14583333333333326</v>
      </c>
      <c r="J24" s="33">
        <f>IF(WEEKDAY(Tabel1[[#This Row],[Date]],2)=7, SUMIF(Tabel1[Semaine],Tabel1[[#This Row],[Semaine]],Tabel1[Total]),0)</f>
        <v>0</v>
      </c>
      <c r="K24" s="32"/>
    </row>
    <row r="25" spans="1:11" ht="30" customHeight="1" x14ac:dyDescent="0.3">
      <c r="A25" s="29" t="str">
        <f t="shared" si="0"/>
        <v>4</v>
      </c>
      <c r="B25" s="30">
        <f t="shared" si="2"/>
        <v>45314</v>
      </c>
      <c r="C25" s="5"/>
      <c r="D25" s="31">
        <v>0.61458333333333337</v>
      </c>
      <c r="E25" s="31">
        <v>4.1666666666666664E-2</v>
      </c>
      <c r="F25" s="31">
        <v>1.0208333333333333</v>
      </c>
      <c r="G25" s="32">
        <f t="shared" si="1"/>
        <v>0.3645833333333332</v>
      </c>
      <c r="H25" s="32">
        <f>+Tabel1[[#This Row],[Total]]-Tabel1[[#This Row],[Heures de nuit]]</f>
        <v>0.21874999999999994</v>
      </c>
      <c r="I25" s="32">
        <f>MAX(0,Tabel1[[#This Row],[Fermeture de poste]]-TIME(21,0,0))+IF(Tabel1[[#This Row],[Ouverture de poste]]&lt;&gt;"",MAX(TIME(6,0,0)-Tabel1[[#This Row],[Ouverture de poste]],0),0)</f>
        <v>0.14583333333333326</v>
      </c>
      <c r="J25" s="33">
        <f>IF(WEEKDAY(Tabel1[[#This Row],[Date]],2)=7, SUMIF(Tabel1[Semaine],Tabel1[[#This Row],[Semaine]],Tabel1[Total]),0)</f>
        <v>0</v>
      </c>
      <c r="K25" s="32"/>
    </row>
    <row r="26" spans="1:11" ht="30" customHeight="1" x14ac:dyDescent="0.3">
      <c r="A26" s="29" t="str">
        <f t="shared" si="0"/>
        <v>4</v>
      </c>
      <c r="B26" s="30">
        <f t="shared" si="2"/>
        <v>45315</v>
      </c>
      <c r="C26" s="5"/>
      <c r="D26" s="31">
        <v>0.61458333333333337</v>
      </c>
      <c r="E26" s="31">
        <v>4.1666666666666664E-2</v>
      </c>
      <c r="F26" s="31">
        <v>1.0208333333333333</v>
      </c>
      <c r="G26" s="32">
        <f t="shared" si="1"/>
        <v>0.3645833333333332</v>
      </c>
      <c r="H26" s="32">
        <f>+Tabel1[[#This Row],[Total]]-Tabel1[[#This Row],[Heures de nuit]]</f>
        <v>0.21874999999999994</v>
      </c>
      <c r="I26" s="32">
        <f>MAX(0,Tabel1[[#This Row],[Fermeture de poste]]-TIME(21,0,0))+IF(Tabel1[[#This Row],[Ouverture de poste]]&lt;&gt;"",MAX(TIME(6,0,0)-Tabel1[[#This Row],[Ouverture de poste]],0),0)</f>
        <v>0.14583333333333326</v>
      </c>
      <c r="J26" s="33">
        <f>IF(WEEKDAY(Tabel1[[#This Row],[Date]],2)=7, SUMIF(Tabel1[Semaine],Tabel1[[#This Row],[Semaine]],Tabel1[Total]),0)</f>
        <v>0</v>
      </c>
      <c r="K26" s="32"/>
    </row>
    <row r="27" spans="1:11" ht="30" customHeight="1" x14ac:dyDescent="0.3">
      <c r="A27" s="29" t="str">
        <f t="shared" si="0"/>
        <v>4</v>
      </c>
      <c r="B27" s="30">
        <f t="shared" si="2"/>
        <v>45316</v>
      </c>
      <c r="C27" s="5"/>
      <c r="D27" s="31">
        <v>0.61458333333333337</v>
      </c>
      <c r="E27" s="31">
        <v>4.1666666666666664E-2</v>
      </c>
      <c r="F27" s="31">
        <v>1.0208333333333333</v>
      </c>
      <c r="G27" s="32">
        <f t="shared" si="1"/>
        <v>0.3645833333333332</v>
      </c>
      <c r="H27" s="32">
        <f>+Tabel1[[#This Row],[Total]]-Tabel1[[#This Row],[Heures de nuit]]</f>
        <v>0.21874999999999994</v>
      </c>
      <c r="I27" s="32">
        <f>MAX(0,Tabel1[[#This Row],[Fermeture de poste]]-TIME(21,0,0))+IF(Tabel1[[#This Row],[Ouverture de poste]]&lt;&gt;"",MAX(TIME(6,0,0)-Tabel1[[#This Row],[Ouverture de poste]],0),0)</f>
        <v>0.14583333333333326</v>
      </c>
      <c r="J27" s="33">
        <f>IF(WEEKDAY(Tabel1[[#This Row],[Date]],2)=7, SUMIF(Tabel1[Semaine],Tabel1[[#This Row],[Semaine]],Tabel1[Total]),0)</f>
        <v>0</v>
      </c>
      <c r="K27" s="32"/>
    </row>
    <row r="28" spans="1:11" ht="30" customHeight="1" x14ac:dyDescent="0.3">
      <c r="A28" s="29" t="str">
        <f t="shared" si="0"/>
        <v>4</v>
      </c>
      <c r="B28" s="30">
        <f t="shared" si="2"/>
        <v>45317</v>
      </c>
      <c r="C28" s="5"/>
      <c r="D28" s="31"/>
      <c r="E28" s="31"/>
      <c r="F28" s="31"/>
      <c r="G28" s="32">
        <f t="shared" si="1"/>
        <v>0</v>
      </c>
      <c r="H28" s="32">
        <f>+Tabel1[[#This Row],[Total]]-Tabel1[[#This Row],[Heures de nuit]]</f>
        <v>0</v>
      </c>
      <c r="I28" s="32">
        <f>MAX(0,Tabel1[[#This Row],[Fermeture de poste]]-TIME(21,0,0))+IF(Tabel1[[#This Row],[Ouverture de poste]]&lt;&gt;"",MAX(TIME(6,0,0)-Tabel1[[#This Row],[Ouverture de poste]],0),0)</f>
        <v>0</v>
      </c>
      <c r="J28" s="33">
        <f>IF(WEEKDAY(Tabel1[[#This Row],[Date]],2)=7, SUMIF(Tabel1[Semaine],Tabel1[[#This Row],[Semaine]],Tabel1[Total]),0)</f>
        <v>0</v>
      </c>
      <c r="K28" s="32"/>
    </row>
    <row r="29" spans="1:11" ht="30" customHeight="1" x14ac:dyDescent="0.3">
      <c r="A29" s="29" t="str">
        <f t="shared" si="0"/>
        <v>4</v>
      </c>
      <c r="B29" s="30">
        <f t="shared" si="2"/>
        <v>45318</v>
      </c>
      <c r="C29" s="5"/>
      <c r="D29" s="31"/>
      <c r="E29" s="31"/>
      <c r="F29" s="31"/>
      <c r="G29" s="32">
        <f t="shared" si="1"/>
        <v>0</v>
      </c>
      <c r="H29" s="32">
        <f>+Tabel1[[#This Row],[Total]]-Tabel1[[#This Row],[Heures de nuit]]</f>
        <v>0</v>
      </c>
      <c r="I29" s="32">
        <f>MAX(0,Tabel1[[#This Row],[Fermeture de poste]]-TIME(21,0,0))+IF(Tabel1[[#This Row],[Ouverture de poste]]&lt;&gt;"",MAX(TIME(6,0,0)-Tabel1[[#This Row],[Ouverture de poste]],0),0)</f>
        <v>0</v>
      </c>
      <c r="J29" s="33">
        <f>IF(WEEKDAY(Tabel1[[#This Row],[Date]],2)=7, SUMIF(Tabel1[Semaine],Tabel1[[#This Row],[Semaine]],Tabel1[Total]),0)</f>
        <v>0</v>
      </c>
      <c r="K29" s="32"/>
    </row>
    <row r="30" spans="1:11" ht="30" customHeight="1" x14ac:dyDescent="0.3">
      <c r="A30" s="29" t="str">
        <f t="shared" si="0"/>
        <v>4</v>
      </c>
      <c r="B30" s="30">
        <f t="shared" si="2"/>
        <v>45319</v>
      </c>
      <c r="C30" s="5"/>
      <c r="D30" s="31"/>
      <c r="E30" s="31"/>
      <c r="F30" s="31"/>
      <c r="G30" s="32">
        <f t="shared" si="1"/>
        <v>0</v>
      </c>
      <c r="H30" s="32">
        <f>+Tabel1[[#This Row],[Total]]-Tabel1[[#This Row],[Heures de nuit]]</f>
        <v>0</v>
      </c>
      <c r="I30" s="32">
        <f>MAX(0,Tabel1[[#This Row],[Fermeture de poste]]-TIME(21,0,0))+IF(Tabel1[[#This Row],[Ouverture de poste]]&lt;&gt;"",MAX(TIME(6,0,0)-Tabel1[[#This Row],[Ouverture de poste]],0),0)</f>
        <v>0</v>
      </c>
      <c r="J30" s="33">
        <f>IF(WEEKDAY(Tabel1[[#This Row],[Date]],2)=7, SUMIF(Tabel1[Semaine],Tabel1[[#This Row],[Semaine]],Tabel1[Total]),0)</f>
        <v>1.4583333333333328</v>
      </c>
      <c r="K30" s="32"/>
    </row>
    <row r="31" spans="1:11" ht="30" customHeight="1" x14ac:dyDescent="0.3">
      <c r="A31" s="29" t="str">
        <f t="shared" si="0"/>
        <v>5</v>
      </c>
      <c r="B31" s="30">
        <f t="shared" si="2"/>
        <v>45320</v>
      </c>
      <c r="C31" s="5"/>
      <c r="D31" s="31">
        <v>0.61458333333333337</v>
      </c>
      <c r="E31" s="31">
        <v>4.1666666666666664E-2</v>
      </c>
      <c r="F31" s="31">
        <v>1.0208333333333333</v>
      </c>
      <c r="G31" s="32">
        <f t="shared" si="1"/>
        <v>0.3645833333333332</v>
      </c>
      <c r="H31" s="32">
        <f>+Tabel1[[#This Row],[Total]]-Tabel1[[#This Row],[Heures de nuit]]</f>
        <v>0.21874999999999994</v>
      </c>
      <c r="I31" s="32">
        <f>MAX(0,Tabel1[[#This Row],[Fermeture de poste]]-TIME(21,0,0))+IF(Tabel1[[#This Row],[Ouverture de poste]]&lt;&gt;"",MAX(TIME(6,0,0)-Tabel1[[#This Row],[Ouverture de poste]],0),0)</f>
        <v>0.14583333333333326</v>
      </c>
      <c r="J31" s="33">
        <f>IF(WEEKDAY(Tabel1[[#This Row],[Date]],2)=7, SUMIF(Tabel1[Semaine],Tabel1[[#This Row],[Semaine]],Tabel1[Total]),0)</f>
        <v>0</v>
      </c>
      <c r="K31" s="32"/>
    </row>
    <row r="32" spans="1:11" ht="30" customHeight="1" x14ac:dyDescent="0.3">
      <c r="A32" s="29" t="str">
        <f t="shared" si="0"/>
        <v>5</v>
      </c>
      <c r="B32" s="30">
        <f t="shared" si="2"/>
        <v>45321</v>
      </c>
      <c r="C32" s="5"/>
      <c r="D32" s="31">
        <v>0.61458333333333337</v>
      </c>
      <c r="E32" s="31">
        <v>4.1666666666666664E-2</v>
      </c>
      <c r="F32" s="31">
        <v>1.0208333333333333</v>
      </c>
      <c r="G32" s="32">
        <f t="shared" si="1"/>
        <v>0.3645833333333332</v>
      </c>
      <c r="H32" s="32">
        <f>+Tabel1[[#This Row],[Total]]-Tabel1[[#This Row],[Heures de nuit]]</f>
        <v>0.21874999999999994</v>
      </c>
      <c r="I32" s="32">
        <f>MAX(0,Tabel1[[#This Row],[Fermeture de poste]]-TIME(21,0,0))+IF(Tabel1[[#This Row],[Ouverture de poste]]&lt;&gt;"",MAX(TIME(6,0,0)-Tabel1[[#This Row],[Ouverture de poste]],0),0)</f>
        <v>0.14583333333333326</v>
      </c>
      <c r="J32" s="33">
        <f>IF(WEEKDAY(Tabel1[[#This Row],[Date]],2)=7, SUMIF(Tabel1[Semaine],Tabel1[[#This Row],[Semaine]],Tabel1[Total]),0)</f>
        <v>0</v>
      </c>
      <c r="K32" s="32"/>
    </row>
    <row r="33" spans="1:11" ht="30" customHeight="1" x14ac:dyDescent="0.3">
      <c r="A33" s="29" t="str">
        <f t="shared" si="0"/>
        <v>5</v>
      </c>
      <c r="B33" s="30">
        <f t="shared" si="2"/>
        <v>45322</v>
      </c>
      <c r="C33" s="5"/>
      <c r="D33" s="31">
        <v>0.61458333333333337</v>
      </c>
      <c r="E33" s="31">
        <v>4.1666666666666664E-2</v>
      </c>
      <c r="F33" s="31">
        <v>1.0208333333333333</v>
      </c>
      <c r="G33" s="32">
        <f t="shared" si="1"/>
        <v>0.3645833333333332</v>
      </c>
      <c r="H33" s="32">
        <f>+Tabel1[[#This Row],[Total]]-Tabel1[[#This Row],[Heures de nuit]]</f>
        <v>0.21874999999999994</v>
      </c>
      <c r="I33" s="32">
        <f>MAX(0,Tabel1[[#This Row],[Fermeture de poste]]-TIME(21,0,0))+IF(Tabel1[[#This Row],[Ouverture de poste]]&lt;&gt;"",MAX(TIME(6,0,0)-Tabel1[[#This Row],[Ouverture de poste]],0),0)</f>
        <v>0.14583333333333326</v>
      </c>
      <c r="J33" s="33">
        <f>IF(WEEKDAY(Tabel1[[#This Row],[Date]],2)=7, SUMIF(Tabel1[Semaine],Tabel1[[#This Row],[Semaine]],Tabel1[Total]),0)</f>
        <v>0</v>
      </c>
      <c r="K33" s="32"/>
    </row>
  </sheetData>
  <conditionalFormatting sqref="A3:K33">
    <cfRule type="expression" dxfId="0" priority="7">
      <formula>WEEKDAY($B3,2)&gt;5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DA6ADA2-7745-44DB-B05B-B41EC8257AEE}">
            <xm:f>NOT(ISNA(VLOOKUP($B3,Détails!$C$2:$C$16,1,0)))</xm:f>
            <x14:dxf>
              <fill>
                <patternFill>
                  <bgColor rgb="FF92D050"/>
                </patternFill>
              </fill>
            </x14:dxf>
          </x14:cfRule>
          <xm:sqref>A3:K33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A3D59-0862-4CBA-B6A4-F13A24F80709}">
  <dimension ref="A1"/>
  <sheetViews>
    <sheetView workbookViewId="0">
      <selection activeCell="E4" sqref="E4"/>
    </sheetView>
  </sheetViews>
  <sheetFormatPr baseColWidth="10" defaultRowHeight="13.8" x14ac:dyDescent="0.3"/>
  <cols>
    <col min="1" max="1" width="11.5546875" style="6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B4249-4FB1-419B-ABB2-986E565A563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D2B8C-5A86-43CB-8620-BBCD64E162C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70331-1EA4-4C6E-B407-58C19166D46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70758-5B83-4D46-BC0C-EB31F016907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E3A05-6AFC-41E7-B205-4915AC4F4654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6A73F-B62D-4405-9022-3C1BD5E2B83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F6A90-823C-4F82-B559-72D5FF562AA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AE569-4EF9-45B8-84AB-244A8F131C7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E8727-867D-4663-89AE-3CA10BD6E98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64A26-778E-423D-A4AD-AA6825C5684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2024-05-27T12:20:43Z</dcterms:modified>
</cp:coreProperties>
</file>