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https://d.docs.live.net/935c7e25b853f5c7/Documents/Félix/Aviation/Aéroclubs/Chaubuisson/Doc VFR/"/>
    </mc:Choice>
  </mc:AlternateContent>
  <xr:revisionPtr revIDLastSave="3943" documentId="8_{B3F4D767-DD2E-4F37-8C04-6394A364F51E}" xr6:coauthVersionLast="47" xr6:coauthVersionMax="47" xr10:uidLastSave="{65374CBB-5858-4223-AFCB-011551638187}"/>
  <bookViews>
    <workbookView xWindow="-120" yWindow="-120" windowWidth="24240" windowHeight="13740" xr2:uid="{766F9A6F-B94E-4F7E-9211-5E0A35DC6B53}"/>
  </bookViews>
  <sheets>
    <sheet name="Accueil" sheetId="17" r:id="rId1"/>
    <sheet name="Log de Nav" sheetId="8" r:id="rId2"/>
    <sheet name="Carburant" sheetId="13" r:id="rId3"/>
    <sheet name="CG" sheetId="5" r:id="rId4"/>
    <sheet name="Perfs Décollage" sheetId="10" r:id="rId5"/>
    <sheet name="Perfs Atterissage" sheetId="16" r:id="rId6"/>
    <sheet name="Résumé" sheetId="14" r:id="rId7"/>
    <sheet name="Tutoriel" sheetId="18" r:id="rId8"/>
    <sheet name="Options" sheetId="9" r:id="rId9"/>
    <sheet name="Tableaux" sheetId="12" r:id="rId10"/>
  </sheets>
  <externalReferences>
    <externalReference r:id="rId11"/>
  </externalReferences>
  <definedNames>
    <definedName name="Aéroport">[1]Aéroport!$A$3:$AK$409</definedName>
    <definedName name="AiportDbApiRequest">#REF!</definedName>
    <definedName name="Intersection">[1]Reports!$A$3:$I$52</definedName>
    <definedName name="NDB">[1]NDB!$A$2:$I$183</definedName>
    <definedName name="Point_VFR">'[1]Point VFR'!$A$2:$J$426</definedName>
    <definedName name="Report">[1]Reports!$A$3:$I$52</definedName>
    <definedName name="VOR">[1]VOR!$A$2:$I$112</definedName>
    <definedName name="_xlnm.Print_Area" localSheetId="3">CG!$B$7:$M$46</definedName>
  </definedNames>
  <calcPr calcId="191028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14" l="1"/>
  <c r="G9" i="14"/>
  <c r="D12" i="5"/>
  <c r="J28" i="16"/>
  <c r="C20" i="16" a="1"/>
  <c r="C20" i="16" s="1"/>
  <c r="C23" i="16" s="1"/>
  <c r="C19" i="16" a="1"/>
  <c r="C19" i="16" s="1"/>
  <c r="C22" i="16" s="1"/>
  <c r="C17" i="16"/>
  <c r="J7" i="16"/>
  <c r="H7" i="16"/>
  <c r="G12" i="14"/>
  <c r="G11" i="14"/>
  <c r="G10" i="14"/>
  <c r="E9" i="13"/>
  <c r="D6" i="13" a="1"/>
  <c r="D6" i="13" s="1"/>
  <c r="H9" i="8" a="1"/>
  <c r="H9" i="8" s="1"/>
  <c r="I9" i="8" s="1"/>
  <c r="H10" i="8" a="1"/>
  <c r="H10" i="8" s="1"/>
  <c r="I10" i="8" s="1"/>
  <c r="H11" i="8" a="1"/>
  <c r="H11" i="8" s="1"/>
  <c r="I11" i="8" s="1"/>
  <c r="H12" i="8" a="1"/>
  <c r="H12" i="8" s="1"/>
  <c r="I12" i="8" s="1"/>
  <c r="H13" i="8" a="1"/>
  <c r="H13" i="8" s="1"/>
  <c r="J13" i="8" s="1"/>
  <c r="H14" i="8" a="1"/>
  <c r="H14" i="8" s="1"/>
  <c r="I14" i="8" s="1"/>
  <c r="H15" i="8" a="1"/>
  <c r="H15" i="8" s="1"/>
  <c r="J15" i="8" s="1"/>
  <c r="H16" i="8" a="1"/>
  <c r="H16" i="8" s="1"/>
  <c r="J16" i="8" s="1"/>
  <c r="H17" i="8" a="1"/>
  <c r="H17" i="8" s="1"/>
  <c r="H18" i="8" a="1"/>
  <c r="H18" i="8" s="1"/>
  <c r="M18" i="8" s="1"/>
  <c r="H19" i="8" a="1"/>
  <c r="H19" i="8" s="1"/>
  <c r="H20" i="8" a="1"/>
  <c r="H20" i="8" s="1"/>
  <c r="I20" i="8" s="1"/>
  <c r="H21" i="8" a="1"/>
  <c r="H21" i="8" s="1"/>
  <c r="I21" i="8" s="1"/>
  <c r="H22" i="8" a="1"/>
  <c r="H22" i="8" s="1"/>
  <c r="I22" i="8" s="1"/>
  <c r="H8" i="8" a="1"/>
  <c r="H8" i="8" s="1"/>
  <c r="J8" i="8" s="1"/>
  <c r="K8" i="8" s="1"/>
  <c r="AG25" i="12"/>
  <c r="AG26" i="12" s="1"/>
  <c r="AF25" i="12"/>
  <c r="AE25" i="12"/>
  <c r="AD25" i="12"/>
  <c r="AC25" i="12"/>
  <c r="AB25" i="12"/>
  <c r="AA25" i="12"/>
  <c r="Z25" i="12"/>
  <c r="Y25" i="12"/>
  <c r="X25" i="12"/>
  <c r="W25" i="12"/>
  <c r="V25" i="12"/>
  <c r="U25" i="12"/>
  <c r="U26" i="12" s="1"/>
  <c r="U16" i="12" s="1"/>
  <c r="AG48" i="12"/>
  <c r="AG49" i="12" s="1"/>
  <c r="AF48" i="12"/>
  <c r="AF49" i="12" s="1"/>
  <c r="AF37" i="12" s="1"/>
  <c r="AE48" i="12"/>
  <c r="AD48" i="12"/>
  <c r="AC48" i="12"/>
  <c r="AB48" i="12"/>
  <c r="AA48" i="12"/>
  <c r="Z48" i="12"/>
  <c r="Y48" i="12"/>
  <c r="X48" i="12"/>
  <c r="W48" i="12"/>
  <c r="V48" i="12"/>
  <c r="U48" i="12"/>
  <c r="U49" i="12" s="1"/>
  <c r="U35" i="12" s="1"/>
  <c r="L22" i="12"/>
  <c r="K22" i="12"/>
  <c r="J22" i="12"/>
  <c r="I22" i="12"/>
  <c r="L20" i="12"/>
  <c r="K20" i="12"/>
  <c r="J20" i="12"/>
  <c r="I20" i="12"/>
  <c r="L18" i="12"/>
  <c r="K18" i="12"/>
  <c r="J18" i="12"/>
  <c r="I18" i="12"/>
  <c r="L16" i="12"/>
  <c r="K16" i="12"/>
  <c r="J16" i="12"/>
  <c r="I16" i="12"/>
  <c r="L14" i="12"/>
  <c r="K14" i="12"/>
  <c r="J14" i="12"/>
  <c r="I14" i="12"/>
  <c r="J28" i="10"/>
  <c r="J7" i="10" s="1"/>
  <c r="H7" i="10"/>
  <c r="C19" i="10" a="1"/>
  <c r="C19" i="10" s="1"/>
  <c r="C20" i="10" a="1"/>
  <c r="C20" i="10" s="1"/>
  <c r="C17" i="10"/>
  <c r="L8" i="8"/>
  <c r="D23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C12" i="5"/>
  <c r="E8" i="5"/>
  <c r="E9" i="5"/>
  <c r="E10" i="5"/>
  <c r="AF45" i="12" l="1"/>
  <c r="AD49" i="12"/>
  <c r="AD39" i="12" s="1"/>
  <c r="AF44" i="12"/>
  <c r="AE49" i="12"/>
  <c r="AE40" i="12" s="1"/>
  <c r="AF40" i="12"/>
  <c r="AF39" i="12"/>
  <c r="AE39" i="12"/>
  <c r="AF38" i="12"/>
  <c r="AE43" i="12"/>
  <c r="AE37" i="12"/>
  <c r="AF42" i="12"/>
  <c r="AF36" i="12"/>
  <c r="AF41" i="12"/>
  <c r="AF35" i="12"/>
  <c r="AF43" i="12"/>
  <c r="AE41" i="12"/>
  <c r="AD45" i="12"/>
  <c r="AD44" i="12"/>
  <c r="AD43" i="12"/>
  <c r="AD41" i="12"/>
  <c r="AD40" i="12"/>
  <c r="AD38" i="12"/>
  <c r="U45" i="12"/>
  <c r="U44" i="12"/>
  <c r="U43" i="12"/>
  <c r="U42" i="12"/>
  <c r="U41" i="12"/>
  <c r="U40" i="12"/>
  <c r="U39" i="12"/>
  <c r="U38" i="12"/>
  <c r="U37" i="12"/>
  <c r="U36" i="12"/>
  <c r="U23" i="12"/>
  <c r="U22" i="12"/>
  <c r="U21" i="12"/>
  <c r="U20" i="12"/>
  <c r="U19" i="12"/>
  <c r="U18" i="12"/>
  <c r="U17" i="12"/>
  <c r="E15" i="13"/>
  <c r="E14" i="13"/>
  <c r="E13" i="13"/>
  <c r="E12" i="13"/>
  <c r="E11" i="13"/>
  <c r="AE26" i="12"/>
  <c r="AA26" i="12"/>
  <c r="AB26" i="12"/>
  <c r="AC26" i="12"/>
  <c r="AD26" i="12"/>
  <c r="AF26" i="12"/>
  <c r="AF16" i="12" s="1"/>
  <c r="V49" i="12"/>
  <c r="W49" i="12"/>
  <c r="W40" i="12" s="1"/>
  <c r="X49" i="12"/>
  <c r="Z49" i="12"/>
  <c r="W26" i="12"/>
  <c r="AB49" i="12"/>
  <c r="Y26" i="12"/>
  <c r="Y49" i="12"/>
  <c r="V26" i="12"/>
  <c r="AA49" i="12"/>
  <c r="X26" i="12"/>
  <c r="AC49" i="12"/>
  <c r="Z26" i="12"/>
  <c r="M19" i="8"/>
  <c r="M17" i="8"/>
  <c r="C23" i="10"/>
  <c r="C22" i="10"/>
  <c r="M8" i="8"/>
  <c r="O8" i="8" s="1"/>
  <c r="I8" i="8"/>
  <c r="M16" i="8"/>
  <c r="O16" i="8" s="1"/>
  <c r="J12" i="8"/>
  <c r="K12" i="8" s="1"/>
  <c r="N12" i="8" s="1"/>
  <c r="M15" i="8"/>
  <c r="O15" i="8" s="1"/>
  <c r="I18" i="8"/>
  <c r="I19" i="8"/>
  <c r="J11" i="8"/>
  <c r="K11" i="8" s="1"/>
  <c r="N11" i="8" s="1"/>
  <c r="M14" i="8"/>
  <c r="O14" i="8" s="1"/>
  <c r="I17" i="8"/>
  <c r="J22" i="8"/>
  <c r="K22" i="8" s="1"/>
  <c r="N22" i="8" s="1"/>
  <c r="J10" i="8"/>
  <c r="K10" i="8" s="1"/>
  <c r="N10" i="8" s="1"/>
  <c r="M13" i="8"/>
  <c r="O13" i="8" s="1"/>
  <c r="I16" i="8"/>
  <c r="J21" i="8"/>
  <c r="K21" i="8" s="1"/>
  <c r="N21" i="8" s="1"/>
  <c r="J9" i="8"/>
  <c r="K9" i="8" s="1"/>
  <c r="N9" i="8" s="1"/>
  <c r="M12" i="8"/>
  <c r="O12" i="8" s="1"/>
  <c r="I15" i="8"/>
  <c r="J20" i="8"/>
  <c r="K20" i="8" s="1"/>
  <c r="N20" i="8" s="1"/>
  <c r="M11" i="8"/>
  <c r="O11" i="8" s="1"/>
  <c r="J19" i="8"/>
  <c r="K19" i="8" s="1"/>
  <c r="N19" i="8" s="1"/>
  <c r="M22" i="8"/>
  <c r="O22" i="8" s="1"/>
  <c r="M10" i="8"/>
  <c r="O10" i="8" s="1"/>
  <c r="I13" i="8"/>
  <c r="J18" i="8"/>
  <c r="K18" i="8" s="1"/>
  <c r="N18" i="8" s="1"/>
  <c r="M21" i="8"/>
  <c r="M9" i="8"/>
  <c r="O9" i="8" s="1"/>
  <c r="J17" i="8"/>
  <c r="K17" i="8" s="1"/>
  <c r="N17" i="8" s="1"/>
  <c r="M20" i="8"/>
  <c r="O20" i="8" s="1"/>
  <c r="J14" i="8"/>
  <c r="K14" i="8" s="1"/>
  <c r="N14" i="8" s="1"/>
  <c r="K15" i="8"/>
  <c r="N15" i="8" s="1"/>
  <c r="K13" i="8"/>
  <c r="N13" i="8" s="1"/>
  <c r="O18" i="8"/>
  <c r="K16" i="8"/>
  <c r="N16" i="8" s="1"/>
  <c r="O19" i="8"/>
  <c r="O17" i="8"/>
  <c r="N8" i="8"/>
  <c r="E12" i="5"/>
  <c r="G16" i="14" l="1"/>
  <c r="AE42" i="12"/>
  <c r="AE44" i="12"/>
  <c r="AD35" i="12"/>
  <c r="AD37" i="12"/>
  <c r="AD36" i="12"/>
  <c r="AE38" i="12"/>
  <c r="AE35" i="12"/>
  <c r="AE45" i="12"/>
  <c r="AE36" i="12"/>
  <c r="AD42" i="12"/>
  <c r="Y36" i="12"/>
  <c r="Y39" i="12"/>
  <c r="Y41" i="12"/>
  <c r="Y43" i="12"/>
  <c r="Y45" i="12"/>
  <c r="Y35" i="12"/>
  <c r="Y37" i="12"/>
  <c r="Y38" i="12"/>
  <c r="Y40" i="12"/>
  <c r="Y42" i="12"/>
  <c r="Y44" i="12"/>
  <c r="AE16" i="12"/>
  <c r="AE17" i="12"/>
  <c r="AE18" i="12"/>
  <c r="AE19" i="12"/>
  <c r="AE20" i="12"/>
  <c r="AE21" i="12"/>
  <c r="AE22" i="12"/>
  <c r="AE23" i="12"/>
  <c r="Z16" i="12"/>
  <c r="Z17" i="12"/>
  <c r="Z18" i="12"/>
  <c r="Z19" i="12"/>
  <c r="Z20" i="12"/>
  <c r="Z21" i="12"/>
  <c r="Z22" i="12"/>
  <c r="Z23" i="12"/>
  <c r="W16" i="12"/>
  <c r="W17" i="12"/>
  <c r="W18" i="12"/>
  <c r="W19" i="12"/>
  <c r="W20" i="12"/>
  <c r="W21" i="12"/>
  <c r="W22" i="12"/>
  <c r="W23" i="12"/>
  <c r="W35" i="12"/>
  <c r="W36" i="12"/>
  <c r="W37" i="12"/>
  <c r="W38" i="12"/>
  <c r="W39" i="12"/>
  <c r="W41" i="12"/>
  <c r="W42" i="12"/>
  <c r="W43" i="12"/>
  <c r="W44" i="12"/>
  <c r="W45" i="12"/>
  <c r="AC35" i="12"/>
  <c r="AC37" i="12"/>
  <c r="AC38" i="12"/>
  <c r="AC40" i="12"/>
  <c r="AC41" i="12"/>
  <c r="AC43" i="12"/>
  <c r="AC45" i="12"/>
  <c r="AC36" i="12"/>
  <c r="AC39" i="12"/>
  <c r="AC42" i="12"/>
  <c r="AC44" i="12"/>
  <c r="AF17" i="12"/>
  <c r="AF18" i="12"/>
  <c r="AF19" i="12"/>
  <c r="AF20" i="12"/>
  <c r="AF21" i="12"/>
  <c r="AF22" i="12"/>
  <c r="AF23" i="12"/>
  <c r="AA16" i="12"/>
  <c r="AA21" i="12"/>
  <c r="AA23" i="12"/>
  <c r="AA17" i="12"/>
  <c r="AA18" i="12"/>
  <c r="AA19" i="12"/>
  <c r="AA20" i="12"/>
  <c r="AA22" i="12"/>
  <c r="Z35" i="12"/>
  <c r="Z36" i="12"/>
  <c r="Z37" i="12"/>
  <c r="Z38" i="12"/>
  <c r="Z39" i="12"/>
  <c r="Z40" i="12"/>
  <c r="Z41" i="12"/>
  <c r="Z42" i="12"/>
  <c r="Z43" i="12"/>
  <c r="Z44" i="12"/>
  <c r="Z45" i="12"/>
  <c r="X35" i="12"/>
  <c r="X36" i="12"/>
  <c r="X37" i="12"/>
  <c r="X38" i="12"/>
  <c r="X39" i="12"/>
  <c r="X40" i="12"/>
  <c r="X41" i="12"/>
  <c r="X42" i="12"/>
  <c r="X43" i="12"/>
  <c r="X44" i="12"/>
  <c r="X45" i="12"/>
  <c r="V35" i="12"/>
  <c r="V36" i="12"/>
  <c r="V37" i="12"/>
  <c r="V38" i="12"/>
  <c r="V39" i="12"/>
  <c r="V40" i="12"/>
  <c r="V41" i="12"/>
  <c r="V42" i="12"/>
  <c r="V43" i="12"/>
  <c r="V44" i="12"/>
  <c r="V45" i="12"/>
  <c r="X16" i="12"/>
  <c r="X17" i="12"/>
  <c r="X18" i="12"/>
  <c r="X19" i="12"/>
  <c r="X20" i="12"/>
  <c r="X21" i="12"/>
  <c r="X22" i="12"/>
  <c r="X23" i="12"/>
  <c r="AD16" i="12"/>
  <c r="AD17" i="12"/>
  <c r="AD18" i="12"/>
  <c r="AD19" i="12"/>
  <c r="AD20" i="12"/>
  <c r="AD21" i="12"/>
  <c r="AD22" i="12"/>
  <c r="AD23" i="12"/>
  <c r="Y16" i="12"/>
  <c r="Y18" i="12"/>
  <c r="Y20" i="12"/>
  <c r="Y23" i="12"/>
  <c r="Y17" i="12"/>
  <c r="Y19" i="12"/>
  <c r="Y21" i="12"/>
  <c r="Y22" i="12"/>
  <c r="AB35" i="12"/>
  <c r="AB38" i="12"/>
  <c r="AB40" i="12"/>
  <c r="AB42" i="12"/>
  <c r="AB44" i="12"/>
  <c r="AB36" i="12"/>
  <c r="AB37" i="12"/>
  <c r="AB39" i="12"/>
  <c r="AB41" i="12"/>
  <c r="AB43" i="12"/>
  <c r="AB45" i="12"/>
  <c r="AA36" i="12"/>
  <c r="AA38" i="12"/>
  <c r="AA40" i="12"/>
  <c r="AA41" i="12"/>
  <c r="AA43" i="12"/>
  <c r="AA44" i="12"/>
  <c r="AA35" i="12"/>
  <c r="AA37" i="12"/>
  <c r="AA39" i="12"/>
  <c r="AA42" i="12"/>
  <c r="AA45" i="12"/>
  <c r="AC16" i="12"/>
  <c r="AC18" i="12"/>
  <c r="AC19" i="12"/>
  <c r="AC20" i="12"/>
  <c r="AC21" i="12"/>
  <c r="AC23" i="12"/>
  <c r="AC17" i="12"/>
  <c r="AC22" i="12"/>
  <c r="V16" i="12"/>
  <c r="V17" i="12"/>
  <c r="V18" i="12"/>
  <c r="V19" i="12"/>
  <c r="V20" i="12"/>
  <c r="V21" i="12"/>
  <c r="V22" i="12"/>
  <c r="V23" i="12"/>
  <c r="AB17" i="12"/>
  <c r="AB18" i="12"/>
  <c r="AB20" i="12"/>
  <c r="AB22" i="12"/>
  <c r="AB16" i="12"/>
  <c r="AB19" i="12"/>
  <c r="AB21" i="12"/>
  <c r="AB23" i="12"/>
  <c r="I23" i="8"/>
  <c r="O21" i="8"/>
  <c r="O23" i="8" s="1"/>
  <c r="D10" i="13" l="1"/>
  <c r="G13" i="14"/>
  <c r="D16" i="13"/>
  <c r="G19" i="14" s="1"/>
  <c r="E10" i="13"/>
  <c r="E16" i="13" s="1"/>
  <c r="C11" i="5" l="1"/>
  <c r="C13" i="5" s="1"/>
  <c r="G18" i="14"/>
  <c r="G14" i="14" l="1"/>
  <c r="E11" i="5"/>
  <c r="E13" i="5" s="1"/>
  <c r="D13" i="5" s="1"/>
  <c r="G15" i="1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306238-1CAC-4B97-BC45-028C15C03DAB}" keepAlive="1" name="Requête - AirportName" description="Connexion à la requête « AirportName » dans le classeur." type="5" refreshedVersion="0" background="1">
    <dbPr connection="Provider=Microsoft.Mashup.OleDb.1;Data Source=$Workbook$;Location=AirportName;Extended Properties=&quot;&quot;" command="SELECT * FROM [AirportName]"/>
  </connection>
  <connection id="2" xr16:uid="{51D638D7-B19A-41D9-945A-C1237D5B560C}" keepAlive="1" name="Requête - Requête1" description="Connexion à la requête « Requête1 » dans le classeur." type="5" refreshedVersion="0" background="1" saveData="1">
    <dbPr connection="Provider=Microsoft.Mashup.OleDb.1;Data Source=$Workbook$;Location=Requête1;Extended Properties=&quot;&quot;" command="SELECT * FROM [Requête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<sst xmlns="http://schemas.openxmlformats.org/spreadsheetml/2006/main" count="213" uniqueCount="124">
  <si>
    <t>Poids (kg)</t>
  </si>
  <si>
    <t>Masse (kg)</t>
  </si>
  <si>
    <t>Bras de levier (m)</t>
  </si>
  <si>
    <t>Moment (m.kg)</t>
  </si>
  <si>
    <t>Avion vide</t>
  </si>
  <si>
    <t>Equipage</t>
  </si>
  <si>
    <t>Bagages</t>
  </si>
  <si>
    <t>Essence (118l max)</t>
  </si>
  <si>
    <t>ZFW</t>
  </si>
  <si>
    <t>Avion plein</t>
  </si>
  <si>
    <t>Table d'ajustument Poids/Vitesses - F-HTJC - 0ft - ISA - Volets 0° -  30% MAC)</t>
  </si>
  <si>
    <t>Vitesses caractéristiques</t>
  </si>
  <si>
    <t>Vr</t>
  </si>
  <si>
    <t>Vy</t>
  </si>
  <si>
    <t>Vx</t>
  </si>
  <si>
    <t>Vs0</t>
  </si>
  <si>
    <t>Vs1</t>
  </si>
  <si>
    <t>Va</t>
  </si>
  <si>
    <t>Vb</t>
  </si>
  <si>
    <t>Vref</t>
  </si>
  <si>
    <t>Poids (lbs)</t>
  </si>
  <si>
    <t>Coefficient de vitesse</t>
  </si>
  <si>
    <t>Table des vitesses de montée maximale Vy - ISA - 30%MAC - Réchauf carbu OFF - Volets 0° - MCP</t>
  </si>
  <si>
    <t>Altitude</t>
  </si>
  <si>
    <t>Calculateur de vitesses et caps pour log de nav</t>
  </si>
  <si>
    <t>Points</t>
  </si>
  <si>
    <t>Entrée des paramètres</t>
  </si>
  <si>
    <t>Ne pas modifier : Résulats</t>
  </si>
  <si>
    <t>Atitude</t>
  </si>
  <si>
    <t>d (nm)</t>
  </si>
  <si>
    <t>Rm (°)</t>
  </si>
  <si>
    <t>Vw (kt)</t>
  </si>
  <si>
    <t>Vw (°)</t>
  </si>
  <si>
    <t>Vp (kt)</t>
  </si>
  <si>
    <t>Tsv (')</t>
  </si>
  <si>
    <t>Xmax  (°)</t>
  </si>
  <si>
    <t>X(°)</t>
  </si>
  <si>
    <t>Veff (kt)</t>
  </si>
  <si>
    <t>Vs (kt)</t>
  </si>
  <si>
    <t>Cm (°)</t>
  </si>
  <si>
    <t>Tav (')</t>
  </si>
  <si>
    <t>Total</t>
  </si>
  <si>
    <t>Régime de croisière</t>
  </si>
  <si>
    <t xml:space="preserve">Table des vitesses de croisière - ISA - 30% MAC - Réchauf carbu OFF - Volets 0° </t>
  </si>
  <si>
    <t xml:space="preserve">Calculateur carburant </t>
  </si>
  <si>
    <t>Carburant (l)</t>
  </si>
  <si>
    <t>Endurance (nm)</t>
  </si>
  <si>
    <t>Etape</t>
  </si>
  <si>
    <t>Temps (')</t>
  </si>
  <si>
    <t>Quantité (L)</t>
  </si>
  <si>
    <t>Délestage</t>
  </si>
  <si>
    <t>Forfait départ</t>
  </si>
  <si>
    <t>MCP</t>
  </si>
  <si>
    <t>4300 RPM</t>
  </si>
  <si>
    <t>4800 RPM</t>
  </si>
  <si>
    <t>5000 RPM</t>
  </si>
  <si>
    <t>5500 RPM</t>
  </si>
  <si>
    <t>Forfait arrivé</t>
  </si>
  <si>
    <t>Réseve</t>
  </si>
  <si>
    <t>Déroutement</t>
  </si>
  <si>
    <t xml:space="preserve">Total </t>
  </si>
  <si>
    <t>Distance de roulage</t>
  </si>
  <si>
    <t>Distance de décollage</t>
  </si>
  <si>
    <t>Aéroport</t>
  </si>
  <si>
    <t>LFPQ</t>
  </si>
  <si>
    <t>QFU</t>
  </si>
  <si>
    <t>TODA</t>
  </si>
  <si>
    <t>Vent (kt)</t>
  </si>
  <si>
    <t>Vent (°)</t>
  </si>
  <si>
    <t>Dur</t>
  </si>
  <si>
    <t>Pente (%)</t>
  </si>
  <si>
    <t>Veff (calcul)</t>
  </si>
  <si>
    <t>Roulage (sans vent et pente)</t>
  </si>
  <si>
    <t>Décollage (sans vent)</t>
  </si>
  <si>
    <t>Roulage</t>
  </si>
  <si>
    <t>Décollage</t>
  </si>
  <si>
    <t>Régime</t>
  </si>
  <si>
    <t>Type de piste</t>
  </si>
  <si>
    <t>Herbe</t>
  </si>
  <si>
    <t>ISA 0°C</t>
  </si>
  <si>
    <t>Distance (m)</t>
  </si>
  <si>
    <t>ISA 10°C</t>
  </si>
  <si>
    <t>ISA 20°C</t>
  </si>
  <si>
    <t>ISA -10°C</t>
  </si>
  <si>
    <t>ISA -20°C</t>
  </si>
  <si>
    <t>Type ▼</t>
  </si>
  <si>
    <t>Conditions ISA ▼</t>
  </si>
  <si>
    <t>Régime de croisière ▼</t>
  </si>
  <si>
    <t>Consomation croisière (L/h)</t>
  </si>
  <si>
    <t>Ajout supplémentaire</t>
  </si>
  <si>
    <t>Consomations carburant</t>
  </si>
  <si>
    <t>Altitude trop haute</t>
  </si>
  <si>
    <t>Densité carburant</t>
  </si>
  <si>
    <t>Résumé du vol</t>
  </si>
  <si>
    <t>Paramètres</t>
  </si>
  <si>
    <t>Altitude maximale</t>
  </si>
  <si>
    <t>Temps de vol</t>
  </si>
  <si>
    <t>Poids</t>
  </si>
  <si>
    <t>Distance d'atterissage</t>
  </si>
  <si>
    <t>LFLO</t>
  </si>
  <si>
    <t>Altitude minimale</t>
  </si>
  <si>
    <t>Bras de levier (0.245 ▶︎ 0.4)</t>
  </si>
  <si>
    <t>Carburant</t>
  </si>
  <si>
    <t>Temps Carburant</t>
  </si>
  <si>
    <t>!!! NE PAS MODIFIER - PARAMETRES NECESSAIRES AU BON FONCTIONNEMENT DU CALCULATEUR !!!</t>
  </si>
  <si>
    <t>ISA (°C)</t>
  </si>
  <si>
    <t>MODIFIER LES VALEURS RELATIVES A VOTRE APPAREIL</t>
  </si>
  <si>
    <t>!!! MODIFIER SEULEMENT LES VALEURS EN BLEU !!!</t>
  </si>
  <si>
    <t>▶︎ Aller vers le résumé du vol</t>
  </si>
  <si>
    <t>▶︎ Aller vers le calcul d'emport carburant</t>
  </si>
  <si>
    <t>▶︎ Aller vers le calcul de la masse et du centrage</t>
  </si>
  <si>
    <t>▶︎ Aller vers les calcul des performances décollage</t>
  </si>
  <si>
    <t>▶︎ Aller vers le calcul des performances d'atterissage</t>
  </si>
  <si>
    <t>◀︎ Revenir en arrière</t>
  </si>
  <si>
    <t>Masse et centrage</t>
  </si>
  <si>
    <t>Performances décollage à charge max : 600kg</t>
  </si>
  <si>
    <t>$</t>
  </si>
  <si>
    <t>Accueil - Menus</t>
  </si>
  <si>
    <t>Log de navigation</t>
  </si>
  <si>
    <t>Perfomances décollage</t>
  </si>
  <si>
    <t>Performances atterissage</t>
  </si>
  <si>
    <t>Tutoriel</t>
  </si>
  <si>
    <t>◀︎ Menu</t>
  </si>
  <si>
    <t>Performances attterissage à charge max : 600kg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</si>
</sst>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&quot;£&quot;* #,##0.00_-;\-&quot;£&quot;* #,##0.00_-;_-&quot;£&quot;* &quot;-&quot;??_-;_-@_-"/>
    <numFmt numFmtId="164" formatCode="0.000"/>
    <numFmt numFmtId="165" formatCode="0.0"/>
    <numFmt numFmtId="166" formatCode="[&gt;0]0;&quot;&quot;;"/>
    <numFmt numFmtId="167" formatCode="[&gt;0]0.000;&quot;&quot;"/>
    <numFmt numFmtId="168" formatCode="[&gt;0]0.00;&quot;&quot;"/>
    <numFmt numFmtId="169" formatCode="[&gt;0]&quot;Essence &quot;0&quot; l&quot;;&quot;Essence&quot;"/>
    <numFmt numFmtId="170" formatCode="_-&quot;£&quot;* #,##0_-;\-&quot;£&quot;* #,##0_-;_-&quot;£&quot;* &quot;-&quot;??_-;_-@_-"/>
  </numFmts>
  <fonts count="31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1"/>
      <name val="Aptos Narrow"/>
      <family val="2"/>
      <scheme val="minor"/>
    </font>
    <font>
      <b/>
      <sz val="10"/>
      <color indexed="8"/>
      <name val="Aptos Narrow"/>
      <family val="2"/>
      <scheme val="minor"/>
    </font>
    <font>
      <b/>
      <sz val="11"/>
      <color theme="9" tint="-0.249977111117893"/>
      <name val="Aptos Narrow"/>
      <family val="2"/>
      <scheme val="minor"/>
    </font>
    <font>
      <sz val="11"/>
      <color theme="9" tint="-0.249977111117893"/>
      <name val="Aptos Narrow"/>
      <family val="2"/>
      <scheme val="minor"/>
    </font>
    <font>
      <b/>
      <sz val="22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11"/>
      <color rgb="FF000000"/>
      <name val="Aptos Narrow"/>
      <family val="2"/>
      <scheme val="minor"/>
    </font>
    <font>
      <sz val="11"/>
      <color theme="1"/>
      <name val="Aptos"/>
      <family val="2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24"/>
      <color theme="0"/>
      <name val="Arial"/>
      <family val="2"/>
    </font>
    <font>
      <sz val="8"/>
      <color theme="0"/>
      <name val="Aptos Narrow"/>
      <family val="2"/>
      <scheme val="minor"/>
    </font>
    <font>
      <sz val="24"/>
      <name val="Aptos Narrow"/>
      <family val="2"/>
      <scheme val="minor"/>
    </font>
    <font>
      <sz val="11"/>
      <color theme="5" tint="0.79998168889431442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20"/>
      <color theme="1"/>
      <name val="Aptos Narrow"/>
      <family val="2"/>
      <scheme val="minor"/>
    </font>
    <font>
      <b/>
      <sz val="22"/>
      <color rgb="FFFF0000"/>
      <name val="Aptos Narrow"/>
      <family val="2"/>
      <scheme val="minor"/>
    </font>
    <font>
      <u/>
      <sz val="20"/>
      <name val="Aptos Narrow"/>
      <family val="2"/>
      <scheme val="minor"/>
    </font>
    <font>
      <sz val="20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0" fontId="4" fillId="0" borderId="0"/>
    <xf numFmtId="44" fontId="16" fillId="0" borderId="0" applyFont="0" applyFill="0" applyBorder="0" applyAlignment="0" applyProtection="0"/>
    <xf numFmtId="0" fontId="22" fillId="0" borderId="0" applyNumberFormat="0" applyFill="0" applyBorder="0" applyAlignment="0" applyProtection="0"/>
  </cellStyleXfs>
  <cellXfs count="311">
    <xf numFmtId="0" fontId="0" fillId="0" borderId="0" xfId="0"/>
    <xf numFmtId="2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/>
    <xf numFmtId="1" fontId="0" fillId="3" borderId="1" xfId="0" applyNumberFormat="1" applyFill="1" applyBorder="1" applyAlignment="1">
      <alignment horizontal="center" vertical="center"/>
    </xf>
    <xf numFmtId="0" fontId="4" fillId="0" borderId="0" xfId="1"/>
    <xf numFmtId="0" fontId="4" fillId="0" borderId="0" xfId="1" applyAlignment="1">
      <alignment horizontal="center"/>
    </xf>
    <xf numFmtId="0" fontId="1" fillId="3" borderId="1" xfId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1" applyFont="1" applyAlignment="1">
      <alignment vertical="center" wrapText="1"/>
    </xf>
    <xf numFmtId="0" fontId="8" fillId="0" borderId="0" xfId="1" applyFont="1" applyAlignment="1">
      <alignment horizontal="center" vertical="center"/>
    </xf>
    <xf numFmtId="0" fontId="9" fillId="0" borderId="0" xfId="1" applyFont="1" applyAlignment="1">
      <alignment horizontal="center" vertical="center"/>
    </xf>
    <xf numFmtId="0" fontId="10" fillId="0" borderId="0" xfId="1" applyFont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165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7" fontId="6" fillId="2" borderId="1" xfId="1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5" borderId="0" xfId="0" applyFill="1"/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9" fontId="0" fillId="0" borderId="0" xfId="0" applyNumberFormat="1"/>
    <xf numFmtId="0" fontId="15" fillId="2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/>
    </xf>
    <xf numFmtId="0" fontId="0" fillId="9" borderId="0" xfId="0" applyFill="1"/>
    <xf numFmtId="0" fontId="1" fillId="3" borderId="3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9" fontId="1" fillId="4" borderId="16" xfId="0" applyNumberFormat="1" applyFont="1" applyFill="1" applyBorder="1" applyAlignment="1">
      <alignment horizontal="center" vertical="center"/>
    </xf>
    <xf numFmtId="9" fontId="1" fillId="4" borderId="17" xfId="0" applyNumberFormat="1" applyFont="1" applyFill="1" applyBorder="1" applyAlignment="1">
      <alignment horizontal="center" vertical="center"/>
    </xf>
    <xf numFmtId="9" fontId="1" fillId="4" borderId="19" xfId="0" applyNumberFormat="1" applyFont="1" applyFill="1" applyBorder="1" applyAlignment="1">
      <alignment horizontal="center" vertical="center"/>
    </xf>
    <xf numFmtId="9" fontId="1" fillId="4" borderId="20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1" fillId="0" borderId="0" xfId="0" applyFont="1" applyFill="1" applyBorder="1" applyAlignment="1">
      <alignment vertical="center"/>
    </xf>
    <xf numFmtId="1" fontId="0" fillId="10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9" fontId="0" fillId="10" borderId="18" xfId="0" applyNumberFormat="1" applyFill="1" applyBorder="1" applyAlignment="1">
      <alignment horizontal="center" vertical="center"/>
    </xf>
    <xf numFmtId="9" fontId="0" fillId="10" borderId="21" xfId="0" applyNumberForma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1" fontId="0" fillId="10" borderId="40" xfId="0" applyNumberFormat="1" applyFill="1" applyBorder="1" applyAlignment="1">
      <alignment horizontal="center" vertical="center"/>
    </xf>
    <xf numFmtId="1" fontId="0" fillId="10" borderId="41" xfId="0" applyNumberForma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43" xfId="0" applyFont="1" applyFill="1" applyBorder="1" applyAlignment="1">
      <alignment horizontal="center" vertical="center"/>
    </xf>
    <xf numFmtId="0" fontId="1" fillId="3" borderId="42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1" fontId="0" fillId="10" borderId="47" xfId="0" applyNumberFormat="1" applyFill="1" applyBorder="1" applyAlignment="1">
      <alignment horizontal="center" vertical="center"/>
    </xf>
    <xf numFmtId="1" fontId="0" fillId="10" borderId="17" xfId="0" applyNumberFormat="1" applyFill="1" applyBorder="1" applyAlignment="1">
      <alignment horizontal="center" vertical="center"/>
    </xf>
    <xf numFmtId="1" fontId="0" fillId="10" borderId="18" xfId="0" applyNumberFormat="1" applyFill="1" applyBorder="1" applyAlignment="1">
      <alignment horizontal="center" vertical="center"/>
    </xf>
    <xf numFmtId="20" fontId="0" fillId="10" borderId="48" xfId="0" applyNumberFormat="1" applyFill="1" applyBorder="1" applyAlignment="1">
      <alignment horizontal="center" vertical="center"/>
    </xf>
    <xf numFmtId="20" fontId="0" fillId="10" borderId="20" xfId="0" applyNumberFormat="1" applyFill="1" applyBorder="1" applyAlignment="1">
      <alignment horizontal="center" vertical="center"/>
    </xf>
    <xf numFmtId="20" fontId="0" fillId="10" borderId="21" xfId="0" applyNumberFormat="1" applyFill="1" applyBorder="1" applyAlignment="1">
      <alignment horizontal="center" vertical="center"/>
    </xf>
    <xf numFmtId="1" fontId="0" fillId="10" borderId="49" xfId="0" applyNumberFormat="1" applyFill="1" applyBorder="1" applyAlignment="1">
      <alignment horizontal="center" vertical="center"/>
    </xf>
    <xf numFmtId="0" fontId="1" fillId="3" borderId="50" xfId="0" applyFont="1" applyFill="1" applyBorder="1" applyAlignment="1">
      <alignment horizontal="center" vertical="center"/>
    </xf>
    <xf numFmtId="0" fontId="1" fillId="3" borderId="51" xfId="0" applyFont="1" applyFill="1" applyBorder="1" applyAlignment="1">
      <alignment horizontal="center" vertical="center"/>
    </xf>
    <xf numFmtId="0" fontId="1" fillId="3" borderId="44" xfId="0" applyFont="1" applyFill="1" applyBorder="1" applyAlignment="1">
      <alignment horizontal="center" vertical="center"/>
    </xf>
    <xf numFmtId="0" fontId="1" fillId="3" borderId="45" xfId="0" applyFont="1" applyFill="1" applyBorder="1" applyAlignment="1">
      <alignment horizontal="center" vertical="center"/>
    </xf>
    <xf numFmtId="0" fontId="1" fillId="3" borderId="46" xfId="0" applyFont="1" applyFill="1" applyBorder="1" applyAlignment="1">
      <alignment horizontal="center" vertical="center"/>
    </xf>
    <xf numFmtId="9" fontId="1" fillId="3" borderId="16" xfId="0" applyNumberFormat="1" applyFont="1" applyFill="1" applyBorder="1" applyAlignment="1">
      <alignment horizontal="center" vertical="center"/>
    </xf>
    <xf numFmtId="9" fontId="1" fillId="3" borderId="17" xfId="0" applyNumberFormat="1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0" fillId="9" borderId="0" xfId="0" applyFill="1" applyBorder="1"/>
    <xf numFmtId="0" fontId="1" fillId="3" borderId="52" xfId="0" applyFont="1" applyFill="1" applyBorder="1" applyAlignment="1">
      <alignment horizontal="center" vertical="center"/>
    </xf>
    <xf numFmtId="0" fontId="1" fillId="3" borderId="53" xfId="0" applyFont="1" applyFill="1" applyBorder="1" applyAlignment="1">
      <alignment horizontal="center"/>
    </xf>
    <xf numFmtId="0" fontId="1" fillId="3" borderId="36" xfId="0" applyFont="1" applyFill="1" applyBorder="1" applyAlignment="1">
      <alignment horizontal="center"/>
    </xf>
    <xf numFmtId="9" fontId="1" fillId="3" borderId="42" xfId="0" applyNumberFormat="1" applyFont="1" applyFill="1" applyBorder="1" applyAlignment="1">
      <alignment horizontal="center"/>
    </xf>
    <xf numFmtId="0" fontId="0" fillId="6" borderId="43" xfId="0" applyFill="1" applyBorder="1"/>
    <xf numFmtId="0" fontId="0" fillId="6" borderId="21" xfId="0" applyFill="1" applyBorder="1"/>
    <xf numFmtId="0" fontId="0" fillId="6" borderId="43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39" xfId="0" applyFill="1" applyBorder="1" applyAlignment="1">
      <alignment horizontal="center" vertical="center"/>
    </xf>
    <xf numFmtId="0" fontId="0" fillId="6" borderId="48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49" xfId="0" applyFill="1" applyBorder="1" applyAlignment="1">
      <alignment horizontal="center" vertical="center"/>
    </xf>
    <xf numFmtId="0" fontId="1" fillId="3" borderId="54" xfId="0" applyFont="1" applyFill="1" applyBorder="1" applyAlignment="1">
      <alignment horizontal="center" vertical="center"/>
    </xf>
    <xf numFmtId="0" fontId="1" fillId="3" borderId="55" xfId="0" applyFont="1" applyFill="1" applyBorder="1" applyAlignment="1">
      <alignment horizontal="center" vertical="center"/>
    </xf>
    <xf numFmtId="0" fontId="1" fillId="3" borderId="56" xfId="0" applyFont="1" applyFill="1" applyBorder="1" applyAlignment="1">
      <alignment horizontal="center" vertical="center"/>
    </xf>
    <xf numFmtId="9" fontId="1" fillId="3" borderId="18" xfId="0" applyNumberFormat="1" applyFont="1" applyFill="1" applyBorder="1" applyAlignment="1">
      <alignment horizontal="center" vertical="center"/>
    </xf>
    <xf numFmtId="0" fontId="1" fillId="3" borderId="57" xfId="0" applyFont="1" applyFill="1" applyBorder="1" applyAlignment="1">
      <alignment horizontal="center"/>
    </xf>
    <xf numFmtId="0" fontId="1" fillId="3" borderId="58" xfId="0" applyFont="1" applyFill="1" applyBorder="1" applyAlignment="1">
      <alignment horizontal="center"/>
    </xf>
    <xf numFmtId="0" fontId="0" fillId="2" borderId="59" xfId="0" applyFill="1" applyBorder="1" applyAlignment="1">
      <alignment horizontal="center" vertical="center"/>
    </xf>
    <xf numFmtId="0" fontId="1" fillId="3" borderId="57" xfId="0" applyFont="1" applyFill="1" applyBorder="1" applyAlignment="1">
      <alignment horizontal="center" vertical="center"/>
    </xf>
    <xf numFmtId="0" fontId="1" fillId="3" borderId="59" xfId="0" applyFont="1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165" fontId="0" fillId="2" borderId="18" xfId="0" applyNumberFormat="1" applyFill="1" applyBorder="1" applyAlignment="1">
      <alignment horizontal="center" vertical="center"/>
    </xf>
    <xf numFmtId="1" fontId="0" fillId="2" borderId="42" xfId="0" applyNumberFormat="1" applyFill="1" applyBorder="1" applyAlignment="1">
      <alignment horizontal="center" vertical="center"/>
    </xf>
    <xf numFmtId="165" fontId="0" fillId="2" borderId="43" xfId="0" applyNumberFormat="1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1" fontId="0" fillId="2" borderId="21" xfId="0" applyNumberFormat="1" applyFill="1" applyBorder="1" applyAlignment="1">
      <alignment horizontal="center" vertical="center"/>
    </xf>
    <xf numFmtId="0" fontId="1" fillId="3" borderId="60" xfId="0" applyFont="1" applyFill="1" applyBorder="1" applyAlignment="1">
      <alignment horizontal="center" vertical="center"/>
    </xf>
    <xf numFmtId="0" fontId="1" fillId="3" borderId="61" xfId="0" applyFont="1" applyFill="1" applyBorder="1" applyAlignment="1">
      <alignment horizontal="center" vertical="center"/>
    </xf>
    <xf numFmtId="0" fontId="1" fillId="3" borderId="62" xfId="0" applyFont="1" applyFill="1" applyBorder="1" applyAlignment="1">
      <alignment horizontal="center" vertical="center"/>
    </xf>
    <xf numFmtId="0" fontId="1" fillId="3" borderId="63" xfId="0" applyFont="1" applyFill="1" applyBorder="1" applyAlignment="1">
      <alignment horizontal="center" vertical="center"/>
    </xf>
    <xf numFmtId="0" fontId="1" fillId="3" borderId="57" xfId="0" applyFont="1" applyFill="1" applyBorder="1" applyAlignment="1">
      <alignment horizontal="center" vertical="center"/>
    </xf>
    <xf numFmtId="0" fontId="1" fillId="3" borderId="59" xfId="0" applyFont="1" applyFill="1" applyBorder="1" applyAlignment="1">
      <alignment horizontal="center" vertical="center"/>
    </xf>
    <xf numFmtId="0" fontId="1" fillId="3" borderId="36" xfId="0" applyFont="1" applyFill="1" applyBorder="1" applyAlignment="1">
      <alignment horizontal="center" vertical="center"/>
    </xf>
    <xf numFmtId="0" fontId="1" fillId="3" borderId="37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1" fillId="3" borderId="64" xfId="0" applyFont="1" applyFill="1" applyBorder="1" applyAlignment="1">
      <alignment horizontal="center" vertical="center"/>
    </xf>
    <xf numFmtId="0" fontId="0" fillId="6" borderId="59" xfId="0" applyFill="1" applyBorder="1"/>
    <xf numFmtId="0" fontId="1" fillId="3" borderId="57" xfId="0" applyFont="1" applyFill="1" applyBorder="1"/>
    <xf numFmtId="168" fontId="6" fillId="2" borderId="43" xfId="1" applyNumberFormat="1" applyFont="1" applyFill="1" applyBorder="1" applyAlignment="1">
      <alignment horizontal="center" vertical="center"/>
    </xf>
    <xf numFmtId="167" fontId="6" fillId="2" borderId="20" xfId="1" applyNumberFormat="1" applyFont="1" applyFill="1" applyBorder="1" applyAlignment="1">
      <alignment horizontal="center" vertical="center"/>
    </xf>
    <xf numFmtId="168" fontId="6" fillId="2" borderId="21" xfId="1" applyNumberFormat="1" applyFont="1" applyFill="1" applyBorder="1" applyAlignment="1">
      <alignment horizontal="center" vertical="center"/>
    </xf>
    <xf numFmtId="166" fontId="6" fillId="2" borderId="39" xfId="1" applyNumberFormat="1" applyFont="1" applyFill="1" applyBorder="1" applyAlignment="1">
      <alignment horizontal="center" vertical="center"/>
    </xf>
    <xf numFmtId="166" fontId="6" fillId="6" borderId="39" xfId="1" applyNumberFormat="1" applyFont="1" applyFill="1" applyBorder="1" applyAlignment="1">
      <alignment horizontal="center" vertical="center"/>
    </xf>
    <xf numFmtId="166" fontId="6" fillId="2" borderId="48" xfId="1" applyNumberFormat="1" applyFont="1" applyFill="1" applyBorder="1" applyAlignment="1">
      <alignment horizontal="center" vertical="center"/>
    </xf>
    <xf numFmtId="169" fontId="7" fillId="3" borderId="34" xfId="1" applyNumberFormat="1" applyFont="1" applyFill="1" applyBorder="1" applyAlignment="1">
      <alignment horizontal="center" vertical="center"/>
    </xf>
    <xf numFmtId="0" fontId="7" fillId="3" borderId="35" xfId="1" applyFont="1" applyFill="1" applyBorder="1" applyAlignment="1">
      <alignment horizontal="center" vertical="center"/>
    </xf>
    <xf numFmtId="166" fontId="6" fillId="2" borderId="40" xfId="1" applyNumberFormat="1" applyFont="1" applyFill="1" applyBorder="1" applyAlignment="1">
      <alignment horizontal="center" vertical="center"/>
    </xf>
    <xf numFmtId="167" fontId="6" fillId="2" borderId="41" xfId="1" applyNumberFormat="1" applyFont="1" applyFill="1" applyBorder="1" applyAlignment="1">
      <alignment horizontal="center" vertical="center"/>
    </xf>
    <xf numFmtId="168" fontId="6" fillId="2" borderId="49" xfId="1" applyNumberFormat="1" applyFont="1" applyFill="1" applyBorder="1" applyAlignment="1">
      <alignment horizontal="center" vertical="center"/>
    </xf>
    <xf numFmtId="0" fontId="1" fillId="3" borderId="59" xfId="1" applyFont="1" applyFill="1" applyBorder="1" applyAlignment="1">
      <alignment horizontal="center" vertical="center" wrapText="1"/>
    </xf>
    <xf numFmtId="0" fontId="1" fillId="3" borderId="65" xfId="1" applyFont="1" applyFill="1" applyBorder="1" applyAlignment="1">
      <alignment horizontal="center" vertical="center" wrapText="1"/>
    </xf>
    <xf numFmtId="164" fontId="3" fillId="0" borderId="0" xfId="1" applyNumberFormat="1" applyFont="1" applyFill="1" applyBorder="1" applyAlignment="1">
      <alignment horizontal="center" vertical="center" wrapText="1"/>
    </xf>
    <xf numFmtId="0" fontId="1" fillId="3" borderId="38" xfId="1" applyFont="1" applyFill="1" applyBorder="1" applyAlignment="1">
      <alignment horizontal="center" vertical="center" wrapText="1"/>
    </xf>
    <xf numFmtId="0" fontId="11" fillId="0" borderId="0" xfId="0" applyFont="1" applyFill="1" applyAlignment="1">
      <alignment vertical="center"/>
    </xf>
    <xf numFmtId="9" fontId="0" fillId="2" borderId="34" xfId="0" applyNumberFormat="1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23" fillId="3" borderId="34" xfId="0" applyFont="1" applyFill="1" applyBorder="1" applyAlignment="1">
      <alignment horizontal="center" vertical="center"/>
    </xf>
    <xf numFmtId="9" fontId="26" fillId="2" borderId="34" xfId="0" applyNumberFormat="1" applyFont="1" applyFill="1" applyBorder="1" applyAlignment="1">
      <alignment horizontal="center" vertical="center"/>
    </xf>
    <xf numFmtId="0" fontId="26" fillId="2" borderId="34" xfId="0" applyFont="1" applyFill="1" applyBorder="1" applyAlignment="1">
      <alignment horizontal="center" vertical="center"/>
    </xf>
    <xf numFmtId="1" fontId="26" fillId="2" borderId="34" xfId="0" applyNumberFormat="1" applyFont="1" applyFill="1" applyBorder="1" applyAlignment="1">
      <alignment horizontal="center" vertical="center"/>
    </xf>
    <xf numFmtId="2" fontId="26" fillId="2" borderId="34" xfId="0" applyNumberFormat="1" applyFont="1" applyFill="1" applyBorder="1" applyAlignment="1">
      <alignment horizontal="center" vertical="center"/>
    </xf>
    <xf numFmtId="0" fontId="23" fillId="3" borderId="35" xfId="0" applyFont="1" applyFill="1" applyBorder="1" applyAlignment="1">
      <alignment horizontal="center" vertical="center"/>
    </xf>
    <xf numFmtId="1" fontId="26" fillId="2" borderId="35" xfId="0" applyNumberFormat="1" applyFont="1" applyFill="1" applyBorder="1" applyAlignment="1">
      <alignment horizontal="center" vertical="center"/>
    </xf>
    <xf numFmtId="0" fontId="23" fillId="3" borderId="54" xfId="0" applyFont="1" applyFill="1" applyBorder="1" applyAlignment="1">
      <alignment horizontal="center" vertical="center"/>
    </xf>
    <xf numFmtId="0" fontId="23" fillId="3" borderId="56" xfId="0" applyFont="1" applyFill="1" applyBorder="1" applyAlignment="1">
      <alignment horizontal="center" vertical="center"/>
    </xf>
    <xf numFmtId="0" fontId="26" fillId="2" borderId="33" xfId="0" applyFont="1" applyFill="1" applyBorder="1" applyAlignment="1">
      <alignment horizontal="center" vertical="center"/>
    </xf>
    <xf numFmtId="0" fontId="23" fillId="3" borderId="33" xfId="0" applyFont="1" applyFill="1" applyBorder="1" applyAlignment="1">
      <alignment horizontal="center" vertical="center"/>
    </xf>
    <xf numFmtId="9" fontId="0" fillId="2" borderId="33" xfId="0" applyNumberFormat="1" applyFill="1" applyBorder="1" applyAlignment="1">
      <alignment horizontal="center" vertical="center"/>
    </xf>
    <xf numFmtId="9" fontId="0" fillId="2" borderId="35" xfId="0" applyNumberFormat="1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10" fillId="4" borderId="54" xfId="0" applyFont="1" applyFill="1" applyBorder="1" applyAlignment="1">
      <alignment horizontal="center" vertical="center"/>
    </xf>
    <xf numFmtId="0" fontId="10" fillId="4" borderId="55" xfId="0" applyFont="1" applyFill="1" applyBorder="1" applyAlignment="1">
      <alignment horizontal="center" vertical="center"/>
    </xf>
    <xf numFmtId="0" fontId="10" fillId="4" borderId="56" xfId="0" applyFont="1" applyFill="1" applyBorder="1" applyAlignment="1">
      <alignment horizontal="center" vertical="center"/>
    </xf>
    <xf numFmtId="0" fontId="10" fillId="4" borderId="66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0" fillId="4" borderId="67" xfId="0" applyFont="1" applyFill="1" applyBorder="1" applyAlignment="1">
      <alignment horizontal="center" vertical="center"/>
    </xf>
    <xf numFmtId="0" fontId="10" fillId="4" borderId="68" xfId="0" applyFont="1" applyFill="1" applyBorder="1" applyAlignment="1">
      <alignment horizontal="center" vertical="center"/>
    </xf>
    <xf numFmtId="0" fontId="10" fillId="4" borderId="70" xfId="0" applyFont="1" applyFill="1" applyBorder="1" applyAlignment="1">
      <alignment horizontal="center" vertical="center"/>
    </xf>
    <xf numFmtId="0" fontId="10" fillId="4" borderId="69" xfId="0" applyFont="1" applyFill="1" applyBorder="1" applyAlignment="1">
      <alignment horizontal="center" vertical="center"/>
    </xf>
    <xf numFmtId="0" fontId="28" fillId="4" borderId="54" xfId="0" applyFont="1" applyFill="1" applyBorder="1" applyAlignment="1">
      <alignment horizontal="center" vertical="center"/>
    </xf>
    <xf numFmtId="0" fontId="28" fillId="4" borderId="55" xfId="0" applyFont="1" applyFill="1" applyBorder="1" applyAlignment="1">
      <alignment horizontal="center" vertical="center"/>
    </xf>
    <xf numFmtId="0" fontId="28" fillId="4" borderId="56" xfId="0" applyFont="1" applyFill="1" applyBorder="1" applyAlignment="1">
      <alignment horizontal="center" vertical="center"/>
    </xf>
    <xf numFmtId="0" fontId="28" fillId="4" borderId="66" xfId="0" applyFont="1" applyFill="1" applyBorder="1" applyAlignment="1">
      <alignment horizontal="center" vertical="center"/>
    </xf>
    <xf numFmtId="0" fontId="28" fillId="4" borderId="0" xfId="0" applyFont="1" applyFill="1" applyBorder="1" applyAlignment="1">
      <alignment horizontal="center" vertical="center"/>
    </xf>
    <xf numFmtId="0" fontId="28" fillId="4" borderId="67" xfId="0" applyFont="1" applyFill="1" applyBorder="1" applyAlignment="1">
      <alignment horizontal="center" vertical="center"/>
    </xf>
    <xf numFmtId="0" fontId="28" fillId="4" borderId="68" xfId="0" applyFont="1" applyFill="1" applyBorder="1" applyAlignment="1">
      <alignment horizontal="center" vertical="center"/>
    </xf>
    <xf numFmtId="0" fontId="28" fillId="4" borderId="70" xfId="0" applyFont="1" applyFill="1" applyBorder="1" applyAlignment="1">
      <alignment horizontal="center" vertical="center"/>
    </xf>
    <xf numFmtId="0" fontId="28" fillId="4" borderId="69" xfId="0" applyFont="1" applyFill="1" applyBorder="1" applyAlignment="1">
      <alignment horizontal="center" vertical="center"/>
    </xf>
    <xf numFmtId="0" fontId="12" fillId="4" borderId="54" xfId="0" applyFont="1" applyFill="1" applyBorder="1" applyAlignment="1">
      <alignment horizontal="center" vertical="center"/>
    </xf>
    <xf numFmtId="0" fontId="12" fillId="4" borderId="55" xfId="0" applyFont="1" applyFill="1" applyBorder="1" applyAlignment="1">
      <alignment horizontal="center" vertical="center"/>
    </xf>
    <xf numFmtId="0" fontId="12" fillId="4" borderId="56" xfId="0" applyFont="1" applyFill="1" applyBorder="1" applyAlignment="1">
      <alignment horizontal="center" vertical="center"/>
    </xf>
    <xf numFmtId="0" fontId="12" fillId="4" borderId="66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2" fillId="4" borderId="67" xfId="0" applyFont="1" applyFill="1" applyBorder="1" applyAlignment="1">
      <alignment horizontal="center" vertical="center"/>
    </xf>
    <xf numFmtId="0" fontId="12" fillId="4" borderId="68" xfId="0" applyFont="1" applyFill="1" applyBorder="1" applyAlignment="1">
      <alignment horizontal="center" vertical="center"/>
    </xf>
    <xf numFmtId="0" fontId="12" fillId="4" borderId="70" xfId="0" applyFont="1" applyFill="1" applyBorder="1" applyAlignment="1">
      <alignment horizontal="center" vertical="center"/>
    </xf>
    <xf numFmtId="0" fontId="12" fillId="4" borderId="69" xfId="0" applyFont="1" applyFill="1" applyBorder="1" applyAlignment="1">
      <alignment horizontal="center" vertical="center"/>
    </xf>
    <xf numFmtId="0" fontId="11" fillId="4" borderId="54" xfId="0" applyFont="1" applyFill="1" applyBorder="1" applyAlignment="1">
      <alignment horizontal="center" vertical="center"/>
    </xf>
    <xf numFmtId="0" fontId="11" fillId="4" borderId="55" xfId="0" applyFont="1" applyFill="1" applyBorder="1" applyAlignment="1">
      <alignment horizontal="center" vertical="center"/>
    </xf>
    <xf numFmtId="0" fontId="11" fillId="4" borderId="56" xfId="0" applyFont="1" applyFill="1" applyBorder="1" applyAlignment="1">
      <alignment horizontal="center" vertical="center"/>
    </xf>
    <xf numFmtId="0" fontId="11" fillId="4" borderId="66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4" borderId="67" xfId="0" applyFont="1" applyFill="1" applyBorder="1" applyAlignment="1">
      <alignment horizontal="center" vertical="center"/>
    </xf>
    <xf numFmtId="0" fontId="11" fillId="4" borderId="68" xfId="0" applyFont="1" applyFill="1" applyBorder="1" applyAlignment="1">
      <alignment horizontal="center" vertical="center"/>
    </xf>
    <xf numFmtId="0" fontId="11" fillId="4" borderId="70" xfId="0" applyFont="1" applyFill="1" applyBorder="1" applyAlignment="1">
      <alignment horizontal="center" vertical="center"/>
    </xf>
    <xf numFmtId="0" fontId="11" fillId="4" borderId="69" xfId="0" applyFont="1" applyFill="1" applyBorder="1" applyAlignment="1">
      <alignment horizontal="center" vertical="center"/>
    </xf>
    <xf numFmtId="0" fontId="13" fillId="4" borderId="54" xfId="0" applyFont="1" applyFill="1" applyBorder="1" applyAlignment="1">
      <alignment horizontal="center" vertical="center"/>
    </xf>
    <xf numFmtId="0" fontId="13" fillId="4" borderId="55" xfId="0" applyFont="1" applyFill="1" applyBorder="1" applyAlignment="1">
      <alignment horizontal="center" vertical="center"/>
    </xf>
    <xf numFmtId="0" fontId="13" fillId="4" borderId="56" xfId="0" applyFont="1" applyFill="1" applyBorder="1" applyAlignment="1">
      <alignment horizontal="center" vertical="center"/>
    </xf>
    <xf numFmtId="0" fontId="13" fillId="4" borderId="66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3" fillId="4" borderId="67" xfId="0" applyFont="1" applyFill="1" applyBorder="1" applyAlignment="1">
      <alignment horizontal="center" vertical="center"/>
    </xf>
    <xf numFmtId="0" fontId="13" fillId="4" borderId="68" xfId="0" applyFont="1" applyFill="1" applyBorder="1" applyAlignment="1">
      <alignment horizontal="center" vertical="center"/>
    </xf>
    <xf numFmtId="0" fontId="13" fillId="4" borderId="70" xfId="0" applyFont="1" applyFill="1" applyBorder="1" applyAlignment="1">
      <alignment horizontal="center" vertical="center"/>
    </xf>
    <xf numFmtId="0" fontId="13" fillId="4" borderId="69" xfId="0" applyFont="1" applyFill="1" applyBorder="1" applyAlignment="1">
      <alignment horizontal="center" vertical="center"/>
    </xf>
    <xf numFmtId="0" fontId="25" fillId="4" borderId="54" xfId="0" applyFont="1" applyFill="1" applyBorder="1" applyAlignment="1">
      <alignment horizontal="center" vertical="center"/>
    </xf>
    <xf numFmtId="0" fontId="25" fillId="4" borderId="55" xfId="0" applyFont="1" applyFill="1" applyBorder="1" applyAlignment="1">
      <alignment horizontal="center" vertical="center"/>
    </xf>
    <xf numFmtId="0" fontId="25" fillId="4" borderId="56" xfId="0" applyFont="1" applyFill="1" applyBorder="1" applyAlignment="1">
      <alignment horizontal="center" vertical="center"/>
    </xf>
    <xf numFmtId="0" fontId="25" fillId="4" borderId="66" xfId="0" applyFont="1" applyFill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25" fillId="4" borderId="67" xfId="0" applyFont="1" applyFill="1" applyBorder="1" applyAlignment="1">
      <alignment horizontal="center" vertical="center"/>
    </xf>
    <xf numFmtId="0" fontId="25" fillId="4" borderId="68" xfId="0" applyFont="1" applyFill="1" applyBorder="1" applyAlignment="1">
      <alignment horizontal="center" vertical="center"/>
    </xf>
    <xf numFmtId="0" fontId="25" fillId="4" borderId="70" xfId="0" applyFont="1" applyFill="1" applyBorder="1" applyAlignment="1">
      <alignment horizontal="center" vertical="center"/>
    </xf>
    <xf numFmtId="0" fontId="25" fillId="4" borderId="69" xfId="0" applyFont="1" applyFill="1" applyBorder="1" applyAlignment="1">
      <alignment horizontal="center" vertical="center"/>
    </xf>
    <xf numFmtId="0" fontId="10" fillId="4" borderId="54" xfId="1" applyFont="1" applyFill="1" applyBorder="1" applyAlignment="1">
      <alignment horizontal="center" vertical="center"/>
    </xf>
    <xf numFmtId="0" fontId="10" fillId="4" borderId="55" xfId="1" applyFont="1" applyFill="1" applyBorder="1" applyAlignment="1">
      <alignment horizontal="center" vertical="center"/>
    </xf>
    <xf numFmtId="0" fontId="10" fillId="4" borderId="56" xfId="1" applyFont="1" applyFill="1" applyBorder="1" applyAlignment="1">
      <alignment horizontal="center" vertical="center"/>
    </xf>
    <xf numFmtId="0" fontId="10" fillId="4" borderId="66" xfId="1" applyFont="1" applyFill="1" applyBorder="1" applyAlignment="1">
      <alignment horizontal="center" vertical="center"/>
    </xf>
    <xf numFmtId="0" fontId="10" fillId="4" borderId="0" xfId="1" applyFont="1" applyFill="1" applyBorder="1" applyAlignment="1">
      <alignment horizontal="center" vertical="center"/>
    </xf>
    <xf numFmtId="0" fontId="10" fillId="4" borderId="67" xfId="1" applyFont="1" applyFill="1" applyBorder="1" applyAlignment="1">
      <alignment horizontal="center" vertical="center"/>
    </xf>
    <xf numFmtId="0" fontId="10" fillId="4" borderId="68" xfId="1" applyFont="1" applyFill="1" applyBorder="1" applyAlignment="1">
      <alignment horizontal="center" vertical="center"/>
    </xf>
    <xf numFmtId="0" fontId="10" fillId="4" borderId="70" xfId="1" applyFont="1" applyFill="1" applyBorder="1" applyAlignment="1">
      <alignment horizontal="center" vertical="center"/>
    </xf>
    <xf numFmtId="0" fontId="10" fillId="4" borderId="69" xfId="1" applyFont="1" applyFill="1" applyBorder="1" applyAlignment="1">
      <alignment horizontal="center" vertical="center"/>
    </xf>
    <xf numFmtId="0" fontId="4" fillId="0" borderId="0" xfId="1" applyFill="1"/>
    <xf numFmtId="0" fontId="29" fillId="0" borderId="0" xfId="3" applyFont="1" applyFill="1" applyBorder="1" applyAlignment="1">
      <alignment vertical="center"/>
    </xf>
    <xf numFmtId="0" fontId="30" fillId="4" borderId="54" xfId="3" applyFont="1" applyFill="1" applyBorder="1" applyAlignment="1">
      <alignment horizontal="center" vertical="center"/>
    </xf>
    <xf numFmtId="0" fontId="30" fillId="4" borderId="55" xfId="3" applyFont="1" applyFill="1" applyBorder="1" applyAlignment="1">
      <alignment horizontal="center" vertical="center"/>
    </xf>
    <xf numFmtId="0" fontId="30" fillId="4" borderId="56" xfId="3" applyFont="1" applyFill="1" applyBorder="1" applyAlignment="1">
      <alignment horizontal="center" vertical="center"/>
    </xf>
    <xf numFmtId="0" fontId="30" fillId="4" borderId="66" xfId="3" applyFont="1" applyFill="1" applyBorder="1" applyAlignment="1">
      <alignment horizontal="center" vertical="center"/>
    </xf>
    <xf numFmtId="0" fontId="30" fillId="4" borderId="0" xfId="3" applyFont="1" applyFill="1" applyBorder="1" applyAlignment="1">
      <alignment horizontal="center" vertical="center"/>
    </xf>
    <xf numFmtId="0" fontId="30" fillId="4" borderId="67" xfId="3" applyFont="1" applyFill="1" applyBorder="1" applyAlignment="1">
      <alignment horizontal="center" vertical="center"/>
    </xf>
    <xf numFmtId="0" fontId="30" fillId="4" borderId="68" xfId="3" applyFont="1" applyFill="1" applyBorder="1" applyAlignment="1">
      <alignment horizontal="center" vertical="center"/>
    </xf>
    <xf numFmtId="0" fontId="30" fillId="4" borderId="70" xfId="3" applyFont="1" applyFill="1" applyBorder="1" applyAlignment="1">
      <alignment horizontal="center" vertical="center"/>
    </xf>
    <xf numFmtId="0" fontId="30" fillId="4" borderId="69" xfId="3" applyFont="1" applyFill="1" applyBorder="1" applyAlignment="1">
      <alignment horizontal="center" vertical="center"/>
    </xf>
    <xf numFmtId="0" fontId="0" fillId="9" borderId="0" xfId="0" applyFill="1" applyBorder="1" applyAlignment="1"/>
    <xf numFmtId="0" fontId="29" fillId="9" borderId="0" xfId="3" applyFont="1" applyFill="1" applyBorder="1" applyAlignment="1">
      <alignment vertical="center"/>
    </xf>
    <xf numFmtId="0" fontId="24" fillId="4" borderId="0" xfId="0" applyFont="1" applyFill="1" applyBorder="1" applyAlignment="1">
      <alignment horizontal="center" vertical="center"/>
    </xf>
    <xf numFmtId="0" fontId="18" fillId="8" borderId="0" xfId="0" applyFont="1" applyFill="1" applyBorder="1" applyAlignment="1">
      <alignment horizontal="center" vertical="center"/>
    </xf>
    <xf numFmtId="0" fontId="17" fillId="9" borderId="0" xfId="0" applyFont="1" applyFill="1" applyBorder="1"/>
    <xf numFmtId="0" fontId="19" fillId="9" borderId="0" xfId="0" applyFont="1" applyFill="1" applyBorder="1"/>
    <xf numFmtId="1" fontId="0" fillId="9" borderId="0" xfId="0" applyNumberFormat="1" applyFill="1" applyBorder="1"/>
    <xf numFmtId="0" fontId="0" fillId="8" borderId="0" xfId="0" applyFill="1" applyBorder="1" applyAlignment="1"/>
    <xf numFmtId="0" fontId="15" fillId="9" borderId="0" xfId="0" applyFont="1" applyFill="1" applyBorder="1" applyAlignment="1">
      <alignment vertical="center"/>
    </xf>
    <xf numFmtId="0" fontId="21" fillId="9" borderId="0" xfId="0" applyFont="1" applyFill="1" applyBorder="1"/>
    <xf numFmtId="0" fontId="6" fillId="9" borderId="0" xfId="0" applyFont="1" applyFill="1" applyBorder="1"/>
    <xf numFmtId="0" fontId="0" fillId="9" borderId="0" xfId="0" applyFill="1" applyBorder="1" applyAlignment="1">
      <alignment vertical="center"/>
    </xf>
    <xf numFmtId="0" fontId="15" fillId="6" borderId="33" xfId="0" applyFont="1" applyFill="1" applyBorder="1" applyAlignment="1">
      <alignment horizontal="center" vertical="center"/>
    </xf>
    <xf numFmtId="0" fontId="15" fillId="6" borderId="35" xfId="0" applyFont="1" applyFill="1" applyBorder="1" applyAlignment="1">
      <alignment horizontal="center" vertical="center"/>
    </xf>
    <xf numFmtId="1" fontId="0" fillId="6" borderId="33" xfId="0" applyNumberFormat="1" applyFill="1" applyBorder="1" applyAlignment="1">
      <alignment horizontal="center"/>
    </xf>
    <xf numFmtId="1" fontId="0" fillId="6" borderId="35" xfId="0" applyNumberFormat="1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6" borderId="64" xfId="0" applyFill="1" applyBorder="1" applyAlignment="1">
      <alignment horizontal="center" vertical="center"/>
    </xf>
    <xf numFmtId="0" fontId="0" fillId="6" borderId="64" xfId="0" applyFill="1" applyBorder="1" applyAlignment="1">
      <alignment horizontal="center"/>
    </xf>
    <xf numFmtId="2" fontId="0" fillId="4" borderId="37" xfId="0" applyNumberFormat="1" applyFill="1" applyBorder="1" applyAlignment="1">
      <alignment horizontal="center"/>
    </xf>
    <xf numFmtId="0" fontId="20" fillId="9" borderId="0" xfId="2" applyNumberFormat="1" applyFont="1" applyFill="1" applyBorder="1" applyAlignment="1">
      <alignment vertical="center" textRotation="90"/>
    </xf>
    <xf numFmtId="170" fontId="20" fillId="9" borderId="0" xfId="2" applyNumberFormat="1" applyFont="1" applyFill="1" applyBorder="1" applyAlignment="1">
      <alignment vertical="center" textRotation="90"/>
    </xf>
    <xf numFmtId="44" fontId="20" fillId="9" borderId="0" xfId="2" applyFont="1" applyFill="1" applyBorder="1" applyAlignment="1">
      <alignment vertical="center" textRotation="90"/>
    </xf>
    <xf numFmtId="170" fontId="30" fillId="9" borderId="0" xfId="2" applyNumberFormat="1" applyFont="1" applyFill="1" applyBorder="1" applyAlignment="1">
      <alignment horizontal="center" vertical="center" textRotation="90"/>
    </xf>
    <xf numFmtId="44" fontId="30" fillId="9" borderId="0" xfId="2" applyFont="1" applyFill="1" applyBorder="1" applyAlignment="1">
      <alignment horizontal="center" vertical="center" textRotation="90"/>
    </xf>
    <xf numFmtId="0" fontId="30" fillId="9" borderId="0" xfId="2" applyNumberFormat="1" applyFont="1" applyFill="1" applyBorder="1" applyAlignment="1">
      <alignment horizontal="center" vertical="center" textRotation="90"/>
    </xf>
    <xf numFmtId="0" fontId="24" fillId="4" borderId="54" xfId="0" applyFont="1" applyFill="1" applyBorder="1" applyAlignment="1">
      <alignment horizontal="center" vertical="center"/>
    </xf>
    <xf numFmtId="0" fontId="24" fillId="4" borderId="55" xfId="0" applyFont="1" applyFill="1" applyBorder="1" applyAlignment="1">
      <alignment horizontal="center" vertical="center"/>
    </xf>
    <xf numFmtId="0" fontId="24" fillId="4" borderId="56" xfId="0" applyFont="1" applyFill="1" applyBorder="1" applyAlignment="1">
      <alignment horizontal="center" vertical="center"/>
    </xf>
    <xf numFmtId="0" fontId="24" fillId="4" borderId="66" xfId="0" applyFont="1" applyFill="1" applyBorder="1" applyAlignment="1">
      <alignment horizontal="center" vertical="center"/>
    </xf>
    <xf numFmtId="0" fontId="24" fillId="4" borderId="67" xfId="0" applyFont="1" applyFill="1" applyBorder="1" applyAlignment="1">
      <alignment horizontal="center" vertical="center"/>
    </xf>
    <xf numFmtId="0" fontId="24" fillId="4" borderId="68" xfId="0" applyFont="1" applyFill="1" applyBorder="1" applyAlignment="1">
      <alignment horizontal="center" vertical="center"/>
    </xf>
    <xf numFmtId="0" fontId="24" fillId="4" borderId="70" xfId="0" applyFont="1" applyFill="1" applyBorder="1" applyAlignment="1">
      <alignment horizontal="center" vertical="center"/>
    </xf>
    <xf numFmtId="0" fontId="24" fillId="4" borderId="69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5" fillId="0" borderId="0" xfId="1" applyFont="1" applyFill="1" applyBorder="1" applyAlignment="1"/>
    <xf numFmtId="0" fontId="4" fillId="0" borderId="0" xfId="1" applyFill="1" applyAlignment="1">
      <alignment horizontal="center"/>
    </xf>
    <xf numFmtId="0" fontId="2" fillId="4" borderId="54" xfId="3" applyFont="1" applyFill="1" applyBorder="1" applyAlignment="1">
      <alignment horizontal="center" vertical="center"/>
    </xf>
    <xf numFmtId="0" fontId="2" fillId="4" borderId="55" xfId="3" applyFont="1" applyFill="1" applyBorder="1" applyAlignment="1">
      <alignment horizontal="center" vertical="center"/>
    </xf>
    <xf numFmtId="0" fontId="2" fillId="4" borderId="56" xfId="3" applyFont="1" applyFill="1" applyBorder="1" applyAlignment="1">
      <alignment horizontal="center" vertical="center"/>
    </xf>
    <xf numFmtId="0" fontId="2" fillId="4" borderId="66" xfId="3" applyFont="1" applyFill="1" applyBorder="1" applyAlignment="1">
      <alignment horizontal="center" vertical="center"/>
    </xf>
    <xf numFmtId="0" fontId="2" fillId="4" borderId="0" xfId="3" applyFont="1" applyFill="1" applyBorder="1" applyAlignment="1">
      <alignment horizontal="center" vertical="center"/>
    </xf>
    <xf numFmtId="0" fontId="2" fillId="4" borderId="67" xfId="3" applyFont="1" applyFill="1" applyBorder="1" applyAlignment="1">
      <alignment horizontal="center" vertical="center"/>
    </xf>
    <xf numFmtId="0" fontId="2" fillId="4" borderId="68" xfId="3" applyFont="1" applyFill="1" applyBorder="1" applyAlignment="1">
      <alignment horizontal="center" vertical="center"/>
    </xf>
    <xf numFmtId="0" fontId="2" fillId="4" borderId="70" xfId="3" applyFont="1" applyFill="1" applyBorder="1" applyAlignment="1">
      <alignment horizontal="center" vertical="center"/>
    </xf>
    <xf numFmtId="0" fontId="2" fillId="4" borderId="69" xfId="3" applyFont="1" applyFill="1" applyBorder="1" applyAlignment="1">
      <alignment horizontal="center" vertical="center"/>
    </xf>
    <xf numFmtId="0" fontId="26" fillId="9" borderId="0" xfId="0" applyFont="1" applyFill="1" applyAlignment="1">
      <alignment vertical="top"/>
    </xf>
    <xf numFmtId="0" fontId="27" fillId="4" borderId="54" xfId="3" applyFont="1" applyFill="1" applyBorder="1" applyAlignment="1">
      <alignment horizontal="center" vertical="center"/>
    </xf>
    <xf numFmtId="0" fontId="27" fillId="4" borderId="56" xfId="3" applyFont="1" applyFill="1" applyBorder="1" applyAlignment="1">
      <alignment horizontal="center" vertical="center"/>
    </xf>
    <xf numFmtId="0" fontId="27" fillId="4" borderId="66" xfId="3" applyFont="1" applyFill="1" applyBorder="1" applyAlignment="1">
      <alignment horizontal="center" vertical="center"/>
    </xf>
    <xf numFmtId="0" fontId="27" fillId="4" borderId="67" xfId="3" applyFont="1" applyFill="1" applyBorder="1" applyAlignment="1">
      <alignment horizontal="center" vertical="center"/>
    </xf>
    <xf numFmtId="0" fontId="27" fillId="4" borderId="68" xfId="3" applyFont="1" applyFill="1" applyBorder="1" applyAlignment="1">
      <alignment horizontal="center" vertical="center"/>
    </xf>
    <xf numFmtId="0" fontId="27" fillId="4" borderId="69" xfId="3" applyFont="1" applyFill="1" applyBorder="1" applyAlignment="1">
      <alignment horizontal="center" vertical="center"/>
    </xf>
    <xf numFmtId="0" fontId="6" fillId="6" borderId="1" xfId="1" applyFont="1" applyFill="1" applyBorder="1" applyAlignment="1">
      <alignment horizontal="center" vertical="center"/>
    </xf>
  </cellXfs>
  <cellStyles count="4">
    <cellStyle name="Lien hypertexte" xfId="3" builtinId="8"/>
    <cellStyle name="Monétaire" xfId="2" builtinId="4"/>
    <cellStyle name="Normal" xfId="0" builtinId="0"/>
    <cellStyle name="Normal 2" xfId="1" xr:uid="{BD46876C-F8F9-447A-ACDD-D25D9A6E1EE3}"/>
  </cellStyles>
  <dxfs count="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17/10/relationships/person" Target="persons/perso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971428571428571"/>
          <c:y val="5.46875E-2"/>
          <c:w val="0.85371428571428576"/>
          <c:h val="0.791015625"/>
        </c:manualLayout>
      </c:layout>
      <c:scatterChart>
        <c:scatterStyle val="lineMarker"/>
        <c:varyColors val="0"/>
        <c:ser>
          <c:idx val="0"/>
          <c:order val="0"/>
          <c:marker>
            <c:spPr>
              <a:ln w="28575">
                <a:solidFill>
                  <a:schemeClr val="accent6"/>
                </a:solidFill>
              </a:ln>
            </c:spPr>
          </c:marker>
          <c:xVal>
            <c:numRef>
              <c:f>Tableaux!$AJ$11:$AJ$17</c:f>
              <c:numCache>
                <c:formatCode>General</c:formatCode>
                <c:ptCount val="7"/>
                <c:pt idx="0">
                  <c:v>0.245</c:v>
                </c:pt>
                <c:pt idx="1">
                  <c:v>0.3</c:v>
                </c:pt>
                <c:pt idx="2">
                  <c:v>0.37</c:v>
                </c:pt>
                <c:pt idx="3">
                  <c:v>0.4</c:v>
                </c:pt>
                <c:pt idx="4">
                  <c:v>0.4</c:v>
                </c:pt>
                <c:pt idx="5">
                  <c:v>0.37</c:v>
                </c:pt>
                <c:pt idx="6">
                  <c:v>0.245</c:v>
                </c:pt>
              </c:numCache>
            </c:numRef>
          </c:xVal>
          <c:yVal>
            <c:numRef>
              <c:f>Tableaux!$AI$11:$AI$17</c:f>
              <c:numCache>
                <c:formatCode>General</c:formatCode>
                <c:ptCount val="7"/>
                <c:pt idx="0">
                  <c:v>364.3</c:v>
                </c:pt>
                <c:pt idx="1">
                  <c:v>364.3</c:v>
                </c:pt>
                <c:pt idx="2">
                  <c:v>402</c:v>
                </c:pt>
                <c:pt idx="3">
                  <c:v>455</c:v>
                </c:pt>
                <c:pt idx="4">
                  <c:v>600</c:v>
                </c:pt>
                <c:pt idx="5">
                  <c:v>600</c:v>
                </c:pt>
                <c:pt idx="6">
                  <c:v>364.3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504-48CE-83FF-42BD873A16C2}"/>
            </c:ext>
          </c:extLst>
        </c:ser>
        <c:ser>
          <c:idx val="1"/>
          <c:order val="1"/>
          <c:tx>
            <c:v>Centrage</c:v>
          </c:tx>
          <c:marker>
            <c:symbol val="square"/>
            <c:size val="5"/>
          </c:marker>
          <c:dLbls>
            <c:spPr>
              <a:noFill/>
              <a:ln w="25400">
                <a:noFill/>
              </a:ln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(CG!$D$12,CG!$D$13)</c:f>
              <c:numCache>
                <c:formatCode>[&gt;0]0.000;""</c:formatCode>
                <c:ptCount val="2"/>
                <c:pt idx="0">
                  <c:v>0.34082226073560562</c:v>
                </c:pt>
                <c:pt idx="1">
                  <c:v>0.37801187540170744</c:v>
                </c:pt>
              </c:numCache>
            </c:numRef>
          </c:xVal>
          <c:yVal>
            <c:numRef>
              <c:f>(CG!$C$12,CG!$C$13)</c:f>
              <c:numCache>
                <c:formatCode>[&gt;0]0;"";</c:formatCode>
                <c:ptCount val="2"/>
                <c:pt idx="0">
                  <c:v>519.29999999999995</c:v>
                </c:pt>
                <c:pt idx="1">
                  <c:v>583.25141173778411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2504-48CE-83FF-42BD873A16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0393583"/>
        <c:axId val="1"/>
      </c:scatterChart>
      <c:valAx>
        <c:axId val="90393583"/>
        <c:scaling>
          <c:orientation val="minMax"/>
          <c:max val="0.44000000000000006"/>
          <c:min val="0.22000000000000003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Moment (m)</a:t>
                </a:r>
              </a:p>
            </c:rich>
          </c:tx>
          <c:overlay val="0"/>
        </c:title>
        <c:numFmt formatCode="General" sourceLinked="1"/>
        <c:majorTickMark val="out"/>
        <c:minorTickMark val="out"/>
        <c:tickLblPos val="low"/>
        <c:spPr>
          <a:ln w="3175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At val="500"/>
        <c:crossBetween val="midCat"/>
      </c:valAx>
      <c:valAx>
        <c:axId val="1"/>
        <c:scaling>
          <c:orientation val="minMax"/>
          <c:max val="620"/>
          <c:min val="34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Masse (kg)</a:t>
                </a:r>
              </a:p>
            </c:rich>
          </c:tx>
          <c:overlay val="0"/>
        </c:title>
        <c:numFmt formatCode="General" sourceLinked="1"/>
        <c:majorTickMark val="out"/>
        <c:minorTickMark val="out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0393583"/>
        <c:crossesAt val="0.15"/>
        <c:crossBetween val="midCat"/>
        <c:minorUnit val="25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389714</xdr:colOff>
      <xdr:row>5</xdr:row>
      <xdr:rowOff>0</xdr:rowOff>
    </xdr:from>
    <xdr:to>
      <xdr:col>15</xdr:col>
      <xdr:colOff>726649</xdr:colOff>
      <xdr:row>27</xdr:row>
      <xdr:rowOff>68738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5E4380D-FBCD-4261-81D3-2DEE921D89B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9</xdr:row>
      <xdr:rowOff>180975</xdr:rowOff>
    </xdr:from>
    <xdr:to>
      <xdr:col>15</xdr:col>
      <xdr:colOff>142875</xdr:colOff>
      <xdr:row>25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58155FD-6996-EBDF-082A-BEA479390273}"/>
            </a:ext>
          </a:extLst>
        </xdr:cNvPr>
        <xdr:cNvSpPr txBox="1"/>
      </xdr:nvSpPr>
      <xdr:spPr>
        <a:xfrm>
          <a:off x="3105150" y="1914525"/>
          <a:ext cx="8467725" cy="2990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 u="sng"/>
            <a:t>Préambule :</a:t>
          </a:r>
        </a:p>
        <a:p>
          <a:pPr algn="ctr"/>
          <a:endParaRPr lang="fr-FR" sz="1100" b="0" u="none"/>
        </a:p>
        <a:p>
          <a:r>
            <a:rPr lang="fr-FR" sz="1100"/>
            <a:t>Cet outil permet de rassembler toutes</a:t>
          </a:r>
          <a:r>
            <a:rPr lang="fr-FR" sz="1100" baseline="0"/>
            <a:t> les fonctions d'un EFB sur excel. </a:t>
          </a:r>
          <a:r>
            <a:rPr lang="fr-FR" sz="1100" b="1" u="sng" baseline="0">
              <a:solidFill>
                <a:srgbClr val="FF0000"/>
              </a:solidFill>
            </a:rPr>
            <a:t>Cet outil ne doit en aucun cas servir de source primaire </a:t>
          </a:r>
          <a:r>
            <a:rPr lang="fr-FR" sz="1100" baseline="0"/>
            <a:t>de préparation du vol. </a:t>
          </a:r>
          <a:r>
            <a:rPr lang="fr-FR" sz="1100" b="1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Veuillez vérifier avant chaque vol l'exactitude des informations données par l'outil. </a:t>
          </a:r>
        </a:p>
        <a:p>
          <a:endParaRPr lang="fr-FR" sz="1100" b="1" u="sng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1" u="sng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pPr marL="0" indent="0" algn="ctr"/>
          <a:r>
            <a:rPr lang="fr-FR" sz="1600" b="1" u="sng">
              <a:solidFill>
                <a:schemeClr val="dk1"/>
              </a:solidFill>
              <a:latin typeface="+mn-lt"/>
              <a:ea typeface="+mn-ea"/>
              <a:cs typeface="+mn-cs"/>
            </a:rPr>
            <a:t>Utilisation :</a:t>
          </a:r>
        </a:p>
        <a:p>
          <a:endParaRPr lang="fr-FR" sz="1100" b="1" u="sng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Veuillez ne remplir seulement les cases à fond bleues. Les cases grises sont des calculs intermédiaires et les cases jaune sont les calculs finaux. Chaque outil est trouvable dans le menu principal .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rgbClr val="FF0000"/>
              </a:solidFill>
              <a:latin typeface="+mn-lt"/>
              <a:ea typeface="+mn-ea"/>
              <a:cs typeface="+mn-cs"/>
            </a:rPr>
            <a:t>Le calculateur est configuré pour l'Evektor SPORSTAR RTC immatriculé F-HTJC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, s'il y a besoin d'utiliser l'outil pour d'autres avions, rendez vous dans la feuille tableaux de l'outil. Ne changer seulement les valeurs en bleu et </a:t>
          </a:r>
          <a:r>
            <a:rPr lang="fr-FR" sz="1100" b="1" u="sng">
              <a:solidFill>
                <a:srgbClr val="FF0000"/>
              </a:solidFill>
              <a:latin typeface="+mn-lt"/>
              <a:ea typeface="+mn-ea"/>
              <a:cs typeface="+mn-cs"/>
            </a:rPr>
            <a:t>utilisez</a:t>
          </a:r>
          <a:r>
            <a:rPr lang="fr-FR" sz="1100" b="1" u="sng" baseline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rgbClr val="FF0000"/>
              </a:solidFill>
              <a:latin typeface="+mn-lt"/>
              <a:ea typeface="+mn-ea"/>
              <a:cs typeface="+mn-cs"/>
            </a:rPr>
            <a:t>seulement les valeurs transmises par le constructeur.</a:t>
          </a:r>
          <a:endParaRPr lang="fr-FR" sz="1100" b="1" u="sng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l\AppData\Local\Temp\Rar$DIa18516.19820\Calculs%20Vo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oute"/>
      <sheetName val="Centrage"/>
      <sheetName val="Fiche Nav"/>
      <sheetName val="Fiche AD"/>
      <sheetName val="Fiche vol"/>
      <sheetName val="Reports"/>
      <sheetName val="Aéroport"/>
      <sheetName val="VOR"/>
      <sheetName val="NDB"/>
      <sheetName val="Point VFR"/>
      <sheetName val="Conversions"/>
      <sheetName val="Avions"/>
      <sheetName val="Déviation"/>
      <sheetName val="Morse"/>
      <sheetName val="QNH"/>
      <sheetName val="Vent"/>
      <sheetName val="VP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/>
      <sheetData sheetId="7"/>
      <sheetData sheetId="8"/>
      <sheetData sheetId="9"/>
      <sheetData sheetId="10" refreshError="1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B59CE-8CC5-44EA-A9D3-9125A893B4E0}">
  <dimension ref="A1:AM39"/>
  <sheetViews>
    <sheetView tabSelected="1" workbookViewId="0"/>
  </sheetViews>
  <sheetFormatPr baseColWidth="10" defaultRowHeight="15" x14ac:dyDescent="0.25"/>
  <cols>
    <col min="7" max="7" width="16.42578125" customWidth="1"/>
    <col min="11" max="11" width="16.140625" customWidth="1"/>
  </cols>
  <sheetData>
    <row r="1" spans="1:39" x14ac:dyDescent="0.25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</row>
    <row r="2" spans="1:39" x14ac:dyDescent="0.25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5"/>
    </row>
    <row r="3" spans="1:39" ht="15.75" thickBot="1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5"/>
    </row>
    <row r="4" spans="1:39" x14ac:dyDescent="0.25">
      <c r="A4" s="55"/>
      <c r="B4" s="55"/>
      <c r="C4" s="55"/>
      <c r="D4" s="55"/>
      <c r="E4" s="55"/>
      <c r="F4" s="55"/>
      <c r="G4" s="283" t="s">
        <v>117</v>
      </c>
      <c r="H4" s="284"/>
      <c r="I4" s="284"/>
      <c r="J4" s="284"/>
      <c r="K4" s="284"/>
      <c r="L4" s="284"/>
      <c r="M4" s="28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</row>
    <row r="5" spans="1:39" x14ac:dyDescent="0.25">
      <c r="A5" s="55"/>
      <c r="B5" s="55"/>
      <c r="C5" s="55"/>
      <c r="D5" s="55"/>
      <c r="E5" s="55"/>
      <c r="F5" s="55"/>
      <c r="G5" s="286"/>
      <c r="H5" s="259"/>
      <c r="I5" s="259"/>
      <c r="J5" s="259"/>
      <c r="K5" s="259"/>
      <c r="L5" s="259"/>
      <c r="M5" s="287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55"/>
      <c r="AJ5" s="55"/>
      <c r="AK5" s="55"/>
      <c r="AL5" s="55"/>
      <c r="AM5" s="55"/>
    </row>
    <row r="6" spans="1:39" x14ac:dyDescent="0.25">
      <c r="A6" s="55"/>
      <c r="B6" s="55"/>
      <c r="C6" s="55"/>
      <c r="D6" s="55"/>
      <c r="E6" s="55"/>
      <c r="F6" s="55"/>
      <c r="G6" s="286"/>
      <c r="H6" s="259"/>
      <c r="I6" s="259"/>
      <c r="J6" s="259"/>
      <c r="K6" s="259"/>
      <c r="L6" s="259"/>
      <c r="M6" s="287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5"/>
    </row>
    <row r="7" spans="1:39" ht="15.75" thickBot="1" x14ac:dyDescent="0.3">
      <c r="A7" s="55"/>
      <c r="B7" s="55"/>
      <c r="C7" s="55"/>
      <c r="D7" s="55"/>
      <c r="E7" s="55"/>
      <c r="F7" s="55"/>
      <c r="G7" s="288"/>
      <c r="H7" s="289"/>
      <c r="I7" s="289"/>
      <c r="J7" s="289"/>
      <c r="K7" s="289"/>
      <c r="L7" s="289"/>
      <c r="M7" s="290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  <c r="AH7" s="55"/>
      <c r="AI7" s="55"/>
      <c r="AJ7" s="55"/>
      <c r="AK7" s="55"/>
      <c r="AL7" s="55"/>
      <c r="AM7" s="55"/>
    </row>
    <row r="8" spans="1:39" x14ac:dyDescent="0.25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  <c r="AH8" s="55"/>
      <c r="AI8" s="55"/>
      <c r="AJ8" s="55"/>
      <c r="AK8" s="55"/>
      <c r="AL8" s="55"/>
      <c r="AM8" s="55"/>
    </row>
    <row r="9" spans="1:39" ht="15.75" thickBot="1" x14ac:dyDescent="0.3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5"/>
      <c r="AH9" s="55"/>
      <c r="AI9" s="55"/>
      <c r="AJ9" s="55"/>
      <c r="AK9" s="55"/>
      <c r="AL9" s="55"/>
      <c r="AM9" s="55"/>
    </row>
    <row r="10" spans="1:39" ht="15" customHeight="1" x14ac:dyDescent="0.25">
      <c r="A10" s="55"/>
      <c r="B10" s="55"/>
      <c r="C10" s="55"/>
      <c r="D10" s="55"/>
      <c r="E10" s="55"/>
      <c r="F10" s="55"/>
      <c r="G10" s="294" t="s">
        <v>118</v>
      </c>
      <c r="H10" s="295"/>
      <c r="I10" s="296"/>
      <c r="J10" s="55"/>
      <c r="K10" s="294" t="s">
        <v>120</v>
      </c>
      <c r="L10" s="295"/>
      <c r="M10" s="296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5"/>
      <c r="AH10" s="55"/>
      <c r="AI10" s="55"/>
      <c r="AJ10" s="55"/>
      <c r="AK10" s="55"/>
      <c r="AL10" s="55"/>
      <c r="AM10" s="55"/>
    </row>
    <row r="11" spans="1:39" ht="15" customHeight="1" x14ac:dyDescent="0.25">
      <c r="A11" s="55"/>
      <c r="B11" s="55"/>
      <c r="C11" s="55"/>
      <c r="D11" s="55"/>
      <c r="E11" s="55"/>
      <c r="F11" s="55"/>
      <c r="G11" s="297"/>
      <c r="H11" s="298"/>
      <c r="I11" s="299"/>
      <c r="J11" s="55"/>
      <c r="K11" s="297"/>
      <c r="L11" s="298"/>
      <c r="M11" s="299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5"/>
      <c r="AI11" s="55"/>
      <c r="AJ11" s="55"/>
      <c r="AK11" s="55"/>
      <c r="AL11" s="55"/>
      <c r="AM11" s="55"/>
    </row>
    <row r="12" spans="1:39" ht="15.75" customHeight="1" thickBot="1" x14ac:dyDescent="0.3">
      <c r="A12" s="55"/>
      <c r="B12" s="55"/>
      <c r="C12" s="55"/>
      <c r="D12" s="55"/>
      <c r="E12" s="55"/>
      <c r="F12" s="55"/>
      <c r="G12" s="300"/>
      <c r="H12" s="301"/>
      <c r="I12" s="302"/>
      <c r="J12" s="55"/>
      <c r="K12" s="300"/>
      <c r="L12" s="301"/>
      <c r="M12" s="302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5"/>
      <c r="AH12" s="55"/>
      <c r="AI12" s="55"/>
      <c r="AJ12" s="55"/>
      <c r="AK12" s="55"/>
      <c r="AL12" s="55"/>
      <c r="AM12" s="55"/>
    </row>
    <row r="13" spans="1:39" ht="15" customHeight="1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5"/>
      <c r="AH13" s="55"/>
      <c r="AI13" s="55"/>
      <c r="AJ13" s="55"/>
      <c r="AK13" s="55"/>
      <c r="AL13" s="55"/>
      <c r="AM13" s="55"/>
    </row>
    <row r="14" spans="1:39" ht="15" customHeight="1" thickBot="1" x14ac:dyDescent="0.3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5"/>
      <c r="AH14" s="55"/>
      <c r="AI14" s="55"/>
      <c r="AJ14" s="55"/>
      <c r="AK14" s="55"/>
      <c r="AL14" s="55"/>
      <c r="AM14" s="55"/>
    </row>
    <row r="15" spans="1:39" ht="15" customHeight="1" x14ac:dyDescent="0.25">
      <c r="A15" s="55"/>
      <c r="B15" s="55"/>
      <c r="C15" s="55"/>
      <c r="D15" s="55"/>
      <c r="E15" s="55"/>
      <c r="F15" s="55"/>
      <c r="G15" s="294" t="s">
        <v>102</v>
      </c>
      <c r="H15" s="295"/>
      <c r="I15" s="296"/>
      <c r="J15" s="55"/>
      <c r="K15" s="294" t="s">
        <v>93</v>
      </c>
      <c r="L15" s="295"/>
      <c r="M15" s="296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  <c r="AH15" s="55"/>
      <c r="AI15" s="55"/>
      <c r="AJ15" s="55"/>
      <c r="AK15" s="55"/>
      <c r="AL15" s="55"/>
      <c r="AM15" s="55"/>
    </row>
    <row r="16" spans="1:39" ht="15.75" customHeight="1" x14ac:dyDescent="0.25">
      <c r="A16" s="55"/>
      <c r="B16" s="55"/>
      <c r="C16" s="55"/>
      <c r="D16" s="55"/>
      <c r="E16" s="55"/>
      <c r="F16" s="55"/>
      <c r="G16" s="297"/>
      <c r="H16" s="298"/>
      <c r="I16" s="299"/>
      <c r="J16" s="55"/>
      <c r="K16" s="297"/>
      <c r="L16" s="298"/>
      <c r="M16" s="299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  <c r="AH16" s="55"/>
      <c r="AI16" s="55"/>
      <c r="AJ16" s="55"/>
      <c r="AK16" s="55"/>
      <c r="AL16" s="55"/>
      <c r="AM16" s="55"/>
    </row>
    <row r="17" spans="1:39" ht="15" customHeight="1" thickBot="1" x14ac:dyDescent="0.3">
      <c r="A17" s="55"/>
      <c r="B17" s="55"/>
      <c r="C17" s="55"/>
      <c r="D17" s="55"/>
      <c r="E17" s="55"/>
      <c r="F17" s="55"/>
      <c r="G17" s="300"/>
      <c r="H17" s="301"/>
      <c r="I17" s="302"/>
      <c r="J17" s="55"/>
      <c r="K17" s="300"/>
      <c r="L17" s="301"/>
      <c r="M17" s="302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5"/>
      <c r="AH17" s="55"/>
      <c r="AI17" s="55"/>
      <c r="AJ17" s="55"/>
      <c r="AK17" s="55"/>
      <c r="AL17" s="55"/>
      <c r="AM17" s="55"/>
    </row>
    <row r="18" spans="1:39" ht="15" customHeight="1" x14ac:dyDescent="0.2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5"/>
      <c r="AH18" s="55"/>
      <c r="AI18" s="55"/>
      <c r="AJ18" s="55"/>
      <c r="AK18" s="55"/>
      <c r="AL18" s="55"/>
      <c r="AM18" s="55"/>
    </row>
    <row r="19" spans="1:39" ht="15" customHeight="1" thickBot="1" x14ac:dyDescent="0.3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55"/>
      <c r="AH19" s="55"/>
      <c r="AI19" s="55"/>
      <c r="AJ19" s="55"/>
      <c r="AK19" s="55"/>
      <c r="AL19" s="55"/>
      <c r="AM19" s="55"/>
    </row>
    <row r="20" spans="1:39" ht="15.75" customHeight="1" x14ac:dyDescent="0.25">
      <c r="A20" s="55"/>
      <c r="B20" s="55"/>
      <c r="C20" s="55"/>
      <c r="D20" s="55"/>
      <c r="E20" s="55"/>
      <c r="F20" s="55"/>
      <c r="G20" s="294" t="s">
        <v>114</v>
      </c>
      <c r="H20" s="295"/>
      <c r="I20" s="296"/>
      <c r="J20" s="55"/>
      <c r="K20" s="294" t="s">
        <v>121</v>
      </c>
      <c r="L20" s="295"/>
      <c r="M20" s="296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  <c r="AH20" s="55"/>
      <c r="AI20" s="55"/>
      <c r="AJ20" s="55"/>
      <c r="AK20" s="55"/>
      <c r="AL20" s="55"/>
      <c r="AM20" s="55"/>
    </row>
    <row r="21" spans="1:39" x14ac:dyDescent="0.25">
      <c r="A21" s="55"/>
      <c r="B21" s="55"/>
      <c r="C21" s="55"/>
      <c r="D21" s="55"/>
      <c r="E21" s="55"/>
      <c r="F21" s="55"/>
      <c r="G21" s="297"/>
      <c r="H21" s="298"/>
      <c r="I21" s="299"/>
      <c r="J21" s="55"/>
      <c r="K21" s="297"/>
      <c r="L21" s="298"/>
      <c r="M21" s="299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5"/>
      <c r="AJ21" s="55"/>
      <c r="AK21" s="55"/>
      <c r="AL21" s="55"/>
      <c r="AM21" s="55"/>
    </row>
    <row r="22" spans="1:39" ht="15" customHeight="1" thickBot="1" x14ac:dyDescent="0.3">
      <c r="A22" s="55"/>
      <c r="B22" s="55"/>
      <c r="C22" s="55"/>
      <c r="D22" s="55"/>
      <c r="E22" s="55"/>
      <c r="F22" s="55"/>
      <c r="G22" s="300"/>
      <c r="H22" s="301"/>
      <c r="I22" s="302"/>
      <c r="J22" s="55"/>
      <c r="K22" s="300"/>
      <c r="L22" s="301"/>
      <c r="M22" s="302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55"/>
      <c r="AI22" s="55"/>
      <c r="AJ22" s="55"/>
      <c r="AK22" s="55"/>
      <c r="AL22" s="55"/>
      <c r="AM22" s="55"/>
    </row>
    <row r="23" spans="1:39" ht="15" customHeight="1" x14ac:dyDescent="0.2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  <c r="AH23" s="55"/>
      <c r="AI23" s="55"/>
      <c r="AJ23" s="55"/>
      <c r="AK23" s="55"/>
      <c r="AL23" s="55"/>
      <c r="AM23" s="55"/>
    </row>
    <row r="24" spans="1:39" ht="15.75" customHeight="1" thickBot="1" x14ac:dyDescent="0.3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55"/>
      <c r="AI24" s="55"/>
      <c r="AJ24" s="55"/>
      <c r="AK24" s="55"/>
      <c r="AL24" s="55"/>
      <c r="AM24" s="55"/>
    </row>
    <row r="25" spans="1:39" ht="24" customHeight="1" x14ac:dyDescent="0.25">
      <c r="A25" s="55"/>
      <c r="B25" s="55"/>
      <c r="C25" s="55"/>
      <c r="D25" s="55"/>
      <c r="E25" s="55"/>
      <c r="F25" s="55"/>
      <c r="G25" s="294" t="s">
        <v>119</v>
      </c>
      <c r="H25" s="295"/>
      <c r="I25" s="296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55"/>
      <c r="AC25" s="55"/>
      <c r="AD25" s="55"/>
      <c r="AE25" s="55"/>
      <c r="AF25" s="55"/>
      <c r="AG25" s="55"/>
      <c r="AH25" s="55"/>
      <c r="AI25" s="55"/>
      <c r="AJ25" s="55"/>
      <c r="AK25" s="55"/>
      <c r="AL25" s="55"/>
      <c r="AM25" s="55"/>
    </row>
    <row r="26" spans="1:39" x14ac:dyDescent="0.25">
      <c r="A26" s="55"/>
      <c r="B26" s="55"/>
      <c r="C26" s="55"/>
      <c r="D26" s="55"/>
      <c r="E26" s="55"/>
      <c r="F26" s="55"/>
      <c r="G26" s="297"/>
      <c r="H26" s="298"/>
      <c r="I26" s="299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5"/>
      <c r="AL26" s="55"/>
      <c r="AM26" s="55"/>
    </row>
    <row r="27" spans="1:39" ht="15" customHeight="1" thickBot="1" x14ac:dyDescent="0.3">
      <c r="A27" s="55"/>
      <c r="B27" s="55"/>
      <c r="C27" s="55"/>
      <c r="D27" s="55"/>
      <c r="E27" s="55"/>
      <c r="F27" s="55"/>
      <c r="G27" s="300"/>
      <c r="H27" s="301"/>
      <c r="I27" s="302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  <c r="AI27" s="55"/>
      <c r="AJ27" s="55"/>
      <c r="AK27" s="55"/>
      <c r="AL27" s="55"/>
      <c r="AM27" s="55"/>
    </row>
    <row r="28" spans="1:39" ht="15" customHeight="1" x14ac:dyDescent="0.25">
      <c r="A28" s="55"/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  <c r="AH28" s="55"/>
      <c r="AI28" s="55"/>
      <c r="AJ28" s="55"/>
      <c r="AK28" s="55"/>
      <c r="AL28" s="55"/>
      <c r="AM28" s="55"/>
    </row>
    <row r="29" spans="1:39" ht="15.75" customHeight="1" x14ac:dyDescent="0.25">
      <c r="A29" s="55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  <c r="AH29" s="55"/>
      <c r="AI29" s="55"/>
      <c r="AJ29" s="55"/>
      <c r="AK29" s="55"/>
      <c r="AL29" s="55"/>
      <c r="AM29" s="55"/>
    </row>
    <row r="30" spans="1:39" x14ac:dyDescent="0.25">
      <c r="A30" s="55"/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  <c r="AH30" s="55"/>
      <c r="AI30" s="55"/>
      <c r="AJ30" s="55"/>
      <c r="AK30" s="55"/>
      <c r="AL30" s="55"/>
      <c r="AM30" s="55"/>
    </row>
    <row r="31" spans="1:39" x14ac:dyDescent="0.25">
      <c r="A31" s="55"/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55"/>
      <c r="AI31" s="55"/>
      <c r="AJ31" s="55"/>
      <c r="AK31" s="55"/>
      <c r="AL31" s="55"/>
      <c r="AM31" s="55"/>
    </row>
    <row r="32" spans="1:39" x14ac:dyDescent="0.25">
      <c r="A32" s="55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5"/>
      <c r="AL32" s="55"/>
      <c r="AM32" s="55"/>
    </row>
    <row r="33" spans="1:39" x14ac:dyDescent="0.25">
      <c r="A33" s="55"/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  <c r="AI33" s="55"/>
      <c r="AJ33" s="55"/>
      <c r="AK33" s="55"/>
      <c r="AL33" s="55"/>
      <c r="AM33" s="55"/>
    </row>
    <row r="34" spans="1:39" x14ac:dyDescent="0.25">
      <c r="A34" s="55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  <c r="AH34" s="55"/>
      <c r="AI34" s="55"/>
      <c r="AJ34" s="55"/>
      <c r="AK34" s="55"/>
      <c r="AL34" s="55"/>
      <c r="AM34" s="55"/>
    </row>
    <row r="35" spans="1:39" x14ac:dyDescent="0.25">
      <c r="A35" s="55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55"/>
      <c r="AJ35" s="55"/>
      <c r="AK35" s="55"/>
      <c r="AL35" s="55"/>
      <c r="AM35" s="55"/>
    </row>
    <row r="36" spans="1:39" x14ac:dyDescent="0.25">
      <c r="A36" s="55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  <c r="AH36" s="55"/>
      <c r="AI36" s="55"/>
      <c r="AJ36" s="55"/>
      <c r="AK36" s="55"/>
      <c r="AL36" s="55"/>
      <c r="AM36" s="55"/>
    </row>
    <row r="37" spans="1:39" x14ac:dyDescent="0.25">
      <c r="A37" s="55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/>
      <c r="AI37" s="55"/>
      <c r="AJ37" s="55"/>
      <c r="AK37" s="55"/>
      <c r="AL37" s="55"/>
      <c r="AM37" s="55"/>
    </row>
    <row r="38" spans="1:39" x14ac:dyDescent="0.25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  <c r="AI38" s="55"/>
      <c r="AJ38" s="55"/>
      <c r="AK38" s="55"/>
      <c r="AL38" s="55"/>
      <c r="AM38" s="55"/>
    </row>
    <row r="39" spans="1:39" x14ac:dyDescent="0.25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  <c r="AH39" s="55"/>
      <c r="AI39" s="55"/>
      <c r="AJ39" s="55"/>
      <c r="AK39" s="55"/>
      <c r="AL39" s="55"/>
      <c r="AM39" s="55"/>
    </row>
  </sheetData>
  <mergeCells count="8">
    <mergeCell ref="K10:M12"/>
    <mergeCell ref="G10:I12"/>
    <mergeCell ref="G15:I17"/>
    <mergeCell ref="G20:I22"/>
    <mergeCell ref="G25:I27"/>
    <mergeCell ref="K20:M22"/>
    <mergeCell ref="K15:M17"/>
    <mergeCell ref="G4:M7"/>
  </mergeCells>
  <hyperlinks>
    <hyperlink ref="G10:I12" location="'Log de Nav'!A1" display="Log de navigation" xr:uid="{571639EA-ADD9-4363-8EFA-564434F81770}"/>
    <hyperlink ref="G15:I17" location="Carburant!A1" display="Carburant" xr:uid="{9E6B7D46-E342-4637-9A79-0968865AAC46}"/>
    <hyperlink ref="G20:I22" location="CG!A1" display="Masse et centrage" xr:uid="{BE0D16A9-23D8-4E16-929C-9B5698FBECDB}"/>
    <hyperlink ref="G25:I27" location="'Perfs Décollage'!A1" display="Perfomances décollage" xr:uid="{B86192F5-EAC2-41AF-98EC-C054C59ADB08}"/>
    <hyperlink ref="K10:M12" location="'Perfs Atterissage'!A1" display="Performances atterissage" xr:uid="{73ACB132-DE70-4D2E-92A2-5D3AFC541994}"/>
    <hyperlink ref="K15:M17" location="Résumé!A1" display="Résumé du vol" xr:uid="{BBA0E52D-5CA0-4AE3-A518-9969658E8B28}"/>
    <hyperlink ref="K20:M22" location="Tutoriel!A1" display="Tutoriel" xr:uid="{208D0062-615A-4371-8BDA-7C78A52ACE6C}"/>
  </hyperlink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074CE-5A82-477D-ABD7-7063634FBD07}">
  <dimension ref="A1:R64"/>
  <sheetViews>
    <sheetView zoomScale="97" workbookViewId="0">
      <selection activeCell="L26" sqref="L26:R30"/>
    </sheetView>
  </sheetViews>
  <sheetFormatPr baseColWidth="10" defaultColWidth="11.42578125" defaultRowHeight="15" x14ac:dyDescent="0.25"/>
  <cols>
    <col min="2" max="2" width="12.42578125" bestFit="1" customWidth="1"/>
    <col min="3" max="3" width="13.140625" bestFit="1" customWidth="1"/>
    <col min="5" max="5" width="13" bestFit="1" customWidth="1"/>
    <col min="8" max="8" width="18.28515625" bestFit="1" customWidth="1"/>
    <col min="9" max="9" width="12.42578125" customWidth="1"/>
    <col min="10" max="10" width="9.140625" bestFit="1" customWidth="1"/>
  </cols>
  <sheetData>
    <row r="1" spans="2:18" ht="15.75" thickBot="1" x14ac:dyDescent="0.3"/>
    <row r="2" spans="2:18" ht="15" customHeight="1" x14ac:dyDescent="0.25">
      <c r="B2" s="219" t="s">
        <v>24</v>
      </c>
      <c r="C2" s="220"/>
      <c r="D2" s="220"/>
      <c r="E2" s="220"/>
      <c r="F2" s="220"/>
      <c r="G2" s="220"/>
      <c r="H2" s="220"/>
      <c r="I2" s="220"/>
      <c r="J2" s="220"/>
      <c r="K2" s="220"/>
      <c r="L2" s="220"/>
      <c r="M2" s="220"/>
      <c r="N2" s="220"/>
      <c r="O2" s="221"/>
    </row>
    <row r="3" spans="2:18" ht="15" customHeight="1" x14ac:dyDescent="0.25">
      <c r="B3" s="222"/>
      <c r="C3" s="223"/>
      <c r="D3" s="223"/>
      <c r="E3" s="223"/>
      <c r="F3" s="223"/>
      <c r="G3" s="223"/>
      <c r="H3" s="223"/>
      <c r="I3" s="223"/>
      <c r="J3" s="223"/>
      <c r="K3" s="223"/>
      <c r="L3" s="223"/>
      <c r="M3" s="223"/>
      <c r="N3" s="223"/>
      <c r="O3" s="224"/>
      <c r="R3" s="5"/>
    </row>
    <row r="4" spans="2:18" ht="15" customHeight="1" thickBot="1" x14ac:dyDescent="0.3">
      <c r="B4" s="225"/>
      <c r="C4" s="226"/>
      <c r="D4" s="226"/>
      <c r="E4" s="226"/>
      <c r="F4" s="226"/>
      <c r="G4" s="226"/>
      <c r="H4" s="226"/>
      <c r="I4" s="226"/>
      <c r="J4" s="226"/>
      <c r="K4" s="226"/>
      <c r="L4" s="226"/>
      <c r="M4" s="226"/>
      <c r="N4" s="226"/>
      <c r="O4" s="227"/>
      <c r="R4" s="5"/>
    </row>
    <row r="5" spans="2:18" x14ac:dyDescent="0.25">
      <c r="C5" s="21"/>
      <c r="D5" s="21"/>
      <c r="E5" s="21"/>
      <c r="F5" s="21"/>
      <c r="G5" s="21"/>
      <c r="H5" s="21"/>
      <c r="I5" s="21"/>
      <c r="J5" s="21"/>
      <c r="K5" s="21"/>
      <c r="L5" s="21"/>
      <c r="R5" s="5"/>
    </row>
    <row r="6" spans="2:18" x14ac:dyDescent="0.25">
      <c r="B6" s="57" t="s">
        <v>25</v>
      </c>
      <c r="C6" s="57" t="s">
        <v>26</v>
      </c>
      <c r="D6" s="57"/>
      <c r="E6" s="57"/>
      <c r="F6" s="57"/>
      <c r="G6" s="57"/>
      <c r="H6" s="57" t="s">
        <v>27</v>
      </c>
      <c r="I6" s="57"/>
      <c r="J6" s="57"/>
      <c r="K6" s="57"/>
      <c r="L6" s="57"/>
      <c r="M6" s="57"/>
      <c r="N6" s="57"/>
      <c r="O6" s="57"/>
      <c r="R6" s="5"/>
    </row>
    <row r="7" spans="2:18" x14ac:dyDescent="0.25">
      <c r="B7" s="57"/>
      <c r="C7" s="37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  <c r="M7" s="2" t="s">
        <v>38</v>
      </c>
      <c r="N7" s="2" t="s">
        <v>39</v>
      </c>
      <c r="O7" s="2" t="s">
        <v>40</v>
      </c>
      <c r="P7" s="5"/>
      <c r="R7" s="5"/>
    </row>
    <row r="8" spans="2:18" x14ac:dyDescent="0.25">
      <c r="B8" s="2">
        <v>1</v>
      </c>
      <c r="C8" s="76">
        <v>0</v>
      </c>
      <c r="D8" s="76">
        <v>25</v>
      </c>
      <c r="E8" s="75">
        <v>250</v>
      </c>
      <c r="F8" s="75">
        <v>5</v>
      </c>
      <c r="G8" s="75">
        <v>240</v>
      </c>
      <c r="H8" s="36" cm="1">
        <f t="array" ref="H8">_xlfn.IFS(AND($D$25=55%,MROUND(C8,2000)=0),Tableaux!$O$17,AND($D$25=55%,MROUND(C8,2000)=2000),Tableaux!$O$18,AND($D$25=55%,MROUND(C8,2000)=4000),Tableaux!$O$19,AND($D$25=55%,MROUND(C8,2000)=6000),Tableaux!$O$20,AND($D$25=55%,MROUND(C8,2000)=8000),Tableaux!$O$21,AND($D$25=55%,MROUND(C8,2000)=10000),Tableaux!$O$22,AND($D$25=65%,MROUND(C8,2000)=0),Tableaux!$P$17,AND($D$25=65%,MROUND(C8,2000)=2000),Tableaux!$P$18,AND($D$25=65%,MROUND(C8,2000)=4000),Tableaux!$P$19,AND($D$25=65%,MROUND(C8,2000)=6000),Tableaux!$P$20,AND($D$25=65%,MROUND(C8,2000)=8000),Tableaux!$P$21,AND($D$25=65%,MROUND(C8,2000)=10000),Tableaux!$P$22,AND($D$25=75%,MROUND(C8,2000)=0),Tableaux!$Q$17,AND($D$25=75%,MROUND(C8,2000)=2000),Tableaux!$Q$18,AND($D$25=75%,MROUND(C8,2000)=4000),Tableaux!$Q$19,AND($D$25=75%,MROUND(C8,2000)=6000),Tableaux!$Q$20,AND($D$25=75%,MROUND(C8,2000)=8000),Tableaux!$Q$21,AND($D$25=75%,MROUND(C8,2000)=10000),Tableaux!$Q$22,AND($D$25="MCP",MROUND(C8,2000)=0),Tableaux!$R$17,AND($D$25="MCP",MROUND(C8,2000)=2000),Tableaux!$R$18,AND($D$25="MCP",MROUND(C8,2000)=4000),Tableaux!$R$19,AND($D$25="MCP",MROUND(C8,2000)=6000),Tableaux!$R$20,AND($D$25="MCP",MROUND(C8,2000)=8000),Tableaux!$R$21,AND($D$25="MCP",MROUND(C8,2000)=10000),Tableaux!$R$22)</f>
        <v>96</v>
      </c>
      <c r="I8" s="3">
        <f t="shared" ref="I8:I22" si="0">(60/H8)*D8</f>
        <v>15.625</v>
      </c>
      <c r="J8" s="22">
        <f t="shared" ref="J8:J22" si="1">(60/H8)*F8</f>
        <v>3.125</v>
      </c>
      <c r="K8" s="23">
        <f t="shared" ref="K8:K22" si="2">J8*SIN(RADIANS(ABS(E8-G8)))</f>
        <v>0.54265055520915728</v>
      </c>
      <c r="L8" s="22">
        <f>F8*COS(RADIANS(ABS(E8-G8)))</f>
        <v>4.9240387650610398</v>
      </c>
      <c r="M8" s="3">
        <f t="shared" ref="M8:M22" si="3">H8+L8</f>
        <v>100.92403876506104</v>
      </c>
      <c r="N8" s="38">
        <f t="shared" ref="N8:N22" si="4">E8-K8</f>
        <v>249.45734944479085</v>
      </c>
      <c r="O8" s="38">
        <f t="shared" ref="O8:O22" si="5">60/M8*D8</f>
        <v>14.862663230232181</v>
      </c>
      <c r="P8" s="5"/>
      <c r="R8" s="5"/>
    </row>
    <row r="9" spans="2:18" x14ac:dyDescent="0.25">
      <c r="B9" s="2">
        <v>2</v>
      </c>
      <c r="C9" s="76">
        <v>0</v>
      </c>
      <c r="D9" s="76">
        <v>25</v>
      </c>
      <c r="E9" s="75">
        <v>250</v>
      </c>
      <c r="F9" s="75">
        <v>5</v>
      </c>
      <c r="G9" s="75">
        <v>200</v>
      </c>
      <c r="H9" s="36" cm="1">
        <f t="array" ref="H9">_xlfn.IFS(AND($D$25=55%,MROUND(C9,2000)=0),Tableaux!$O$17,AND($D$25=55%,MROUND(C9,2000)=2000),Tableaux!$O$18,AND($D$25=55%,MROUND(C9,2000)=4000),Tableaux!$O$19,AND($D$25=55%,MROUND(C9,2000)=6000),Tableaux!$O$20,AND($D$25=55%,MROUND(C9,2000)=8000),Tableaux!$O$21,AND($D$25=55%,MROUND(C9,2000)=10000),Tableaux!$O$22,AND($D$25=65%,MROUND(C9,2000)=0),Tableaux!$P$17,AND($D$25=65%,MROUND(C9,2000)=2000),Tableaux!$P$18,AND($D$25=65%,MROUND(C9,2000)=4000),Tableaux!$P$19,AND($D$25=65%,MROUND(C9,2000)=6000),Tableaux!$P$20,AND($D$25=65%,MROUND(C9,2000)=8000),Tableaux!$P$21,AND($D$25=65%,MROUND(C9,2000)=10000),Tableaux!$P$22,AND($D$25=75%,MROUND(C9,2000)=0),Tableaux!$Q$17,AND($D$25=75%,MROUND(C9,2000)=2000),Tableaux!$Q$18,AND($D$25=75%,MROUND(C9,2000)=4000),Tableaux!$Q$19,AND($D$25=75%,MROUND(C9,2000)=6000),Tableaux!$Q$20,AND($D$25=75%,MROUND(C9,2000)=8000),Tableaux!$Q$21,AND($D$25=75%,MROUND(C9,2000)=10000),Tableaux!$Q$22,AND($D$25="MCP",MROUND(C9,2000)=0),Tableaux!$R$17,AND($D$25="MCP",MROUND(C9,2000)=2000),Tableaux!$R$18,AND($D$25="MCP",MROUND(C9,2000)=4000),Tableaux!$R$19,AND($D$25="MCP",MROUND(C9,2000)=6000),Tableaux!$R$20,AND($D$25="MCP",MROUND(C9,2000)=8000),Tableaux!$R$21,AND($D$25="MCP",MROUND(C9,2000)=10000),Tableaux!$R$22)</f>
        <v>96</v>
      </c>
      <c r="I9" s="3">
        <f t="shared" si="0"/>
        <v>15.625</v>
      </c>
      <c r="J9" s="22">
        <f t="shared" si="1"/>
        <v>3.125</v>
      </c>
      <c r="K9" s="23">
        <f t="shared" si="2"/>
        <v>2.3938888847468065</v>
      </c>
      <c r="L9" s="22">
        <f t="shared" ref="L9:L22" si="6">F9*COS(RADIANS(ABS(E9-G9)))</f>
        <v>3.2139380484326967</v>
      </c>
      <c r="M9" s="3">
        <f t="shared" si="3"/>
        <v>99.213938048432695</v>
      </c>
      <c r="N9" s="38">
        <f t="shared" si="4"/>
        <v>247.60611111525319</v>
      </c>
      <c r="O9" s="38">
        <f t="shared" si="5"/>
        <v>15.1188434760825</v>
      </c>
      <c r="P9" s="5"/>
      <c r="R9" s="5"/>
    </row>
    <row r="10" spans="2:18" x14ac:dyDescent="0.25">
      <c r="B10" s="2">
        <v>3</v>
      </c>
      <c r="C10" s="76">
        <v>0</v>
      </c>
      <c r="D10" s="76">
        <v>25</v>
      </c>
      <c r="E10" s="75">
        <v>250</v>
      </c>
      <c r="F10" s="75">
        <v>5</v>
      </c>
      <c r="G10" s="75">
        <v>200</v>
      </c>
      <c r="H10" s="36" cm="1">
        <f t="array" ref="H10">_xlfn.IFS(AND($D$25=55%,MROUND(C10,2000)=0),Tableaux!$O$17,AND($D$25=55%,MROUND(C10,2000)=2000),Tableaux!$O$18,AND($D$25=55%,MROUND(C10,2000)=4000),Tableaux!$O$19,AND($D$25=55%,MROUND(C10,2000)=6000),Tableaux!$O$20,AND($D$25=55%,MROUND(C10,2000)=8000),Tableaux!$O$21,AND($D$25=55%,MROUND(C10,2000)=10000),Tableaux!$O$22,AND($D$25=65%,MROUND(C10,2000)=0),Tableaux!$P$17,AND($D$25=65%,MROUND(C10,2000)=2000),Tableaux!$P$18,AND($D$25=65%,MROUND(C10,2000)=4000),Tableaux!$P$19,AND($D$25=65%,MROUND(C10,2000)=6000),Tableaux!$P$20,AND($D$25=65%,MROUND(C10,2000)=8000),Tableaux!$P$21,AND($D$25=65%,MROUND(C10,2000)=10000),Tableaux!$P$22,AND($D$25=75%,MROUND(C10,2000)=0),Tableaux!$Q$17,AND($D$25=75%,MROUND(C10,2000)=2000),Tableaux!$Q$18,AND($D$25=75%,MROUND(C10,2000)=4000),Tableaux!$Q$19,AND($D$25=75%,MROUND(C10,2000)=6000),Tableaux!$Q$20,AND($D$25=75%,MROUND(C10,2000)=8000),Tableaux!$Q$21,AND($D$25=75%,MROUND(C10,2000)=10000),Tableaux!$Q$22,AND($D$25="MCP",MROUND(C10,2000)=0),Tableaux!$R$17,AND($D$25="MCP",MROUND(C10,2000)=2000),Tableaux!$R$18,AND($D$25="MCP",MROUND(C10,2000)=4000),Tableaux!$R$19,AND($D$25="MCP",MROUND(C10,2000)=6000),Tableaux!$R$20,AND($D$25="MCP",MROUND(C10,2000)=8000),Tableaux!$R$21,AND($D$25="MCP",MROUND(C10,2000)=10000),Tableaux!$R$22)</f>
        <v>96</v>
      </c>
      <c r="I10" s="3">
        <f t="shared" si="0"/>
        <v>15.625</v>
      </c>
      <c r="J10" s="22">
        <f t="shared" si="1"/>
        <v>3.125</v>
      </c>
      <c r="K10" s="23">
        <f t="shared" si="2"/>
        <v>2.3938888847468065</v>
      </c>
      <c r="L10" s="22">
        <f t="shared" si="6"/>
        <v>3.2139380484326967</v>
      </c>
      <c r="M10" s="3">
        <f t="shared" si="3"/>
        <v>99.213938048432695</v>
      </c>
      <c r="N10" s="38">
        <f t="shared" si="4"/>
        <v>247.60611111525319</v>
      </c>
      <c r="O10" s="38">
        <f t="shared" si="5"/>
        <v>15.1188434760825</v>
      </c>
      <c r="P10" s="5"/>
      <c r="R10" s="5"/>
    </row>
    <row r="11" spans="2:18" x14ac:dyDescent="0.25">
      <c r="B11" s="2">
        <v>4</v>
      </c>
      <c r="C11" s="76">
        <v>0</v>
      </c>
      <c r="D11" s="76">
        <v>25</v>
      </c>
      <c r="E11" s="75">
        <v>250</v>
      </c>
      <c r="F11" s="75">
        <v>5</v>
      </c>
      <c r="G11" s="75">
        <v>200</v>
      </c>
      <c r="H11" s="36" cm="1">
        <f t="array" ref="H11">_xlfn.IFS(AND($D$25=55%,MROUND(C11,2000)=0),Tableaux!$O$17,AND($D$25=55%,MROUND(C11,2000)=2000),Tableaux!$O$18,AND($D$25=55%,MROUND(C11,2000)=4000),Tableaux!$O$19,AND($D$25=55%,MROUND(C11,2000)=6000),Tableaux!$O$20,AND($D$25=55%,MROUND(C11,2000)=8000),Tableaux!$O$21,AND($D$25=55%,MROUND(C11,2000)=10000),Tableaux!$O$22,AND($D$25=65%,MROUND(C11,2000)=0),Tableaux!$P$17,AND($D$25=65%,MROUND(C11,2000)=2000),Tableaux!$P$18,AND($D$25=65%,MROUND(C11,2000)=4000),Tableaux!$P$19,AND($D$25=65%,MROUND(C11,2000)=6000),Tableaux!$P$20,AND($D$25=65%,MROUND(C11,2000)=8000),Tableaux!$P$21,AND($D$25=65%,MROUND(C11,2000)=10000),Tableaux!$P$22,AND($D$25=75%,MROUND(C11,2000)=0),Tableaux!$Q$17,AND($D$25=75%,MROUND(C11,2000)=2000),Tableaux!$Q$18,AND($D$25=75%,MROUND(C11,2000)=4000),Tableaux!$Q$19,AND($D$25=75%,MROUND(C11,2000)=6000),Tableaux!$Q$20,AND($D$25=75%,MROUND(C11,2000)=8000),Tableaux!$Q$21,AND($D$25=75%,MROUND(C11,2000)=10000),Tableaux!$Q$22,AND($D$25="MCP",MROUND(C11,2000)=0),Tableaux!$R$17,AND($D$25="MCP",MROUND(C11,2000)=2000),Tableaux!$R$18,AND($D$25="MCP",MROUND(C11,2000)=4000),Tableaux!$R$19,AND($D$25="MCP",MROUND(C11,2000)=6000),Tableaux!$R$20,AND($D$25="MCP",MROUND(C11,2000)=8000),Tableaux!$R$21,AND($D$25="MCP",MROUND(C11,2000)=10000),Tableaux!$R$22)</f>
        <v>96</v>
      </c>
      <c r="I11" s="3">
        <f t="shared" si="0"/>
        <v>15.625</v>
      </c>
      <c r="J11" s="22">
        <f t="shared" si="1"/>
        <v>3.125</v>
      </c>
      <c r="K11" s="23">
        <f t="shared" si="2"/>
        <v>2.3938888847468065</v>
      </c>
      <c r="L11" s="22">
        <f t="shared" si="6"/>
        <v>3.2139380484326967</v>
      </c>
      <c r="M11" s="3">
        <f t="shared" si="3"/>
        <v>99.213938048432695</v>
      </c>
      <c r="N11" s="38">
        <f t="shared" si="4"/>
        <v>247.60611111525319</v>
      </c>
      <c r="O11" s="38">
        <f t="shared" si="5"/>
        <v>15.1188434760825</v>
      </c>
      <c r="P11" s="5"/>
      <c r="R11" s="5"/>
    </row>
    <row r="12" spans="2:18" x14ac:dyDescent="0.25">
      <c r="B12" s="2">
        <v>5</v>
      </c>
      <c r="C12" s="76">
        <v>0</v>
      </c>
      <c r="D12" s="76">
        <v>25</v>
      </c>
      <c r="E12" s="75">
        <v>250</v>
      </c>
      <c r="F12" s="75">
        <v>15</v>
      </c>
      <c r="G12" s="75">
        <v>320</v>
      </c>
      <c r="H12" s="36" cm="1">
        <f t="array" ref="H12">_xlfn.IFS(AND($D$25=55%,MROUND(C12,2000)=0),Tableaux!$O$17,AND($D$25=55%,MROUND(C12,2000)=2000),Tableaux!$O$18,AND($D$25=55%,MROUND(C12,2000)=4000),Tableaux!$O$19,AND($D$25=55%,MROUND(C12,2000)=6000),Tableaux!$O$20,AND($D$25=55%,MROUND(C12,2000)=8000),Tableaux!$O$21,AND($D$25=55%,MROUND(C12,2000)=10000),Tableaux!$O$22,AND($D$25=65%,MROUND(C12,2000)=0),Tableaux!$P$17,AND($D$25=65%,MROUND(C12,2000)=2000),Tableaux!$P$18,AND($D$25=65%,MROUND(C12,2000)=4000),Tableaux!$P$19,AND($D$25=65%,MROUND(C12,2000)=6000),Tableaux!$P$20,AND($D$25=65%,MROUND(C12,2000)=8000),Tableaux!$P$21,AND($D$25=65%,MROUND(C12,2000)=10000),Tableaux!$P$22,AND($D$25=75%,MROUND(C12,2000)=0),Tableaux!$Q$17,AND($D$25=75%,MROUND(C12,2000)=2000),Tableaux!$Q$18,AND($D$25=75%,MROUND(C12,2000)=4000),Tableaux!$Q$19,AND($D$25=75%,MROUND(C12,2000)=6000),Tableaux!$Q$20,AND($D$25=75%,MROUND(C12,2000)=8000),Tableaux!$Q$21,AND($D$25=75%,MROUND(C12,2000)=10000),Tableaux!$Q$22,AND($D$25="MCP",MROUND(C12,2000)=0),Tableaux!$R$17,AND($D$25="MCP",MROUND(C12,2000)=2000),Tableaux!$R$18,AND($D$25="MCP",MROUND(C12,2000)=4000),Tableaux!$R$19,AND($D$25="MCP",MROUND(C12,2000)=6000),Tableaux!$R$20,AND($D$25="MCP",MROUND(C12,2000)=8000),Tableaux!$R$21,AND($D$25="MCP",MROUND(C12,2000)=10000),Tableaux!$R$22)</f>
        <v>96</v>
      </c>
      <c r="I12" s="3">
        <f t="shared" si="0"/>
        <v>15.625</v>
      </c>
      <c r="J12" s="22">
        <f t="shared" si="1"/>
        <v>9.375</v>
      </c>
      <c r="K12" s="23">
        <f t="shared" si="2"/>
        <v>8.8096183198678908</v>
      </c>
      <c r="L12" s="22">
        <f t="shared" si="6"/>
        <v>5.1303021498850327</v>
      </c>
      <c r="M12" s="3">
        <f t="shared" si="3"/>
        <v>101.13030214988504</v>
      </c>
      <c r="N12" s="38">
        <f t="shared" si="4"/>
        <v>241.19038168013211</v>
      </c>
      <c r="O12" s="38">
        <f t="shared" si="5"/>
        <v>14.832349633217278</v>
      </c>
      <c r="P12" s="5"/>
      <c r="R12" s="5"/>
    </row>
    <row r="13" spans="2:18" x14ac:dyDescent="0.25">
      <c r="B13" s="2">
        <v>6</v>
      </c>
      <c r="C13" s="76">
        <v>8000</v>
      </c>
      <c r="D13" s="76">
        <v>25</v>
      </c>
      <c r="E13" s="75">
        <v>250</v>
      </c>
      <c r="F13" s="75">
        <v>5</v>
      </c>
      <c r="G13" s="75">
        <v>200</v>
      </c>
      <c r="H13" s="36" cm="1">
        <f t="array" ref="H13">_xlfn.IFS(AND($D$25=55%,MROUND(C13,2000)=0),Tableaux!$O$17,AND($D$25=55%,MROUND(C13,2000)=2000),Tableaux!$O$18,AND($D$25=55%,MROUND(C13,2000)=4000),Tableaux!$O$19,AND($D$25=55%,MROUND(C13,2000)=6000),Tableaux!$O$20,AND($D$25=55%,MROUND(C13,2000)=8000),Tableaux!$O$21,AND($D$25=55%,MROUND(C13,2000)=10000),Tableaux!$O$22,AND($D$25=65%,MROUND(C13,2000)=0),Tableaux!$P$17,AND($D$25=65%,MROUND(C13,2000)=2000),Tableaux!$P$18,AND($D$25=65%,MROUND(C13,2000)=4000),Tableaux!$P$19,AND($D$25=65%,MROUND(C13,2000)=6000),Tableaux!$P$20,AND($D$25=65%,MROUND(C13,2000)=8000),Tableaux!$P$21,AND($D$25=65%,MROUND(C13,2000)=10000),Tableaux!$P$22,AND($D$25=75%,MROUND(C13,2000)=0),Tableaux!$Q$17,AND($D$25=75%,MROUND(C13,2000)=2000),Tableaux!$Q$18,AND($D$25=75%,MROUND(C13,2000)=4000),Tableaux!$Q$19,AND($D$25=75%,MROUND(C13,2000)=6000),Tableaux!$Q$20,AND($D$25=75%,MROUND(C13,2000)=8000),Tableaux!$Q$21,AND($D$25=75%,MROUND(C13,2000)=10000),Tableaux!$Q$22,AND($D$25="MCP",MROUND(C13,2000)=0),Tableaux!$R$17,AND($D$25="MCP",MROUND(C13,2000)=2000),Tableaux!$R$18,AND($D$25="MCP",MROUND(C13,2000)=4000),Tableaux!$R$19,AND($D$25="MCP",MROUND(C13,2000)=6000),Tableaux!$R$20,AND($D$25="MCP",MROUND(C13,2000)=8000),Tableaux!$R$21,AND($D$25="MCP",MROUND(C13,2000)=10000),Tableaux!$R$22)</f>
        <v>82</v>
      </c>
      <c r="I13" s="3">
        <f t="shared" si="0"/>
        <v>18.292682926829269</v>
      </c>
      <c r="J13" s="22">
        <f t="shared" si="1"/>
        <v>3.6585365853658534</v>
      </c>
      <c r="K13" s="23">
        <f t="shared" si="2"/>
        <v>2.8026016211669926</v>
      </c>
      <c r="L13" s="22">
        <f t="shared" si="6"/>
        <v>3.2139380484326967</v>
      </c>
      <c r="M13" s="3">
        <f t="shared" si="3"/>
        <v>85.213938048432695</v>
      </c>
      <c r="N13" s="38">
        <f t="shared" si="4"/>
        <v>247.19739837883301</v>
      </c>
      <c r="O13" s="38">
        <f t="shared" si="5"/>
        <v>17.602754130990299</v>
      </c>
      <c r="P13" s="5"/>
      <c r="R13" s="5"/>
    </row>
    <row r="14" spans="2:18" x14ac:dyDescent="0.25">
      <c r="B14" s="2">
        <v>7</v>
      </c>
      <c r="C14" s="76">
        <v>0</v>
      </c>
      <c r="D14" s="76">
        <v>25</v>
      </c>
      <c r="E14" s="75">
        <v>250</v>
      </c>
      <c r="F14" s="75">
        <v>5</v>
      </c>
      <c r="G14" s="75">
        <v>200</v>
      </c>
      <c r="H14" s="36" cm="1">
        <f t="array" ref="H14">_xlfn.IFS(AND($D$25=55%,MROUND(C14,2000)=0),Tableaux!$O$17,AND($D$25=55%,MROUND(C14,2000)=2000),Tableaux!$O$18,AND($D$25=55%,MROUND(C14,2000)=4000),Tableaux!$O$19,AND($D$25=55%,MROUND(C14,2000)=6000),Tableaux!$O$20,AND($D$25=55%,MROUND(C14,2000)=8000),Tableaux!$O$21,AND($D$25=55%,MROUND(C14,2000)=10000),Tableaux!$O$22,AND($D$25=65%,MROUND(C14,2000)=0),Tableaux!$P$17,AND($D$25=65%,MROUND(C14,2000)=2000),Tableaux!$P$18,AND($D$25=65%,MROUND(C14,2000)=4000),Tableaux!$P$19,AND($D$25=65%,MROUND(C14,2000)=6000),Tableaux!$P$20,AND($D$25=65%,MROUND(C14,2000)=8000),Tableaux!$P$21,AND($D$25=65%,MROUND(C14,2000)=10000),Tableaux!$P$22,AND($D$25=75%,MROUND(C14,2000)=0),Tableaux!$Q$17,AND($D$25=75%,MROUND(C14,2000)=2000),Tableaux!$Q$18,AND($D$25=75%,MROUND(C14,2000)=4000),Tableaux!$Q$19,AND($D$25=75%,MROUND(C14,2000)=6000),Tableaux!$Q$20,AND($D$25=75%,MROUND(C14,2000)=8000),Tableaux!$Q$21,AND($D$25=75%,MROUND(C14,2000)=10000),Tableaux!$Q$22,AND($D$25="MCP",MROUND(C14,2000)=0),Tableaux!$R$17,AND($D$25="MCP",MROUND(C14,2000)=2000),Tableaux!$R$18,AND($D$25="MCP",MROUND(C14,2000)=4000),Tableaux!$R$19,AND($D$25="MCP",MROUND(C14,2000)=6000),Tableaux!$R$20,AND($D$25="MCP",MROUND(C14,2000)=8000),Tableaux!$R$21,AND($D$25="MCP",MROUND(C14,2000)=10000),Tableaux!$R$22)</f>
        <v>96</v>
      </c>
      <c r="I14" s="3">
        <f t="shared" si="0"/>
        <v>15.625</v>
      </c>
      <c r="J14" s="22">
        <f t="shared" si="1"/>
        <v>3.125</v>
      </c>
      <c r="K14" s="23">
        <f t="shared" si="2"/>
        <v>2.3938888847468065</v>
      </c>
      <c r="L14" s="22">
        <f t="shared" si="6"/>
        <v>3.2139380484326967</v>
      </c>
      <c r="M14" s="3">
        <f t="shared" si="3"/>
        <v>99.213938048432695</v>
      </c>
      <c r="N14" s="38">
        <f t="shared" si="4"/>
        <v>247.60611111525319</v>
      </c>
      <c r="O14" s="38">
        <f t="shared" si="5"/>
        <v>15.1188434760825</v>
      </c>
      <c r="P14" s="5"/>
      <c r="R14" s="5"/>
    </row>
    <row r="15" spans="2:18" x14ac:dyDescent="0.25">
      <c r="B15" s="2">
        <v>8</v>
      </c>
      <c r="C15" s="76">
        <v>0</v>
      </c>
      <c r="D15" s="76">
        <v>25</v>
      </c>
      <c r="E15" s="75">
        <v>250</v>
      </c>
      <c r="F15" s="75">
        <v>5</v>
      </c>
      <c r="G15" s="75">
        <v>200</v>
      </c>
      <c r="H15" s="36" cm="1">
        <f t="array" ref="H15">_xlfn.IFS(AND($D$25=55%,MROUND(C15,2000)=0),Tableaux!$O$17,AND($D$25=55%,MROUND(C15,2000)=2000),Tableaux!$O$18,AND($D$25=55%,MROUND(C15,2000)=4000),Tableaux!$O$19,AND($D$25=55%,MROUND(C15,2000)=6000),Tableaux!$O$20,AND($D$25=55%,MROUND(C15,2000)=8000),Tableaux!$O$21,AND($D$25=55%,MROUND(C15,2000)=10000),Tableaux!$O$22,AND($D$25=65%,MROUND(C15,2000)=0),Tableaux!$P$17,AND($D$25=65%,MROUND(C15,2000)=2000),Tableaux!$P$18,AND($D$25=65%,MROUND(C15,2000)=4000),Tableaux!$P$19,AND($D$25=65%,MROUND(C15,2000)=6000),Tableaux!$P$20,AND($D$25=65%,MROUND(C15,2000)=8000),Tableaux!$P$21,AND($D$25=65%,MROUND(C15,2000)=10000),Tableaux!$P$22,AND($D$25=75%,MROUND(C15,2000)=0),Tableaux!$Q$17,AND($D$25=75%,MROUND(C15,2000)=2000),Tableaux!$Q$18,AND($D$25=75%,MROUND(C15,2000)=4000),Tableaux!$Q$19,AND($D$25=75%,MROUND(C15,2000)=6000),Tableaux!$Q$20,AND($D$25=75%,MROUND(C15,2000)=8000),Tableaux!$Q$21,AND($D$25=75%,MROUND(C15,2000)=10000),Tableaux!$Q$22,AND($D$25="MCP",MROUND(C15,2000)=0),Tableaux!$R$17,AND($D$25="MCP",MROUND(C15,2000)=2000),Tableaux!$R$18,AND($D$25="MCP",MROUND(C15,2000)=4000),Tableaux!$R$19,AND($D$25="MCP",MROUND(C15,2000)=6000),Tableaux!$R$20,AND($D$25="MCP",MROUND(C15,2000)=8000),Tableaux!$R$21,AND($D$25="MCP",MROUND(C15,2000)=10000),Tableaux!$R$22)</f>
        <v>96</v>
      </c>
      <c r="I15" s="3">
        <f t="shared" si="0"/>
        <v>15.625</v>
      </c>
      <c r="J15" s="22">
        <f t="shared" si="1"/>
        <v>3.125</v>
      </c>
      <c r="K15" s="23">
        <f t="shared" si="2"/>
        <v>2.3938888847468065</v>
      </c>
      <c r="L15" s="22">
        <f t="shared" si="6"/>
        <v>3.2139380484326967</v>
      </c>
      <c r="M15" s="3">
        <f t="shared" si="3"/>
        <v>99.213938048432695</v>
      </c>
      <c r="N15" s="38">
        <f t="shared" si="4"/>
        <v>247.60611111525319</v>
      </c>
      <c r="O15" s="38">
        <f t="shared" si="5"/>
        <v>15.1188434760825</v>
      </c>
      <c r="P15" s="5"/>
      <c r="R15" s="5"/>
    </row>
    <row r="16" spans="2:18" x14ac:dyDescent="0.25">
      <c r="B16" s="2">
        <v>9</v>
      </c>
      <c r="C16" s="76">
        <v>0</v>
      </c>
      <c r="D16" s="76">
        <v>25</v>
      </c>
      <c r="E16" s="75">
        <v>250</v>
      </c>
      <c r="F16" s="75">
        <v>5</v>
      </c>
      <c r="G16" s="75">
        <v>200</v>
      </c>
      <c r="H16" s="36" cm="1">
        <f t="array" ref="H16">_xlfn.IFS(AND($D$25=55%,MROUND(C16,2000)=0),Tableaux!$O$17,AND($D$25=55%,MROUND(C16,2000)=2000),Tableaux!$O$18,AND($D$25=55%,MROUND(C16,2000)=4000),Tableaux!$O$19,AND($D$25=55%,MROUND(C16,2000)=6000),Tableaux!$O$20,AND($D$25=55%,MROUND(C16,2000)=8000),Tableaux!$O$21,AND($D$25=55%,MROUND(C16,2000)=10000),Tableaux!$O$22,AND($D$25=65%,MROUND(C16,2000)=0),Tableaux!$P$17,AND($D$25=65%,MROUND(C16,2000)=2000),Tableaux!$P$18,AND($D$25=65%,MROUND(C16,2000)=4000),Tableaux!$P$19,AND($D$25=65%,MROUND(C16,2000)=6000),Tableaux!$P$20,AND($D$25=65%,MROUND(C16,2000)=8000),Tableaux!$P$21,AND($D$25=65%,MROUND(C16,2000)=10000),Tableaux!$P$22,AND($D$25=75%,MROUND(C16,2000)=0),Tableaux!$Q$17,AND($D$25=75%,MROUND(C16,2000)=2000),Tableaux!$Q$18,AND($D$25=75%,MROUND(C16,2000)=4000),Tableaux!$Q$19,AND($D$25=75%,MROUND(C16,2000)=6000),Tableaux!$Q$20,AND($D$25=75%,MROUND(C16,2000)=8000),Tableaux!$Q$21,AND($D$25=75%,MROUND(C16,2000)=10000),Tableaux!$Q$22,AND($D$25="MCP",MROUND(C16,2000)=0),Tableaux!$R$17,AND($D$25="MCP",MROUND(C16,2000)=2000),Tableaux!$R$18,AND($D$25="MCP",MROUND(C16,2000)=4000),Tableaux!$R$19,AND($D$25="MCP",MROUND(C16,2000)=6000),Tableaux!$R$20,AND($D$25="MCP",MROUND(C16,2000)=8000),Tableaux!$R$21,AND($D$25="MCP",MROUND(C16,2000)=10000),Tableaux!$R$22)</f>
        <v>96</v>
      </c>
      <c r="I16" s="3">
        <f t="shared" si="0"/>
        <v>15.625</v>
      </c>
      <c r="J16" s="22">
        <f t="shared" si="1"/>
        <v>3.125</v>
      </c>
      <c r="K16" s="23">
        <f t="shared" si="2"/>
        <v>2.3938888847468065</v>
      </c>
      <c r="L16" s="22">
        <f t="shared" si="6"/>
        <v>3.2139380484326967</v>
      </c>
      <c r="M16" s="3">
        <f t="shared" si="3"/>
        <v>99.213938048432695</v>
      </c>
      <c r="N16" s="38">
        <f t="shared" si="4"/>
        <v>247.60611111525319</v>
      </c>
      <c r="O16" s="38">
        <f t="shared" si="5"/>
        <v>15.1188434760825</v>
      </c>
      <c r="P16" s="5"/>
      <c r="R16" s="5"/>
    </row>
    <row r="17" spans="2:18" x14ac:dyDescent="0.25">
      <c r="B17" s="2">
        <v>10</v>
      </c>
      <c r="C17" s="76">
        <v>0</v>
      </c>
      <c r="D17" s="76">
        <v>25</v>
      </c>
      <c r="E17" s="75">
        <v>250</v>
      </c>
      <c r="F17" s="75">
        <v>5</v>
      </c>
      <c r="G17" s="75">
        <v>200</v>
      </c>
      <c r="H17" s="36" cm="1">
        <f t="array" ref="H17">_xlfn.IFS(AND($D$25=55%,MROUND(C17,2000)=0),Tableaux!$O$17,AND($D$25=55%,MROUND(C17,2000)=2000),Tableaux!$O$18,AND($D$25=55%,MROUND(C17,2000)=4000),Tableaux!$O$19,AND($D$25=55%,MROUND(C17,2000)=6000),Tableaux!$O$20,AND($D$25=55%,MROUND(C17,2000)=8000),Tableaux!$O$21,AND($D$25=55%,MROUND(C17,2000)=10000),Tableaux!$O$22,AND($D$25=65%,MROUND(C17,2000)=0),Tableaux!$P$17,AND($D$25=65%,MROUND(C17,2000)=2000),Tableaux!$P$18,AND($D$25=65%,MROUND(C17,2000)=4000),Tableaux!$P$19,AND($D$25=65%,MROUND(C17,2000)=6000),Tableaux!$P$20,AND($D$25=65%,MROUND(C17,2000)=8000),Tableaux!$P$21,AND($D$25=65%,MROUND(C17,2000)=10000),Tableaux!$P$22,AND($D$25=75%,MROUND(C17,2000)=0),Tableaux!$Q$17,AND($D$25=75%,MROUND(C17,2000)=2000),Tableaux!$Q$18,AND($D$25=75%,MROUND(C17,2000)=4000),Tableaux!$Q$19,AND($D$25=75%,MROUND(C17,2000)=6000),Tableaux!$Q$20,AND($D$25=75%,MROUND(C17,2000)=8000),Tableaux!$Q$21,AND($D$25=75%,MROUND(C17,2000)=10000),Tableaux!$Q$22,AND($D$25="MCP",MROUND(C17,2000)=0),Tableaux!$R$17,AND($D$25="MCP",MROUND(C17,2000)=2000),Tableaux!$R$18,AND($D$25="MCP",MROUND(C17,2000)=4000),Tableaux!$R$19,AND($D$25="MCP",MROUND(C17,2000)=6000),Tableaux!$R$20,AND($D$25="MCP",MROUND(C17,2000)=8000),Tableaux!$R$21,AND($D$25="MCP",MROUND(C17,2000)=10000),Tableaux!$R$22)</f>
        <v>96</v>
      </c>
      <c r="I17" s="3">
        <f t="shared" si="0"/>
        <v>15.625</v>
      </c>
      <c r="J17" s="22">
        <f t="shared" si="1"/>
        <v>3.125</v>
      </c>
      <c r="K17" s="23">
        <f t="shared" si="2"/>
        <v>2.3938888847468065</v>
      </c>
      <c r="L17" s="22">
        <f t="shared" si="6"/>
        <v>3.2139380484326967</v>
      </c>
      <c r="M17" s="3">
        <f t="shared" si="3"/>
        <v>99.213938048432695</v>
      </c>
      <c r="N17" s="38">
        <f t="shared" si="4"/>
        <v>247.60611111525319</v>
      </c>
      <c r="O17" s="38">
        <f t="shared" si="5"/>
        <v>15.1188434760825</v>
      </c>
      <c r="P17" s="5"/>
      <c r="R17" s="5"/>
    </row>
    <row r="18" spans="2:18" x14ac:dyDescent="0.25">
      <c r="B18" s="2">
        <v>11</v>
      </c>
      <c r="C18" s="76">
        <v>0</v>
      </c>
      <c r="D18" s="76">
        <v>25</v>
      </c>
      <c r="E18" s="75">
        <v>250</v>
      </c>
      <c r="F18" s="75">
        <v>5</v>
      </c>
      <c r="G18" s="75">
        <v>200</v>
      </c>
      <c r="H18" s="36" cm="1">
        <f t="array" ref="H18">_xlfn.IFS(AND($D$25=55%,MROUND(C18,2000)=0),Tableaux!$O$17,AND($D$25=55%,MROUND(C18,2000)=2000),Tableaux!$O$18,AND($D$25=55%,MROUND(C18,2000)=4000),Tableaux!$O$19,AND($D$25=55%,MROUND(C18,2000)=6000),Tableaux!$O$20,AND($D$25=55%,MROUND(C18,2000)=8000),Tableaux!$O$21,AND($D$25=55%,MROUND(C18,2000)=10000),Tableaux!$O$22,AND($D$25=65%,MROUND(C18,2000)=0),Tableaux!$P$17,AND($D$25=65%,MROUND(C18,2000)=2000),Tableaux!$P$18,AND($D$25=65%,MROUND(C18,2000)=4000),Tableaux!$P$19,AND($D$25=65%,MROUND(C18,2000)=6000),Tableaux!$P$20,AND($D$25=65%,MROUND(C18,2000)=8000),Tableaux!$P$21,AND($D$25=65%,MROUND(C18,2000)=10000),Tableaux!$P$22,AND($D$25=75%,MROUND(C18,2000)=0),Tableaux!$Q$17,AND($D$25=75%,MROUND(C18,2000)=2000),Tableaux!$Q$18,AND($D$25=75%,MROUND(C18,2000)=4000),Tableaux!$Q$19,AND($D$25=75%,MROUND(C18,2000)=6000),Tableaux!$Q$20,AND($D$25=75%,MROUND(C18,2000)=8000),Tableaux!$Q$21,AND($D$25=75%,MROUND(C18,2000)=10000),Tableaux!$Q$22,AND($D$25="MCP",MROUND(C18,2000)=0),Tableaux!$R$17,AND($D$25="MCP",MROUND(C18,2000)=2000),Tableaux!$R$18,AND($D$25="MCP",MROUND(C18,2000)=4000),Tableaux!$R$19,AND($D$25="MCP",MROUND(C18,2000)=6000),Tableaux!$R$20,AND($D$25="MCP",MROUND(C18,2000)=8000),Tableaux!$R$21,AND($D$25="MCP",MROUND(C18,2000)=10000),Tableaux!$R$22)</f>
        <v>96</v>
      </c>
      <c r="I18" s="3">
        <f t="shared" si="0"/>
        <v>15.625</v>
      </c>
      <c r="J18" s="22">
        <f t="shared" si="1"/>
        <v>3.125</v>
      </c>
      <c r="K18" s="23">
        <f t="shared" si="2"/>
        <v>2.3938888847468065</v>
      </c>
      <c r="L18" s="22">
        <f t="shared" si="6"/>
        <v>3.2139380484326967</v>
      </c>
      <c r="M18" s="3">
        <f t="shared" si="3"/>
        <v>99.213938048432695</v>
      </c>
      <c r="N18" s="38">
        <f t="shared" si="4"/>
        <v>247.60611111525319</v>
      </c>
      <c r="O18" s="38">
        <f t="shared" si="5"/>
        <v>15.1188434760825</v>
      </c>
      <c r="P18" s="5"/>
      <c r="R18" s="5"/>
    </row>
    <row r="19" spans="2:18" x14ac:dyDescent="0.25">
      <c r="B19" s="2">
        <v>12</v>
      </c>
      <c r="C19" s="76">
        <v>0</v>
      </c>
      <c r="D19" s="76">
        <v>25</v>
      </c>
      <c r="E19" s="75">
        <v>250</v>
      </c>
      <c r="F19" s="75">
        <v>5</v>
      </c>
      <c r="G19" s="75">
        <v>200</v>
      </c>
      <c r="H19" s="36" cm="1">
        <f t="array" ref="H19">_xlfn.IFS(AND($D$25=55%,MROUND(C19,2000)=0),Tableaux!$O$17,AND($D$25=55%,MROUND(C19,2000)=2000),Tableaux!$O$18,AND($D$25=55%,MROUND(C19,2000)=4000),Tableaux!$O$19,AND($D$25=55%,MROUND(C19,2000)=6000),Tableaux!$O$20,AND($D$25=55%,MROUND(C19,2000)=8000),Tableaux!$O$21,AND($D$25=55%,MROUND(C19,2000)=10000),Tableaux!$O$22,AND($D$25=65%,MROUND(C19,2000)=0),Tableaux!$P$17,AND($D$25=65%,MROUND(C19,2000)=2000),Tableaux!$P$18,AND($D$25=65%,MROUND(C19,2000)=4000),Tableaux!$P$19,AND($D$25=65%,MROUND(C19,2000)=6000),Tableaux!$P$20,AND($D$25=65%,MROUND(C19,2000)=8000),Tableaux!$P$21,AND($D$25=65%,MROUND(C19,2000)=10000),Tableaux!$P$22,AND($D$25=75%,MROUND(C19,2000)=0),Tableaux!$Q$17,AND($D$25=75%,MROUND(C19,2000)=2000),Tableaux!$Q$18,AND($D$25=75%,MROUND(C19,2000)=4000),Tableaux!$Q$19,AND($D$25=75%,MROUND(C19,2000)=6000),Tableaux!$Q$20,AND($D$25=75%,MROUND(C19,2000)=8000),Tableaux!$Q$21,AND($D$25=75%,MROUND(C19,2000)=10000),Tableaux!$Q$22,AND($D$25="MCP",MROUND(C19,2000)=0),Tableaux!$R$17,AND($D$25="MCP",MROUND(C19,2000)=2000),Tableaux!$R$18,AND($D$25="MCP",MROUND(C19,2000)=4000),Tableaux!$R$19,AND($D$25="MCP",MROUND(C19,2000)=6000),Tableaux!$R$20,AND($D$25="MCP",MROUND(C19,2000)=8000),Tableaux!$R$21,AND($D$25="MCP",MROUND(C19,2000)=10000),Tableaux!$R$22)</f>
        <v>96</v>
      </c>
      <c r="I19" s="3">
        <f t="shared" si="0"/>
        <v>15.625</v>
      </c>
      <c r="J19" s="22">
        <f t="shared" si="1"/>
        <v>3.125</v>
      </c>
      <c r="K19" s="23">
        <f t="shared" si="2"/>
        <v>2.3938888847468065</v>
      </c>
      <c r="L19" s="22">
        <f t="shared" si="6"/>
        <v>3.2139380484326967</v>
      </c>
      <c r="M19" s="3">
        <f t="shared" si="3"/>
        <v>99.213938048432695</v>
      </c>
      <c r="N19" s="38">
        <f t="shared" si="4"/>
        <v>247.60611111525319</v>
      </c>
      <c r="O19" s="38">
        <f t="shared" si="5"/>
        <v>15.1188434760825</v>
      </c>
      <c r="P19" s="5"/>
      <c r="R19" s="5"/>
    </row>
    <row r="20" spans="2:18" x14ac:dyDescent="0.25">
      <c r="B20" s="2">
        <v>13</v>
      </c>
      <c r="C20" s="76">
        <v>0</v>
      </c>
      <c r="D20" s="76">
        <v>25</v>
      </c>
      <c r="E20" s="75">
        <v>250</v>
      </c>
      <c r="F20" s="75">
        <v>5</v>
      </c>
      <c r="G20" s="75">
        <v>200</v>
      </c>
      <c r="H20" s="36" cm="1">
        <f t="array" ref="H20">_xlfn.IFS(AND($D$25=55%,MROUND(C20,2000)=0),Tableaux!$O$17,AND($D$25=55%,MROUND(C20,2000)=2000),Tableaux!$O$18,AND($D$25=55%,MROUND(C20,2000)=4000),Tableaux!$O$19,AND($D$25=55%,MROUND(C20,2000)=6000),Tableaux!$O$20,AND($D$25=55%,MROUND(C20,2000)=8000),Tableaux!$O$21,AND($D$25=55%,MROUND(C20,2000)=10000),Tableaux!$O$22,AND($D$25=65%,MROUND(C20,2000)=0),Tableaux!$P$17,AND($D$25=65%,MROUND(C20,2000)=2000),Tableaux!$P$18,AND($D$25=65%,MROUND(C20,2000)=4000),Tableaux!$P$19,AND($D$25=65%,MROUND(C20,2000)=6000),Tableaux!$P$20,AND($D$25=65%,MROUND(C20,2000)=8000),Tableaux!$P$21,AND($D$25=65%,MROUND(C20,2000)=10000),Tableaux!$P$22,AND($D$25=75%,MROUND(C20,2000)=0),Tableaux!$Q$17,AND($D$25=75%,MROUND(C20,2000)=2000),Tableaux!$Q$18,AND($D$25=75%,MROUND(C20,2000)=4000),Tableaux!$Q$19,AND($D$25=75%,MROUND(C20,2000)=6000),Tableaux!$Q$20,AND($D$25=75%,MROUND(C20,2000)=8000),Tableaux!$Q$21,AND($D$25=75%,MROUND(C20,2000)=10000),Tableaux!$Q$22,AND($D$25="MCP",MROUND(C20,2000)=0),Tableaux!$R$17,AND($D$25="MCP",MROUND(C20,2000)=2000),Tableaux!$R$18,AND($D$25="MCP",MROUND(C20,2000)=4000),Tableaux!$R$19,AND($D$25="MCP",MROUND(C20,2000)=6000),Tableaux!$R$20,AND($D$25="MCP",MROUND(C20,2000)=8000),Tableaux!$R$21,AND($D$25="MCP",MROUND(C20,2000)=10000),Tableaux!$R$22)</f>
        <v>96</v>
      </c>
      <c r="I20" s="3">
        <f t="shared" si="0"/>
        <v>15.625</v>
      </c>
      <c r="J20" s="22">
        <f t="shared" si="1"/>
        <v>3.125</v>
      </c>
      <c r="K20" s="23">
        <f t="shared" si="2"/>
        <v>2.3938888847468065</v>
      </c>
      <c r="L20" s="22">
        <f t="shared" si="6"/>
        <v>3.2139380484326967</v>
      </c>
      <c r="M20" s="3">
        <f t="shared" si="3"/>
        <v>99.213938048432695</v>
      </c>
      <c r="N20" s="38">
        <f t="shared" si="4"/>
        <v>247.60611111525319</v>
      </c>
      <c r="O20" s="38">
        <f t="shared" si="5"/>
        <v>15.1188434760825</v>
      </c>
      <c r="P20" s="5"/>
      <c r="R20" s="5"/>
    </row>
    <row r="21" spans="2:18" x14ac:dyDescent="0.25">
      <c r="B21" s="2">
        <v>14</v>
      </c>
      <c r="C21" s="76">
        <v>0</v>
      </c>
      <c r="D21" s="76">
        <v>25</v>
      </c>
      <c r="E21" s="75">
        <v>250</v>
      </c>
      <c r="F21" s="75">
        <v>5</v>
      </c>
      <c r="G21" s="75">
        <v>200</v>
      </c>
      <c r="H21" s="36" cm="1">
        <f t="array" ref="H21">_xlfn.IFS(AND($D$25=55%,MROUND(C21,2000)=0),Tableaux!$O$17,AND($D$25=55%,MROUND(C21,2000)=2000),Tableaux!$O$18,AND($D$25=55%,MROUND(C21,2000)=4000),Tableaux!$O$19,AND($D$25=55%,MROUND(C21,2000)=6000),Tableaux!$O$20,AND($D$25=55%,MROUND(C21,2000)=8000),Tableaux!$O$21,AND($D$25=55%,MROUND(C21,2000)=10000),Tableaux!$O$22,AND($D$25=65%,MROUND(C21,2000)=0),Tableaux!$P$17,AND($D$25=65%,MROUND(C21,2000)=2000),Tableaux!$P$18,AND($D$25=65%,MROUND(C21,2000)=4000),Tableaux!$P$19,AND($D$25=65%,MROUND(C21,2000)=6000),Tableaux!$P$20,AND($D$25=65%,MROUND(C21,2000)=8000),Tableaux!$P$21,AND($D$25=65%,MROUND(C21,2000)=10000),Tableaux!$P$22,AND($D$25=75%,MROUND(C21,2000)=0),Tableaux!$Q$17,AND($D$25=75%,MROUND(C21,2000)=2000),Tableaux!$Q$18,AND($D$25=75%,MROUND(C21,2000)=4000),Tableaux!$Q$19,AND($D$25=75%,MROUND(C21,2000)=6000),Tableaux!$Q$20,AND($D$25=75%,MROUND(C21,2000)=8000),Tableaux!$Q$21,AND($D$25=75%,MROUND(C21,2000)=10000),Tableaux!$Q$22,AND($D$25="MCP",MROUND(C21,2000)=0),Tableaux!$R$17,AND($D$25="MCP",MROUND(C21,2000)=2000),Tableaux!$R$18,AND($D$25="MCP",MROUND(C21,2000)=4000),Tableaux!$R$19,AND($D$25="MCP",MROUND(C21,2000)=6000),Tableaux!$R$20,AND($D$25="MCP",MROUND(C21,2000)=8000),Tableaux!$R$21,AND($D$25="MCP",MROUND(C21,2000)=10000),Tableaux!$R$22)</f>
        <v>96</v>
      </c>
      <c r="I21" s="3">
        <f t="shared" si="0"/>
        <v>15.625</v>
      </c>
      <c r="J21" s="22">
        <f t="shared" si="1"/>
        <v>3.125</v>
      </c>
      <c r="K21" s="23">
        <f t="shared" si="2"/>
        <v>2.3938888847468065</v>
      </c>
      <c r="L21" s="22">
        <f t="shared" si="6"/>
        <v>3.2139380484326967</v>
      </c>
      <c r="M21" s="3">
        <f t="shared" si="3"/>
        <v>99.213938048432695</v>
      </c>
      <c r="N21" s="38">
        <f t="shared" si="4"/>
        <v>247.60611111525319</v>
      </c>
      <c r="O21" s="38">
        <f t="shared" si="5"/>
        <v>15.1188434760825</v>
      </c>
      <c r="P21" s="5"/>
      <c r="R21" s="5"/>
    </row>
    <row r="22" spans="2:18" x14ac:dyDescent="0.25">
      <c r="B22" s="2">
        <v>15</v>
      </c>
      <c r="C22" s="76">
        <v>0</v>
      </c>
      <c r="D22" s="76">
        <v>25</v>
      </c>
      <c r="E22" s="75">
        <v>250</v>
      </c>
      <c r="F22" s="75">
        <v>5</v>
      </c>
      <c r="G22" s="75">
        <v>200</v>
      </c>
      <c r="H22" s="36" cm="1">
        <f t="array" ref="H22">_xlfn.IFS(AND($D$25=55%,MROUND(C22,2000)=0),Tableaux!$O$17,AND($D$25=55%,MROUND(C22,2000)=2000),Tableaux!$O$18,AND($D$25=55%,MROUND(C22,2000)=4000),Tableaux!$O$19,AND($D$25=55%,MROUND(C22,2000)=6000),Tableaux!$O$20,AND($D$25=55%,MROUND(C22,2000)=8000),Tableaux!$O$21,AND($D$25=55%,MROUND(C22,2000)=10000),Tableaux!$O$22,AND($D$25=65%,MROUND(C22,2000)=0),Tableaux!$P$17,AND($D$25=65%,MROUND(C22,2000)=2000),Tableaux!$P$18,AND($D$25=65%,MROUND(C22,2000)=4000),Tableaux!$P$19,AND($D$25=65%,MROUND(C22,2000)=6000),Tableaux!$P$20,AND($D$25=65%,MROUND(C22,2000)=8000),Tableaux!$P$21,AND($D$25=65%,MROUND(C22,2000)=10000),Tableaux!$P$22,AND($D$25=75%,MROUND(C22,2000)=0),Tableaux!$Q$17,AND($D$25=75%,MROUND(C22,2000)=2000),Tableaux!$Q$18,AND($D$25=75%,MROUND(C22,2000)=4000),Tableaux!$Q$19,AND($D$25=75%,MROUND(C22,2000)=6000),Tableaux!$Q$20,AND($D$25=75%,MROUND(C22,2000)=8000),Tableaux!$Q$21,AND($D$25=75%,MROUND(C22,2000)=10000),Tableaux!$Q$22,AND($D$25="MCP",MROUND(C22,2000)=0),Tableaux!$R$17,AND($D$25="MCP",MROUND(C22,2000)=2000),Tableaux!$R$18,AND($D$25="MCP",MROUND(C22,2000)=4000),Tableaux!$R$19,AND($D$25="MCP",MROUND(C22,2000)=6000),Tableaux!$R$20,AND($D$25="MCP",MROUND(C22,2000)=8000),Tableaux!$R$21,AND($D$25="MCP",MROUND(C22,2000)=10000),Tableaux!$R$22)</f>
        <v>96</v>
      </c>
      <c r="I22" s="3">
        <f t="shared" si="0"/>
        <v>15.625</v>
      </c>
      <c r="J22" s="22">
        <f t="shared" si="1"/>
        <v>3.125</v>
      </c>
      <c r="K22" s="23">
        <f t="shared" si="2"/>
        <v>2.3938888847468065</v>
      </c>
      <c r="L22" s="22">
        <f t="shared" si="6"/>
        <v>3.2139380484326967</v>
      </c>
      <c r="M22" s="3">
        <f t="shared" si="3"/>
        <v>99.213938048432695</v>
      </c>
      <c r="N22" s="38">
        <f t="shared" si="4"/>
        <v>247.60611111525319</v>
      </c>
      <c r="O22" s="38">
        <f t="shared" si="5"/>
        <v>15.1188434760825</v>
      </c>
      <c r="P22" s="5"/>
      <c r="R22" s="5"/>
    </row>
    <row r="23" spans="2:18" x14ac:dyDescent="0.25">
      <c r="B23" s="2" t="s">
        <v>41</v>
      </c>
      <c r="C23" s="20"/>
      <c r="D23" s="38">
        <f>SUM(D8:D22)</f>
        <v>375</v>
      </c>
      <c r="E23" s="26"/>
      <c r="F23" s="26"/>
      <c r="G23" s="26"/>
      <c r="H23" s="20"/>
      <c r="I23" s="38">
        <f>SUM(I8:I22)</f>
        <v>237.04268292682929</v>
      </c>
      <c r="J23" s="26"/>
      <c r="K23" s="26"/>
      <c r="L23" s="26"/>
      <c r="M23" s="26"/>
      <c r="N23" s="31"/>
      <c r="O23" s="38">
        <f>SUM(O8:O22)</f>
        <v>228.72388870742978</v>
      </c>
      <c r="P23" s="5"/>
      <c r="Q23" s="5"/>
      <c r="R23" s="5"/>
    </row>
    <row r="24" spans="2:18" ht="15.75" thickBot="1" x14ac:dyDescent="0.3">
      <c r="P24" s="5"/>
      <c r="Q24" s="5"/>
      <c r="R24" s="5"/>
    </row>
    <row r="25" spans="2:18" ht="15.75" thickBot="1" x14ac:dyDescent="0.3">
      <c r="B25" s="59" t="s">
        <v>87</v>
      </c>
      <c r="C25" s="60"/>
      <c r="D25" s="77">
        <v>0.75</v>
      </c>
      <c r="P25" s="5"/>
      <c r="Q25" s="5"/>
      <c r="R25" s="5"/>
    </row>
    <row r="26" spans="2:18" ht="27" customHeight="1" thickBot="1" x14ac:dyDescent="0.3">
      <c r="B26" s="61"/>
      <c r="C26" s="62"/>
      <c r="D26" s="78"/>
      <c r="E26" s="5"/>
      <c r="F26" s="35"/>
      <c r="G26" s="5"/>
      <c r="H26" s="304" t="s">
        <v>122</v>
      </c>
      <c r="I26" s="305"/>
      <c r="J26" s="5"/>
      <c r="K26" s="5"/>
      <c r="L26" s="248" t="s">
        <v>109</v>
      </c>
      <c r="M26" s="249"/>
      <c r="N26" s="249"/>
      <c r="O26" s="249"/>
      <c r="P26" s="249"/>
      <c r="Q26" s="249"/>
      <c r="R26" s="250"/>
    </row>
    <row r="27" spans="2:18" x14ac:dyDescent="0.25">
      <c r="C27" s="35"/>
      <c r="H27" s="306"/>
      <c r="I27" s="307"/>
      <c r="L27" s="251"/>
      <c r="M27" s="252"/>
      <c r="N27" s="252"/>
      <c r="O27" s="252"/>
      <c r="P27" s="252"/>
      <c r="Q27" s="252"/>
      <c r="R27" s="253"/>
    </row>
    <row r="28" spans="2:18" ht="15" customHeight="1" x14ac:dyDescent="0.25">
      <c r="H28" s="306"/>
      <c r="I28" s="307"/>
      <c r="L28" s="251"/>
      <c r="M28" s="252"/>
      <c r="N28" s="252"/>
      <c r="O28" s="252"/>
      <c r="P28" s="252"/>
      <c r="Q28" s="252"/>
      <c r="R28" s="253"/>
    </row>
    <row r="29" spans="2:18" ht="15" customHeight="1" x14ac:dyDescent="0.25">
      <c r="H29" s="306"/>
      <c r="I29" s="307"/>
      <c r="L29" s="251"/>
      <c r="M29" s="252"/>
      <c r="N29" s="252"/>
      <c r="O29" s="252"/>
      <c r="P29" s="252"/>
      <c r="Q29" s="252"/>
      <c r="R29" s="253"/>
    </row>
    <row r="30" spans="2:18" ht="15" customHeight="1" thickBot="1" x14ac:dyDescent="0.3">
      <c r="H30" s="308"/>
      <c r="I30" s="309"/>
      <c r="L30" s="254"/>
      <c r="M30" s="255"/>
      <c r="N30" s="255"/>
      <c r="O30" s="255"/>
      <c r="P30" s="255"/>
      <c r="Q30" s="255"/>
      <c r="R30" s="256"/>
    </row>
    <row r="31" spans="2:18" ht="15" customHeight="1" x14ac:dyDescent="0.25"/>
    <row r="32" spans="2:18" ht="15.75" customHeight="1" x14ac:dyDescent="0.25"/>
    <row r="38" ht="15" customHeight="1" x14ac:dyDescent="0.25"/>
    <row r="39" ht="15" customHeight="1" x14ac:dyDescent="0.25"/>
    <row r="40" ht="15" customHeight="1" x14ac:dyDescent="0.25"/>
    <row r="52" spans="1:12" x14ac:dyDescent="0.25">
      <c r="K52" s="5"/>
      <c r="L52" s="5"/>
    </row>
    <row r="53" spans="1:12" x14ac:dyDescent="0.25">
      <c r="K53" s="5"/>
      <c r="L53" s="5"/>
    </row>
    <row r="54" spans="1:12" x14ac:dyDescent="0.25">
      <c r="K54" s="5"/>
      <c r="L54" s="5"/>
    </row>
    <row r="59" spans="1:12" x14ac:dyDescent="0.25">
      <c r="A59" s="73"/>
      <c r="B59" s="74"/>
      <c r="C59" s="73"/>
      <c r="D59" s="73"/>
    </row>
    <row r="60" spans="1:12" x14ac:dyDescent="0.25">
      <c r="A60" s="73"/>
      <c r="B60" s="74"/>
      <c r="C60" s="73"/>
      <c r="D60" s="73"/>
    </row>
    <row r="61" spans="1:12" x14ac:dyDescent="0.25">
      <c r="A61" s="73"/>
      <c r="B61" s="73"/>
      <c r="C61" s="73"/>
      <c r="D61" s="73"/>
    </row>
    <row r="62" spans="1:12" x14ac:dyDescent="0.25">
      <c r="A62" s="73"/>
      <c r="B62" s="74"/>
      <c r="C62" s="73"/>
      <c r="D62" s="73"/>
    </row>
    <row r="63" spans="1:12" x14ac:dyDescent="0.25">
      <c r="A63" s="73"/>
      <c r="B63" s="74"/>
      <c r="C63" s="73"/>
      <c r="D63" s="73"/>
    </row>
    <row r="64" spans="1:12" x14ac:dyDescent="0.25">
      <c r="A64" s="73"/>
      <c r="B64" s="73"/>
      <c r="C64" s="73"/>
      <c r="D64" s="73"/>
    </row>
  </sheetData>
  <mergeCells count="8">
    <mergeCell ref="L26:R30"/>
    <mergeCell ref="H26:I30"/>
    <mergeCell ref="B2:O4"/>
    <mergeCell ref="C6:G6"/>
    <mergeCell ref="H6:O6"/>
    <mergeCell ref="B6:B7"/>
    <mergeCell ref="B25:C26"/>
    <mergeCell ref="D25:D26"/>
  </mergeCells>
  <conditionalFormatting sqref="H8:H22">
    <cfRule type="expression" dxfId="4" priority="1">
      <formula>H8="Altitude trop haute"</formula>
    </cfRule>
  </conditionalFormatting>
  <dataValidations count="1">
    <dataValidation type="list" allowBlank="1" showInputMessage="1" showErrorMessage="1" sqref="C27" xr:uid="{822004AB-83DC-489D-9278-2C5400DA4F40}">
      <formula1>$C$25:$C$27</formula1>
    </dataValidation>
  </dataValidations>
  <hyperlinks>
    <hyperlink ref="L26" location="Carburant!A1" display="Carburant!A1" xr:uid="{C56AD327-4AB3-4988-9A04-72079FDB4293}"/>
    <hyperlink ref="H26:I30" location="Accueil!A1" display="◀︎ Menu" xr:uid="{229BEC92-5F6D-487C-A372-C14C81315CAD}"/>
  </hyperlink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437FD8F-B2B2-4529-9E54-C86FF53B6153}">
          <x14:formula1>
            <xm:f>Options!$D$9:$D$12</xm:f>
          </x14:formula1>
          <xm:sqref>D25:D26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D42F2-59C5-4040-AA27-B252E5DD000D}">
  <dimension ref="B1:R27"/>
  <sheetViews>
    <sheetView workbookViewId="0">
      <selection activeCell="D23" sqref="D23:E27"/>
    </sheetView>
  </sheetViews>
  <sheetFormatPr baseColWidth="10" defaultRowHeight="15" x14ac:dyDescent="0.25"/>
  <cols>
    <col min="2" max="3" width="13.140625" bestFit="1" customWidth="1"/>
  </cols>
  <sheetData>
    <row r="1" spans="2:6" ht="15.75" thickBot="1" x14ac:dyDescent="0.3"/>
    <row r="2" spans="2:6" ht="15" customHeight="1" x14ac:dyDescent="0.25">
      <c r="B2" s="210" t="s">
        <v>44</v>
      </c>
      <c r="C2" s="211"/>
      <c r="D2" s="211"/>
      <c r="E2" s="212"/>
      <c r="F2" s="165"/>
    </row>
    <row r="3" spans="2:6" ht="15" customHeight="1" x14ac:dyDescent="0.25">
      <c r="B3" s="213"/>
      <c r="C3" s="214"/>
      <c r="D3" s="214"/>
      <c r="E3" s="215"/>
      <c r="F3" s="165"/>
    </row>
    <row r="4" spans="2:6" ht="15" customHeight="1" thickBot="1" x14ac:dyDescent="0.3">
      <c r="B4" s="216"/>
      <c r="C4" s="217"/>
      <c r="D4" s="217"/>
      <c r="E4" s="218"/>
      <c r="F4" s="165"/>
    </row>
    <row r="5" spans="2:6" ht="15.75" thickBot="1" x14ac:dyDescent="0.3"/>
    <row r="6" spans="2:6" ht="15.75" thickBot="1" x14ac:dyDescent="0.3">
      <c r="B6" s="125" t="s">
        <v>88</v>
      </c>
      <c r="C6" s="126"/>
      <c r="D6" s="127" cm="1">
        <f t="array" ref="D6">_xlfn.IFS('Log de Nav'!D25=55%,Tableaux!KB28,'Log de Nav'!D25=65%,Tableaux!I29,'Log de Nav'!D25=75%,Tableaux!I30,'Log de Nav'!D25="MCP",Tableaux!I31)</f>
        <v>17.399999999999999</v>
      </c>
    </row>
    <row r="7" spans="2:6" ht="15.75" thickBot="1" x14ac:dyDescent="0.3"/>
    <row r="8" spans="2:6" ht="15.75" thickBot="1" x14ac:dyDescent="0.3">
      <c r="B8" s="138" t="s">
        <v>47</v>
      </c>
      <c r="C8" s="139"/>
      <c r="D8" s="128" t="s">
        <v>48</v>
      </c>
      <c r="E8" s="129" t="s">
        <v>49</v>
      </c>
    </row>
    <row r="9" spans="2:6" x14ac:dyDescent="0.25">
      <c r="B9" s="79" t="s">
        <v>50</v>
      </c>
      <c r="C9" s="144" t="s">
        <v>51</v>
      </c>
      <c r="D9" s="130">
        <v>5</v>
      </c>
      <c r="E9" s="131">
        <f>D9/60*Tableaux!I31</f>
        <v>1.8666666666666665</v>
      </c>
    </row>
    <row r="10" spans="2:6" x14ac:dyDescent="0.25">
      <c r="B10" s="80"/>
      <c r="C10" s="147" t="s">
        <v>47</v>
      </c>
      <c r="D10" s="132">
        <f>'Log de Nav'!O23</f>
        <v>228.72388870742978</v>
      </c>
      <c r="E10" s="133">
        <f>D10/60*D6</f>
        <v>66.329927725154633</v>
      </c>
    </row>
    <row r="11" spans="2:6" ht="15.75" thickBot="1" x14ac:dyDescent="0.3">
      <c r="B11" s="146"/>
      <c r="C11" s="145" t="s">
        <v>57</v>
      </c>
      <c r="D11" s="134">
        <v>5</v>
      </c>
      <c r="E11" s="133">
        <f>D11/60*D6</f>
        <v>1.4499999999999997</v>
      </c>
    </row>
    <row r="12" spans="2:6" ht="15.75" thickBot="1" x14ac:dyDescent="0.3">
      <c r="B12" s="140" t="s">
        <v>58</v>
      </c>
      <c r="C12" s="141"/>
      <c r="D12" s="135">
        <v>30</v>
      </c>
      <c r="E12" s="133">
        <f>D12/60*D6</f>
        <v>8.6999999999999993</v>
      </c>
    </row>
    <row r="13" spans="2:6" x14ac:dyDescent="0.25">
      <c r="B13" s="79" t="s">
        <v>59</v>
      </c>
      <c r="C13" s="144" t="s">
        <v>47</v>
      </c>
      <c r="D13" s="134">
        <v>15</v>
      </c>
      <c r="E13" s="133">
        <f>D13/60*D6</f>
        <v>4.3499999999999996</v>
      </c>
    </row>
    <row r="14" spans="2:6" ht="15.75" thickBot="1" x14ac:dyDescent="0.3">
      <c r="B14" s="146"/>
      <c r="C14" s="145" t="s">
        <v>57</v>
      </c>
      <c r="D14" s="134">
        <v>5</v>
      </c>
      <c r="E14" s="133">
        <f>D14/60*D6</f>
        <v>1.4499999999999997</v>
      </c>
    </row>
    <row r="15" spans="2:6" ht="15.75" thickBot="1" x14ac:dyDescent="0.3">
      <c r="B15" s="140" t="s">
        <v>89</v>
      </c>
      <c r="C15" s="141"/>
      <c r="D15" s="134">
        <v>5</v>
      </c>
      <c r="E15" s="133">
        <f>D15/60*D6</f>
        <v>1.4499999999999997</v>
      </c>
    </row>
    <row r="16" spans="2:6" ht="15.75" thickBot="1" x14ac:dyDescent="0.3">
      <c r="B16" s="142" t="s">
        <v>60</v>
      </c>
      <c r="C16" s="143"/>
      <c r="D16" s="136">
        <f>SUM(D9:D15)</f>
        <v>293.72388870742975</v>
      </c>
      <c r="E16" s="137">
        <f>SUM(E9:E14)</f>
        <v>84.146594391821296</v>
      </c>
      <c r="F16" s="5"/>
    </row>
    <row r="22" spans="4:18" ht="15.75" thickBot="1" x14ac:dyDescent="0.3"/>
    <row r="23" spans="4:18" ht="15" customHeight="1" x14ac:dyDescent="0.25">
      <c r="D23" s="304" t="s">
        <v>122</v>
      </c>
      <c r="E23" s="305"/>
      <c r="G23" s="248" t="s">
        <v>113</v>
      </c>
      <c r="H23" s="249"/>
      <c r="I23" s="249"/>
      <c r="J23" s="250"/>
      <c r="L23" s="248" t="s">
        <v>110</v>
      </c>
      <c r="M23" s="249"/>
      <c r="N23" s="249"/>
      <c r="O23" s="249"/>
      <c r="P23" s="249"/>
      <c r="Q23" s="249"/>
      <c r="R23" s="250"/>
    </row>
    <row r="24" spans="4:18" ht="15" customHeight="1" x14ac:dyDescent="0.25">
      <c r="D24" s="306"/>
      <c r="E24" s="307"/>
      <c r="G24" s="251"/>
      <c r="H24" s="252"/>
      <c r="I24" s="252"/>
      <c r="J24" s="253"/>
      <c r="L24" s="251"/>
      <c r="M24" s="252"/>
      <c r="N24" s="252"/>
      <c r="O24" s="252"/>
      <c r="P24" s="252"/>
      <c r="Q24" s="252"/>
      <c r="R24" s="253"/>
    </row>
    <row r="25" spans="4:18" ht="15" customHeight="1" x14ac:dyDescent="0.25">
      <c r="D25" s="306"/>
      <c r="E25" s="307"/>
      <c r="G25" s="251"/>
      <c r="H25" s="252"/>
      <c r="I25" s="252"/>
      <c r="J25" s="253"/>
      <c r="L25" s="251"/>
      <c r="M25" s="252"/>
      <c r="N25" s="252"/>
      <c r="O25" s="252"/>
      <c r="P25" s="252"/>
      <c r="Q25" s="252"/>
      <c r="R25" s="253"/>
    </row>
    <row r="26" spans="4:18" ht="15" customHeight="1" x14ac:dyDescent="0.25">
      <c r="D26" s="306"/>
      <c r="E26" s="307"/>
      <c r="G26" s="251"/>
      <c r="H26" s="252"/>
      <c r="I26" s="252"/>
      <c r="J26" s="253"/>
      <c r="L26" s="251"/>
      <c r="M26" s="252"/>
      <c r="N26" s="252"/>
      <c r="O26" s="252"/>
      <c r="P26" s="252"/>
      <c r="Q26" s="252"/>
      <c r="R26" s="253"/>
    </row>
    <row r="27" spans="4:18" ht="15.75" customHeight="1" thickBot="1" x14ac:dyDescent="0.3">
      <c r="D27" s="308"/>
      <c r="E27" s="309"/>
      <c r="G27" s="254"/>
      <c r="H27" s="255"/>
      <c r="I27" s="255"/>
      <c r="J27" s="256"/>
      <c r="L27" s="254"/>
      <c r="M27" s="255"/>
      <c r="N27" s="255"/>
      <c r="O27" s="255"/>
      <c r="P27" s="255"/>
      <c r="Q27" s="255"/>
      <c r="R27" s="256"/>
    </row>
  </sheetData>
  <mergeCells count="11">
    <mergeCell ref="L23:R27"/>
    <mergeCell ref="G23:J27"/>
    <mergeCell ref="D23:E27"/>
    <mergeCell ref="B15:C15"/>
    <mergeCell ref="B6:C6"/>
    <mergeCell ref="B16:C16"/>
    <mergeCell ref="B8:C8"/>
    <mergeCell ref="B13:B14"/>
    <mergeCell ref="B12:C12"/>
    <mergeCell ref="B9:B11"/>
    <mergeCell ref="B2:E4"/>
  </mergeCells>
  <hyperlinks>
    <hyperlink ref="L23" location="Carburant!A1" display="Carburant!A1" xr:uid="{9DC0BE59-596B-46FB-9110-5916151F706E}"/>
    <hyperlink ref="L23:R27" location="CG!A1" display="▶︎ Calculer la masse et le centrage" xr:uid="{55B1A53A-C3E4-486B-A88B-40210E2B8AD7}"/>
    <hyperlink ref="G23:J27" location="'Log de Nav'!A1" display="◀︎ Revenir en arrière" xr:uid="{FA84C4CB-AEFF-4854-890E-1499F26971A6}"/>
    <hyperlink ref="D23:E27" location="Accueil!A1" display="◀︎ Menu" xr:uid="{D707A487-B45A-4CF0-8B60-88A9420E6835}"/>
  </hyperlink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C314B-1418-4F0E-AAFE-51D551A4093B}">
  <sheetPr>
    <pageSetUpPr fitToPage="1"/>
  </sheetPr>
  <dimension ref="B1:R33"/>
  <sheetViews>
    <sheetView zoomScale="97" zoomScaleNormal="97" zoomScaleSheetLayoutView="75" workbookViewId="0">
      <selection activeCell="B28" sqref="B28:G32"/>
    </sheetView>
  </sheetViews>
  <sheetFormatPr baseColWidth="10" defaultColWidth="11.42578125" defaultRowHeight="12.75" x14ac:dyDescent="0.2"/>
  <cols>
    <col min="1" max="1" width="3.5703125" style="8" customWidth="1"/>
    <col min="2" max="2" width="18.28515625" style="8" bestFit="1" customWidth="1"/>
    <col min="3" max="3" width="15.85546875" style="9" customWidth="1"/>
    <col min="4" max="4" width="19" style="9" customWidth="1"/>
    <col min="5" max="5" width="16.5703125" style="9" customWidth="1"/>
    <col min="6" max="6" width="9.5703125" style="8" customWidth="1"/>
    <col min="7" max="7" width="9.7109375" style="8" customWidth="1"/>
    <col min="8" max="8" width="8.85546875" style="8" bestFit="1" customWidth="1"/>
    <col min="9" max="10" width="11.42578125" style="8"/>
    <col min="11" max="11" width="7" style="8" customWidth="1"/>
    <col min="12" max="12" width="15" style="8" customWidth="1"/>
    <col min="13" max="13" width="15.5703125" style="8" bestFit="1" customWidth="1"/>
    <col min="14" max="256" width="11.42578125" style="8"/>
    <col min="257" max="257" width="3.5703125" style="8" customWidth="1"/>
    <col min="258" max="258" width="13.42578125" style="8" bestFit="1" customWidth="1"/>
    <col min="259" max="259" width="9" style="8" customWidth="1"/>
    <col min="260" max="260" width="11.28515625" style="8" customWidth="1"/>
    <col min="261" max="261" width="13.42578125" style="8" bestFit="1" customWidth="1"/>
    <col min="262" max="262" width="9.5703125" style="8" customWidth="1"/>
    <col min="263" max="263" width="9.7109375" style="8" customWidth="1"/>
    <col min="264" max="264" width="8.85546875" style="8" bestFit="1" customWidth="1"/>
    <col min="265" max="266" width="11.42578125" style="8"/>
    <col min="267" max="267" width="7" style="8" customWidth="1"/>
    <col min="268" max="268" width="8.85546875" style="8" customWidth="1"/>
    <col min="269" max="512" width="11.42578125" style="8"/>
    <col min="513" max="513" width="3.5703125" style="8" customWidth="1"/>
    <col min="514" max="514" width="13.42578125" style="8" bestFit="1" customWidth="1"/>
    <col min="515" max="515" width="9" style="8" customWidth="1"/>
    <col min="516" max="516" width="11.28515625" style="8" customWidth="1"/>
    <col min="517" max="517" width="13.42578125" style="8" bestFit="1" customWidth="1"/>
    <col min="518" max="518" width="9.5703125" style="8" customWidth="1"/>
    <col min="519" max="519" width="9.7109375" style="8" customWidth="1"/>
    <col min="520" max="520" width="8.85546875" style="8" bestFit="1" customWidth="1"/>
    <col min="521" max="522" width="11.42578125" style="8"/>
    <col min="523" max="523" width="7" style="8" customWidth="1"/>
    <col min="524" max="524" width="8.85546875" style="8" customWidth="1"/>
    <col min="525" max="768" width="11.42578125" style="8"/>
    <col min="769" max="769" width="3.5703125" style="8" customWidth="1"/>
    <col min="770" max="770" width="13.42578125" style="8" bestFit="1" customWidth="1"/>
    <col min="771" max="771" width="9" style="8" customWidth="1"/>
    <col min="772" max="772" width="11.28515625" style="8" customWidth="1"/>
    <col min="773" max="773" width="13.42578125" style="8" bestFit="1" customWidth="1"/>
    <col min="774" max="774" width="9.5703125" style="8" customWidth="1"/>
    <col min="775" max="775" width="9.7109375" style="8" customWidth="1"/>
    <col min="776" max="776" width="8.85546875" style="8" bestFit="1" customWidth="1"/>
    <col min="777" max="778" width="11.42578125" style="8"/>
    <col min="779" max="779" width="7" style="8" customWidth="1"/>
    <col min="780" max="780" width="8.85546875" style="8" customWidth="1"/>
    <col min="781" max="1024" width="11.42578125" style="8"/>
    <col min="1025" max="1025" width="3.5703125" style="8" customWidth="1"/>
    <col min="1026" max="1026" width="13.42578125" style="8" bestFit="1" customWidth="1"/>
    <col min="1027" max="1027" width="9" style="8" customWidth="1"/>
    <col min="1028" max="1028" width="11.28515625" style="8" customWidth="1"/>
    <col min="1029" max="1029" width="13.42578125" style="8" bestFit="1" customWidth="1"/>
    <col min="1030" max="1030" width="9.5703125" style="8" customWidth="1"/>
    <col min="1031" max="1031" width="9.7109375" style="8" customWidth="1"/>
    <col min="1032" max="1032" width="8.85546875" style="8" bestFit="1" customWidth="1"/>
    <col min="1033" max="1034" width="11.42578125" style="8"/>
    <col min="1035" max="1035" width="7" style="8" customWidth="1"/>
    <col min="1036" max="1036" width="8.85546875" style="8" customWidth="1"/>
    <col min="1037" max="1280" width="11.42578125" style="8"/>
    <col min="1281" max="1281" width="3.5703125" style="8" customWidth="1"/>
    <col min="1282" max="1282" width="13.42578125" style="8" bestFit="1" customWidth="1"/>
    <col min="1283" max="1283" width="9" style="8" customWidth="1"/>
    <col min="1284" max="1284" width="11.28515625" style="8" customWidth="1"/>
    <col min="1285" max="1285" width="13.42578125" style="8" bestFit="1" customWidth="1"/>
    <col min="1286" max="1286" width="9.5703125" style="8" customWidth="1"/>
    <col min="1287" max="1287" width="9.7109375" style="8" customWidth="1"/>
    <col min="1288" max="1288" width="8.85546875" style="8" bestFit="1" customWidth="1"/>
    <col min="1289" max="1290" width="11.42578125" style="8"/>
    <col min="1291" max="1291" width="7" style="8" customWidth="1"/>
    <col min="1292" max="1292" width="8.85546875" style="8" customWidth="1"/>
    <col min="1293" max="1536" width="11.42578125" style="8"/>
    <col min="1537" max="1537" width="3.5703125" style="8" customWidth="1"/>
    <col min="1538" max="1538" width="13.42578125" style="8" bestFit="1" customWidth="1"/>
    <col min="1539" max="1539" width="9" style="8" customWidth="1"/>
    <col min="1540" max="1540" width="11.28515625" style="8" customWidth="1"/>
    <col min="1541" max="1541" width="13.42578125" style="8" bestFit="1" customWidth="1"/>
    <col min="1542" max="1542" width="9.5703125" style="8" customWidth="1"/>
    <col min="1543" max="1543" width="9.7109375" style="8" customWidth="1"/>
    <col min="1544" max="1544" width="8.85546875" style="8" bestFit="1" customWidth="1"/>
    <col min="1545" max="1546" width="11.42578125" style="8"/>
    <col min="1547" max="1547" width="7" style="8" customWidth="1"/>
    <col min="1548" max="1548" width="8.85546875" style="8" customWidth="1"/>
    <col min="1549" max="1792" width="11.42578125" style="8"/>
    <col min="1793" max="1793" width="3.5703125" style="8" customWidth="1"/>
    <col min="1794" max="1794" width="13.42578125" style="8" bestFit="1" customWidth="1"/>
    <col min="1795" max="1795" width="9" style="8" customWidth="1"/>
    <col min="1796" max="1796" width="11.28515625" style="8" customWidth="1"/>
    <col min="1797" max="1797" width="13.42578125" style="8" bestFit="1" customWidth="1"/>
    <col min="1798" max="1798" width="9.5703125" style="8" customWidth="1"/>
    <col min="1799" max="1799" width="9.7109375" style="8" customWidth="1"/>
    <col min="1800" max="1800" width="8.85546875" style="8" bestFit="1" customWidth="1"/>
    <col min="1801" max="1802" width="11.42578125" style="8"/>
    <col min="1803" max="1803" width="7" style="8" customWidth="1"/>
    <col min="1804" max="1804" width="8.85546875" style="8" customWidth="1"/>
    <col min="1805" max="2048" width="11.42578125" style="8"/>
    <col min="2049" max="2049" width="3.5703125" style="8" customWidth="1"/>
    <col min="2050" max="2050" width="13.42578125" style="8" bestFit="1" customWidth="1"/>
    <col min="2051" max="2051" width="9" style="8" customWidth="1"/>
    <col min="2052" max="2052" width="11.28515625" style="8" customWidth="1"/>
    <col min="2053" max="2053" width="13.42578125" style="8" bestFit="1" customWidth="1"/>
    <col min="2054" max="2054" width="9.5703125" style="8" customWidth="1"/>
    <col min="2055" max="2055" width="9.7109375" style="8" customWidth="1"/>
    <col min="2056" max="2056" width="8.85546875" style="8" bestFit="1" customWidth="1"/>
    <col min="2057" max="2058" width="11.42578125" style="8"/>
    <col min="2059" max="2059" width="7" style="8" customWidth="1"/>
    <col min="2060" max="2060" width="8.85546875" style="8" customWidth="1"/>
    <col min="2061" max="2304" width="11.42578125" style="8"/>
    <col min="2305" max="2305" width="3.5703125" style="8" customWidth="1"/>
    <col min="2306" max="2306" width="13.42578125" style="8" bestFit="1" customWidth="1"/>
    <col min="2307" max="2307" width="9" style="8" customWidth="1"/>
    <col min="2308" max="2308" width="11.28515625" style="8" customWidth="1"/>
    <col min="2309" max="2309" width="13.42578125" style="8" bestFit="1" customWidth="1"/>
    <col min="2310" max="2310" width="9.5703125" style="8" customWidth="1"/>
    <col min="2311" max="2311" width="9.7109375" style="8" customWidth="1"/>
    <col min="2312" max="2312" width="8.85546875" style="8" bestFit="1" customWidth="1"/>
    <col min="2313" max="2314" width="11.42578125" style="8"/>
    <col min="2315" max="2315" width="7" style="8" customWidth="1"/>
    <col min="2316" max="2316" width="8.85546875" style="8" customWidth="1"/>
    <col min="2317" max="2560" width="11.42578125" style="8"/>
    <col min="2561" max="2561" width="3.5703125" style="8" customWidth="1"/>
    <col min="2562" max="2562" width="13.42578125" style="8" bestFit="1" customWidth="1"/>
    <col min="2563" max="2563" width="9" style="8" customWidth="1"/>
    <col min="2564" max="2564" width="11.28515625" style="8" customWidth="1"/>
    <col min="2565" max="2565" width="13.42578125" style="8" bestFit="1" customWidth="1"/>
    <col min="2566" max="2566" width="9.5703125" style="8" customWidth="1"/>
    <col min="2567" max="2567" width="9.7109375" style="8" customWidth="1"/>
    <col min="2568" max="2568" width="8.85546875" style="8" bestFit="1" customWidth="1"/>
    <col min="2569" max="2570" width="11.42578125" style="8"/>
    <col min="2571" max="2571" width="7" style="8" customWidth="1"/>
    <col min="2572" max="2572" width="8.85546875" style="8" customWidth="1"/>
    <col min="2573" max="2816" width="11.42578125" style="8"/>
    <col min="2817" max="2817" width="3.5703125" style="8" customWidth="1"/>
    <col min="2818" max="2818" width="13.42578125" style="8" bestFit="1" customWidth="1"/>
    <col min="2819" max="2819" width="9" style="8" customWidth="1"/>
    <col min="2820" max="2820" width="11.28515625" style="8" customWidth="1"/>
    <col min="2821" max="2821" width="13.42578125" style="8" bestFit="1" customWidth="1"/>
    <col min="2822" max="2822" width="9.5703125" style="8" customWidth="1"/>
    <col min="2823" max="2823" width="9.7109375" style="8" customWidth="1"/>
    <col min="2824" max="2824" width="8.85546875" style="8" bestFit="1" customWidth="1"/>
    <col min="2825" max="2826" width="11.42578125" style="8"/>
    <col min="2827" max="2827" width="7" style="8" customWidth="1"/>
    <col min="2828" max="2828" width="8.85546875" style="8" customWidth="1"/>
    <col min="2829" max="3072" width="11.42578125" style="8"/>
    <col min="3073" max="3073" width="3.5703125" style="8" customWidth="1"/>
    <col min="3074" max="3074" width="13.42578125" style="8" bestFit="1" customWidth="1"/>
    <col min="3075" max="3075" width="9" style="8" customWidth="1"/>
    <col min="3076" max="3076" width="11.28515625" style="8" customWidth="1"/>
    <col min="3077" max="3077" width="13.42578125" style="8" bestFit="1" customWidth="1"/>
    <col min="3078" max="3078" width="9.5703125" style="8" customWidth="1"/>
    <col min="3079" max="3079" width="9.7109375" style="8" customWidth="1"/>
    <col min="3080" max="3080" width="8.85546875" style="8" bestFit="1" customWidth="1"/>
    <col min="3081" max="3082" width="11.42578125" style="8"/>
    <col min="3083" max="3083" width="7" style="8" customWidth="1"/>
    <col min="3084" max="3084" width="8.85546875" style="8" customWidth="1"/>
    <col min="3085" max="3328" width="11.42578125" style="8"/>
    <col min="3329" max="3329" width="3.5703125" style="8" customWidth="1"/>
    <col min="3330" max="3330" width="13.42578125" style="8" bestFit="1" customWidth="1"/>
    <col min="3331" max="3331" width="9" style="8" customWidth="1"/>
    <col min="3332" max="3332" width="11.28515625" style="8" customWidth="1"/>
    <col min="3333" max="3333" width="13.42578125" style="8" bestFit="1" customWidth="1"/>
    <col min="3334" max="3334" width="9.5703125" style="8" customWidth="1"/>
    <col min="3335" max="3335" width="9.7109375" style="8" customWidth="1"/>
    <col min="3336" max="3336" width="8.85546875" style="8" bestFit="1" customWidth="1"/>
    <col min="3337" max="3338" width="11.42578125" style="8"/>
    <col min="3339" max="3339" width="7" style="8" customWidth="1"/>
    <col min="3340" max="3340" width="8.85546875" style="8" customWidth="1"/>
    <col min="3341" max="3584" width="11.42578125" style="8"/>
    <col min="3585" max="3585" width="3.5703125" style="8" customWidth="1"/>
    <col min="3586" max="3586" width="13.42578125" style="8" bestFit="1" customWidth="1"/>
    <col min="3587" max="3587" width="9" style="8" customWidth="1"/>
    <col min="3588" max="3588" width="11.28515625" style="8" customWidth="1"/>
    <col min="3589" max="3589" width="13.42578125" style="8" bestFit="1" customWidth="1"/>
    <col min="3590" max="3590" width="9.5703125" style="8" customWidth="1"/>
    <col min="3591" max="3591" width="9.7109375" style="8" customWidth="1"/>
    <col min="3592" max="3592" width="8.85546875" style="8" bestFit="1" customWidth="1"/>
    <col min="3593" max="3594" width="11.42578125" style="8"/>
    <col min="3595" max="3595" width="7" style="8" customWidth="1"/>
    <col min="3596" max="3596" width="8.85546875" style="8" customWidth="1"/>
    <col min="3597" max="3840" width="11.42578125" style="8"/>
    <col min="3841" max="3841" width="3.5703125" style="8" customWidth="1"/>
    <col min="3842" max="3842" width="13.42578125" style="8" bestFit="1" customWidth="1"/>
    <col min="3843" max="3843" width="9" style="8" customWidth="1"/>
    <col min="3844" max="3844" width="11.28515625" style="8" customWidth="1"/>
    <col min="3845" max="3845" width="13.42578125" style="8" bestFit="1" customWidth="1"/>
    <col min="3846" max="3846" width="9.5703125" style="8" customWidth="1"/>
    <col min="3847" max="3847" width="9.7109375" style="8" customWidth="1"/>
    <col min="3848" max="3848" width="8.85546875" style="8" bestFit="1" customWidth="1"/>
    <col min="3849" max="3850" width="11.42578125" style="8"/>
    <col min="3851" max="3851" width="7" style="8" customWidth="1"/>
    <col min="3852" max="3852" width="8.85546875" style="8" customWidth="1"/>
    <col min="3853" max="4096" width="11.42578125" style="8"/>
    <col min="4097" max="4097" width="3.5703125" style="8" customWidth="1"/>
    <col min="4098" max="4098" width="13.42578125" style="8" bestFit="1" customWidth="1"/>
    <col min="4099" max="4099" width="9" style="8" customWidth="1"/>
    <col min="4100" max="4100" width="11.28515625" style="8" customWidth="1"/>
    <col min="4101" max="4101" width="13.42578125" style="8" bestFit="1" customWidth="1"/>
    <col min="4102" max="4102" width="9.5703125" style="8" customWidth="1"/>
    <col min="4103" max="4103" width="9.7109375" style="8" customWidth="1"/>
    <col min="4104" max="4104" width="8.85546875" style="8" bestFit="1" customWidth="1"/>
    <col min="4105" max="4106" width="11.42578125" style="8"/>
    <col min="4107" max="4107" width="7" style="8" customWidth="1"/>
    <col min="4108" max="4108" width="8.85546875" style="8" customWidth="1"/>
    <col min="4109" max="4352" width="11.42578125" style="8"/>
    <col min="4353" max="4353" width="3.5703125" style="8" customWidth="1"/>
    <col min="4354" max="4354" width="13.42578125" style="8" bestFit="1" customWidth="1"/>
    <col min="4355" max="4355" width="9" style="8" customWidth="1"/>
    <col min="4356" max="4356" width="11.28515625" style="8" customWidth="1"/>
    <col min="4357" max="4357" width="13.42578125" style="8" bestFit="1" customWidth="1"/>
    <col min="4358" max="4358" width="9.5703125" style="8" customWidth="1"/>
    <col min="4359" max="4359" width="9.7109375" style="8" customWidth="1"/>
    <col min="4360" max="4360" width="8.85546875" style="8" bestFit="1" customWidth="1"/>
    <col min="4361" max="4362" width="11.42578125" style="8"/>
    <col min="4363" max="4363" width="7" style="8" customWidth="1"/>
    <col min="4364" max="4364" width="8.85546875" style="8" customWidth="1"/>
    <col min="4365" max="4608" width="11.42578125" style="8"/>
    <col min="4609" max="4609" width="3.5703125" style="8" customWidth="1"/>
    <col min="4610" max="4610" width="13.42578125" style="8" bestFit="1" customWidth="1"/>
    <col min="4611" max="4611" width="9" style="8" customWidth="1"/>
    <col min="4612" max="4612" width="11.28515625" style="8" customWidth="1"/>
    <col min="4613" max="4613" width="13.42578125" style="8" bestFit="1" customWidth="1"/>
    <col min="4614" max="4614" width="9.5703125" style="8" customWidth="1"/>
    <col min="4615" max="4615" width="9.7109375" style="8" customWidth="1"/>
    <col min="4616" max="4616" width="8.85546875" style="8" bestFit="1" customWidth="1"/>
    <col min="4617" max="4618" width="11.42578125" style="8"/>
    <col min="4619" max="4619" width="7" style="8" customWidth="1"/>
    <col min="4620" max="4620" width="8.85546875" style="8" customWidth="1"/>
    <col min="4621" max="4864" width="11.42578125" style="8"/>
    <col min="4865" max="4865" width="3.5703125" style="8" customWidth="1"/>
    <col min="4866" max="4866" width="13.42578125" style="8" bestFit="1" customWidth="1"/>
    <col min="4867" max="4867" width="9" style="8" customWidth="1"/>
    <col min="4868" max="4868" width="11.28515625" style="8" customWidth="1"/>
    <col min="4869" max="4869" width="13.42578125" style="8" bestFit="1" customWidth="1"/>
    <col min="4870" max="4870" width="9.5703125" style="8" customWidth="1"/>
    <col min="4871" max="4871" width="9.7109375" style="8" customWidth="1"/>
    <col min="4872" max="4872" width="8.85546875" style="8" bestFit="1" customWidth="1"/>
    <col min="4873" max="4874" width="11.42578125" style="8"/>
    <col min="4875" max="4875" width="7" style="8" customWidth="1"/>
    <col min="4876" max="4876" width="8.85546875" style="8" customWidth="1"/>
    <col min="4877" max="5120" width="11.42578125" style="8"/>
    <col min="5121" max="5121" width="3.5703125" style="8" customWidth="1"/>
    <col min="5122" max="5122" width="13.42578125" style="8" bestFit="1" customWidth="1"/>
    <col min="5123" max="5123" width="9" style="8" customWidth="1"/>
    <col min="5124" max="5124" width="11.28515625" style="8" customWidth="1"/>
    <col min="5125" max="5125" width="13.42578125" style="8" bestFit="1" customWidth="1"/>
    <col min="5126" max="5126" width="9.5703125" style="8" customWidth="1"/>
    <col min="5127" max="5127" width="9.7109375" style="8" customWidth="1"/>
    <col min="5128" max="5128" width="8.85546875" style="8" bestFit="1" customWidth="1"/>
    <col min="5129" max="5130" width="11.42578125" style="8"/>
    <col min="5131" max="5131" width="7" style="8" customWidth="1"/>
    <col min="5132" max="5132" width="8.85546875" style="8" customWidth="1"/>
    <col min="5133" max="5376" width="11.42578125" style="8"/>
    <col min="5377" max="5377" width="3.5703125" style="8" customWidth="1"/>
    <col min="5378" max="5378" width="13.42578125" style="8" bestFit="1" customWidth="1"/>
    <col min="5379" max="5379" width="9" style="8" customWidth="1"/>
    <col min="5380" max="5380" width="11.28515625" style="8" customWidth="1"/>
    <col min="5381" max="5381" width="13.42578125" style="8" bestFit="1" customWidth="1"/>
    <col min="5382" max="5382" width="9.5703125" style="8" customWidth="1"/>
    <col min="5383" max="5383" width="9.7109375" style="8" customWidth="1"/>
    <col min="5384" max="5384" width="8.85546875" style="8" bestFit="1" customWidth="1"/>
    <col min="5385" max="5386" width="11.42578125" style="8"/>
    <col min="5387" max="5387" width="7" style="8" customWidth="1"/>
    <col min="5388" max="5388" width="8.85546875" style="8" customWidth="1"/>
    <col min="5389" max="5632" width="11.42578125" style="8"/>
    <col min="5633" max="5633" width="3.5703125" style="8" customWidth="1"/>
    <col min="5634" max="5634" width="13.42578125" style="8" bestFit="1" customWidth="1"/>
    <col min="5635" max="5635" width="9" style="8" customWidth="1"/>
    <col min="5636" max="5636" width="11.28515625" style="8" customWidth="1"/>
    <col min="5637" max="5637" width="13.42578125" style="8" bestFit="1" customWidth="1"/>
    <col min="5638" max="5638" width="9.5703125" style="8" customWidth="1"/>
    <col min="5639" max="5639" width="9.7109375" style="8" customWidth="1"/>
    <col min="5640" max="5640" width="8.85546875" style="8" bestFit="1" customWidth="1"/>
    <col min="5641" max="5642" width="11.42578125" style="8"/>
    <col min="5643" max="5643" width="7" style="8" customWidth="1"/>
    <col min="5644" max="5644" width="8.85546875" style="8" customWidth="1"/>
    <col min="5645" max="5888" width="11.42578125" style="8"/>
    <col min="5889" max="5889" width="3.5703125" style="8" customWidth="1"/>
    <col min="5890" max="5890" width="13.42578125" style="8" bestFit="1" customWidth="1"/>
    <col min="5891" max="5891" width="9" style="8" customWidth="1"/>
    <col min="5892" max="5892" width="11.28515625" style="8" customWidth="1"/>
    <col min="5893" max="5893" width="13.42578125" style="8" bestFit="1" customWidth="1"/>
    <col min="5894" max="5894" width="9.5703125" style="8" customWidth="1"/>
    <col min="5895" max="5895" width="9.7109375" style="8" customWidth="1"/>
    <col min="5896" max="5896" width="8.85546875" style="8" bestFit="1" customWidth="1"/>
    <col min="5897" max="5898" width="11.42578125" style="8"/>
    <col min="5899" max="5899" width="7" style="8" customWidth="1"/>
    <col min="5900" max="5900" width="8.85546875" style="8" customWidth="1"/>
    <col min="5901" max="6144" width="11.42578125" style="8"/>
    <col min="6145" max="6145" width="3.5703125" style="8" customWidth="1"/>
    <col min="6146" max="6146" width="13.42578125" style="8" bestFit="1" customWidth="1"/>
    <col min="6147" max="6147" width="9" style="8" customWidth="1"/>
    <col min="6148" max="6148" width="11.28515625" style="8" customWidth="1"/>
    <col min="6149" max="6149" width="13.42578125" style="8" bestFit="1" customWidth="1"/>
    <col min="6150" max="6150" width="9.5703125" style="8" customWidth="1"/>
    <col min="6151" max="6151" width="9.7109375" style="8" customWidth="1"/>
    <col min="6152" max="6152" width="8.85546875" style="8" bestFit="1" customWidth="1"/>
    <col min="6153" max="6154" width="11.42578125" style="8"/>
    <col min="6155" max="6155" width="7" style="8" customWidth="1"/>
    <col min="6156" max="6156" width="8.85546875" style="8" customWidth="1"/>
    <col min="6157" max="6400" width="11.42578125" style="8"/>
    <col min="6401" max="6401" width="3.5703125" style="8" customWidth="1"/>
    <col min="6402" max="6402" width="13.42578125" style="8" bestFit="1" customWidth="1"/>
    <col min="6403" max="6403" width="9" style="8" customWidth="1"/>
    <col min="6404" max="6404" width="11.28515625" style="8" customWidth="1"/>
    <col min="6405" max="6405" width="13.42578125" style="8" bestFit="1" customWidth="1"/>
    <col min="6406" max="6406" width="9.5703125" style="8" customWidth="1"/>
    <col min="6407" max="6407" width="9.7109375" style="8" customWidth="1"/>
    <col min="6408" max="6408" width="8.85546875" style="8" bestFit="1" customWidth="1"/>
    <col min="6409" max="6410" width="11.42578125" style="8"/>
    <col min="6411" max="6411" width="7" style="8" customWidth="1"/>
    <col min="6412" max="6412" width="8.85546875" style="8" customWidth="1"/>
    <col min="6413" max="6656" width="11.42578125" style="8"/>
    <col min="6657" max="6657" width="3.5703125" style="8" customWidth="1"/>
    <col min="6658" max="6658" width="13.42578125" style="8" bestFit="1" customWidth="1"/>
    <col min="6659" max="6659" width="9" style="8" customWidth="1"/>
    <col min="6660" max="6660" width="11.28515625" style="8" customWidth="1"/>
    <col min="6661" max="6661" width="13.42578125" style="8" bestFit="1" customWidth="1"/>
    <col min="6662" max="6662" width="9.5703125" style="8" customWidth="1"/>
    <col min="6663" max="6663" width="9.7109375" style="8" customWidth="1"/>
    <col min="6664" max="6664" width="8.85546875" style="8" bestFit="1" customWidth="1"/>
    <col min="6665" max="6666" width="11.42578125" style="8"/>
    <col min="6667" max="6667" width="7" style="8" customWidth="1"/>
    <col min="6668" max="6668" width="8.85546875" style="8" customWidth="1"/>
    <col min="6669" max="6912" width="11.42578125" style="8"/>
    <col min="6913" max="6913" width="3.5703125" style="8" customWidth="1"/>
    <col min="6914" max="6914" width="13.42578125" style="8" bestFit="1" customWidth="1"/>
    <col min="6915" max="6915" width="9" style="8" customWidth="1"/>
    <col min="6916" max="6916" width="11.28515625" style="8" customWidth="1"/>
    <col min="6917" max="6917" width="13.42578125" style="8" bestFit="1" customWidth="1"/>
    <col min="6918" max="6918" width="9.5703125" style="8" customWidth="1"/>
    <col min="6919" max="6919" width="9.7109375" style="8" customWidth="1"/>
    <col min="6920" max="6920" width="8.85546875" style="8" bestFit="1" customWidth="1"/>
    <col min="6921" max="6922" width="11.42578125" style="8"/>
    <col min="6923" max="6923" width="7" style="8" customWidth="1"/>
    <col min="6924" max="6924" width="8.85546875" style="8" customWidth="1"/>
    <col min="6925" max="7168" width="11.42578125" style="8"/>
    <col min="7169" max="7169" width="3.5703125" style="8" customWidth="1"/>
    <col min="7170" max="7170" width="13.42578125" style="8" bestFit="1" customWidth="1"/>
    <col min="7171" max="7171" width="9" style="8" customWidth="1"/>
    <col min="7172" max="7172" width="11.28515625" style="8" customWidth="1"/>
    <col min="7173" max="7173" width="13.42578125" style="8" bestFit="1" customWidth="1"/>
    <col min="7174" max="7174" width="9.5703125" style="8" customWidth="1"/>
    <col min="7175" max="7175" width="9.7109375" style="8" customWidth="1"/>
    <col min="7176" max="7176" width="8.85546875" style="8" bestFit="1" customWidth="1"/>
    <col min="7177" max="7178" width="11.42578125" style="8"/>
    <col min="7179" max="7179" width="7" style="8" customWidth="1"/>
    <col min="7180" max="7180" width="8.85546875" style="8" customWidth="1"/>
    <col min="7181" max="7424" width="11.42578125" style="8"/>
    <col min="7425" max="7425" width="3.5703125" style="8" customWidth="1"/>
    <col min="7426" max="7426" width="13.42578125" style="8" bestFit="1" customWidth="1"/>
    <col min="7427" max="7427" width="9" style="8" customWidth="1"/>
    <col min="7428" max="7428" width="11.28515625" style="8" customWidth="1"/>
    <col min="7429" max="7429" width="13.42578125" style="8" bestFit="1" customWidth="1"/>
    <col min="7430" max="7430" width="9.5703125" style="8" customWidth="1"/>
    <col min="7431" max="7431" width="9.7109375" style="8" customWidth="1"/>
    <col min="7432" max="7432" width="8.85546875" style="8" bestFit="1" customWidth="1"/>
    <col min="7433" max="7434" width="11.42578125" style="8"/>
    <col min="7435" max="7435" width="7" style="8" customWidth="1"/>
    <col min="7436" max="7436" width="8.85546875" style="8" customWidth="1"/>
    <col min="7437" max="7680" width="11.42578125" style="8"/>
    <col min="7681" max="7681" width="3.5703125" style="8" customWidth="1"/>
    <col min="7682" max="7682" width="13.42578125" style="8" bestFit="1" customWidth="1"/>
    <col min="7683" max="7683" width="9" style="8" customWidth="1"/>
    <col min="7684" max="7684" width="11.28515625" style="8" customWidth="1"/>
    <col min="7685" max="7685" width="13.42578125" style="8" bestFit="1" customWidth="1"/>
    <col min="7686" max="7686" width="9.5703125" style="8" customWidth="1"/>
    <col min="7687" max="7687" width="9.7109375" style="8" customWidth="1"/>
    <col min="7688" max="7688" width="8.85546875" style="8" bestFit="1" customWidth="1"/>
    <col min="7689" max="7690" width="11.42578125" style="8"/>
    <col min="7691" max="7691" width="7" style="8" customWidth="1"/>
    <col min="7692" max="7692" width="8.85546875" style="8" customWidth="1"/>
    <col min="7693" max="7936" width="11.42578125" style="8"/>
    <col min="7937" max="7937" width="3.5703125" style="8" customWidth="1"/>
    <col min="7938" max="7938" width="13.42578125" style="8" bestFit="1" customWidth="1"/>
    <col min="7939" max="7939" width="9" style="8" customWidth="1"/>
    <col min="7940" max="7940" width="11.28515625" style="8" customWidth="1"/>
    <col min="7941" max="7941" width="13.42578125" style="8" bestFit="1" customWidth="1"/>
    <col min="7942" max="7942" width="9.5703125" style="8" customWidth="1"/>
    <col min="7943" max="7943" width="9.7109375" style="8" customWidth="1"/>
    <col min="7944" max="7944" width="8.85546875" style="8" bestFit="1" customWidth="1"/>
    <col min="7945" max="7946" width="11.42578125" style="8"/>
    <col min="7947" max="7947" width="7" style="8" customWidth="1"/>
    <col min="7948" max="7948" width="8.85546875" style="8" customWidth="1"/>
    <col min="7949" max="8192" width="11.42578125" style="8"/>
    <col min="8193" max="8193" width="3.5703125" style="8" customWidth="1"/>
    <col min="8194" max="8194" width="13.42578125" style="8" bestFit="1" customWidth="1"/>
    <col min="8195" max="8195" width="9" style="8" customWidth="1"/>
    <col min="8196" max="8196" width="11.28515625" style="8" customWidth="1"/>
    <col min="8197" max="8197" width="13.42578125" style="8" bestFit="1" customWidth="1"/>
    <col min="8198" max="8198" width="9.5703125" style="8" customWidth="1"/>
    <col min="8199" max="8199" width="9.7109375" style="8" customWidth="1"/>
    <col min="8200" max="8200" width="8.85546875" style="8" bestFit="1" customWidth="1"/>
    <col min="8201" max="8202" width="11.42578125" style="8"/>
    <col min="8203" max="8203" width="7" style="8" customWidth="1"/>
    <col min="8204" max="8204" width="8.85546875" style="8" customWidth="1"/>
    <col min="8205" max="8448" width="11.42578125" style="8"/>
    <col min="8449" max="8449" width="3.5703125" style="8" customWidth="1"/>
    <col min="8450" max="8450" width="13.42578125" style="8" bestFit="1" customWidth="1"/>
    <col min="8451" max="8451" width="9" style="8" customWidth="1"/>
    <col min="8452" max="8452" width="11.28515625" style="8" customWidth="1"/>
    <col min="8453" max="8453" width="13.42578125" style="8" bestFit="1" customWidth="1"/>
    <col min="8454" max="8454" width="9.5703125" style="8" customWidth="1"/>
    <col min="8455" max="8455" width="9.7109375" style="8" customWidth="1"/>
    <col min="8456" max="8456" width="8.85546875" style="8" bestFit="1" customWidth="1"/>
    <col min="8457" max="8458" width="11.42578125" style="8"/>
    <col min="8459" max="8459" width="7" style="8" customWidth="1"/>
    <col min="8460" max="8460" width="8.85546875" style="8" customWidth="1"/>
    <col min="8461" max="8704" width="11.42578125" style="8"/>
    <col min="8705" max="8705" width="3.5703125" style="8" customWidth="1"/>
    <col min="8706" max="8706" width="13.42578125" style="8" bestFit="1" customWidth="1"/>
    <col min="8707" max="8707" width="9" style="8" customWidth="1"/>
    <col min="8708" max="8708" width="11.28515625" style="8" customWidth="1"/>
    <col min="8709" max="8709" width="13.42578125" style="8" bestFit="1" customWidth="1"/>
    <col min="8710" max="8710" width="9.5703125" style="8" customWidth="1"/>
    <col min="8711" max="8711" width="9.7109375" style="8" customWidth="1"/>
    <col min="8712" max="8712" width="8.85546875" style="8" bestFit="1" customWidth="1"/>
    <col min="8713" max="8714" width="11.42578125" style="8"/>
    <col min="8715" max="8715" width="7" style="8" customWidth="1"/>
    <col min="8716" max="8716" width="8.85546875" style="8" customWidth="1"/>
    <col min="8717" max="8960" width="11.42578125" style="8"/>
    <col min="8961" max="8961" width="3.5703125" style="8" customWidth="1"/>
    <col min="8962" max="8962" width="13.42578125" style="8" bestFit="1" customWidth="1"/>
    <col min="8963" max="8963" width="9" style="8" customWidth="1"/>
    <col min="8964" max="8964" width="11.28515625" style="8" customWidth="1"/>
    <col min="8965" max="8965" width="13.42578125" style="8" bestFit="1" customWidth="1"/>
    <col min="8966" max="8966" width="9.5703125" style="8" customWidth="1"/>
    <col min="8967" max="8967" width="9.7109375" style="8" customWidth="1"/>
    <col min="8968" max="8968" width="8.85546875" style="8" bestFit="1" customWidth="1"/>
    <col min="8969" max="8970" width="11.42578125" style="8"/>
    <col min="8971" max="8971" width="7" style="8" customWidth="1"/>
    <col min="8972" max="8972" width="8.85546875" style="8" customWidth="1"/>
    <col min="8973" max="9216" width="11.42578125" style="8"/>
    <col min="9217" max="9217" width="3.5703125" style="8" customWidth="1"/>
    <col min="9218" max="9218" width="13.42578125" style="8" bestFit="1" customWidth="1"/>
    <col min="9219" max="9219" width="9" style="8" customWidth="1"/>
    <col min="9220" max="9220" width="11.28515625" style="8" customWidth="1"/>
    <col min="9221" max="9221" width="13.42578125" style="8" bestFit="1" customWidth="1"/>
    <col min="9222" max="9222" width="9.5703125" style="8" customWidth="1"/>
    <col min="9223" max="9223" width="9.7109375" style="8" customWidth="1"/>
    <col min="9224" max="9224" width="8.85546875" style="8" bestFit="1" customWidth="1"/>
    <col min="9225" max="9226" width="11.42578125" style="8"/>
    <col min="9227" max="9227" width="7" style="8" customWidth="1"/>
    <col min="9228" max="9228" width="8.85546875" style="8" customWidth="1"/>
    <col min="9229" max="9472" width="11.42578125" style="8"/>
    <col min="9473" max="9473" width="3.5703125" style="8" customWidth="1"/>
    <col min="9474" max="9474" width="13.42578125" style="8" bestFit="1" customWidth="1"/>
    <col min="9475" max="9475" width="9" style="8" customWidth="1"/>
    <col min="9476" max="9476" width="11.28515625" style="8" customWidth="1"/>
    <col min="9477" max="9477" width="13.42578125" style="8" bestFit="1" customWidth="1"/>
    <col min="9478" max="9478" width="9.5703125" style="8" customWidth="1"/>
    <col min="9479" max="9479" width="9.7109375" style="8" customWidth="1"/>
    <col min="9480" max="9480" width="8.85546875" style="8" bestFit="1" customWidth="1"/>
    <col min="9481" max="9482" width="11.42578125" style="8"/>
    <col min="9483" max="9483" width="7" style="8" customWidth="1"/>
    <col min="9484" max="9484" width="8.85546875" style="8" customWidth="1"/>
    <col min="9485" max="9728" width="11.42578125" style="8"/>
    <col min="9729" max="9729" width="3.5703125" style="8" customWidth="1"/>
    <col min="9730" max="9730" width="13.42578125" style="8" bestFit="1" customWidth="1"/>
    <col min="9731" max="9731" width="9" style="8" customWidth="1"/>
    <col min="9732" max="9732" width="11.28515625" style="8" customWidth="1"/>
    <col min="9733" max="9733" width="13.42578125" style="8" bestFit="1" customWidth="1"/>
    <col min="9734" max="9734" width="9.5703125" style="8" customWidth="1"/>
    <col min="9735" max="9735" width="9.7109375" style="8" customWidth="1"/>
    <col min="9736" max="9736" width="8.85546875" style="8" bestFit="1" customWidth="1"/>
    <col min="9737" max="9738" width="11.42578125" style="8"/>
    <col min="9739" max="9739" width="7" style="8" customWidth="1"/>
    <col min="9740" max="9740" width="8.85546875" style="8" customWidth="1"/>
    <col min="9741" max="9984" width="11.42578125" style="8"/>
    <col min="9985" max="9985" width="3.5703125" style="8" customWidth="1"/>
    <col min="9986" max="9986" width="13.42578125" style="8" bestFit="1" customWidth="1"/>
    <col min="9987" max="9987" width="9" style="8" customWidth="1"/>
    <col min="9988" max="9988" width="11.28515625" style="8" customWidth="1"/>
    <col min="9989" max="9989" width="13.42578125" style="8" bestFit="1" customWidth="1"/>
    <col min="9990" max="9990" width="9.5703125" style="8" customWidth="1"/>
    <col min="9991" max="9991" width="9.7109375" style="8" customWidth="1"/>
    <col min="9992" max="9992" width="8.85546875" style="8" bestFit="1" customWidth="1"/>
    <col min="9993" max="9994" width="11.42578125" style="8"/>
    <col min="9995" max="9995" width="7" style="8" customWidth="1"/>
    <col min="9996" max="9996" width="8.85546875" style="8" customWidth="1"/>
    <col min="9997" max="10240" width="11.42578125" style="8"/>
    <col min="10241" max="10241" width="3.5703125" style="8" customWidth="1"/>
    <col min="10242" max="10242" width="13.42578125" style="8" bestFit="1" customWidth="1"/>
    <col min="10243" max="10243" width="9" style="8" customWidth="1"/>
    <col min="10244" max="10244" width="11.28515625" style="8" customWidth="1"/>
    <col min="10245" max="10245" width="13.42578125" style="8" bestFit="1" customWidth="1"/>
    <col min="10246" max="10246" width="9.5703125" style="8" customWidth="1"/>
    <col min="10247" max="10247" width="9.7109375" style="8" customWidth="1"/>
    <col min="10248" max="10248" width="8.85546875" style="8" bestFit="1" customWidth="1"/>
    <col min="10249" max="10250" width="11.42578125" style="8"/>
    <col min="10251" max="10251" width="7" style="8" customWidth="1"/>
    <col min="10252" max="10252" width="8.85546875" style="8" customWidth="1"/>
    <col min="10253" max="10496" width="11.42578125" style="8"/>
    <col min="10497" max="10497" width="3.5703125" style="8" customWidth="1"/>
    <col min="10498" max="10498" width="13.42578125" style="8" bestFit="1" customWidth="1"/>
    <col min="10499" max="10499" width="9" style="8" customWidth="1"/>
    <col min="10500" max="10500" width="11.28515625" style="8" customWidth="1"/>
    <col min="10501" max="10501" width="13.42578125" style="8" bestFit="1" customWidth="1"/>
    <col min="10502" max="10502" width="9.5703125" style="8" customWidth="1"/>
    <col min="10503" max="10503" width="9.7109375" style="8" customWidth="1"/>
    <col min="10504" max="10504" width="8.85546875" style="8" bestFit="1" customWidth="1"/>
    <col min="10505" max="10506" width="11.42578125" style="8"/>
    <col min="10507" max="10507" width="7" style="8" customWidth="1"/>
    <col min="10508" max="10508" width="8.85546875" style="8" customWidth="1"/>
    <col min="10509" max="10752" width="11.42578125" style="8"/>
    <col min="10753" max="10753" width="3.5703125" style="8" customWidth="1"/>
    <col min="10754" max="10754" width="13.42578125" style="8" bestFit="1" customWidth="1"/>
    <col min="10755" max="10755" width="9" style="8" customWidth="1"/>
    <col min="10756" max="10756" width="11.28515625" style="8" customWidth="1"/>
    <col min="10757" max="10757" width="13.42578125" style="8" bestFit="1" customWidth="1"/>
    <col min="10758" max="10758" width="9.5703125" style="8" customWidth="1"/>
    <col min="10759" max="10759" width="9.7109375" style="8" customWidth="1"/>
    <col min="10760" max="10760" width="8.85546875" style="8" bestFit="1" customWidth="1"/>
    <col min="10761" max="10762" width="11.42578125" style="8"/>
    <col min="10763" max="10763" width="7" style="8" customWidth="1"/>
    <col min="10764" max="10764" width="8.85546875" style="8" customWidth="1"/>
    <col min="10765" max="11008" width="11.42578125" style="8"/>
    <col min="11009" max="11009" width="3.5703125" style="8" customWidth="1"/>
    <col min="11010" max="11010" width="13.42578125" style="8" bestFit="1" customWidth="1"/>
    <col min="11011" max="11011" width="9" style="8" customWidth="1"/>
    <col min="11012" max="11012" width="11.28515625" style="8" customWidth="1"/>
    <col min="11013" max="11013" width="13.42578125" style="8" bestFit="1" customWidth="1"/>
    <col min="11014" max="11014" width="9.5703125" style="8" customWidth="1"/>
    <col min="11015" max="11015" width="9.7109375" style="8" customWidth="1"/>
    <col min="11016" max="11016" width="8.85546875" style="8" bestFit="1" customWidth="1"/>
    <col min="11017" max="11018" width="11.42578125" style="8"/>
    <col min="11019" max="11019" width="7" style="8" customWidth="1"/>
    <col min="11020" max="11020" width="8.85546875" style="8" customWidth="1"/>
    <col min="11021" max="11264" width="11.42578125" style="8"/>
    <col min="11265" max="11265" width="3.5703125" style="8" customWidth="1"/>
    <col min="11266" max="11266" width="13.42578125" style="8" bestFit="1" customWidth="1"/>
    <col min="11267" max="11267" width="9" style="8" customWidth="1"/>
    <col min="11268" max="11268" width="11.28515625" style="8" customWidth="1"/>
    <col min="11269" max="11269" width="13.42578125" style="8" bestFit="1" customWidth="1"/>
    <col min="11270" max="11270" width="9.5703125" style="8" customWidth="1"/>
    <col min="11271" max="11271" width="9.7109375" style="8" customWidth="1"/>
    <col min="11272" max="11272" width="8.85546875" style="8" bestFit="1" customWidth="1"/>
    <col min="11273" max="11274" width="11.42578125" style="8"/>
    <col min="11275" max="11275" width="7" style="8" customWidth="1"/>
    <col min="11276" max="11276" width="8.85546875" style="8" customWidth="1"/>
    <col min="11277" max="11520" width="11.42578125" style="8"/>
    <col min="11521" max="11521" width="3.5703125" style="8" customWidth="1"/>
    <col min="11522" max="11522" width="13.42578125" style="8" bestFit="1" customWidth="1"/>
    <col min="11523" max="11523" width="9" style="8" customWidth="1"/>
    <col min="11524" max="11524" width="11.28515625" style="8" customWidth="1"/>
    <col min="11525" max="11525" width="13.42578125" style="8" bestFit="1" customWidth="1"/>
    <col min="11526" max="11526" width="9.5703125" style="8" customWidth="1"/>
    <col min="11527" max="11527" width="9.7109375" style="8" customWidth="1"/>
    <col min="11528" max="11528" width="8.85546875" style="8" bestFit="1" customWidth="1"/>
    <col min="11529" max="11530" width="11.42578125" style="8"/>
    <col min="11531" max="11531" width="7" style="8" customWidth="1"/>
    <col min="11532" max="11532" width="8.85546875" style="8" customWidth="1"/>
    <col min="11533" max="11776" width="11.42578125" style="8"/>
    <col min="11777" max="11777" width="3.5703125" style="8" customWidth="1"/>
    <col min="11778" max="11778" width="13.42578125" style="8" bestFit="1" customWidth="1"/>
    <col min="11779" max="11779" width="9" style="8" customWidth="1"/>
    <col min="11780" max="11780" width="11.28515625" style="8" customWidth="1"/>
    <col min="11781" max="11781" width="13.42578125" style="8" bestFit="1" customWidth="1"/>
    <col min="11782" max="11782" width="9.5703125" style="8" customWidth="1"/>
    <col min="11783" max="11783" width="9.7109375" style="8" customWidth="1"/>
    <col min="11784" max="11784" width="8.85546875" style="8" bestFit="1" customWidth="1"/>
    <col min="11785" max="11786" width="11.42578125" style="8"/>
    <col min="11787" max="11787" width="7" style="8" customWidth="1"/>
    <col min="11788" max="11788" width="8.85546875" style="8" customWidth="1"/>
    <col min="11789" max="12032" width="11.42578125" style="8"/>
    <col min="12033" max="12033" width="3.5703125" style="8" customWidth="1"/>
    <col min="12034" max="12034" width="13.42578125" style="8" bestFit="1" customWidth="1"/>
    <col min="12035" max="12035" width="9" style="8" customWidth="1"/>
    <col min="12036" max="12036" width="11.28515625" style="8" customWidth="1"/>
    <col min="12037" max="12037" width="13.42578125" style="8" bestFit="1" customWidth="1"/>
    <col min="12038" max="12038" width="9.5703125" style="8" customWidth="1"/>
    <col min="12039" max="12039" width="9.7109375" style="8" customWidth="1"/>
    <col min="12040" max="12040" width="8.85546875" style="8" bestFit="1" customWidth="1"/>
    <col min="12041" max="12042" width="11.42578125" style="8"/>
    <col min="12043" max="12043" width="7" style="8" customWidth="1"/>
    <col min="12044" max="12044" width="8.85546875" style="8" customWidth="1"/>
    <col min="12045" max="12288" width="11.42578125" style="8"/>
    <col min="12289" max="12289" width="3.5703125" style="8" customWidth="1"/>
    <col min="12290" max="12290" width="13.42578125" style="8" bestFit="1" customWidth="1"/>
    <col min="12291" max="12291" width="9" style="8" customWidth="1"/>
    <col min="12292" max="12292" width="11.28515625" style="8" customWidth="1"/>
    <col min="12293" max="12293" width="13.42578125" style="8" bestFit="1" customWidth="1"/>
    <col min="12294" max="12294" width="9.5703125" style="8" customWidth="1"/>
    <col min="12295" max="12295" width="9.7109375" style="8" customWidth="1"/>
    <col min="12296" max="12296" width="8.85546875" style="8" bestFit="1" customWidth="1"/>
    <col min="12297" max="12298" width="11.42578125" style="8"/>
    <col min="12299" max="12299" width="7" style="8" customWidth="1"/>
    <col min="12300" max="12300" width="8.85546875" style="8" customWidth="1"/>
    <col min="12301" max="12544" width="11.42578125" style="8"/>
    <col min="12545" max="12545" width="3.5703125" style="8" customWidth="1"/>
    <col min="12546" max="12546" width="13.42578125" style="8" bestFit="1" customWidth="1"/>
    <col min="12547" max="12547" width="9" style="8" customWidth="1"/>
    <col min="12548" max="12548" width="11.28515625" style="8" customWidth="1"/>
    <col min="12549" max="12549" width="13.42578125" style="8" bestFit="1" customWidth="1"/>
    <col min="12550" max="12550" width="9.5703125" style="8" customWidth="1"/>
    <col min="12551" max="12551" width="9.7109375" style="8" customWidth="1"/>
    <col min="12552" max="12552" width="8.85546875" style="8" bestFit="1" customWidth="1"/>
    <col min="12553" max="12554" width="11.42578125" style="8"/>
    <col min="12555" max="12555" width="7" style="8" customWidth="1"/>
    <col min="12556" max="12556" width="8.85546875" style="8" customWidth="1"/>
    <col min="12557" max="12800" width="11.42578125" style="8"/>
    <col min="12801" max="12801" width="3.5703125" style="8" customWidth="1"/>
    <col min="12802" max="12802" width="13.42578125" style="8" bestFit="1" customWidth="1"/>
    <col min="12803" max="12803" width="9" style="8" customWidth="1"/>
    <col min="12804" max="12804" width="11.28515625" style="8" customWidth="1"/>
    <col min="12805" max="12805" width="13.42578125" style="8" bestFit="1" customWidth="1"/>
    <col min="12806" max="12806" width="9.5703125" style="8" customWidth="1"/>
    <col min="12807" max="12807" width="9.7109375" style="8" customWidth="1"/>
    <col min="12808" max="12808" width="8.85546875" style="8" bestFit="1" customWidth="1"/>
    <col min="12809" max="12810" width="11.42578125" style="8"/>
    <col min="12811" max="12811" width="7" style="8" customWidth="1"/>
    <col min="12812" max="12812" width="8.85546875" style="8" customWidth="1"/>
    <col min="12813" max="13056" width="11.42578125" style="8"/>
    <col min="13057" max="13057" width="3.5703125" style="8" customWidth="1"/>
    <col min="13058" max="13058" width="13.42578125" style="8" bestFit="1" customWidth="1"/>
    <col min="13059" max="13059" width="9" style="8" customWidth="1"/>
    <col min="13060" max="13060" width="11.28515625" style="8" customWidth="1"/>
    <col min="13061" max="13061" width="13.42578125" style="8" bestFit="1" customWidth="1"/>
    <col min="13062" max="13062" width="9.5703125" style="8" customWidth="1"/>
    <col min="13063" max="13063" width="9.7109375" style="8" customWidth="1"/>
    <col min="13064" max="13064" width="8.85546875" style="8" bestFit="1" customWidth="1"/>
    <col min="13065" max="13066" width="11.42578125" style="8"/>
    <col min="13067" max="13067" width="7" style="8" customWidth="1"/>
    <col min="13068" max="13068" width="8.85546875" style="8" customWidth="1"/>
    <col min="13069" max="13312" width="11.42578125" style="8"/>
    <col min="13313" max="13313" width="3.5703125" style="8" customWidth="1"/>
    <col min="13314" max="13314" width="13.42578125" style="8" bestFit="1" customWidth="1"/>
    <col min="13315" max="13315" width="9" style="8" customWidth="1"/>
    <col min="13316" max="13316" width="11.28515625" style="8" customWidth="1"/>
    <col min="13317" max="13317" width="13.42578125" style="8" bestFit="1" customWidth="1"/>
    <col min="13318" max="13318" width="9.5703125" style="8" customWidth="1"/>
    <col min="13319" max="13319" width="9.7109375" style="8" customWidth="1"/>
    <col min="13320" max="13320" width="8.85546875" style="8" bestFit="1" customWidth="1"/>
    <col min="13321" max="13322" width="11.42578125" style="8"/>
    <col min="13323" max="13323" width="7" style="8" customWidth="1"/>
    <col min="13324" max="13324" width="8.85546875" style="8" customWidth="1"/>
    <col min="13325" max="13568" width="11.42578125" style="8"/>
    <col min="13569" max="13569" width="3.5703125" style="8" customWidth="1"/>
    <col min="13570" max="13570" width="13.42578125" style="8" bestFit="1" customWidth="1"/>
    <col min="13571" max="13571" width="9" style="8" customWidth="1"/>
    <col min="13572" max="13572" width="11.28515625" style="8" customWidth="1"/>
    <col min="13573" max="13573" width="13.42578125" style="8" bestFit="1" customWidth="1"/>
    <col min="13574" max="13574" width="9.5703125" style="8" customWidth="1"/>
    <col min="13575" max="13575" width="9.7109375" style="8" customWidth="1"/>
    <col min="13576" max="13576" width="8.85546875" style="8" bestFit="1" customWidth="1"/>
    <col min="13577" max="13578" width="11.42578125" style="8"/>
    <col min="13579" max="13579" width="7" style="8" customWidth="1"/>
    <col min="13580" max="13580" width="8.85546875" style="8" customWidth="1"/>
    <col min="13581" max="13824" width="11.42578125" style="8"/>
    <col min="13825" max="13825" width="3.5703125" style="8" customWidth="1"/>
    <col min="13826" max="13826" width="13.42578125" style="8" bestFit="1" customWidth="1"/>
    <col min="13827" max="13827" width="9" style="8" customWidth="1"/>
    <col min="13828" max="13828" width="11.28515625" style="8" customWidth="1"/>
    <col min="13829" max="13829" width="13.42578125" style="8" bestFit="1" customWidth="1"/>
    <col min="13830" max="13830" width="9.5703125" style="8" customWidth="1"/>
    <col min="13831" max="13831" width="9.7109375" style="8" customWidth="1"/>
    <col min="13832" max="13832" width="8.85546875" style="8" bestFit="1" customWidth="1"/>
    <col min="13833" max="13834" width="11.42578125" style="8"/>
    <col min="13835" max="13835" width="7" style="8" customWidth="1"/>
    <col min="13836" max="13836" width="8.85546875" style="8" customWidth="1"/>
    <col min="13837" max="14080" width="11.42578125" style="8"/>
    <col min="14081" max="14081" width="3.5703125" style="8" customWidth="1"/>
    <col min="14082" max="14082" width="13.42578125" style="8" bestFit="1" customWidth="1"/>
    <col min="14083" max="14083" width="9" style="8" customWidth="1"/>
    <col min="14084" max="14084" width="11.28515625" style="8" customWidth="1"/>
    <col min="14085" max="14085" width="13.42578125" style="8" bestFit="1" customWidth="1"/>
    <col min="14086" max="14086" width="9.5703125" style="8" customWidth="1"/>
    <col min="14087" max="14087" width="9.7109375" style="8" customWidth="1"/>
    <col min="14088" max="14088" width="8.85546875" style="8" bestFit="1" customWidth="1"/>
    <col min="14089" max="14090" width="11.42578125" style="8"/>
    <col min="14091" max="14091" width="7" style="8" customWidth="1"/>
    <col min="14092" max="14092" width="8.85546875" style="8" customWidth="1"/>
    <col min="14093" max="14336" width="11.42578125" style="8"/>
    <col min="14337" max="14337" width="3.5703125" style="8" customWidth="1"/>
    <col min="14338" max="14338" width="13.42578125" style="8" bestFit="1" customWidth="1"/>
    <col min="14339" max="14339" width="9" style="8" customWidth="1"/>
    <col min="14340" max="14340" width="11.28515625" style="8" customWidth="1"/>
    <col min="14341" max="14341" width="13.42578125" style="8" bestFit="1" customWidth="1"/>
    <col min="14342" max="14342" width="9.5703125" style="8" customWidth="1"/>
    <col min="14343" max="14343" width="9.7109375" style="8" customWidth="1"/>
    <col min="14344" max="14344" width="8.85546875" style="8" bestFit="1" customWidth="1"/>
    <col min="14345" max="14346" width="11.42578125" style="8"/>
    <col min="14347" max="14347" width="7" style="8" customWidth="1"/>
    <col min="14348" max="14348" width="8.85546875" style="8" customWidth="1"/>
    <col min="14349" max="14592" width="11.42578125" style="8"/>
    <col min="14593" max="14593" width="3.5703125" style="8" customWidth="1"/>
    <col min="14594" max="14594" width="13.42578125" style="8" bestFit="1" customWidth="1"/>
    <col min="14595" max="14595" width="9" style="8" customWidth="1"/>
    <col min="14596" max="14596" width="11.28515625" style="8" customWidth="1"/>
    <col min="14597" max="14597" width="13.42578125" style="8" bestFit="1" customWidth="1"/>
    <col min="14598" max="14598" width="9.5703125" style="8" customWidth="1"/>
    <col min="14599" max="14599" width="9.7109375" style="8" customWidth="1"/>
    <col min="14600" max="14600" width="8.85546875" style="8" bestFit="1" customWidth="1"/>
    <col min="14601" max="14602" width="11.42578125" style="8"/>
    <col min="14603" max="14603" width="7" style="8" customWidth="1"/>
    <col min="14604" max="14604" width="8.85546875" style="8" customWidth="1"/>
    <col min="14605" max="14848" width="11.42578125" style="8"/>
    <col min="14849" max="14849" width="3.5703125" style="8" customWidth="1"/>
    <col min="14850" max="14850" width="13.42578125" style="8" bestFit="1" customWidth="1"/>
    <col min="14851" max="14851" width="9" style="8" customWidth="1"/>
    <col min="14852" max="14852" width="11.28515625" style="8" customWidth="1"/>
    <col min="14853" max="14853" width="13.42578125" style="8" bestFit="1" customWidth="1"/>
    <col min="14854" max="14854" width="9.5703125" style="8" customWidth="1"/>
    <col min="14855" max="14855" width="9.7109375" style="8" customWidth="1"/>
    <col min="14856" max="14856" width="8.85546875" style="8" bestFit="1" customWidth="1"/>
    <col min="14857" max="14858" width="11.42578125" style="8"/>
    <col min="14859" max="14859" width="7" style="8" customWidth="1"/>
    <col min="14860" max="14860" width="8.85546875" style="8" customWidth="1"/>
    <col min="14861" max="15104" width="11.42578125" style="8"/>
    <col min="15105" max="15105" width="3.5703125" style="8" customWidth="1"/>
    <col min="15106" max="15106" width="13.42578125" style="8" bestFit="1" customWidth="1"/>
    <col min="15107" max="15107" width="9" style="8" customWidth="1"/>
    <col min="15108" max="15108" width="11.28515625" style="8" customWidth="1"/>
    <col min="15109" max="15109" width="13.42578125" style="8" bestFit="1" customWidth="1"/>
    <col min="15110" max="15110" width="9.5703125" style="8" customWidth="1"/>
    <col min="15111" max="15111" width="9.7109375" style="8" customWidth="1"/>
    <col min="15112" max="15112" width="8.85546875" style="8" bestFit="1" customWidth="1"/>
    <col min="15113" max="15114" width="11.42578125" style="8"/>
    <col min="15115" max="15115" width="7" style="8" customWidth="1"/>
    <col min="15116" max="15116" width="8.85546875" style="8" customWidth="1"/>
    <col min="15117" max="15360" width="11.42578125" style="8"/>
    <col min="15361" max="15361" width="3.5703125" style="8" customWidth="1"/>
    <col min="15362" max="15362" width="13.42578125" style="8" bestFit="1" customWidth="1"/>
    <col min="15363" max="15363" width="9" style="8" customWidth="1"/>
    <col min="15364" max="15364" width="11.28515625" style="8" customWidth="1"/>
    <col min="15365" max="15365" width="13.42578125" style="8" bestFit="1" customWidth="1"/>
    <col min="15366" max="15366" width="9.5703125" style="8" customWidth="1"/>
    <col min="15367" max="15367" width="9.7109375" style="8" customWidth="1"/>
    <col min="15368" max="15368" width="8.85546875" style="8" bestFit="1" customWidth="1"/>
    <col min="15369" max="15370" width="11.42578125" style="8"/>
    <col min="15371" max="15371" width="7" style="8" customWidth="1"/>
    <col min="15372" max="15372" width="8.85546875" style="8" customWidth="1"/>
    <col min="15373" max="15616" width="11.42578125" style="8"/>
    <col min="15617" max="15617" width="3.5703125" style="8" customWidth="1"/>
    <col min="15618" max="15618" width="13.42578125" style="8" bestFit="1" customWidth="1"/>
    <col min="15619" max="15619" width="9" style="8" customWidth="1"/>
    <col min="15620" max="15620" width="11.28515625" style="8" customWidth="1"/>
    <col min="15621" max="15621" width="13.42578125" style="8" bestFit="1" customWidth="1"/>
    <col min="15622" max="15622" width="9.5703125" style="8" customWidth="1"/>
    <col min="15623" max="15623" width="9.7109375" style="8" customWidth="1"/>
    <col min="15624" max="15624" width="8.85546875" style="8" bestFit="1" customWidth="1"/>
    <col min="15625" max="15626" width="11.42578125" style="8"/>
    <col min="15627" max="15627" width="7" style="8" customWidth="1"/>
    <col min="15628" max="15628" width="8.85546875" style="8" customWidth="1"/>
    <col min="15629" max="15872" width="11.42578125" style="8"/>
    <col min="15873" max="15873" width="3.5703125" style="8" customWidth="1"/>
    <col min="15874" max="15874" width="13.42578125" style="8" bestFit="1" customWidth="1"/>
    <col min="15875" max="15875" width="9" style="8" customWidth="1"/>
    <col min="15876" max="15876" width="11.28515625" style="8" customWidth="1"/>
    <col min="15877" max="15877" width="13.42578125" style="8" bestFit="1" customWidth="1"/>
    <col min="15878" max="15878" width="9.5703125" style="8" customWidth="1"/>
    <col min="15879" max="15879" width="9.7109375" style="8" customWidth="1"/>
    <col min="15880" max="15880" width="8.85546875" style="8" bestFit="1" customWidth="1"/>
    <col min="15881" max="15882" width="11.42578125" style="8"/>
    <col min="15883" max="15883" width="7" style="8" customWidth="1"/>
    <col min="15884" max="15884" width="8.85546875" style="8" customWidth="1"/>
    <col min="15885" max="16128" width="11.42578125" style="8"/>
    <col min="16129" max="16129" width="3.5703125" style="8" customWidth="1"/>
    <col min="16130" max="16130" width="13.42578125" style="8" bestFit="1" customWidth="1"/>
    <col min="16131" max="16131" width="9" style="8" customWidth="1"/>
    <col min="16132" max="16132" width="11.28515625" style="8" customWidth="1"/>
    <col min="16133" max="16133" width="13.42578125" style="8" bestFit="1" customWidth="1"/>
    <col min="16134" max="16134" width="9.5703125" style="8" customWidth="1"/>
    <col min="16135" max="16135" width="9.7109375" style="8" customWidth="1"/>
    <col min="16136" max="16136" width="8.85546875" style="8" bestFit="1" customWidth="1"/>
    <col min="16137" max="16138" width="11.42578125" style="8"/>
    <col min="16139" max="16139" width="7" style="8" customWidth="1"/>
    <col min="16140" max="16140" width="8.85546875" style="8" customWidth="1"/>
    <col min="16141" max="16384" width="11.42578125" style="8"/>
  </cols>
  <sheetData>
    <row r="1" spans="2:18" ht="13.5" thickBot="1" x14ac:dyDescent="0.25"/>
    <row r="2" spans="2:18" ht="15" customHeight="1" x14ac:dyDescent="0.2">
      <c r="B2" s="237" t="s">
        <v>114</v>
      </c>
      <c r="C2" s="238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9"/>
    </row>
    <row r="3" spans="2:18" x14ac:dyDescent="0.2">
      <c r="B3" s="240"/>
      <c r="C3" s="241"/>
      <c r="D3" s="241"/>
      <c r="E3" s="241"/>
      <c r="F3" s="241"/>
      <c r="G3" s="241"/>
      <c r="H3" s="241"/>
      <c r="I3" s="241"/>
      <c r="J3" s="241"/>
      <c r="K3" s="241"/>
      <c r="L3" s="241"/>
      <c r="M3" s="241"/>
      <c r="N3" s="241"/>
      <c r="O3" s="241"/>
      <c r="P3" s="241"/>
      <c r="Q3" s="241"/>
      <c r="R3" s="242"/>
    </row>
    <row r="4" spans="2:18" ht="13.5" thickBot="1" x14ac:dyDescent="0.25">
      <c r="B4" s="243"/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5"/>
    </row>
    <row r="5" spans="2:18" ht="13.5" customHeight="1" x14ac:dyDescent="0.2"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</row>
    <row r="6" spans="2:18" ht="14.25" customHeight="1" thickBot="1" x14ac:dyDescent="0.25"/>
    <row r="7" spans="2:18" ht="15.75" thickBot="1" x14ac:dyDescent="0.25">
      <c r="B7" s="163"/>
      <c r="C7" s="164" t="s">
        <v>1</v>
      </c>
      <c r="D7" s="162" t="s">
        <v>2</v>
      </c>
      <c r="E7" s="161" t="s">
        <v>3</v>
      </c>
      <c r="L7" s="15"/>
      <c r="M7" s="15"/>
    </row>
    <row r="8" spans="2:18" ht="15.75" customHeight="1" x14ac:dyDescent="0.25">
      <c r="B8" s="52" t="s">
        <v>4</v>
      </c>
      <c r="C8" s="158">
        <v>364.3</v>
      </c>
      <c r="D8" s="159">
        <v>0.23</v>
      </c>
      <c r="E8" s="160">
        <f>C8*D8</f>
        <v>83.789000000000001</v>
      </c>
      <c r="I8"/>
      <c r="J8"/>
      <c r="L8" s="16"/>
      <c r="M8" s="16"/>
    </row>
    <row r="9" spans="2:18" ht="15.75" customHeight="1" x14ac:dyDescent="0.25">
      <c r="B9" s="53" t="s">
        <v>5</v>
      </c>
      <c r="C9" s="154">
        <v>140</v>
      </c>
      <c r="D9" s="27">
        <v>0.55000000000000004</v>
      </c>
      <c r="E9" s="150">
        <f>C9*D9</f>
        <v>77</v>
      </c>
      <c r="I9" s="1"/>
      <c r="J9" s="1"/>
      <c r="L9" s="16"/>
      <c r="M9" s="16"/>
    </row>
    <row r="10" spans="2:18" ht="15.75" customHeight="1" x14ac:dyDescent="0.25">
      <c r="B10" s="53" t="s">
        <v>6</v>
      </c>
      <c r="C10" s="154">
        <v>15</v>
      </c>
      <c r="D10" s="27">
        <v>1.08</v>
      </c>
      <c r="E10" s="150">
        <f>C10*D10</f>
        <v>16.200000000000003</v>
      </c>
      <c r="I10" s="1"/>
      <c r="J10" s="1"/>
      <c r="L10" s="16"/>
      <c r="M10" s="16"/>
    </row>
    <row r="11" spans="2:18" ht="15.75" customHeight="1" x14ac:dyDescent="0.25">
      <c r="B11" s="53" t="s">
        <v>7</v>
      </c>
      <c r="C11" s="153">
        <f>Carburant!E16*Tableaux!I33</f>
        <v>63.951411737784184</v>
      </c>
      <c r="D11" s="27">
        <v>0.68</v>
      </c>
      <c r="E11" s="150">
        <f>C11*D11</f>
        <v>43.486959981693246</v>
      </c>
      <c r="I11"/>
      <c r="J11"/>
      <c r="L11" s="16"/>
      <c r="M11" s="16"/>
    </row>
    <row r="12" spans="2:18" ht="15.75" customHeight="1" x14ac:dyDescent="0.25">
      <c r="B12" s="156" t="s">
        <v>8</v>
      </c>
      <c r="C12" s="153">
        <f>SUM(C8:C10)</f>
        <v>519.29999999999995</v>
      </c>
      <c r="D12" s="27">
        <f>IF(C12&gt;0,E12/C12,0)</f>
        <v>0.34082226073560562</v>
      </c>
      <c r="E12" s="150">
        <f>SUM(E8:E10)</f>
        <v>176.98899999999998</v>
      </c>
      <c r="I12"/>
      <c r="J12"/>
      <c r="L12" s="16"/>
      <c r="M12" s="16"/>
    </row>
    <row r="13" spans="2:18" ht="15.75" thickBot="1" x14ac:dyDescent="0.3">
      <c r="B13" s="157" t="s">
        <v>9</v>
      </c>
      <c r="C13" s="155">
        <f>SUM(C8:C11)</f>
        <v>583.25141173778411</v>
      </c>
      <c r="D13" s="151">
        <f>IF(C13&gt;0,E13/C13,0)</f>
        <v>0.37801187540170744</v>
      </c>
      <c r="E13" s="152">
        <f>SUM(E8:E11)</f>
        <v>220.47595998169322</v>
      </c>
      <c r="I13"/>
      <c r="J13"/>
      <c r="L13" s="16"/>
      <c r="M13" s="16"/>
    </row>
    <row r="14" spans="2:18" ht="15" x14ac:dyDescent="0.2">
      <c r="B14" s="292"/>
      <c r="C14" s="292"/>
      <c r="D14" s="292"/>
      <c r="E14" s="292"/>
      <c r="L14" s="17"/>
      <c r="M14" s="17"/>
    </row>
    <row r="15" spans="2:18" x14ac:dyDescent="0.2">
      <c r="B15" s="292"/>
      <c r="C15" s="292"/>
      <c r="D15" s="292"/>
      <c r="E15" s="292"/>
    </row>
    <row r="16" spans="2:18" ht="12" customHeight="1" thickBot="1" x14ac:dyDescent="0.25">
      <c r="B16" s="246"/>
      <c r="C16" s="293"/>
      <c r="D16" s="293"/>
      <c r="E16" s="293"/>
    </row>
    <row r="17" spans="2:8" ht="12.75" customHeight="1" x14ac:dyDescent="0.2">
      <c r="B17" s="304" t="s">
        <v>122</v>
      </c>
      <c r="C17" s="305"/>
    </row>
    <row r="18" spans="2:8" ht="12.75" customHeight="1" x14ac:dyDescent="0.2">
      <c r="B18" s="306"/>
      <c r="C18" s="307"/>
    </row>
    <row r="19" spans="2:8" ht="15" customHeight="1" x14ac:dyDescent="0.2">
      <c r="B19" s="306"/>
      <c r="C19" s="307"/>
      <c r="D19" s="11"/>
      <c r="E19" s="11"/>
    </row>
    <row r="20" spans="2:8" ht="15" customHeight="1" x14ac:dyDescent="0.2">
      <c r="B20" s="306"/>
      <c r="C20" s="307"/>
      <c r="D20" s="5"/>
      <c r="E20" s="12"/>
    </row>
    <row r="21" spans="2:8" ht="15" customHeight="1" thickBot="1" x14ac:dyDescent="0.25">
      <c r="B21" s="308"/>
      <c r="C21" s="309"/>
      <c r="D21" s="5"/>
      <c r="E21" s="12"/>
    </row>
    <row r="22" spans="2:8" ht="15.75" customHeight="1" thickBot="1" x14ac:dyDescent="0.25">
      <c r="D22" s="5"/>
      <c r="E22" s="12"/>
    </row>
    <row r="23" spans="2:8" ht="15" customHeight="1" x14ac:dyDescent="0.2">
      <c r="B23" s="248" t="s">
        <v>113</v>
      </c>
      <c r="C23" s="250"/>
      <c r="D23" s="5"/>
      <c r="E23" s="12"/>
    </row>
    <row r="24" spans="2:8" ht="15" customHeight="1" x14ac:dyDescent="0.25">
      <c r="B24" s="251"/>
      <c r="C24" s="253"/>
      <c r="D24" s="13"/>
      <c r="E24" s="14"/>
    </row>
    <row r="25" spans="2:8" ht="15" customHeight="1" x14ac:dyDescent="0.25">
      <c r="B25" s="251"/>
      <c r="C25" s="253"/>
      <c r="D25" s="13"/>
      <c r="E25" s="14"/>
    </row>
    <row r="26" spans="2:8" ht="12.75" customHeight="1" thickBot="1" x14ac:dyDescent="0.25">
      <c r="B26" s="254"/>
      <c r="C26" s="256"/>
    </row>
    <row r="27" spans="2:8" ht="13.5" thickBot="1" x14ac:dyDescent="0.25"/>
    <row r="28" spans="2:8" ht="12.75" customHeight="1" x14ac:dyDescent="0.2">
      <c r="B28" s="248" t="s">
        <v>111</v>
      </c>
      <c r="C28" s="249"/>
      <c r="D28" s="249"/>
      <c r="E28" s="249"/>
      <c r="F28" s="249"/>
      <c r="G28" s="250"/>
      <c r="H28" s="247"/>
    </row>
    <row r="29" spans="2:8" ht="12.75" customHeight="1" x14ac:dyDescent="0.2">
      <c r="B29" s="251"/>
      <c r="C29" s="252"/>
      <c r="D29" s="252"/>
      <c r="E29" s="252"/>
      <c r="F29" s="252"/>
      <c r="G29" s="253"/>
      <c r="H29" s="247"/>
    </row>
    <row r="30" spans="2:8" ht="12.75" customHeight="1" x14ac:dyDescent="0.2">
      <c r="B30" s="251"/>
      <c r="C30" s="252"/>
      <c r="D30" s="252"/>
      <c r="E30" s="252"/>
      <c r="F30" s="252"/>
      <c r="G30" s="253"/>
      <c r="H30" s="247"/>
    </row>
    <row r="31" spans="2:8" ht="12.75" customHeight="1" x14ac:dyDescent="0.2">
      <c r="B31" s="251"/>
      <c r="C31" s="252"/>
      <c r="D31" s="252"/>
      <c r="E31" s="252"/>
      <c r="F31" s="252"/>
      <c r="G31" s="253"/>
      <c r="H31" s="247"/>
    </row>
    <row r="32" spans="2:8" ht="13.5" customHeight="1" thickBot="1" x14ac:dyDescent="0.25">
      <c r="B32" s="254"/>
      <c r="C32" s="255"/>
      <c r="D32" s="255"/>
      <c r="E32" s="255"/>
      <c r="F32" s="255"/>
      <c r="G32" s="256"/>
      <c r="H32" s="247"/>
    </row>
    <row r="33" spans="8:8" x14ac:dyDescent="0.2">
      <c r="H33" s="246"/>
    </row>
  </sheetData>
  <mergeCells count="4">
    <mergeCell ref="B2:R4"/>
    <mergeCell ref="B28:G32"/>
    <mergeCell ref="B23:C26"/>
    <mergeCell ref="B17:C21"/>
  </mergeCells>
  <hyperlinks>
    <hyperlink ref="B28" location="Carburant!A1" display="Carburant!A1" xr:uid="{7A8B2CE1-EF5D-43C8-8E70-37C50EE47573}"/>
    <hyperlink ref="B28:G32" location="'Perfs Décollage'!A1" display="▶︎ Calculer les performances décollage" xr:uid="{A30334AB-4355-41BD-A69E-CFC53DCE46CA}"/>
    <hyperlink ref="B23:C26" location="Carburant!A1" display="◀︎ Revenir en arrière" xr:uid="{73EA5502-90CC-4426-BC9A-D6B9656888AA}"/>
    <hyperlink ref="B17:C21" location="Accueil!A1" display="◀︎ Menu" xr:uid="{A49B4D3C-7B83-4107-8613-B58E9BE2889A}"/>
  </hyperlinks>
  <printOptions horizontalCentered="1"/>
  <pageMargins left="0.24" right="0.3" top="0.15748031496062992" bottom="0.19685039370078741" header="0.11811023622047245" footer="0.15748031496062992"/>
  <pageSetup paperSize="9" scale="80" orientation="portrait" horizontalDpi="300" verticalDpi="30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F3E8D-7D29-4CFD-9063-FA8ACD6785AA}">
  <dimension ref="A1:AG197"/>
  <sheetViews>
    <sheetView zoomScale="88" zoomScaleNormal="115" workbookViewId="0">
      <selection activeCell="E17" sqref="E17:F21"/>
    </sheetView>
  </sheetViews>
  <sheetFormatPr baseColWidth="10" defaultColWidth="9.140625" defaultRowHeight="15" x14ac:dyDescent="0.25"/>
  <cols>
    <col min="2" max="2" width="30" customWidth="1"/>
    <col min="5" max="5" width="27.140625" bestFit="1" customWidth="1"/>
    <col min="7" max="7" width="8.28515625" customWidth="1"/>
    <col min="8" max="8" width="5.7109375" customWidth="1"/>
    <col min="9" max="9" width="1.5703125" customWidth="1"/>
    <col min="10" max="10" width="9.140625" customWidth="1"/>
    <col min="11" max="11" width="0.85546875" customWidth="1"/>
    <col min="13" max="13" width="1.5703125" customWidth="1"/>
    <col min="14" max="14" width="1.7109375" customWidth="1"/>
    <col min="15" max="15" width="1.5703125" customWidth="1"/>
    <col min="16" max="16" width="5.7109375" style="55" customWidth="1"/>
    <col min="17" max="17" width="3.7109375" customWidth="1"/>
    <col min="18" max="18" width="1.7109375" customWidth="1"/>
    <col min="19" max="19" width="1.5703125" customWidth="1"/>
    <col min="20" max="20" width="5.7109375" customWidth="1"/>
  </cols>
  <sheetData>
    <row r="1" spans="1:33" ht="15.75" thickBot="1" x14ac:dyDescent="0.3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</row>
    <row r="2" spans="1:33" x14ac:dyDescent="0.25">
      <c r="A2" s="55"/>
      <c r="B2" s="283" t="s">
        <v>115</v>
      </c>
      <c r="C2" s="284"/>
      <c r="D2" s="284"/>
      <c r="E2" s="284"/>
      <c r="F2" s="284"/>
      <c r="G2" s="284"/>
      <c r="H2" s="284"/>
      <c r="I2" s="284"/>
      <c r="J2" s="284"/>
      <c r="K2" s="284"/>
      <c r="L2" s="284"/>
      <c r="M2" s="284"/>
      <c r="N2" s="284"/>
      <c r="O2" s="284"/>
      <c r="P2" s="284"/>
      <c r="Q2" s="284"/>
      <c r="R2" s="284"/>
      <c r="S2" s="284"/>
      <c r="T2" s="284"/>
      <c r="U2" s="284"/>
      <c r="V2" s="28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</row>
    <row r="3" spans="1:33" x14ac:dyDescent="0.25">
      <c r="A3" s="55"/>
      <c r="B3" s="286"/>
      <c r="C3" s="259"/>
      <c r="D3" s="259"/>
      <c r="E3" s="259"/>
      <c r="F3" s="259"/>
      <c r="G3" s="259"/>
      <c r="H3" s="259"/>
      <c r="I3" s="259"/>
      <c r="J3" s="259"/>
      <c r="K3" s="259"/>
      <c r="L3" s="259"/>
      <c r="M3" s="259"/>
      <c r="N3" s="259"/>
      <c r="O3" s="259"/>
      <c r="P3" s="259"/>
      <c r="Q3" s="259"/>
      <c r="R3" s="259"/>
      <c r="S3" s="259"/>
      <c r="T3" s="259"/>
      <c r="U3" s="259"/>
      <c r="V3" s="287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</row>
    <row r="4" spans="1:33" x14ac:dyDescent="0.25">
      <c r="A4" s="55"/>
      <c r="B4" s="286"/>
      <c r="C4" s="259"/>
      <c r="D4" s="259"/>
      <c r="E4" s="259"/>
      <c r="F4" s="259"/>
      <c r="G4" s="259"/>
      <c r="H4" s="259"/>
      <c r="I4" s="259"/>
      <c r="J4" s="259"/>
      <c r="K4" s="259"/>
      <c r="L4" s="259"/>
      <c r="M4" s="259"/>
      <c r="N4" s="259"/>
      <c r="O4" s="259"/>
      <c r="P4" s="259"/>
      <c r="Q4" s="259"/>
      <c r="R4" s="259"/>
      <c r="S4" s="259"/>
      <c r="T4" s="259"/>
      <c r="U4" s="259"/>
      <c r="V4" s="287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</row>
    <row r="5" spans="1:33" ht="15.75" thickBot="1" x14ac:dyDescent="0.3">
      <c r="A5" s="55"/>
      <c r="B5" s="288"/>
      <c r="C5" s="289"/>
      <c r="D5" s="289"/>
      <c r="E5" s="289"/>
      <c r="F5" s="289"/>
      <c r="G5" s="289"/>
      <c r="H5" s="289"/>
      <c r="I5" s="289"/>
      <c r="J5" s="289"/>
      <c r="K5" s="289"/>
      <c r="L5" s="289"/>
      <c r="M5" s="289"/>
      <c r="N5" s="289"/>
      <c r="O5" s="289"/>
      <c r="P5" s="289"/>
      <c r="Q5" s="289"/>
      <c r="R5" s="289"/>
      <c r="S5" s="289"/>
      <c r="T5" s="289"/>
      <c r="U5" s="289"/>
      <c r="V5" s="290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</row>
    <row r="6" spans="1:33" x14ac:dyDescent="0.25">
      <c r="A6" s="106"/>
      <c r="B6" s="106"/>
      <c r="C6" s="106"/>
      <c r="D6" s="106"/>
      <c r="E6" s="106"/>
      <c r="F6" s="106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6"/>
      <c r="R6" s="106"/>
      <c r="S6" s="106"/>
      <c r="T6" s="106"/>
      <c r="U6" s="106"/>
      <c r="V6" s="106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15" customHeight="1" thickBot="1" x14ac:dyDescent="0.3">
      <c r="A7" s="106"/>
      <c r="B7" s="106"/>
      <c r="C7" s="106"/>
      <c r="D7" s="106"/>
      <c r="E7" s="106"/>
      <c r="F7" s="106"/>
      <c r="G7" s="106"/>
      <c r="H7" s="282" t="str">
        <f>"TODA : "&amp;C12&amp;" m"</f>
        <v>TODA : 700 m</v>
      </c>
      <c r="I7" s="106"/>
      <c r="J7" s="260">
        <f>IF(J28-18&gt;0,J28-18,J28+18)</f>
        <v>30</v>
      </c>
      <c r="K7" s="260"/>
      <c r="L7" s="260"/>
      <c r="M7" s="261">
        <v>25</v>
      </c>
      <c r="N7" s="262"/>
      <c r="O7" s="262"/>
      <c r="P7" s="280" t="s">
        <v>61</v>
      </c>
      <c r="Q7" s="106"/>
      <c r="R7" s="106"/>
      <c r="S7" s="106"/>
      <c r="T7" s="281" t="s">
        <v>62</v>
      </c>
      <c r="U7" s="106"/>
      <c r="V7" s="106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</row>
    <row r="8" spans="1:33" ht="15" customHeight="1" x14ac:dyDescent="0.25">
      <c r="A8" s="106"/>
      <c r="B8" s="52" t="s">
        <v>23</v>
      </c>
      <c r="C8" s="273">
        <v>371</v>
      </c>
      <c r="D8" s="106"/>
      <c r="E8" s="106"/>
      <c r="F8" s="106"/>
      <c r="G8" s="106"/>
      <c r="H8" s="282"/>
      <c r="I8" s="106"/>
      <c r="J8" s="260"/>
      <c r="K8" s="260"/>
      <c r="L8" s="260"/>
      <c r="M8" s="261">
        <v>24</v>
      </c>
      <c r="N8" s="262"/>
      <c r="O8" s="262"/>
      <c r="P8" s="280"/>
      <c r="Q8" s="106"/>
      <c r="R8" s="106"/>
      <c r="S8" s="106"/>
      <c r="T8" s="281"/>
      <c r="U8" s="106"/>
      <c r="V8" s="106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</row>
    <row r="9" spans="1:33" ht="15" customHeight="1" x14ac:dyDescent="0.25">
      <c r="A9" s="106"/>
      <c r="B9" s="53" t="s">
        <v>86</v>
      </c>
      <c r="C9" s="274">
        <v>0</v>
      </c>
      <c r="D9" s="106"/>
      <c r="E9" s="106"/>
      <c r="F9" s="106"/>
      <c r="G9" s="106"/>
      <c r="H9" s="282"/>
      <c r="I9" s="106"/>
      <c r="J9" s="260"/>
      <c r="K9" s="260"/>
      <c r="L9" s="260"/>
      <c r="M9" s="261">
        <v>23</v>
      </c>
      <c r="N9" s="262"/>
      <c r="O9" s="262"/>
      <c r="P9" s="280"/>
      <c r="Q9" s="106"/>
      <c r="R9" s="106"/>
      <c r="S9" s="106"/>
      <c r="T9" s="281"/>
      <c r="U9" s="106"/>
      <c r="V9" s="106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5"/>
    </row>
    <row r="10" spans="1:33" ht="15" customHeight="1" x14ac:dyDescent="0.25">
      <c r="A10" s="106"/>
      <c r="B10" s="53" t="s">
        <v>63</v>
      </c>
      <c r="C10" s="274" t="s">
        <v>64</v>
      </c>
      <c r="D10" s="106"/>
      <c r="E10" s="106"/>
      <c r="F10" s="106"/>
      <c r="G10" s="106"/>
      <c r="H10" s="282"/>
      <c r="I10" s="106"/>
      <c r="J10" s="260"/>
      <c r="K10" s="260"/>
      <c r="L10" s="260"/>
      <c r="M10" s="261">
        <v>22</v>
      </c>
      <c r="N10" s="262"/>
      <c r="O10" s="262"/>
      <c r="P10" s="280"/>
      <c r="Q10" s="106"/>
      <c r="R10" s="106"/>
      <c r="S10" s="106"/>
      <c r="T10" s="281"/>
      <c r="U10" s="106"/>
      <c r="V10" s="106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5"/>
    </row>
    <row r="11" spans="1:33" ht="15" customHeight="1" x14ac:dyDescent="0.25">
      <c r="A11" s="106"/>
      <c r="B11" s="53" t="s">
        <v>65</v>
      </c>
      <c r="C11" s="274">
        <v>119</v>
      </c>
      <c r="D11" s="106"/>
      <c r="E11" s="263"/>
      <c r="F11" s="106"/>
      <c r="G11" s="106"/>
      <c r="H11" s="282"/>
      <c r="I11" s="106"/>
      <c r="J11" s="264"/>
      <c r="K11" s="257"/>
      <c r="L11" s="264"/>
      <c r="M11" s="261">
        <v>21</v>
      </c>
      <c r="N11" s="262"/>
      <c r="O11" s="262"/>
      <c r="P11" s="280"/>
      <c r="Q11" s="106"/>
      <c r="R11" s="106"/>
      <c r="S11" s="106"/>
      <c r="T11" s="281"/>
      <c r="U11" s="106"/>
      <c r="V11" s="106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</row>
    <row r="12" spans="1:33" ht="15" customHeight="1" x14ac:dyDescent="0.25">
      <c r="A12" s="106"/>
      <c r="B12" s="53" t="s">
        <v>66</v>
      </c>
      <c r="C12" s="274">
        <v>700</v>
      </c>
      <c r="D12" s="106"/>
      <c r="E12" s="106"/>
      <c r="F12" s="106"/>
      <c r="G12" s="106"/>
      <c r="H12" s="282"/>
      <c r="I12" s="106"/>
      <c r="J12" s="264"/>
      <c r="K12" s="257"/>
      <c r="L12" s="264"/>
      <c r="M12" s="261">
        <v>20</v>
      </c>
      <c r="N12" s="262"/>
      <c r="O12" s="262"/>
      <c r="P12" s="280"/>
      <c r="Q12" s="106"/>
      <c r="R12" s="106"/>
      <c r="S12" s="106"/>
      <c r="T12" s="281"/>
      <c r="U12" s="106"/>
      <c r="V12" s="106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5"/>
    </row>
    <row r="13" spans="1:33" ht="15" customHeight="1" x14ac:dyDescent="0.25">
      <c r="A13" s="106"/>
      <c r="B13" s="53" t="s">
        <v>67</v>
      </c>
      <c r="C13" s="274">
        <v>0</v>
      </c>
      <c r="D13" s="106"/>
      <c r="E13" s="106"/>
      <c r="F13" s="106"/>
      <c r="G13" s="106"/>
      <c r="H13" s="282"/>
      <c r="I13" s="106"/>
      <c r="J13" s="264"/>
      <c r="K13" s="264"/>
      <c r="L13" s="264"/>
      <c r="M13" s="261">
        <v>19</v>
      </c>
      <c r="N13" s="262"/>
      <c r="O13" s="262"/>
      <c r="P13" s="280"/>
      <c r="Q13" s="106"/>
      <c r="R13" s="106"/>
      <c r="S13" s="106"/>
      <c r="T13" s="281"/>
      <c r="U13" s="106"/>
      <c r="V13" s="106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5"/>
    </row>
    <row r="14" spans="1:33" ht="15" customHeight="1" x14ac:dyDescent="0.25">
      <c r="A14" s="106"/>
      <c r="B14" s="53" t="s">
        <v>68</v>
      </c>
      <c r="C14" s="274">
        <v>119</v>
      </c>
      <c r="D14" s="106"/>
      <c r="E14" s="106"/>
      <c r="F14" s="106"/>
      <c r="G14" s="106"/>
      <c r="H14" s="282"/>
      <c r="I14" s="106"/>
      <c r="J14" s="264"/>
      <c r="K14" s="257"/>
      <c r="L14" s="264"/>
      <c r="M14" s="261">
        <v>18</v>
      </c>
      <c r="N14" s="262"/>
      <c r="O14" s="262"/>
      <c r="P14" s="280"/>
      <c r="Q14" s="106"/>
      <c r="R14" s="106"/>
      <c r="S14" s="106"/>
      <c r="T14" s="281"/>
      <c r="U14" s="106"/>
      <c r="V14" s="106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5"/>
    </row>
    <row r="15" spans="1:33" ht="15" customHeight="1" x14ac:dyDescent="0.25">
      <c r="A15" s="106"/>
      <c r="B15" s="53" t="s">
        <v>85</v>
      </c>
      <c r="C15" s="275" t="s">
        <v>69</v>
      </c>
      <c r="D15" s="106"/>
      <c r="E15" s="106"/>
      <c r="F15" s="106"/>
      <c r="G15" s="106"/>
      <c r="H15" s="282"/>
      <c r="I15" s="106"/>
      <c r="J15" s="264"/>
      <c r="K15" s="257"/>
      <c r="L15" s="264"/>
      <c r="M15" s="261">
        <v>17</v>
      </c>
      <c r="N15" s="262"/>
      <c r="O15" s="262"/>
      <c r="P15" s="280"/>
      <c r="Q15" s="106"/>
      <c r="R15" s="106"/>
      <c r="S15" s="106"/>
      <c r="T15" s="281"/>
      <c r="U15" s="106"/>
      <c r="V15" s="106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</row>
    <row r="16" spans="1:33" ht="15" customHeight="1" thickBot="1" x14ac:dyDescent="0.3">
      <c r="A16" s="106"/>
      <c r="B16" s="53" t="s">
        <v>70</v>
      </c>
      <c r="C16" s="274">
        <v>0</v>
      </c>
      <c r="D16" s="106"/>
      <c r="E16" s="106"/>
      <c r="F16" s="106"/>
      <c r="G16" s="106"/>
      <c r="H16" s="282"/>
      <c r="I16" s="106"/>
      <c r="J16" s="264"/>
      <c r="K16" s="264"/>
      <c r="L16" s="264"/>
      <c r="M16" s="261">
        <v>16</v>
      </c>
      <c r="N16" s="262"/>
      <c r="O16" s="262"/>
      <c r="P16" s="280"/>
      <c r="Q16" s="106"/>
      <c r="R16" s="106"/>
      <c r="S16" s="106"/>
      <c r="T16" s="281"/>
      <c r="U16" s="106"/>
      <c r="V16" s="106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</row>
    <row r="17" spans="1:33" ht="15" customHeight="1" thickBot="1" x14ac:dyDescent="0.3">
      <c r="A17" s="106"/>
      <c r="B17" s="54" t="s">
        <v>71</v>
      </c>
      <c r="C17" s="276">
        <f>C13*COS(RADIANS(ABS(C11-C14)))</f>
        <v>0</v>
      </c>
      <c r="D17" s="106"/>
      <c r="E17" s="304" t="s">
        <v>122</v>
      </c>
      <c r="F17" s="305"/>
      <c r="G17" s="106"/>
      <c r="H17" s="282"/>
      <c r="I17" s="106"/>
      <c r="J17" s="264"/>
      <c r="K17" s="257"/>
      <c r="L17" s="264"/>
      <c r="M17" s="261">
        <v>15</v>
      </c>
      <c r="N17" s="262"/>
      <c r="O17" s="262"/>
      <c r="P17" s="280"/>
      <c r="Q17" s="106"/>
      <c r="R17" s="106"/>
      <c r="S17" s="106"/>
      <c r="T17" s="281"/>
      <c r="U17" s="106"/>
      <c r="V17" s="106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5"/>
    </row>
    <row r="18" spans="1:33" ht="15" customHeight="1" thickBot="1" x14ac:dyDescent="0.3">
      <c r="A18" s="106"/>
      <c r="B18" s="106"/>
      <c r="C18" s="106"/>
      <c r="D18" s="106"/>
      <c r="E18" s="306"/>
      <c r="F18" s="307"/>
      <c r="G18" s="106"/>
      <c r="H18" s="282"/>
      <c r="I18" s="106"/>
      <c r="J18" s="264"/>
      <c r="K18" s="257"/>
      <c r="L18" s="264"/>
      <c r="M18" s="261">
        <v>14</v>
      </c>
      <c r="N18" s="262"/>
      <c r="O18" s="262"/>
      <c r="P18" s="280"/>
      <c r="Q18" s="106"/>
      <c r="R18" s="106"/>
      <c r="S18" s="106"/>
      <c r="T18" s="281"/>
      <c r="U18" s="106"/>
      <c r="V18" s="106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5"/>
    </row>
    <row r="19" spans="1:33" ht="15" customHeight="1" x14ac:dyDescent="0.25">
      <c r="A19" s="106"/>
      <c r="B19" s="52" t="s">
        <v>72</v>
      </c>
      <c r="C19" s="269" cm="1">
        <f t="array" ref="C19">_xlfn.IFS(AND(C15="Dur",MROUND(C8,2000)=0,C9=0),Tableaux!C13,AND(C15="Dur",MROUND(C8,2000)=2000,C9=0),Tableaux!C14,AND(C15="Dur",MROUND(C8,2000)=4000,C9=0),Tableaux!C15,AND(C15="Dur",MROUND(C8,2000)=6000,C9=0),Tableaux!C16,AND(C15="Dur",MROUND(C8,2000)=8000,C9=0),Tableaux!C17,AND(C15="Dur",MROUND(C8,2000)=10000,C9=0),Tableaux!C18,AND(C15="Herbe",MROUND(C8,2000)=0,C9=0),Tableaux!E13,AND(C15="Herbe",MROUND(C8,2000)=2000,C9=0),Tableaux!E14,AND(C15="Herbe",MROUND(C8,2000)=4000,C9=0),Tableaux!E15,AND(C15="Herbe", MROUND(C8,2000)=6000,C9=0),Tableaux!E16,AND(C15="Herbe", MROUND(C8,2000)=8000,C9=0),Tableaux!E17,AND(C15="Herbe", MROUND(C8,2000)=10000,C9=0),Tableaux!E18,AND(C15="Dur",MROUND(C8,2000)=0,C9=10),Tableaux!C23,AND(C15="Dur",MROUND(C8,2000)=2000,C9=10),Tableaux!C24,AND(C15="Dur",MROUND(C8,2000)=4000,C9=10),Tableaux!C25,AND(C15="Dur",MROUND(C8,2000)=6000,C9=10),Tableaux!C26,AND(C15="Dur",MROUND(C8,2000)=8000,C9=10),Tableaux!C27,AND(C15="Dur",MROUND(C8,2000)=10000,C9=10),Tableaux!C28,AND(C15="Herbe",MROUND(C8,2000)=0,C9=10),Tableaux!E23,AND(C15="Herbe",MROUND(C8,2000)=2000,C9=10),Tableaux!E24,AND(C15="Herbe",MROUND(C8,2000)=4000,C9=10),Tableaux!E25,AND(C15="Herbe", MROUND(C8,2000)=6000,C9=10),Tableaux!E26,AND(C15="Herbe", MROUND(C8,2000)=8000,C9=10),Tableaux!E27,AND(C15="Herbe", MROUND(C8,2000)=10000,C9=10),Tableaux!E28,AND(C15="Dur",MROUND(C8,2000)=0,C9=20),Tableaux!C33,AND(C15="Dur",MROUND(C8,2000)=2000,C9=20),Tableaux!C34,AND(C15="Dur",MROUND(C8,2000)=4000,C9=20),Tableaux!C35,AND(C15="Dur",MROUND(C8,2000)=6000,C9=20),Tableaux!C36,AND(C15="Dur",MROUND(C8,2000)=8000,C9=20),Tableaux!C37,AND(C15="Dur",MROUND(C8,2000)=10000,C9=20),Tableaux!C38,AND(C15="Herbe",MROUND(C8,2000)=0,C9=20),Tableaux!E33,AND(C15="Herbe",MROUND(C8,2000)=2000,C9=20),Tableaux!E34,AND(C15="Herbe",MROUND(C8,2000)=4000,C9=20),Tableaux!E35,AND(C15="Herbe", MROUND(C8,2000)=6000,C9=20),Tableaux!E36,AND(C15="Herbe", MROUND(C8,2000)=8000,C9=20),Tableaux!E37,AND(C15="Herbe", MROUND(C8,2000)=10000,C9=20),Tableaux!E38,AND(C15="Dur",MROUND(C8,2000)=0,C9=-10),Tableaux!C43,AND(C15="Dur",MROUND(C8,2000)=2000,C9=-10),Tableaux!C44,AND(C15="Dur",MROUND(C8,2000)=4000,C9=-10),Tableaux!C45,AND(C15="Dur",MROUND(C8,2000)=6000,C9=-10),Tableaux!C46,AND(C15="Dur",MROUND(C8,2000)=8000,C9=-10),Tableaux!C47,AND(C15="Dur",MROUND(C8,2000)=10000,C9=-10),Tableaux!C48,AND(C15="Herbe",MROUND(C8,2000)=0,C9=-10),Tableaux!E43,AND(C15="Herbe",MROUND(C8,2000)=2000,C9=-10),Tableaux!E44,AND(C15="Herbe",MROUND(C8,2000)=4000,C9=-10),Tableaux!E45,AND(C15="Herbe", MROUND(C8,2000)=6000,C9=-10),Tableaux!E46,AND(C15="Herbe", MROUND(C8,2000)=8000,C9=-10),Tableaux!E47,AND(C15="Herbe", MROUND(C8,2000)=10000,C9=-10),Tableaux!E48,AND(C15="Dur",MROUND(C8,2000)=0,C9=-20),Tableaux!C53,AND(C15="Dur",MROUND(C8,2000)=2000,C9=-20),Tableaux!C54,AND(C15="Dur",MROUND(C8,2000)=4000,C9=-20),Tableaux!C55,AND(C15="Dur",MROUND(C8,2000)=6000,C9=-20),Tableaux!C56,AND(C15="Dur",MROUND(C8,2000)=8000,C9=-20),Tableaux!C57,AND(C15="Dur",MROUND(C8,2000)=10000,C9=-20),Tableaux!C58,AND(C15="Herbe",MROUND(C8,2000)=0,C9=-20),Tableaux!E53,AND(C15="Herbe",MROUND(C8,2000)=2000,C9=-20),Tableaux!E54,AND(C15="Herbe",MROUND(C8,2000)=4000,C9=-20),Tableaux!E55,AND(C15="Herbe", MROUND(C8,2000)=6000,C9=-20),Tableaux!E56,AND(C15="Herbe", MROUND(C8,2000)=8000,C9=-20),Tableaux!E57,AND(C15="Herbe", MROUND(C8,2000)=10000,C9=-20),Tableaux!E58)</f>
        <v>128</v>
      </c>
      <c r="D19" s="106"/>
      <c r="E19" s="306"/>
      <c r="F19" s="307"/>
      <c r="G19" s="106"/>
      <c r="H19" s="282"/>
      <c r="I19" s="106"/>
      <c r="J19" s="264"/>
      <c r="K19" s="264"/>
      <c r="L19" s="264"/>
      <c r="M19" s="261">
        <v>13</v>
      </c>
      <c r="N19" s="262"/>
      <c r="O19" s="262"/>
      <c r="P19" s="280"/>
      <c r="Q19" s="106"/>
      <c r="R19" s="106"/>
      <c r="S19" s="106"/>
      <c r="T19" s="281"/>
      <c r="U19" s="106"/>
      <c r="V19" s="106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55"/>
    </row>
    <row r="20" spans="1:33" ht="15" customHeight="1" thickBot="1" x14ac:dyDescent="0.3">
      <c r="A20" s="106"/>
      <c r="B20" s="56" t="s">
        <v>73</v>
      </c>
      <c r="C20" s="270" cm="1">
        <f t="array" ref="C20">_xlfn.IFS(AND(C15="Dur",MROUND(C8,2000)=0,C9=0),Tableaux!D13,AND(C15="Dur",MROUND(C8,2000)=2000,C9=0),Tableaux!D14,AND(C15="Dur",MROUND(C8,2000)=4000,C9=0),Tableaux!D15,AND(C15="Dur",MROUND(C8,2000)=6000,C9=0),Tableaux!D16,AND(C15="Dur",MROUND(C8,2000)=8000,C9=0),Tableaux!D17,AND(C15="Dur",MROUND(C8,2000)=10000,C9=0),Tableaux!D18,AND(C15="Herbe",MROUND(C8,2000)=0,C9=0),Tableaux!F13,AND(C15="Herbe",MROUND(C8,2000)=2000,C9=0),Tableaux!F14,AND(C15="Herbe",MROUND(C8,2000)=4000,C9=0),Tableaux!F15,AND(C15="Herbe", MROUND(C8,2000)=6000,C9=0),Tableaux!F16,AND(C15="Herbe", MROUND(C8,2000)=8000,C9=0),Tableaux!F17,AND(C15="Herbe", MROUND(C8,2000)=10000,C9=0),Tableaux!F18,AND(C15="Dur",MROUND(C8,2000)=0,C9=10),Tableaux!D23,AND(C15="Dur",MROUND(C8,2000)=2000,C9=10),Tableaux!D24,AND(C15="Dur",MROUND(C8,2000)=4000,C9=10),Tableaux!D25,AND(C15="Dur",MROUND(C8,2000)=6000,C9=10),Tableaux!D26,AND(C15="Dur",MROUND(C8,2000)=8000,C9=10),Tableaux!D27,AND(C15="Dur",MROUND(C8,2000)=10000,C9=10),Tableaux!D28,AND(C15="Herbe",MROUND(C8,2000)=0,C9=10),Tableaux!F23,AND(C15="Herbe",MROUND(C8,2000)=2000,C9=10),Tableaux!F24,AND(C15="Herbe",MROUND(C8,2000)=4000,C9=10),Tableaux!F25,AND(C15="Herbe", MROUND(C8,2000)=6000,C9=10),Tableaux!F26,AND(C15="Herbe", MROUND(C8,2000)=8000,C9=10),Tableaux!F27,AND(C15="Herbe", MROUND(C8,2000)=10000,C9=10),Tableaux!F28,AND(C15="Dur",MROUND(C8,2000)=0,C9=20),Tableaux!D33,AND(C15="Dur",MROUND(C8,2000)=2000,C9=20),Tableaux!D34,AND(C15="Dur",MROUND(C8,2000)=4000,C9=20),Tableaux!D35,AND(C15="Dur",MROUND(C8,2000)=6000,C9=20),Tableaux!D36,AND(C15="Dur",MROUND(C8,2000)=8000,C9=20),Tableaux!D37,AND(C15="Dur",MROUND(C8,2000)=10000,C9=20),Tableaux!D38,AND(C15="Herbe",MROUND(C8,2000)=0,C9=20),Tableaux!F33,AND(C15="Herbe",MROUND(C8,2000)=2000,C9=20),Tableaux!F34,AND(C15="Herbe",MROUND(C8,2000)=4000,C9=20),Tableaux!F35,AND(C15="Herbe", MROUND(C8,2000)=6000,C9=20),Tableaux!F36,AND(C15="Herbe", MROUND(C8,2000)=8000,C9=20),Tableaux!F37,AND(C15="Herbe", MROUND(C8,2000)=10000,C9=20),Tableaux!F38,AND(C15="Dur",MROUND(C8,2000)=0,C9=-10),Tableaux!D43,AND(C15="Dur",MROUND(C8,2000)=2000,C9=-10),Tableaux!D44,AND(C15="Dur",MROUND(C8,2000)=4000,C9=-10),Tableaux!D45,AND(C15="Dur",MROUND(C8,2000)=6000,C9=-10),Tableaux!D46,AND(C15="Dur",MROUND(C8,2000)=8000,C9=-10),Tableaux!D47,AND(C15="Dur",MROUND(C8,2000)=10000,C9=-10),Tableaux!D48,AND(C15="Herbe",MROUND(C8,2000)=0,C9=-10),Tableaux!F43,AND(C15="Herbe",MROUND(C8,2000)=2000,C9=-10),Tableaux!F44,AND(C15="Herbe",MROUND(C8,2000)=4000,C9=-10),Tableaux!F45,AND(C15="Herbe", MROUND(C8,2000)=6000,C9=-10),Tableaux!F46,AND(C15="Herbe", MROUND(C8,2000)=8000,C9=-10),Tableaux!F47,AND(C15="Herbe", MROUND(C8,2000)=10000,C9=-10),Tableaux!F48,AND(C15="Dur",MROUND(C8,2000)=0,C9=-20),Tableaux!D53,AND(C15="Dur",MROUND(C8,2000)=2000,C9=-20),Tableaux!D54,AND(C15="Dur",MROUND(C8,2000)=4000,C9=-20),Tableaux!D55,AND(C15="Dur",MROUND(C8,2000)=6000,C9=-20),Tableaux!D56,AND(C15="Dur",MROUND(C8,2000)=8000,C9=-20),Tableaux!D57,AND(C15="Dur",MROUND(C8,2000)=10000,C9=-20),Tableaux!D58,AND(C15="Herbe",MROUND(C8,2000)=0,C9=-20),Tableaux!F53,AND(C15="Herbe",MROUND(C8,2000)=2000,C9=-20),Tableaux!F54,AND(C15="Herbe",MROUND(C8,2000)=4000,C9=-20),Tableaux!F55,AND(C15="Herbe", MROUND(C8,2000)=6000,C9=-20),Tableaux!F56,AND(C15="Herbe", MROUND(C8,2000)=8000,C9=-20),Tableaux!F57,AND(C15="Herbe", MROUND(C8,2000)=10000,C9=-20),Tableaux!F58)</f>
        <v>365</v>
      </c>
      <c r="D20" s="106"/>
      <c r="E20" s="306"/>
      <c r="F20" s="307"/>
      <c r="G20" s="106"/>
      <c r="H20" s="282"/>
      <c r="I20" s="106"/>
      <c r="J20" s="264"/>
      <c r="K20" s="257"/>
      <c r="L20" s="264"/>
      <c r="M20" s="261">
        <v>12</v>
      </c>
      <c r="N20" s="262"/>
      <c r="O20" s="262"/>
      <c r="P20" s="280"/>
      <c r="Q20" s="106"/>
      <c r="R20" s="106"/>
      <c r="S20" s="106"/>
      <c r="T20" s="281"/>
      <c r="U20" s="106"/>
      <c r="V20" s="106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</row>
    <row r="21" spans="1:33" ht="15" customHeight="1" thickBot="1" x14ac:dyDescent="0.3">
      <c r="A21" s="106"/>
      <c r="B21" s="106"/>
      <c r="C21" s="265"/>
      <c r="D21" s="106"/>
      <c r="E21" s="308"/>
      <c r="F21" s="309"/>
      <c r="G21" s="106"/>
      <c r="H21" s="282"/>
      <c r="I21" s="106"/>
      <c r="J21" s="264"/>
      <c r="K21" s="257"/>
      <c r="L21" s="264"/>
      <c r="M21" s="261">
        <v>11</v>
      </c>
      <c r="N21" s="262"/>
      <c r="O21" s="262"/>
      <c r="P21" s="280"/>
      <c r="Q21" s="106"/>
      <c r="R21" s="106"/>
      <c r="S21" s="106"/>
      <c r="T21" s="281"/>
      <c r="U21" s="106"/>
      <c r="V21" s="106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</row>
    <row r="22" spans="1:33" ht="15" customHeight="1" thickBot="1" x14ac:dyDescent="0.3">
      <c r="A22" s="106"/>
      <c r="B22" s="52" t="s">
        <v>74</v>
      </c>
      <c r="C22" s="271">
        <f>C19-0.04*C17*C19+0.08*C16*C19</f>
        <v>128</v>
      </c>
      <c r="D22" s="106"/>
      <c r="E22" s="106"/>
      <c r="F22" s="106"/>
      <c r="G22" s="106"/>
      <c r="H22" s="282"/>
      <c r="I22" s="106"/>
      <c r="J22" s="264"/>
      <c r="K22" s="264"/>
      <c r="L22" s="264"/>
      <c r="M22" s="261">
        <v>10</v>
      </c>
      <c r="N22" s="262"/>
      <c r="O22" s="262"/>
      <c r="P22" s="280"/>
      <c r="Q22" s="106"/>
      <c r="R22" s="106"/>
      <c r="S22" s="106"/>
      <c r="T22" s="281"/>
      <c r="U22" s="106"/>
      <c r="V22" s="106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</row>
    <row r="23" spans="1:33" ht="15" customHeight="1" thickBot="1" x14ac:dyDescent="0.3">
      <c r="A23" s="106"/>
      <c r="B23" s="56" t="s">
        <v>75</v>
      </c>
      <c r="C23" s="272">
        <f>C20*(1-C17*0.04)</f>
        <v>365</v>
      </c>
      <c r="D23" s="106"/>
      <c r="E23" s="248" t="s">
        <v>113</v>
      </c>
      <c r="F23" s="250"/>
      <c r="G23" s="106"/>
      <c r="H23" s="282"/>
      <c r="I23" s="106"/>
      <c r="J23" s="264"/>
      <c r="K23" s="257"/>
      <c r="L23" s="264"/>
      <c r="M23" s="261">
        <v>9</v>
      </c>
      <c r="N23" s="262"/>
      <c r="O23" s="262"/>
      <c r="P23" s="280"/>
      <c r="Q23" s="106"/>
      <c r="R23" s="106"/>
      <c r="S23" s="106"/>
      <c r="T23" s="281"/>
      <c r="U23" s="106"/>
      <c r="V23" s="106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</row>
    <row r="24" spans="1:33" ht="15" customHeight="1" x14ac:dyDescent="0.25">
      <c r="A24" s="106"/>
      <c r="B24" s="106"/>
      <c r="C24" s="106"/>
      <c r="D24" s="106"/>
      <c r="E24" s="251"/>
      <c r="F24" s="253"/>
      <c r="G24" s="263"/>
      <c r="H24" s="282"/>
      <c r="I24" s="106"/>
      <c r="J24" s="264"/>
      <c r="K24" s="257"/>
      <c r="L24" s="264"/>
      <c r="M24" s="261">
        <v>8</v>
      </c>
      <c r="N24" s="262"/>
      <c r="O24" s="262"/>
      <c r="P24" s="280"/>
      <c r="Q24" s="106"/>
      <c r="R24" s="106"/>
      <c r="S24" s="106"/>
      <c r="T24" s="281"/>
      <c r="U24" s="106"/>
      <c r="V24" s="106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</row>
    <row r="25" spans="1:33" ht="15" customHeight="1" x14ac:dyDescent="0.25">
      <c r="A25" s="106"/>
      <c r="B25" s="106"/>
      <c r="C25" s="106"/>
      <c r="D25" s="106"/>
      <c r="E25" s="251"/>
      <c r="F25" s="253"/>
      <c r="G25" s="106"/>
      <c r="H25" s="282"/>
      <c r="I25" s="106"/>
      <c r="J25" s="264"/>
      <c r="K25" s="264"/>
      <c r="L25" s="264"/>
      <c r="M25" s="261">
        <v>7</v>
      </c>
      <c r="N25" s="262"/>
      <c r="O25" s="262"/>
      <c r="P25" s="280"/>
      <c r="Q25" s="106"/>
      <c r="R25" s="106"/>
      <c r="S25" s="106"/>
      <c r="T25" s="281"/>
      <c r="U25" s="106"/>
      <c r="V25" s="106"/>
      <c r="W25" s="55"/>
      <c r="X25" s="55"/>
      <c r="Y25" s="55"/>
      <c r="Z25" s="55"/>
      <c r="AA25" s="55"/>
      <c r="AB25" s="55"/>
      <c r="AC25" s="55"/>
      <c r="AD25" s="55"/>
      <c r="AE25" s="55"/>
      <c r="AF25" s="55"/>
      <c r="AG25" s="55"/>
    </row>
    <row r="26" spans="1:33" ht="15" customHeight="1" thickBot="1" x14ac:dyDescent="0.3">
      <c r="A26" s="106"/>
      <c r="B26" s="106"/>
      <c r="C26" s="106"/>
      <c r="D26" s="106"/>
      <c r="E26" s="254"/>
      <c r="F26" s="256"/>
      <c r="G26" s="106"/>
      <c r="H26" s="282"/>
      <c r="I26" s="106"/>
      <c r="J26" s="264"/>
      <c r="K26" s="257"/>
      <c r="L26" s="264"/>
      <c r="M26" s="261">
        <v>6</v>
      </c>
      <c r="N26" s="262"/>
      <c r="O26" s="262"/>
      <c r="P26" s="280"/>
      <c r="Q26" s="106"/>
      <c r="R26" s="106"/>
      <c r="S26" s="106"/>
      <c r="T26" s="281"/>
      <c r="U26" s="106"/>
      <c r="V26" s="106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</row>
    <row r="27" spans="1:33" ht="15" customHeight="1" thickBot="1" x14ac:dyDescent="0.3">
      <c r="A27" s="106"/>
      <c r="B27" s="106"/>
      <c r="C27" s="106"/>
      <c r="D27" s="106"/>
      <c r="E27" s="263"/>
      <c r="F27" s="106"/>
      <c r="G27" s="106"/>
      <c r="H27" s="282"/>
      <c r="I27" s="106"/>
      <c r="J27" s="264"/>
      <c r="K27" s="257"/>
      <c r="L27" s="264"/>
      <c r="M27" s="261">
        <v>5</v>
      </c>
      <c r="N27" s="262"/>
      <c r="O27" s="262"/>
      <c r="P27" s="280"/>
      <c r="Q27" s="106"/>
      <c r="R27" s="106"/>
      <c r="S27" s="106"/>
      <c r="T27" s="281"/>
      <c r="U27" s="106"/>
      <c r="V27" s="106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</row>
    <row r="28" spans="1:33" ht="15" customHeight="1" x14ac:dyDescent="0.25">
      <c r="A28" s="106"/>
      <c r="B28" s="248" t="s">
        <v>112</v>
      </c>
      <c r="C28" s="249"/>
      <c r="D28" s="249"/>
      <c r="E28" s="249"/>
      <c r="F28" s="250"/>
      <c r="G28" s="258"/>
      <c r="H28" s="282"/>
      <c r="I28" s="106"/>
      <c r="J28" s="260" t="str">
        <f>IF(LEN(MROUND(C11,10))=2,LEFT(MROUND(C11,10),1),LEFT(MROUND(C11,10),2))</f>
        <v>12</v>
      </c>
      <c r="K28" s="260"/>
      <c r="L28" s="260"/>
      <c r="M28" s="261">
        <v>4</v>
      </c>
      <c r="N28" s="262"/>
      <c r="O28" s="262"/>
      <c r="P28" s="280"/>
      <c r="Q28" s="106"/>
      <c r="R28" s="106"/>
      <c r="S28" s="106"/>
      <c r="T28" s="281"/>
      <c r="U28" s="106"/>
      <c r="V28" s="106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</row>
    <row r="29" spans="1:33" ht="15" customHeight="1" x14ac:dyDescent="0.25">
      <c r="A29" s="106"/>
      <c r="B29" s="251"/>
      <c r="C29" s="252"/>
      <c r="D29" s="252"/>
      <c r="E29" s="252"/>
      <c r="F29" s="253"/>
      <c r="G29" s="258"/>
      <c r="H29" s="282"/>
      <c r="I29" s="106"/>
      <c r="J29" s="260"/>
      <c r="K29" s="260"/>
      <c r="L29" s="260"/>
      <c r="M29" s="261">
        <v>3</v>
      </c>
      <c r="N29" s="262"/>
      <c r="O29" s="262"/>
      <c r="P29" s="280"/>
      <c r="Q29" s="106"/>
      <c r="R29" s="106"/>
      <c r="S29" s="106"/>
      <c r="T29" s="281"/>
      <c r="U29" s="106"/>
      <c r="V29" s="106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</row>
    <row r="30" spans="1:33" ht="15" customHeight="1" x14ac:dyDescent="0.25">
      <c r="A30" s="106"/>
      <c r="B30" s="251"/>
      <c r="C30" s="252"/>
      <c r="D30" s="252"/>
      <c r="E30" s="252"/>
      <c r="F30" s="253"/>
      <c r="G30" s="258"/>
      <c r="H30" s="282"/>
      <c r="I30" s="106"/>
      <c r="J30" s="260"/>
      <c r="K30" s="260"/>
      <c r="L30" s="260"/>
      <c r="M30" s="261">
        <v>2</v>
      </c>
      <c r="N30" s="262"/>
      <c r="O30" s="262"/>
      <c r="P30" s="280"/>
      <c r="Q30" s="106"/>
      <c r="R30" s="106"/>
      <c r="S30" s="106"/>
      <c r="T30" s="281"/>
      <c r="U30" s="106"/>
      <c r="V30" s="106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</row>
    <row r="31" spans="1:33" ht="15" customHeight="1" x14ac:dyDescent="0.25">
      <c r="A31" s="106"/>
      <c r="B31" s="251"/>
      <c r="C31" s="252"/>
      <c r="D31" s="252"/>
      <c r="E31" s="252"/>
      <c r="F31" s="253"/>
      <c r="G31" s="258"/>
      <c r="H31" s="282"/>
      <c r="I31" s="106"/>
      <c r="J31" s="260"/>
      <c r="K31" s="260"/>
      <c r="L31" s="260"/>
      <c r="M31" s="261">
        <v>1</v>
      </c>
      <c r="N31" s="262"/>
      <c r="O31" s="262"/>
      <c r="P31" s="280"/>
      <c r="Q31" s="106"/>
      <c r="R31" s="106"/>
      <c r="S31" s="106"/>
      <c r="T31" s="281"/>
      <c r="U31" s="106"/>
      <c r="V31" s="106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</row>
    <row r="32" spans="1:33" ht="15" customHeight="1" thickBot="1" x14ac:dyDescent="0.3">
      <c r="A32" s="106"/>
      <c r="B32" s="254"/>
      <c r="C32" s="255"/>
      <c r="D32" s="255"/>
      <c r="E32" s="255"/>
      <c r="F32" s="256"/>
      <c r="G32" s="258"/>
      <c r="H32" s="277"/>
      <c r="I32" s="106"/>
      <c r="J32" s="257"/>
      <c r="K32" s="257"/>
      <c r="L32" s="257"/>
      <c r="M32" s="266"/>
      <c r="N32" s="262"/>
      <c r="O32" s="262"/>
      <c r="P32" s="278"/>
      <c r="Q32" s="106"/>
      <c r="R32" s="106"/>
      <c r="S32" s="106"/>
      <c r="T32" s="279"/>
      <c r="U32" s="106"/>
      <c r="V32" s="106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</row>
    <row r="33" spans="1:33" ht="15" customHeight="1" x14ac:dyDescent="0.25">
      <c r="A33" s="106"/>
      <c r="B33" s="106"/>
      <c r="C33" s="106"/>
      <c r="D33" s="106"/>
      <c r="E33" s="106"/>
      <c r="F33" s="106"/>
      <c r="G33" s="106"/>
      <c r="H33" s="277"/>
      <c r="I33" s="106"/>
      <c r="J33" s="257"/>
      <c r="K33" s="257"/>
      <c r="L33" s="257"/>
      <c r="M33" s="266"/>
      <c r="N33" s="262"/>
      <c r="O33" s="262"/>
      <c r="P33" s="278"/>
      <c r="Q33" s="106"/>
      <c r="R33" s="106"/>
      <c r="S33" s="106"/>
      <c r="T33" s="279"/>
      <c r="U33" s="106"/>
      <c r="V33" s="106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</row>
    <row r="34" spans="1:33" ht="15" customHeight="1" x14ac:dyDescent="0.25">
      <c r="A34" s="106"/>
      <c r="B34" s="106"/>
      <c r="C34" s="106"/>
      <c r="D34" s="106"/>
      <c r="E34" s="106"/>
      <c r="F34" s="106"/>
      <c r="G34" s="106"/>
      <c r="H34" s="277"/>
      <c r="I34" s="106"/>
      <c r="J34" s="106"/>
      <c r="K34" s="106"/>
      <c r="L34" s="106"/>
      <c r="M34" s="266"/>
      <c r="N34" s="262"/>
      <c r="O34" s="262"/>
      <c r="P34" s="278"/>
      <c r="Q34" s="106"/>
      <c r="R34" s="106"/>
      <c r="S34" s="267"/>
      <c r="T34" s="279"/>
      <c r="U34" s="106"/>
      <c r="V34" s="106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</row>
    <row r="35" spans="1:33" ht="15" customHeight="1" x14ac:dyDescent="0.25">
      <c r="A35" s="106"/>
      <c r="B35" s="106"/>
      <c r="C35" s="106"/>
      <c r="D35" s="106"/>
      <c r="E35" s="106"/>
      <c r="F35" s="106"/>
      <c r="G35" s="106"/>
      <c r="H35" s="277"/>
      <c r="I35" s="106"/>
      <c r="J35" s="106"/>
      <c r="K35" s="106"/>
      <c r="L35" s="106"/>
      <c r="M35" s="266"/>
      <c r="N35" s="262"/>
      <c r="O35" s="262"/>
      <c r="P35" s="278"/>
      <c r="Q35" s="106"/>
      <c r="R35" s="106"/>
      <c r="S35" s="106"/>
      <c r="T35" s="279"/>
      <c r="U35" s="106"/>
      <c r="V35" s="106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</row>
    <row r="36" spans="1:33" ht="15" customHeight="1" x14ac:dyDescent="0.25">
      <c r="A36" s="106"/>
      <c r="B36" s="106"/>
      <c r="C36" s="106"/>
      <c r="D36" s="106"/>
      <c r="E36" s="106"/>
      <c r="F36" s="106"/>
      <c r="G36" s="106"/>
      <c r="H36" s="277"/>
      <c r="I36" s="106"/>
      <c r="J36" s="106"/>
      <c r="K36" s="106"/>
      <c r="L36" s="106"/>
      <c r="M36" s="266"/>
      <c r="N36" s="262"/>
      <c r="O36" s="262"/>
      <c r="P36" s="278"/>
      <c r="Q36" s="106"/>
      <c r="R36" s="106"/>
      <c r="S36" s="106"/>
      <c r="T36" s="279"/>
      <c r="U36" s="106"/>
      <c r="V36" s="106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</row>
    <row r="37" spans="1:33" ht="15" customHeight="1" x14ac:dyDescent="0.25">
      <c r="A37" s="106"/>
      <c r="B37" s="106"/>
      <c r="C37" s="106"/>
      <c r="D37" s="106"/>
      <c r="E37" s="106"/>
      <c r="F37" s="106"/>
      <c r="G37" s="106"/>
      <c r="H37" s="277"/>
      <c r="I37" s="106"/>
      <c r="J37" s="106"/>
      <c r="K37" s="106"/>
      <c r="L37" s="106"/>
      <c r="M37" s="266"/>
      <c r="N37" s="262"/>
      <c r="O37" s="262"/>
      <c r="P37" s="278"/>
      <c r="Q37" s="106"/>
      <c r="R37" s="106"/>
      <c r="S37" s="106"/>
      <c r="T37" s="279"/>
      <c r="U37" s="106"/>
      <c r="V37" s="106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</row>
    <row r="38" spans="1:33" x14ac:dyDescent="0.25">
      <c r="A38" s="106"/>
      <c r="B38" s="106"/>
      <c r="C38" s="106"/>
      <c r="D38" s="106"/>
      <c r="E38" s="106"/>
      <c r="F38" s="106"/>
      <c r="G38" s="106"/>
      <c r="H38" s="106"/>
      <c r="I38" s="106"/>
      <c r="J38" s="106"/>
      <c r="K38" s="106"/>
      <c r="L38" s="106"/>
      <c r="M38" s="106"/>
      <c r="N38" s="106"/>
      <c r="O38" s="106"/>
      <c r="P38" s="268"/>
      <c r="Q38" s="106"/>
      <c r="R38" s="106"/>
      <c r="S38" s="106"/>
      <c r="T38" s="106"/>
      <c r="U38" s="106"/>
      <c r="V38" s="106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</row>
    <row r="39" spans="1:33" x14ac:dyDescent="0.25">
      <c r="A39" s="106"/>
      <c r="B39" s="106"/>
      <c r="C39" s="106"/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6"/>
      <c r="O39" s="106"/>
      <c r="P39" s="106"/>
      <c r="Q39" s="106"/>
      <c r="R39" s="106"/>
      <c r="S39" s="106"/>
      <c r="T39" s="106"/>
      <c r="U39" s="106"/>
      <c r="V39" s="106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</row>
    <row r="40" spans="1:33" x14ac:dyDescent="0.25">
      <c r="A40" s="106"/>
      <c r="B40" s="106"/>
      <c r="C40" s="106"/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106"/>
      <c r="P40" s="106"/>
      <c r="Q40" s="106"/>
      <c r="R40" s="106"/>
      <c r="S40" s="106"/>
      <c r="T40" s="106"/>
      <c r="U40" s="106"/>
      <c r="V40" s="106"/>
      <c r="W40" s="55"/>
      <c r="X40" s="55"/>
      <c r="Y40" s="55"/>
      <c r="Z40" s="55"/>
      <c r="AA40" s="55"/>
      <c r="AB40" s="55"/>
      <c r="AC40" s="55"/>
      <c r="AD40" s="55"/>
      <c r="AE40" s="55"/>
      <c r="AF40" s="55"/>
      <c r="AG40" s="55"/>
    </row>
    <row r="41" spans="1:33" x14ac:dyDescent="0.25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Q41" s="55"/>
      <c r="R41" s="55"/>
      <c r="S41" s="55"/>
      <c r="T41" s="55"/>
      <c r="U41" s="55"/>
      <c r="V41" s="55"/>
      <c r="W41" s="55"/>
      <c r="X41" s="55"/>
      <c r="Y41" s="55"/>
      <c r="Z41" s="55"/>
      <c r="AA41" s="55"/>
      <c r="AB41" s="55"/>
      <c r="AC41" s="55"/>
      <c r="AD41" s="55"/>
      <c r="AE41" s="55"/>
      <c r="AF41" s="55"/>
      <c r="AG41" s="55"/>
    </row>
    <row r="42" spans="1:33" x14ac:dyDescent="0.25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55"/>
    </row>
    <row r="43" spans="1:33" x14ac:dyDescent="0.25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Q43" s="55"/>
      <c r="R43" s="55"/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55"/>
    </row>
    <row r="44" spans="1:33" x14ac:dyDescent="0.25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Q44" s="55"/>
      <c r="R44" s="55"/>
      <c r="S44" s="55"/>
      <c r="T44" s="55"/>
      <c r="U44" s="55"/>
      <c r="V44" s="55"/>
      <c r="W44" s="55"/>
      <c r="X44" s="55"/>
      <c r="Y44" s="55"/>
      <c r="Z44" s="55"/>
      <c r="AA44" s="55"/>
      <c r="AB44" s="55"/>
      <c r="AC44" s="55"/>
      <c r="AD44" s="55"/>
      <c r="AE44" s="55"/>
      <c r="AF44" s="55"/>
      <c r="AG44" s="55"/>
    </row>
    <row r="45" spans="1:33" x14ac:dyDescent="0.25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5"/>
    </row>
    <row r="46" spans="1:33" x14ac:dyDescent="0.2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5"/>
    </row>
    <row r="47" spans="1:33" x14ac:dyDescent="0.2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Q47" s="55"/>
      <c r="R47" s="55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55"/>
    </row>
    <row r="48" spans="1:33" x14ac:dyDescent="0.25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</row>
    <row r="49" spans="1:33" x14ac:dyDescent="0.25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55"/>
    </row>
    <row r="50" spans="1:33" x14ac:dyDescent="0.25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Q50" s="55"/>
      <c r="R50" s="55"/>
      <c r="S50" s="55"/>
      <c r="T50" s="55"/>
      <c r="U50" s="55"/>
      <c r="V50" s="55"/>
      <c r="W50" s="55"/>
      <c r="X50" s="55"/>
      <c r="Y50" s="55"/>
      <c r="Z50" s="55"/>
      <c r="AA50" s="55"/>
      <c r="AB50" s="55"/>
      <c r="AC50" s="55"/>
      <c r="AD50" s="55"/>
      <c r="AE50" s="55"/>
      <c r="AF50" s="55"/>
      <c r="AG50" s="55"/>
    </row>
    <row r="51" spans="1:33" x14ac:dyDescent="0.25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55"/>
    </row>
    <row r="52" spans="1:33" x14ac:dyDescent="0.25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</row>
    <row r="53" spans="1:33" x14ac:dyDescent="0.25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</row>
    <row r="54" spans="1:33" x14ac:dyDescent="0.25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55"/>
      <c r="AF54" s="55"/>
      <c r="AG54" s="55"/>
    </row>
    <row r="55" spans="1:33" x14ac:dyDescent="0.2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</row>
    <row r="56" spans="1:33" x14ac:dyDescent="0.2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</row>
    <row r="57" spans="1:33" x14ac:dyDescent="0.2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</row>
    <row r="58" spans="1:33" x14ac:dyDescent="0.25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55"/>
      <c r="AE58" s="55"/>
      <c r="AF58" s="55"/>
      <c r="AG58" s="55"/>
    </row>
    <row r="59" spans="1:33" x14ac:dyDescent="0.25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55"/>
      <c r="AE59" s="55"/>
      <c r="AF59" s="55"/>
      <c r="AG59" s="55"/>
    </row>
    <row r="60" spans="1:33" x14ac:dyDescent="0.25">
      <c r="A60" s="55"/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55"/>
      <c r="AE60" s="55"/>
      <c r="AF60" s="55"/>
      <c r="AG60" s="55"/>
    </row>
    <row r="61" spans="1:33" x14ac:dyDescent="0.25">
      <c r="A61" s="55"/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55"/>
      <c r="AE61" s="55"/>
      <c r="AF61" s="55"/>
      <c r="AG61" s="55"/>
    </row>
    <row r="62" spans="1:33" x14ac:dyDescent="0.25">
      <c r="A62" s="55"/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5"/>
      <c r="AD62" s="55"/>
      <c r="AE62" s="55"/>
      <c r="AF62" s="55"/>
      <c r="AG62" s="55"/>
    </row>
    <row r="63" spans="1:33" x14ac:dyDescent="0.25">
      <c r="A63" s="55"/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55"/>
      <c r="AE63" s="55"/>
      <c r="AF63" s="55"/>
      <c r="AG63" s="55"/>
    </row>
    <row r="64" spans="1:33" x14ac:dyDescent="0.25">
      <c r="A64" s="55"/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</row>
    <row r="65" spans="1:33" x14ac:dyDescent="0.25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55"/>
      <c r="AE65" s="55"/>
      <c r="AF65" s="55"/>
      <c r="AG65" s="55"/>
    </row>
    <row r="66" spans="1:33" x14ac:dyDescent="0.25">
      <c r="A66" s="55"/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Q66" s="55"/>
      <c r="R66" s="55"/>
      <c r="S66" s="55"/>
      <c r="T66" s="55"/>
      <c r="U66" s="55"/>
      <c r="V66" s="55"/>
      <c r="W66" s="55"/>
      <c r="X66" s="55"/>
      <c r="Y66" s="55"/>
      <c r="Z66" s="55"/>
      <c r="AA66" s="55"/>
      <c r="AB66" s="55"/>
      <c r="AC66" s="55"/>
      <c r="AD66" s="55"/>
      <c r="AE66" s="55"/>
      <c r="AF66" s="55"/>
      <c r="AG66" s="55"/>
    </row>
    <row r="67" spans="1:33" x14ac:dyDescent="0.25">
      <c r="A67" s="55"/>
      <c r="B67" s="55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Q67" s="55"/>
      <c r="R67" s="55"/>
      <c r="S67" s="55"/>
      <c r="T67" s="55"/>
      <c r="U67" s="55"/>
      <c r="V67" s="55"/>
      <c r="W67" s="55"/>
      <c r="X67" s="55"/>
      <c r="Y67" s="55"/>
      <c r="Z67" s="55"/>
      <c r="AA67" s="55"/>
      <c r="AB67" s="55"/>
      <c r="AC67" s="55"/>
      <c r="AD67" s="55"/>
      <c r="AE67" s="55"/>
      <c r="AF67" s="55"/>
      <c r="AG67" s="55"/>
    </row>
    <row r="68" spans="1:33" x14ac:dyDescent="0.25">
      <c r="A68" s="55"/>
      <c r="B68" s="55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Q68" s="55"/>
      <c r="R68" s="55"/>
      <c r="S68" s="55"/>
      <c r="T68" s="55"/>
      <c r="U68" s="55"/>
      <c r="V68" s="55"/>
      <c r="W68" s="55"/>
      <c r="X68" s="55"/>
      <c r="Y68" s="55"/>
      <c r="Z68" s="55"/>
      <c r="AA68" s="55"/>
      <c r="AB68" s="55"/>
      <c r="AC68" s="55"/>
      <c r="AD68" s="55"/>
      <c r="AE68" s="55"/>
      <c r="AF68" s="55"/>
      <c r="AG68" s="55"/>
    </row>
    <row r="69" spans="1:33" x14ac:dyDescent="0.25">
      <c r="A69" s="55"/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Q69" s="55"/>
      <c r="R69" s="55"/>
      <c r="S69" s="55"/>
      <c r="T69" s="55"/>
      <c r="U69" s="55"/>
      <c r="V69" s="55"/>
      <c r="W69" s="55"/>
      <c r="X69" s="55"/>
      <c r="Y69" s="55"/>
      <c r="Z69" s="55"/>
      <c r="AA69" s="55"/>
      <c r="AB69" s="55"/>
      <c r="AC69" s="55"/>
      <c r="AD69" s="55"/>
      <c r="AE69" s="55"/>
      <c r="AF69" s="55"/>
      <c r="AG69" s="55"/>
    </row>
    <row r="70" spans="1:33" x14ac:dyDescent="0.25">
      <c r="A70" s="55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Q70" s="55"/>
      <c r="R70" s="55"/>
      <c r="S70" s="55"/>
      <c r="T70" s="55"/>
      <c r="U70" s="55"/>
      <c r="V70" s="55"/>
      <c r="W70" s="55"/>
      <c r="X70" s="55"/>
      <c r="Y70" s="55"/>
      <c r="Z70" s="55"/>
      <c r="AA70" s="55"/>
      <c r="AB70" s="55"/>
      <c r="AC70" s="55"/>
      <c r="AD70" s="55"/>
      <c r="AE70" s="55"/>
      <c r="AF70" s="55"/>
      <c r="AG70" s="55"/>
    </row>
    <row r="71" spans="1:33" x14ac:dyDescent="0.25">
      <c r="A71" s="55"/>
      <c r="B71" s="55"/>
      <c r="C71" s="55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Q71" s="55"/>
      <c r="R71" s="55"/>
      <c r="S71" s="55"/>
      <c r="T71" s="55"/>
      <c r="U71" s="55"/>
      <c r="V71" s="55"/>
      <c r="W71" s="55"/>
      <c r="X71" s="55"/>
      <c r="Y71" s="55"/>
      <c r="Z71" s="55"/>
      <c r="AA71" s="55"/>
      <c r="AB71" s="55"/>
      <c r="AC71" s="55"/>
      <c r="AD71" s="55"/>
      <c r="AE71" s="55"/>
      <c r="AF71" s="55"/>
      <c r="AG71" s="55"/>
    </row>
    <row r="72" spans="1:33" x14ac:dyDescent="0.25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/>
      <c r="Q72" s="55"/>
      <c r="R72" s="55"/>
      <c r="S72" s="55"/>
      <c r="T72" s="55"/>
      <c r="U72" s="55"/>
      <c r="V72" s="55"/>
      <c r="W72" s="55"/>
      <c r="X72" s="55"/>
      <c r="Y72" s="55"/>
      <c r="Z72" s="55"/>
      <c r="AA72" s="55"/>
      <c r="AB72" s="55"/>
      <c r="AC72" s="55"/>
      <c r="AD72" s="55"/>
      <c r="AE72" s="55"/>
      <c r="AF72" s="55"/>
      <c r="AG72" s="55"/>
    </row>
    <row r="73" spans="1:33" x14ac:dyDescent="0.25">
      <c r="A73" s="55"/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Q73" s="55"/>
      <c r="R73" s="55"/>
      <c r="S73" s="55"/>
      <c r="T73" s="55"/>
      <c r="U73" s="55"/>
      <c r="V73" s="55"/>
      <c r="W73" s="55"/>
      <c r="X73" s="55"/>
      <c r="Y73" s="55"/>
      <c r="Z73" s="55"/>
      <c r="AA73" s="55"/>
      <c r="AB73" s="55"/>
      <c r="AC73" s="55"/>
      <c r="AD73" s="55"/>
      <c r="AE73" s="55"/>
      <c r="AF73" s="55"/>
      <c r="AG73" s="55"/>
    </row>
    <row r="74" spans="1:33" x14ac:dyDescent="0.25">
      <c r="A74" s="55"/>
      <c r="B74" s="55"/>
      <c r="C74" s="55"/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Q74" s="55"/>
      <c r="R74" s="55"/>
      <c r="S74" s="55"/>
      <c r="T74" s="55"/>
      <c r="U74" s="55"/>
      <c r="V74" s="55"/>
      <c r="W74" s="55"/>
      <c r="X74" s="55"/>
      <c r="Y74" s="55"/>
      <c r="Z74" s="55"/>
      <c r="AA74" s="55"/>
      <c r="AB74" s="55"/>
      <c r="AC74" s="55"/>
      <c r="AD74" s="55"/>
      <c r="AE74" s="55"/>
      <c r="AF74" s="55"/>
      <c r="AG74" s="55"/>
    </row>
    <row r="75" spans="1:33" x14ac:dyDescent="0.25">
      <c r="A75" s="55"/>
      <c r="B75" s="55"/>
      <c r="C75" s="55"/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5"/>
      <c r="AG75" s="55"/>
    </row>
    <row r="76" spans="1:33" x14ac:dyDescent="0.25">
      <c r="A76" s="55"/>
      <c r="B76" s="55"/>
      <c r="C76" s="55"/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/>
      <c r="AC76" s="55"/>
      <c r="AD76" s="55"/>
      <c r="AE76" s="55"/>
      <c r="AF76" s="55"/>
      <c r="AG76" s="55"/>
    </row>
    <row r="77" spans="1:33" x14ac:dyDescent="0.25">
      <c r="A77" s="55"/>
      <c r="B77" s="55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55"/>
      <c r="Q77" s="55"/>
      <c r="R77" s="55"/>
      <c r="S77" s="55"/>
      <c r="T77" s="55"/>
      <c r="U77" s="55"/>
      <c r="V77" s="55"/>
      <c r="W77" s="55"/>
      <c r="X77" s="55"/>
      <c r="Y77" s="55"/>
      <c r="Z77" s="55"/>
      <c r="AA77" s="55"/>
      <c r="AB77" s="55"/>
      <c r="AC77" s="55"/>
      <c r="AD77" s="55"/>
      <c r="AE77" s="55"/>
      <c r="AF77" s="55"/>
      <c r="AG77" s="55"/>
    </row>
    <row r="78" spans="1:33" x14ac:dyDescent="0.25">
      <c r="A78" s="55"/>
      <c r="B78" s="55"/>
      <c r="C78" s="55"/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Q78" s="55"/>
      <c r="R78" s="55"/>
      <c r="S78" s="55"/>
      <c r="T78" s="55"/>
      <c r="U78" s="55"/>
      <c r="V78" s="55"/>
      <c r="W78" s="55"/>
      <c r="X78" s="55"/>
      <c r="Y78" s="55"/>
      <c r="Z78" s="55"/>
      <c r="AA78" s="55"/>
      <c r="AB78" s="55"/>
      <c r="AC78" s="55"/>
      <c r="AD78" s="55"/>
      <c r="AE78" s="55"/>
      <c r="AF78" s="55"/>
      <c r="AG78" s="55"/>
    </row>
    <row r="79" spans="1:33" x14ac:dyDescent="0.25">
      <c r="A79" s="55"/>
      <c r="B79" s="55"/>
      <c r="C79" s="55"/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55"/>
      <c r="Q79" s="55"/>
      <c r="R79" s="55"/>
      <c r="S79" s="55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55"/>
      <c r="AE79" s="55"/>
      <c r="AF79" s="55"/>
      <c r="AG79" s="55"/>
    </row>
    <row r="80" spans="1:33" x14ac:dyDescent="0.25">
      <c r="A80" s="55"/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/>
      <c r="AC80" s="55"/>
      <c r="AD80" s="55"/>
      <c r="AE80" s="55"/>
      <c r="AF80" s="55"/>
      <c r="AG80" s="55"/>
    </row>
    <row r="81" spans="1:33" x14ac:dyDescent="0.25">
      <c r="A81" s="55"/>
      <c r="B81" s="55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55"/>
      <c r="Q81" s="55"/>
      <c r="R81" s="55"/>
      <c r="S81" s="55"/>
      <c r="T81" s="55"/>
      <c r="U81" s="55"/>
      <c r="V81" s="55"/>
      <c r="W81" s="55"/>
      <c r="X81" s="55"/>
      <c r="Y81" s="55"/>
      <c r="Z81" s="55"/>
      <c r="AA81" s="55"/>
      <c r="AB81" s="55"/>
      <c r="AC81" s="55"/>
      <c r="AD81" s="55"/>
      <c r="AE81" s="55"/>
      <c r="AF81" s="55"/>
      <c r="AG81" s="55"/>
    </row>
    <row r="82" spans="1:33" x14ac:dyDescent="0.25">
      <c r="A82" s="55"/>
      <c r="B82" s="55"/>
      <c r="C82" s="55"/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55"/>
      <c r="Q82" s="55"/>
      <c r="R82" s="55"/>
      <c r="S82" s="55"/>
      <c r="T82" s="55"/>
      <c r="U82" s="55"/>
      <c r="V82" s="55"/>
      <c r="W82" s="55"/>
      <c r="X82" s="55"/>
      <c r="Y82" s="55"/>
      <c r="Z82" s="55"/>
      <c r="AA82" s="55"/>
      <c r="AB82" s="55"/>
      <c r="AC82" s="55"/>
      <c r="AD82" s="55"/>
      <c r="AE82" s="55"/>
      <c r="AF82" s="55"/>
      <c r="AG82" s="55"/>
    </row>
    <row r="83" spans="1:33" x14ac:dyDescent="0.25">
      <c r="A83" s="55"/>
      <c r="B83" s="55"/>
      <c r="C83" s="55"/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55"/>
      <c r="Q83" s="55"/>
      <c r="R83" s="55"/>
      <c r="S83" s="55"/>
      <c r="T83" s="55"/>
      <c r="U83" s="55"/>
      <c r="V83" s="55"/>
      <c r="W83" s="55"/>
      <c r="X83" s="55"/>
      <c r="Y83" s="55"/>
      <c r="Z83" s="55"/>
      <c r="AA83" s="55"/>
      <c r="AB83" s="55"/>
      <c r="AC83" s="55"/>
      <c r="AD83" s="55"/>
      <c r="AE83" s="55"/>
      <c r="AF83" s="55"/>
      <c r="AG83" s="55"/>
    </row>
    <row r="84" spans="1:33" x14ac:dyDescent="0.25">
      <c r="A84" s="55"/>
      <c r="B84" s="55"/>
      <c r="C84" s="55"/>
      <c r="D84" s="55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55"/>
      <c r="Q84" s="55"/>
      <c r="R84" s="55"/>
      <c r="S84" s="55"/>
      <c r="T84" s="55"/>
      <c r="U84" s="55"/>
      <c r="V84" s="55"/>
      <c r="W84" s="55"/>
      <c r="X84" s="55"/>
      <c r="Y84" s="55"/>
      <c r="Z84" s="55"/>
      <c r="AA84" s="55"/>
      <c r="AB84" s="55"/>
      <c r="AC84" s="55"/>
      <c r="AD84" s="55"/>
      <c r="AE84" s="55"/>
      <c r="AF84" s="55"/>
      <c r="AG84" s="55"/>
    </row>
    <row r="85" spans="1:33" x14ac:dyDescent="0.25">
      <c r="A85" s="55"/>
      <c r="B85" s="55"/>
      <c r="C85" s="55"/>
      <c r="D85" s="55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55"/>
      <c r="Q85" s="55"/>
      <c r="R85" s="55"/>
      <c r="S85" s="55"/>
      <c r="T85" s="55"/>
      <c r="U85" s="55"/>
      <c r="V85" s="55"/>
      <c r="W85" s="55"/>
      <c r="X85" s="55"/>
      <c r="Y85" s="55"/>
      <c r="Z85" s="55"/>
      <c r="AA85" s="55"/>
      <c r="AB85" s="55"/>
      <c r="AC85" s="55"/>
      <c r="AD85" s="55"/>
      <c r="AE85" s="55"/>
      <c r="AF85" s="55"/>
      <c r="AG85" s="55"/>
    </row>
    <row r="86" spans="1:33" x14ac:dyDescent="0.25">
      <c r="A86" s="55"/>
      <c r="B86" s="55"/>
      <c r="C86" s="55"/>
      <c r="D86" s="55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55"/>
      <c r="Q86" s="55"/>
      <c r="R86" s="55"/>
      <c r="S86" s="55"/>
      <c r="T86" s="55"/>
      <c r="U86" s="55"/>
      <c r="V86" s="55"/>
      <c r="W86" s="55"/>
      <c r="X86" s="55"/>
      <c r="Y86" s="55"/>
      <c r="Z86" s="55"/>
      <c r="AA86" s="55"/>
      <c r="AB86" s="55"/>
      <c r="AC86" s="55"/>
      <c r="AD86" s="55"/>
      <c r="AE86" s="55"/>
      <c r="AF86" s="55"/>
      <c r="AG86" s="55"/>
    </row>
    <row r="87" spans="1:33" x14ac:dyDescent="0.25">
      <c r="A87" s="55"/>
      <c r="B87" s="55"/>
      <c r="C87" s="55"/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55"/>
      <c r="Q87" s="55"/>
      <c r="R87" s="55"/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</row>
    <row r="88" spans="1:33" x14ac:dyDescent="0.25">
      <c r="A88" s="55"/>
      <c r="B88" s="55"/>
      <c r="C88" s="55"/>
      <c r="D88" s="55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55"/>
      <c r="Q88" s="55"/>
      <c r="R88" s="55"/>
      <c r="S88" s="55"/>
      <c r="T88" s="55"/>
      <c r="U88" s="55"/>
      <c r="V88" s="55"/>
      <c r="W88" s="55"/>
      <c r="X88" s="55"/>
      <c r="Y88" s="55"/>
      <c r="Z88" s="55"/>
      <c r="AA88" s="55"/>
      <c r="AB88" s="55"/>
      <c r="AC88" s="55"/>
      <c r="AD88" s="55"/>
      <c r="AE88" s="55"/>
      <c r="AF88" s="55"/>
      <c r="AG88" s="55"/>
    </row>
    <row r="89" spans="1:33" x14ac:dyDescent="0.25">
      <c r="A89" s="55"/>
      <c r="B89" s="55"/>
      <c r="C89" s="55"/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55"/>
      <c r="Q89" s="55"/>
      <c r="R89" s="55"/>
      <c r="S89" s="55"/>
      <c r="T89" s="55"/>
      <c r="U89" s="55"/>
      <c r="V89" s="55"/>
      <c r="W89" s="55"/>
      <c r="X89" s="55"/>
      <c r="Y89" s="55"/>
      <c r="Z89" s="55"/>
      <c r="AA89" s="55"/>
      <c r="AB89" s="55"/>
      <c r="AC89" s="55"/>
      <c r="AD89" s="55"/>
      <c r="AE89" s="55"/>
      <c r="AF89" s="55"/>
      <c r="AG89" s="55"/>
    </row>
    <row r="90" spans="1:33" x14ac:dyDescent="0.25">
      <c r="A90" s="55"/>
      <c r="B90" s="55"/>
      <c r="C90" s="55"/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Q90" s="55"/>
      <c r="R90" s="55"/>
      <c r="S90" s="55"/>
      <c r="T90" s="55"/>
      <c r="U90" s="55"/>
      <c r="V90" s="55"/>
      <c r="W90" s="55"/>
      <c r="X90" s="55"/>
      <c r="Y90" s="55"/>
      <c r="Z90" s="55"/>
      <c r="AA90" s="55"/>
      <c r="AB90" s="55"/>
      <c r="AC90" s="55"/>
      <c r="AD90" s="55"/>
      <c r="AE90" s="55"/>
      <c r="AF90" s="55"/>
      <c r="AG90" s="55"/>
    </row>
    <row r="91" spans="1:33" x14ac:dyDescent="0.25">
      <c r="A91" s="55"/>
      <c r="B91" s="55"/>
      <c r="C91" s="55"/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55"/>
      <c r="Q91" s="55"/>
      <c r="R91" s="55"/>
      <c r="S91" s="55"/>
      <c r="T91" s="55"/>
      <c r="U91" s="55"/>
      <c r="V91" s="55"/>
      <c r="W91" s="55"/>
      <c r="X91" s="55"/>
      <c r="Y91" s="55"/>
      <c r="Z91" s="55"/>
      <c r="AA91" s="55"/>
      <c r="AB91" s="55"/>
      <c r="AC91" s="55"/>
      <c r="AD91" s="55"/>
      <c r="AE91" s="55"/>
      <c r="AF91" s="55"/>
      <c r="AG91" s="55"/>
    </row>
    <row r="92" spans="1:33" x14ac:dyDescent="0.25">
      <c r="A92" s="55"/>
      <c r="B92" s="55"/>
      <c r="C92" s="55"/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55"/>
      <c r="Q92" s="55"/>
      <c r="R92" s="55"/>
      <c r="S92" s="55"/>
      <c r="T92" s="55"/>
      <c r="U92" s="55"/>
      <c r="V92" s="55"/>
      <c r="W92" s="55"/>
      <c r="X92" s="55"/>
      <c r="Y92" s="55"/>
      <c r="Z92" s="55"/>
      <c r="AA92" s="55"/>
      <c r="AB92" s="55"/>
      <c r="AC92" s="55"/>
      <c r="AD92" s="55"/>
      <c r="AE92" s="55"/>
      <c r="AF92" s="55"/>
      <c r="AG92" s="55"/>
    </row>
    <row r="93" spans="1:33" x14ac:dyDescent="0.25">
      <c r="A93" s="55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</row>
    <row r="94" spans="1:33" x14ac:dyDescent="0.25">
      <c r="A94" s="55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</row>
    <row r="95" spans="1:33" x14ac:dyDescent="0.25">
      <c r="A95" s="55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</row>
    <row r="96" spans="1:33" x14ac:dyDescent="0.25">
      <c r="A96" s="55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5"/>
      <c r="AG96" s="55"/>
    </row>
    <row r="97" spans="1:33" x14ac:dyDescent="0.25">
      <c r="A97" s="55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</row>
    <row r="98" spans="1:33" x14ac:dyDescent="0.25">
      <c r="A98" s="55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</row>
    <row r="99" spans="1:33" x14ac:dyDescent="0.25">
      <c r="A99" s="55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</row>
    <row r="100" spans="1:33" x14ac:dyDescent="0.25">
      <c r="A100" s="55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</row>
    <row r="101" spans="1:33" x14ac:dyDescent="0.25">
      <c r="A101" s="55"/>
      <c r="B101" s="55"/>
      <c r="C101" s="55"/>
      <c r="D101" s="55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55"/>
      <c r="Q101" s="55"/>
      <c r="R101" s="55"/>
      <c r="S101" s="55"/>
      <c r="T101" s="55"/>
      <c r="U101" s="55"/>
      <c r="V101" s="55"/>
      <c r="W101" s="55"/>
      <c r="X101" s="55"/>
      <c r="Y101" s="55"/>
      <c r="Z101" s="55"/>
      <c r="AA101" s="55"/>
      <c r="AB101" s="55"/>
      <c r="AC101" s="55"/>
      <c r="AD101" s="55"/>
      <c r="AE101" s="55"/>
      <c r="AF101" s="55"/>
      <c r="AG101" s="55"/>
    </row>
    <row r="102" spans="1:33" x14ac:dyDescent="0.25">
      <c r="A102" s="55"/>
      <c r="B102" s="55"/>
      <c r="C102" s="55"/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55"/>
      <c r="Q102" s="55"/>
      <c r="R102" s="55"/>
      <c r="S102" s="55"/>
      <c r="T102" s="55"/>
      <c r="U102" s="55"/>
      <c r="V102" s="55"/>
      <c r="W102" s="55"/>
      <c r="X102" s="55"/>
      <c r="Y102" s="55"/>
      <c r="Z102" s="55"/>
      <c r="AA102" s="55"/>
      <c r="AB102" s="55"/>
      <c r="AC102" s="55"/>
      <c r="AD102" s="55"/>
      <c r="AE102" s="55"/>
      <c r="AF102" s="55"/>
      <c r="AG102" s="55"/>
    </row>
    <row r="103" spans="1:33" x14ac:dyDescent="0.25">
      <c r="A103" s="55"/>
      <c r="B103" s="55"/>
      <c r="C103" s="55"/>
      <c r="D103" s="55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55"/>
      <c r="Q103" s="55"/>
      <c r="R103" s="55"/>
      <c r="S103" s="55"/>
      <c r="T103" s="55"/>
      <c r="U103" s="55"/>
      <c r="V103" s="55"/>
      <c r="W103" s="55"/>
      <c r="X103" s="55"/>
      <c r="Y103" s="55"/>
      <c r="Z103" s="55"/>
      <c r="AA103" s="55"/>
      <c r="AB103" s="55"/>
      <c r="AC103" s="55"/>
      <c r="AD103" s="55"/>
      <c r="AE103" s="55"/>
      <c r="AF103" s="55"/>
      <c r="AG103" s="55"/>
    </row>
    <row r="104" spans="1:33" x14ac:dyDescent="0.25">
      <c r="A104" s="55"/>
      <c r="B104" s="55"/>
      <c r="C104" s="55"/>
      <c r="D104" s="55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55"/>
      <c r="Q104" s="55"/>
      <c r="R104" s="55"/>
      <c r="S104" s="55"/>
      <c r="T104" s="55"/>
      <c r="U104" s="55"/>
      <c r="V104" s="55"/>
      <c r="W104" s="55"/>
      <c r="X104" s="55"/>
      <c r="Y104" s="55"/>
      <c r="Z104" s="55"/>
      <c r="AA104" s="55"/>
      <c r="AB104" s="55"/>
      <c r="AC104" s="55"/>
      <c r="AD104" s="55"/>
      <c r="AE104" s="55"/>
      <c r="AF104" s="55"/>
      <c r="AG104" s="55"/>
    </row>
    <row r="105" spans="1:33" x14ac:dyDescent="0.25">
      <c r="A105" s="55"/>
      <c r="B105" s="55"/>
      <c r="C105" s="55"/>
      <c r="D105" s="55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55"/>
      <c r="Q105" s="55"/>
      <c r="R105" s="55"/>
      <c r="S105" s="55"/>
      <c r="T105" s="55"/>
      <c r="U105" s="55"/>
      <c r="V105" s="55"/>
      <c r="W105" s="55"/>
      <c r="X105" s="55"/>
      <c r="Y105" s="55"/>
      <c r="Z105" s="55"/>
      <c r="AA105" s="55"/>
      <c r="AB105" s="55"/>
      <c r="AC105" s="55"/>
      <c r="AD105" s="55"/>
      <c r="AE105" s="55"/>
      <c r="AF105" s="55"/>
      <c r="AG105" s="55"/>
    </row>
    <row r="106" spans="1:33" x14ac:dyDescent="0.25">
      <c r="A106" s="55"/>
      <c r="B106" s="55"/>
      <c r="C106" s="55"/>
      <c r="D106" s="55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55"/>
      <c r="Q106" s="55"/>
      <c r="R106" s="55"/>
      <c r="S106" s="55"/>
      <c r="T106" s="55"/>
      <c r="U106" s="55"/>
      <c r="V106" s="55"/>
      <c r="W106" s="55"/>
      <c r="X106" s="55"/>
      <c r="Y106" s="55"/>
      <c r="Z106" s="55"/>
      <c r="AA106" s="55"/>
      <c r="AB106" s="55"/>
      <c r="AC106" s="55"/>
      <c r="AD106" s="55"/>
      <c r="AE106" s="55"/>
      <c r="AF106" s="55"/>
      <c r="AG106" s="55"/>
    </row>
    <row r="107" spans="1:33" x14ac:dyDescent="0.25">
      <c r="A107" s="55"/>
      <c r="B107" s="55"/>
      <c r="C107" s="55"/>
      <c r="D107" s="55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55"/>
      <c r="Q107" s="55"/>
      <c r="R107" s="55"/>
      <c r="S107" s="55"/>
      <c r="T107" s="55"/>
      <c r="U107" s="55"/>
      <c r="V107" s="55"/>
      <c r="W107" s="55"/>
      <c r="X107" s="55"/>
      <c r="Y107" s="55"/>
      <c r="Z107" s="55"/>
      <c r="AA107" s="55"/>
      <c r="AB107" s="55"/>
      <c r="AC107" s="55"/>
      <c r="AD107" s="55"/>
      <c r="AE107" s="55"/>
      <c r="AF107" s="55"/>
      <c r="AG107" s="55"/>
    </row>
    <row r="108" spans="1:33" x14ac:dyDescent="0.25">
      <c r="A108" s="55"/>
      <c r="B108" s="55"/>
      <c r="C108" s="55"/>
      <c r="D108" s="55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55"/>
      <c r="Q108" s="55"/>
      <c r="R108" s="55"/>
      <c r="S108" s="55"/>
      <c r="T108" s="55"/>
      <c r="U108" s="55"/>
      <c r="V108" s="55"/>
      <c r="W108" s="55"/>
      <c r="X108" s="55"/>
      <c r="Y108" s="55"/>
      <c r="Z108" s="55"/>
      <c r="AA108" s="55"/>
      <c r="AB108" s="55"/>
      <c r="AC108" s="55"/>
      <c r="AD108" s="55"/>
      <c r="AE108" s="55"/>
      <c r="AF108" s="55"/>
      <c r="AG108" s="55"/>
    </row>
    <row r="109" spans="1:33" x14ac:dyDescent="0.25">
      <c r="A109" s="55"/>
      <c r="B109" s="55"/>
      <c r="C109" s="55"/>
      <c r="D109" s="55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55"/>
      <c r="Q109" s="55"/>
      <c r="R109" s="55"/>
      <c r="S109" s="55"/>
      <c r="T109" s="55"/>
      <c r="U109" s="55"/>
      <c r="V109" s="55"/>
      <c r="W109" s="55"/>
      <c r="X109" s="55"/>
      <c r="Y109" s="55"/>
      <c r="Z109" s="55"/>
      <c r="AA109" s="55"/>
      <c r="AB109" s="55"/>
      <c r="AC109" s="55"/>
      <c r="AD109" s="55"/>
      <c r="AE109" s="55"/>
      <c r="AF109" s="55"/>
      <c r="AG109" s="55"/>
    </row>
    <row r="110" spans="1:33" x14ac:dyDescent="0.25">
      <c r="A110" s="55"/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55"/>
      <c r="Q110" s="55"/>
      <c r="R110" s="55"/>
      <c r="S110" s="55"/>
      <c r="T110" s="55"/>
      <c r="U110" s="55"/>
      <c r="V110" s="55"/>
      <c r="W110" s="55"/>
      <c r="X110" s="55"/>
      <c r="Y110" s="55"/>
      <c r="Z110" s="55"/>
      <c r="AA110" s="55"/>
      <c r="AB110" s="55"/>
      <c r="AC110" s="55"/>
      <c r="AD110" s="55"/>
      <c r="AE110" s="55"/>
      <c r="AF110" s="55"/>
      <c r="AG110" s="55"/>
    </row>
    <row r="111" spans="1:33" x14ac:dyDescent="0.25">
      <c r="A111" s="55"/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55"/>
      <c r="Q111" s="55"/>
      <c r="R111" s="55"/>
      <c r="S111" s="55"/>
      <c r="T111" s="55"/>
      <c r="U111" s="55"/>
      <c r="V111" s="55"/>
      <c r="W111" s="55"/>
      <c r="X111" s="55"/>
      <c r="Y111" s="55"/>
      <c r="Z111" s="55"/>
      <c r="AA111" s="55"/>
      <c r="AB111" s="55"/>
      <c r="AC111" s="55"/>
      <c r="AD111" s="55"/>
      <c r="AE111" s="55"/>
      <c r="AF111" s="55"/>
      <c r="AG111" s="55"/>
    </row>
    <row r="112" spans="1:33" x14ac:dyDescent="0.25">
      <c r="A112" s="55"/>
      <c r="B112" s="55"/>
      <c r="C112" s="55"/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55"/>
      <c r="Q112" s="55"/>
      <c r="R112" s="55"/>
      <c r="S112" s="55"/>
      <c r="T112" s="55"/>
      <c r="U112" s="55"/>
      <c r="V112" s="55"/>
      <c r="W112" s="55"/>
      <c r="X112" s="55"/>
      <c r="Y112" s="55"/>
      <c r="Z112" s="55"/>
      <c r="AA112" s="55"/>
      <c r="AB112" s="55"/>
      <c r="AC112" s="55"/>
      <c r="AD112" s="55"/>
      <c r="AE112" s="55"/>
      <c r="AF112" s="55"/>
      <c r="AG112" s="55"/>
    </row>
    <row r="113" spans="1:33" x14ac:dyDescent="0.25">
      <c r="A113" s="55"/>
      <c r="B113" s="55"/>
      <c r="C113" s="55"/>
      <c r="D113" s="55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55"/>
      <c r="Q113" s="55"/>
      <c r="R113" s="55"/>
      <c r="S113" s="55"/>
      <c r="T113" s="55"/>
      <c r="U113" s="55"/>
      <c r="V113" s="55"/>
      <c r="W113" s="55"/>
      <c r="X113" s="55"/>
      <c r="Y113" s="55"/>
      <c r="Z113" s="55"/>
      <c r="AA113" s="55"/>
      <c r="AB113" s="55"/>
      <c r="AC113" s="55"/>
      <c r="AD113" s="55"/>
      <c r="AE113" s="55"/>
      <c r="AF113" s="55"/>
      <c r="AG113" s="55"/>
    </row>
    <row r="114" spans="1:33" x14ac:dyDescent="0.25">
      <c r="A114" s="55"/>
      <c r="B114" s="55"/>
      <c r="C114" s="55"/>
      <c r="D114" s="55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5"/>
      <c r="AG114" s="55"/>
    </row>
    <row r="115" spans="1:33" x14ac:dyDescent="0.25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55"/>
      <c r="AE115" s="55"/>
      <c r="AF115" s="55"/>
      <c r="AG115" s="55"/>
    </row>
    <row r="116" spans="1:33" x14ac:dyDescent="0.25">
      <c r="A116" s="55"/>
      <c r="B116" s="55"/>
      <c r="C116" s="55"/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55"/>
      <c r="Q116" s="55"/>
      <c r="R116" s="55"/>
      <c r="S116" s="55"/>
      <c r="T116" s="55"/>
      <c r="U116" s="55"/>
      <c r="V116" s="55"/>
      <c r="W116" s="55"/>
      <c r="X116" s="55"/>
      <c r="Y116" s="55"/>
      <c r="Z116" s="55"/>
      <c r="AA116" s="55"/>
      <c r="AB116" s="55"/>
      <c r="AC116" s="55"/>
      <c r="AD116" s="55"/>
      <c r="AE116" s="55"/>
      <c r="AF116" s="55"/>
      <c r="AG116" s="55"/>
    </row>
    <row r="117" spans="1:33" x14ac:dyDescent="0.25">
      <c r="A117" s="55"/>
      <c r="B117" s="55"/>
      <c r="C117" s="55"/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Q117" s="55"/>
      <c r="R117" s="55"/>
      <c r="S117" s="55"/>
      <c r="T117" s="55"/>
      <c r="U117" s="55"/>
      <c r="V117" s="55"/>
      <c r="W117" s="55"/>
      <c r="X117" s="55"/>
      <c r="Y117" s="55"/>
      <c r="Z117" s="55"/>
      <c r="AA117" s="55"/>
      <c r="AB117" s="55"/>
      <c r="AC117" s="55"/>
      <c r="AD117" s="55"/>
      <c r="AE117" s="55"/>
      <c r="AF117" s="55"/>
      <c r="AG117" s="55"/>
    </row>
    <row r="118" spans="1:33" x14ac:dyDescent="0.25">
      <c r="A118" s="55"/>
      <c r="B118" s="55"/>
      <c r="C118" s="55"/>
      <c r="D118" s="55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55"/>
      <c r="Q118" s="55"/>
      <c r="R118" s="55"/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55"/>
      <c r="AE118" s="55"/>
      <c r="AF118" s="55"/>
      <c r="AG118" s="55"/>
    </row>
    <row r="119" spans="1:33" x14ac:dyDescent="0.25">
      <c r="A119" s="55"/>
      <c r="B119" s="55"/>
      <c r="C119" s="55"/>
      <c r="D119" s="55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55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55"/>
      <c r="AC119" s="55"/>
      <c r="AD119" s="55"/>
      <c r="AE119" s="55"/>
      <c r="AF119" s="55"/>
      <c r="AG119" s="55"/>
    </row>
    <row r="120" spans="1:33" x14ac:dyDescent="0.25">
      <c r="A120" s="55"/>
      <c r="B120" s="55"/>
      <c r="C120" s="55"/>
      <c r="D120" s="55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55"/>
      <c r="Q120" s="55"/>
      <c r="R120" s="55"/>
      <c r="S120" s="55"/>
      <c r="T120" s="55"/>
      <c r="U120" s="55"/>
      <c r="V120" s="55"/>
      <c r="W120" s="55"/>
      <c r="X120" s="55"/>
      <c r="Y120" s="55"/>
      <c r="Z120" s="55"/>
      <c r="AA120" s="55"/>
      <c r="AB120" s="55"/>
      <c r="AC120" s="55"/>
      <c r="AD120" s="55"/>
      <c r="AE120" s="55"/>
      <c r="AF120" s="55"/>
      <c r="AG120" s="55"/>
    </row>
    <row r="121" spans="1:33" x14ac:dyDescent="0.25">
      <c r="A121" s="55"/>
      <c r="B121" s="55"/>
      <c r="C121" s="55"/>
      <c r="D121" s="55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55"/>
      <c r="Q121" s="55"/>
      <c r="R121" s="55"/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55"/>
      <c r="AE121" s="55"/>
      <c r="AF121" s="55"/>
      <c r="AG121" s="55"/>
    </row>
    <row r="122" spans="1:33" x14ac:dyDescent="0.25">
      <c r="A122" s="55"/>
      <c r="B122" s="55"/>
      <c r="C122" s="55"/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55"/>
      <c r="Q122" s="55"/>
      <c r="R122" s="55"/>
      <c r="S122" s="55"/>
      <c r="T122" s="55"/>
      <c r="U122" s="55"/>
      <c r="V122" s="55"/>
      <c r="W122" s="55"/>
      <c r="X122" s="55"/>
      <c r="Y122" s="55"/>
      <c r="Z122" s="55"/>
      <c r="AA122" s="55"/>
      <c r="AB122" s="55"/>
      <c r="AC122" s="55"/>
      <c r="AD122" s="55"/>
      <c r="AE122" s="55"/>
      <c r="AF122" s="55"/>
      <c r="AG122" s="55"/>
    </row>
    <row r="123" spans="1:33" x14ac:dyDescent="0.25">
      <c r="A123" s="55"/>
      <c r="B123" s="55"/>
      <c r="C123" s="55"/>
      <c r="D123" s="55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55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55"/>
      <c r="AE123" s="55"/>
      <c r="AF123" s="55"/>
      <c r="AG123" s="55"/>
    </row>
    <row r="124" spans="1:33" x14ac:dyDescent="0.25">
      <c r="A124" s="55"/>
      <c r="B124" s="55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55"/>
      <c r="AE124" s="55"/>
      <c r="AF124" s="55"/>
      <c r="AG124" s="55"/>
    </row>
    <row r="125" spans="1:33" x14ac:dyDescent="0.25">
      <c r="A125" s="55"/>
      <c r="B125" s="55"/>
      <c r="C125" s="55"/>
      <c r="D125" s="55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55"/>
      <c r="Q125" s="55"/>
      <c r="R125" s="55"/>
      <c r="S125" s="55"/>
      <c r="T125" s="55"/>
      <c r="U125" s="55"/>
      <c r="V125" s="55"/>
      <c r="W125" s="55"/>
      <c r="X125" s="55"/>
      <c r="Y125" s="55"/>
      <c r="Z125" s="55"/>
      <c r="AA125" s="55"/>
      <c r="AB125" s="55"/>
      <c r="AC125" s="55"/>
      <c r="AD125" s="55"/>
      <c r="AE125" s="55"/>
      <c r="AF125" s="55"/>
      <c r="AG125" s="55"/>
    </row>
    <row r="126" spans="1:33" x14ac:dyDescent="0.25">
      <c r="A126" s="55"/>
      <c r="B126" s="55"/>
      <c r="C126" s="55"/>
      <c r="D126" s="55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55"/>
      <c r="Q126" s="55"/>
      <c r="R126" s="55"/>
      <c r="S126" s="55"/>
      <c r="T126" s="55"/>
      <c r="U126" s="55"/>
      <c r="V126" s="55"/>
      <c r="W126" s="55"/>
      <c r="X126" s="55"/>
      <c r="Y126" s="55"/>
      <c r="Z126" s="55"/>
      <c r="AA126" s="55"/>
      <c r="AB126" s="55"/>
      <c r="AC126" s="55"/>
      <c r="AD126" s="55"/>
      <c r="AE126" s="55"/>
      <c r="AF126" s="55"/>
      <c r="AG126" s="55"/>
    </row>
    <row r="127" spans="1:33" x14ac:dyDescent="0.25">
      <c r="A127" s="55"/>
      <c r="B127" s="55"/>
      <c r="C127" s="55"/>
      <c r="D127" s="55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55"/>
      <c r="Q127" s="55"/>
      <c r="R127" s="55"/>
      <c r="S127" s="55"/>
      <c r="T127" s="55"/>
      <c r="U127" s="55"/>
      <c r="V127" s="55"/>
      <c r="W127" s="55"/>
      <c r="X127" s="55"/>
      <c r="Y127" s="55"/>
      <c r="Z127" s="55"/>
      <c r="AA127" s="55"/>
      <c r="AB127" s="55"/>
      <c r="AC127" s="55"/>
      <c r="AD127" s="55"/>
      <c r="AE127" s="55"/>
      <c r="AF127" s="55"/>
      <c r="AG127" s="55"/>
    </row>
    <row r="128" spans="1:33" x14ac:dyDescent="0.25">
      <c r="A128" s="55"/>
      <c r="B128" s="55"/>
      <c r="C128" s="55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55"/>
      <c r="Q128" s="55"/>
      <c r="R128" s="55"/>
      <c r="S128" s="55"/>
      <c r="T128" s="55"/>
      <c r="U128" s="55"/>
      <c r="V128" s="55"/>
      <c r="W128" s="55"/>
      <c r="X128" s="55"/>
      <c r="Y128" s="55"/>
      <c r="Z128" s="55"/>
      <c r="AA128" s="55"/>
      <c r="AB128" s="55"/>
      <c r="AC128" s="55"/>
      <c r="AD128" s="55"/>
      <c r="AE128" s="55"/>
      <c r="AF128" s="55"/>
      <c r="AG128" s="55"/>
    </row>
    <row r="129" spans="1:33" x14ac:dyDescent="0.25">
      <c r="A129" s="55"/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Q129" s="55"/>
      <c r="R129" s="55"/>
      <c r="S129" s="55"/>
      <c r="T129" s="55"/>
      <c r="U129" s="55"/>
      <c r="V129" s="55"/>
      <c r="W129" s="55"/>
      <c r="X129" s="55"/>
      <c r="Y129" s="55"/>
      <c r="Z129" s="55"/>
      <c r="AA129" s="55"/>
      <c r="AB129" s="55"/>
      <c r="AC129" s="55"/>
      <c r="AD129" s="55"/>
      <c r="AE129" s="55"/>
      <c r="AF129" s="55"/>
      <c r="AG129" s="55"/>
    </row>
    <row r="130" spans="1:33" x14ac:dyDescent="0.25">
      <c r="A130" s="55"/>
      <c r="B130" s="55"/>
      <c r="C130" s="55"/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55"/>
      <c r="Q130" s="55"/>
      <c r="R130" s="55"/>
      <c r="S130" s="55"/>
      <c r="T130" s="55"/>
      <c r="U130" s="55"/>
      <c r="V130" s="55"/>
      <c r="W130" s="55"/>
      <c r="X130" s="55"/>
      <c r="Y130" s="55"/>
      <c r="Z130" s="55"/>
      <c r="AA130" s="55"/>
      <c r="AB130" s="55"/>
      <c r="AC130" s="55"/>
      <c r="AD130" s="55"/>
      <c r="AE130" s="55"/>
      <c r="AF130" s="55"/>
      <c r="AG130" s="55"/>
    </row>
    <row r="131" spans="1:33" x14ac:dyDescent="0.25">
      <c r="A131" s="55"/>
      <c r="B131" s="55"/>
      <c r="C131" s="55"/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55"/>
      <c r="Q131" s="55"/>
      <c r="R131" s="55"/>
      <c r="S131" s="55"/>
      <c r="T131" s="55"/>
      <c r="U131" s="55"/>
      <c r="V131" s="55"/>
      <c r="W131" s="55"/>
      <c r="X131" s="55"/>
      <c r="Y131" s="55"/>
      <c r="Z131" s="55"/>
      <c r="AA131" s="55"/>
      <c r="AB131" s="55"/>
      <c r="AC131" s="55"/>
      <c r="AD131" s="55"/>
      <c r="AE131" s="55"/>
      <c r="AF131" s="55"/>
      <c r="AG131" s="55"/>
    </row>
    <row r="132" spans="1:33" x14ac:dyDescent="0.25">
      <c r="A132" s="55"/>
      <c r="B132" s="55"/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Q132" s="55"/>
      <c r="R132" s="55"/>
      <c r="S132" s="55"/>
      <c r="T132" s="55"/>
      <c r="U132" s="55"/>
      <c r="V132" s="55"/>
      <c r="W132" s="55"/>
      <c r="X132" s="55"/>
      <c r="Y132" s="55"/>
      <c r="Z132" s="55"/>
      <c r="AA132" s="55"/>
      <c r="AB132" s="55"/>
      <c r="AC132" s="55"/>
      <c r="AD132" s="55"/>
      <c r="AE132" s="55"/>
      <c r="AF132" s="55"/>
      <c r="AG132" s="55"/>
    </row>
    <row r="133" spans="1:33" x14ac:dyDescent="0.25">
      <c r="A133" s="55"/>
      <c r="B133" s="55"/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55"/>
      <c r="Q133" s="55"/>
      <c r="R133" s="55"/>
      <c r="S133" s="55"/>
      <c r="T133" s="55"/>
      <c r="U133" s="55"/>
      <c r="V133" s="55"/>
      <c r="W133" s="55"/>
      <c r="X133" s="55"/>
      <c r="Y133" s="55"/>
      <c r="Z133" s="55"/>
      <c r="AA133" s="55"/>
      <c r="AB133" s="55"/>
      <c r="AC133" s="55"/>
      <c r="AD133" s="55"/>
      <c r="AE133" s="55"/>
      <c r="AF133" s="55"/>
      <c r="AG133" s="55"/>
    </row>
    <row r="134" spans="1:33" x14ac:dyDescent="0.25">
      <c r="A134" s="55"/>
      <c r="B134" s="55"/>
      <c r="C134" s="55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55"/>
      <c r="Q134" s="55"/>
      <c r="R134" s="55"/>
      <c r="S134" s="55"/>
      <c r="T134" s="55"/>
      <c r="U134" s="55"/>
      <c r="V134" s="55"/>
      <c r="W134" s="55"/>
      <c r="X134" s="55"/>
      <c r="Y134" s="55"/>
      <c r="Z134" s="55"/>
      <c r="AA134" s="55"/>
      <c r="AB134" s="55"/>
      <c r="AC134" s="55"/>
      <c r="AD134" s="55"/>
      <c r="AE134" s="55"/>
      <c r="AF134" s="55"/>
      <c r="AG134" s="55"/>
    </row>
    <row r="135" spans="1:33" x14ac:dyDescent="0.25">
      <c r="A135" s="55"/>
      <c r="B135" s="55"/>
      <c r="C135" s="55"/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55"/>
      <c r="Q135" s="55"/>
      <c r="R135" s="55"/>
      <c r="S135" s="55"/>
      <c r="T135" s="55"/>
      <c r="U135" s="55"/>
      <c r="V135" s="55"/>
      <c r="W135" s="55"/>
      <c r="X135" s="55"/>
      <c r="Y135" s="55"/>
      <c r="Z135" s="55"/>
      <c r="AA135" s="55"/>
      <c r="AB135" s="55"/>
      <c r="AC135" s="55"/>
      <c r="AD135" s="55"/>
      <c r="AE135" s="55"/>
      <c r="AF135" s="55"/>
      <c r="AG135" s="55"/>
    </row>
    <row r="136" spans="1:33" x14ac:dyDescent="0.25">
      <c r="A136" s="55"/>
      <c r="B136" s="55"/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55"/>
      <c r="Q136" s="55"/>
      <c r="R136" s="55"/>
      <c r="S136" s="55"/>
      <c r="T136" s="55"/>
      <c r="U136" s="55"/>
      <c r="V136" s="55"/>
      <c r="W136" s="55"/>
      <c r="X136" s="55"/>
      <c r="Y136" s="55"/>
      <c r="Z136" s="55"/>
      <c r="AA136" s="55"/>
      <c r="AB136" s="55"/>
      <c r="AC136" s="55"/>
      <c r="AD136" s="55"/>
      <c r="AE136" s="55"/>
      <c r="AF136" s="55"/>
      <c r="AG136" s="55"/>
    </row>
    <row r="137" spans="1:33" x14ac:dyDescent="0.25">
      <c r="A137" s="55"/>
      <c r="B137" s="55"/>
      <c r="C137" s="55"/>
      <c r="D137" s="55"/>
      <c r="E137" s="55"/>
      <c r="F137" s="55"/>
      <c r="G137" s="55"/>
      <c r="H137" s="55"/>
      <c r="I137" s="55"/>
      <c r="J137" s="55"/>
      <c r="K137" s="55"/>
      <c r="L137" s="55"/>
      <c r="M137" s="55"/>
      <c r="N137" s="55"/>
      <c r="O137" s="55"/>
      <c r="Q137" s="55"/>
      <c r="R137" s="55"/>
      <c r="S137" s="55"/>
      <c r="T137" s="55"/>
      <c r="U137" s="55"/>
      <c r="V137" s="55"/>
      <c r="W137" s="55"/>
      <c r="X137" s="55"/>
      <c r="Y137" s="55"/>
      <c r="Z137" s="55"/>
      <c r="AA137" s="55"/>
      <c r="AB137" s="55"/>
      <c r="AC137" s="55"/>
      <c r="AD137" s="55"/>
      <c r="AE137" s="55"/>
      <c r="AF137" s="55"/>
      <c r="AG137" s="55"/>
    </row>
    <row r="138" spans="1:33" x14ac:dyDescent="0.25">
      <c r="A138" s="55"/>
      <c r="B138" s="55"/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55"/>
      <c r="Q138" s="55"/>
      <c r="R138" s="55"/>
      <c r="S138" s="55"/>
      <c r="T138" s="55"/>
      <c r="U138" s="55"/>
      <c r="V138" s="55"/>
      <c r="W138" s="55"/>
      <c r="X138" s="55"/>
      <c r="Y138" s="55"/>
      <c r="Z138" s="55"/>
      <c r="AA138" s="55"/>
      <c r="AB138" s="55"/>
      <c r="AC138" s="55"/>
      <c r="AD138" s="55"/>
      <c r="AE138" s="55"/>
      <c r="AF138" s="55"/>
      <c r="AG138" s="55"/>
    </row>
    <row r="139" spans="1:33" x14ac:dyDescent="0.25">
      <c r="A139" s="55"/>
      <c r="B139" s="55"/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55"/>
      <c r="Q139" s="55"/>
      <c r="R139" s="55"/>
      <c r="S139" s="55"/>
      <c r="T139" s="55"/>
      <c r="U139" s="55"/>
      <c r="V139" s="55"/>
      <c r="W139" s="55"/>
      <c r="X139" s="55"/>
      <c r="Y139" s="55"/>
      <c r="Z139" s="55"/>
      <c r="AA139" s="55"/>
      <c r="AB139" s="55"/>
      <c r="AC139" s="55"/>
      <c r="AD139" s="55"/>
      <c r="AE139" s="55"/>
      <c r="AF139" s="55"/>
      <c r="AG139" s="55"/>
    </row>
    <row r="140" spans="1:33" x14ac:dyDescent="0.25">
      <c r="A140" s="55"/>
      <c r="B140" s="55"/>
      <c r="C140" s="55"/>
      <c r="D140" s="55"/>
      <c r="E140" s="55"/>
      <c r="F140" s="55"/>
      <c r="G140" s="55"/>
      <c r="H140" s="55"/>
      <c r="I140" s="55"/>
      <c r="J140" s="55"/>
      <c r="K140" s="55"/>
      <c r="L140" s="55"/>
      <c r="M140" s="55"/>
      <c r="N140" s="55"/>
      <c r="O140" s="55"/>
      <c r="Q140" s="55"/>
      <c r="R140" s="55"/>
      <c r="S140" s="55"/>
      <c r="T140" s="55"/>
      <c r="U140" s="55"/>
      <c r="V140" s="55"/>
      <c r="W140" s="55"/>
      <c r="X140" s="55"/>
      <c r="Y140" s="55"/>
      <c r="Z140" s="55"/>
      <c r="AA140" s="55"/>
      <c r="AB140" s="55"/>
      <c r="AC140" s="55"/>
      <c r="AD140" s="55"/>
      <c r="AE140" s="55"/>
      <c r="AF140" s="55"/>
      <c r="AG140" s="55"/>
    </row>
    <row r="141" spans="1:33" x14ac:dyDescent="0.25">
      <c r="A141" s="55"/>
      <c r="B141" s="55"/>
      <c r="C141" s="55"/>
      <c r="D141" s="55"/>
      <c r="E141" s="55"/>
      <c r="F141" s="55"/>
      <c r="G141" s="55"/>
      <c r="H141" s="55"/>
      <c r="I141" s="55"/>
      <c r="J141" s="55"/>
      <c r="K141" s="55"/>
      <c r="L141" s="55"/>
      <c r="M141" s="55"/>
      <c r="N141" s="55"/>
      <c r="O141" s="55"/>
      <c r="Q141" s="55"/>
      <c r="R141" s="55"/>
      <c r="S141" s="55"/>
      <c r="T141" s="55"/>
      <c r="U141" s="55"/>
      <c r="V141" s="55"/>
      <c r="W141" s="55"/>
      <c r="X141" s="55"/>
      <c r="Y141" s="55"/>
      <c r="Z141" s="55"/>
      <c r="AA141" s="55"/>
      <c r="AB141" s="55"/>
      <c r="AC141" s="55"/>
      <c r="AD141" s="55"/>
      <c r="AE141" s="55"/>
      <c r="AF141" s="55"/>
      <c r="AG141" s="55"/>
    </row>
    <row r="142" spans="1:33" x14ac:dyDescent="0.25">
      <c r="A142" s="55"/>
      <c r="B142" s="55"/>
      <c r="C142" s="55"/>
      <c r="D142" s="55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55"/>
      <c r="Q142" s="55"/>
      <c r="R142" s="55"/>
      <c r="S142" s="55"/>
      <c r="T142" s="55"/>
      <c r="U142" s="55"/>
      <c r="V142" s="55"/>
      <c r="W142" s="55"/>
      <c r="X142" s="55"/>
      <c r="Y142" s="55"/>
      <c r="Z142" s="55"/>
      <c r="AA142" s="55"/>
      <c r="AB142" s="55"/>
      <c r="AC142" s="55"/>
      <c r="AD142" s="55"/>
      <c r="AE142" s="55"/>
      <c r="AF142" s="55"/>
      <c r="AG142" s="55"/>
    </row>
    <row r="143" spans="1:33" x14ac:dyDescent="0.25">
      <c r="A143" s="55"/>
      <c r="B143" s="55"/>
      <c r="C143" s="55"/>
      <c r="D143" s="55"/>
      <c r="E143" s="55"/>
      <c r="F143" s="55"/>
      <c r="G143" s="55"/>
      <c r="H143" s="55"/>
      <c r="I143" s="55"/>
      <c r="J143" s="55"/>
      <c r="K143" s="55"/>
      <c r="L143" s="55"/>
      <c r="M143" s="55"/>
      <c r="N143" s="55"/>
      <c r="O143" s="55"/>
      <c r="Q143" s="55"/>
      <c r="R143" s="55"/>
      <c r="S143" s="55"/>
      <c r="T143" s="55"/>
      <c r="U143" s="55"/>
      <c r="V143" s="55"/>
      <c r="W143" s="55"/>
      <c r="X143" s="55"/>
      <c r="Y143" s="55"/>
      <c r="Z143" s="55"/>
      <c r="AA143" s="55"/>
      <c r="AB143" s="55"/>
      <c r="AC143" s="55"/>
      <c r="AD143" s="55"/>
      <c r="AE143" s="55"/>
      <c r="AF143" s="55"/>
      <c r="AG143" s="55"/>
    </row>
    <row r="144" spans="1:33" x14ac:dyDescent="0.25">
      <c r="A144" s="55"/>
      <c r="B144" s="55"/>
      <c r="C144" s="55"/>
      <c r="D144" s="55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55"/>
      <c r="Q144" s="55"/>
      <c r="R144" s="55"/>
      <c r="S144" s="55"/>
      <c r="T144" s="55"/>
      <c r="U144" s="55"/>
      <c r="V144" s="55"/>
      <c r="W144" s="55"/>
      <c r="X144" s="55"/>
      <c r="Y144" s="55"/>
      <c r="Z144" s="55"/>
      <c r="AA144" s="55"/>
      <c r="AB144" s="55"/>
      <c r="AC144" s="55"/>
      <c r="AD144" s="55"/>
      <c r="AE144" s="55"/>
      <c r="AF144" s="55"/>
      <c r="AG144" s="55"/>
    </row>
    <row r="145" spans="1:33" x14ac:dyDescent="0.25">
      <c r="A145" s="55"/>
      <c r="B145" s="55"/>
      <c r="C145" s="55"/>
      <c r="D145" s="55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55"/>
      <c r="Q145" s="55"/>
      <c r="R145" s="55"/>
      <c r="S145" s="55"/>
      <c r="T145" s="55"/>
      <c r="U145" s="55"/>
      <c r="V145" s="55"/>
      <c r="W145" s="55"/>
      <c r="X145" s="55"/>
      <c r="Y145" s="55"/>
      <c r="Z145" s="55"/>
      <c r="AA145" s="55"/>
      <c r="AB145" s="55"/>
      <c r="AC145" s="55"/>
      <c r="AD145" s="55"/>
      <c r="AE145" s="55"/>
      <c r="AF145" s="55"/>
      <c r="AG145" s="55"/>
    </row>
    <row r="146" spans="1:33" x14ac:dyDescent="0.25">
      <c r="A146" s="55"/>
      <c r="B146" s="55"/>
      <c r="C146" s="55"/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55"/>
      <c r="Q146" s="55"/>
      <c r="R146" s="55"/>
      <c r="S146" s="55"/>
      <c r="T146" s="55"/>
      <c r="U146" s="55"/>
      <c r="V146" s="55"/>
      <c r="W146" s="55"/>
      <c r="X146" s="55"/>
      <c r="Y146" s="55"/>
      <c r="Z146" s="55"/>
      <c r="AA146" s="55"/>
      <c r="AB146" s="55"/>
      <c r="AC146" s="55"/>
      <c r="AD146" s="55"/>
      <c r="AE146" s="55"/>
      <c r="AF146" s="55"/>
      <c r="AG146" s="55"/>
    </row>
    <row r="147" spans="1:33" x14ac:dyDescent="0.25">
      <c r="A147" s="55"/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55"/>
      <c r="Q147" s="55"/>
      <c r="R147" s="55"/>
      <c r="S147" s="55"/>
      <c r="T147" s="55"/>
      <c r="U147" s="55"/>
      <c r="V147" s="55"/>
      <c r="W147" s="55"/>
      <c r="X147" s="55"/>
      <c r="Y147" s="55"/>
      <c r="Z147" s="55"/>
      <c r="AA147" s="55"/>
      <c r="AB147" s="55"/>
      <c r="AC147" s="55"/>
      <c r="AD147" s="55"/>
      <c r="AE147" s="55"/>
      <c r="AF147" s="55"/>
      <c r="AG147" s="55"/>
    </row>
    <row r="148" spans="1:33" x14ac:dyDescent="0.25">
      <c r="A148" s="55"/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55"/>
      <c r="Q148" s="55"/>
      <c r="R148" s="55"/>
      <c r="S148" s="55"/>
      <c r="T148" s="55"/>
      <c r="U148" s="55"/>
      <c r="V148" s="55"/>
      <c r="W148" s="55"/>
      <c r="X148" s="55"/>
      <c r="Y148" s="55"/>
      <c r="Z148" s="55"/>
      <c r="AA148" s="55"/>
      <c r="AB148" s="55"/>
      <c r="AC148" s="55"/>
      <c r="AD148" s="55"/>
      <c r="AE148" s="55"/>
      <c r="AF148" s="55"/>
      <c r="AG148" s="55"/>
    </row>
    <row r="149" spans="1:33" x14ac:dyDescent="0.25">
      <c r="A149" s="55"/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Q149" s="55"/>
      <c r="R149" s="55"/>
      <c r="S149" s="55"/>
      <c r="T149" s="55"/>
      <c r="U149" s="55"/>
      <c r="V149" s="55"/>
      <c r="W149" s="55"/>
      <c r="X149" s="55"/>
      <c r="Y149" s="55"/>
      <c r="Z149" s="55"/>
      <c r="AA149" s="55"/>
      <c r="AB149" s="55"/>
      <c r="AC149" s="55"/>
      <c r="AD149" s="55"/>
      <c r="AE149" s="55"/>
      <c r="AF149" s="55"/>
      <c r="AG149" s="55"/>
    </row>
    <row r="150" spans="1:33" x14ac:dyDescent="0.25">
      <c r="A150" s="55"/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Q150" s="55"/>
      <c r="R150" s="55"/>
      <c r="S150" s="55"/>
      <c r="T150" s="55"/>
      <c r="U150" s="55"/>
      <c r="V150" s="55"/>
      <c r="W150" s="55"/>
      <c r="X150" s="55"/>
      <c r="Y150" s="55"/>
      <c r="Z150" s="55"/>
      <c r="AA150" s="55"/>
      <c r="AB150" s="55"/>
      <c r="AC150" s="55"/>
      <c r="AD150" s="55"/>
      <c r="AE150" s="55"/>
      <c r="AF150" s="55"/>
      <c r="AG150" s="55"/>
    </row>
    <row r="151" spans="1:33" x14ac:dyDescent="0.25">
      <c r="A151" s="55"/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Q151" s="55"/>
      <c r="R151" s="55"/>
      <c r="S151" s="55"/>
      <c r="T151" s="55"/>
      <c r="U151" s="55"/>
      <c r="V151" s="55"/>
      <c r="W151" s="55"/>
      <c r="X151" s="55"/>
      <c r="Y151" s="55"/>
      <c r="Z151" s="55"/>
      <c r="AA151" s="55"/>
      <c r="AB151" s="55"/>
      <c r="AC151" s="55"/>
      <c r="AD151" s="55"/>
      <c r="AE151" s="55"/>
      <c r="AF151" s="55"/>
      <c r="AG151" s="55"/>
    </row>
    <row r="152" spans="1:33" x14ac:dyDescent="0.25">
      <c r="A152" s="55"/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Q152" s="55"/>
      <c r="R152" s="55"/>
      <c r="S152" s="55"/>
      <c r="T152" s="55"/>
      <c r="U152" s="55"/>
      <c r="V152" s="55"/>
      <c r="W152" s="55"/>
      <c r="X152" s="55"/>
      <c r="Y152" s="55"/>
      <c r="Z152" s="55"/>
      <c r="AA152" s="55"/>
      <c r="AB152" s="55"/>
      <c r="AC152" s="55"/>
      <c r="AD152" s="55"/>
      <c r="AE152" s="55"/>
      <c r="AF152" s="55"/>
      <c r="AG152" s="55"/>
    </row>
    <row r="153" spans="1:33" x14ac:dyDescent="0.25">
      <c r="A153" s="55"/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55"/>
      <c r="Q153" s="55"/>
      <c r="R153" s="55"/>
      <c r="S153" s="55"/>
      <c r="T153" s="55"/>
      <c r="U153" s="55"/>
      <c r="V153" s="55"/>
      <c r="W153" s="55"/>
      <c r="X153" s="55"/>
      <c r="Y153" s="55"/>
      <c r="Z153" s="55"/>
      <c r="AA153" s="55"/>
      <c r="AB153" s="55"/>
      <c r="AC153" s="55"/>
      <c r="AD153" s="55"/>
      <c r="AE153" s="55"/>
      <c r="AF153" s="55"/>
      <c r="AG153" s="55"/>
    </row>
    <row r="154" spans="1:33" x14ac:dyDescent="0.25">
      <c r="A154" s="55"/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55"/>
      <c r="Q154" s="55"/>
      <c r="R154" s="55"/>
      <c r="S154" s="55"/>
      <c r="T154" s="55"/>
      <c r="U154" s="55"/>
      <c r="V154" s="55"/>
      <c r="W154" s="55"/>
      <c r="X154" s="55"/>
      <c r="Y154" s="55"/>
      <c r="Z154" s="55"/>
      <c r="AA154" s="55"/>
      <c r="AB154" s="55"/>
      <c r="AC154" s="55"/>
      <c r="AD154" s="55"/>
      <c r="AE154" s="55"/>
      <c r="AF154" s="55"/>
      <c r="AG154" s="55"/>
    </row>
    <row r="155" spans="1:33" x14ac:dyDescent="0.25">
      <c r="A155" s="55"/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Q155" s="55"/>
      <c r="R155" s="55"/>
      <c r="S155" s="55"/>
      <c r="T155" s="55"/>
      <c r="U155" s="55"/>
      <c r="V155" s="55"/>
      <c r="W155" s="55"/>
      <c r="X155" s="55"/>
      <c r="Y155" s="55"/>
      <c r="Z155" s="55"/>
      <c r="AA155" s="55"/>
      <c r="AB155" s="55"/>
      <c r="AC155" s="55"/>
      <c r="AD155" s="55"/>
      <c r="AE155" s="55"/>
      <c r="AF155" s="55"/>
      <c r="AG155" s="55"/>
    </row>
    <row r="156" spans="1:33" x14ac:dyDescent="0.25">
      <c r="A156" s="55"/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55"/>
      <c r="Q156" s="55"/>
      <c r="R156" s="55"/>
      <c r="S156" s="55"/>
      <c r="T156" s="55"/>
      <c r="U156" s="55"/>
      <c r="V156" s="55"/>
      <c r="W156" s="55"/>
      <c r="X156" s="55"/>
      <c r="Y156" s="55"/>
      <c r="Z156" s="55"/>
      <c r="AA156" s="55"/>
      <c r="AB156" s="55"/>
      <c r="AC156" s="55"/>
      <c r="AD156" s="55"/>
      <c r="AE156" s="55"/>
      <c r="AF156" s="55"/>
      <c r="AG156" s="55"/>
    </row>
    <row r="157" spans="1:33" x14ac:dyDescent="0.25">
      <c r="A157" s="55"/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55"/>
      <c r="Q157" s="55"/>
      <c r="R157" s="55"/>
      <c r="S157" s="55"/>
      <c r="T157" s="55"/>
      <c r="U157" s="55"/>
      <c r="V157" s="55"/>
      <c r="W157" s="55"/>
      <c r="X157" s="55"/>
      <c r="Y157" s="55"/>
      <c r="Z157" s="55"/>
      <c r="AA157" s="55"/>
      <c r="AB157" s="55"/>
      <c r="AC157" s="55"/>
      <c r="AD157" s="55"/>
      <c r="AE157" s="55"/>
      <c r="AF157" s="55"/>
      <c r="AG157" s="55"/>
    </row>
    <row r="158" spans="1:33" x14ac:dyDescent="0.25">
      <c r="A158" s="55"/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55"/>
      <c r="Q158" s="55"/>
      <c r="R158" s="55"/>
      <c r="S158" s="55"/>
      <c r="T158" s="55"/>
      <c r="U158" s="55"/>
      <c r="V158" s="55"/>
      <c r="W158" s="55"/>
      <c r="X158" s="55"/>
      <c r="Y158" s="55"/>
      <c r="Z158" s="55"/>
      <c r="AA158" s="55"/>
      <c r="AB158" s="55"/>
      <c r="AC158" s="55"/>
      <c r="AD158" s="55"/>
      <c r="AE158" s="55"/>
      <c r="AF158" s="55"/>
      <c r="AG158" s="55"/>
    </row>
    <row r="159" spans="1:33" x14ac:dyDescent="0.25">
      <c r="A159" s="55"/>
      <c r="B159" s="55"/>
      <c r="C159" s="55"/>
      <c r="D159" s="55"/>
      <c r="E159" s="55"/>
      <c r="F159" s="55"/>
      <c r="G159" s="55"/>
      <c r="H159" s="55"/>
      <c r="I159" s="55"/>
      <c r="J159" s="55"/>
      <c r="K159" s="55"/>
      <c r="L159" s="55"/>
      <c r="M159" s="55"/>
      <c r="N159" s="55"/>
      <c r="O159" s="55"/>
      <c r="Q159" s="55"/>
      <c r="R159" s="55"/>
      <c r="S159" s="55"/>
      <c r="T159" s="55"/>
      <c r="U159" s="55"/>
      <c r="V159" s="55"/>
      <c r="W159" s="55"/>
      <c r="X159" s="55"/>
      <c r="Y159" s="55"/>
      <c r="Z159" s="55"/>
      <c r="AA159" s="55"/>
      <c r="AB159" s="55"/>
      <c r="AC159" s="55"/>
      <c r="AD159" s="55"/>
      <c r="AE159" s="55"/>
      <c r="AF159" s="55"/>
      <c r="AG159" s="55"/>
    </row>
    <row r="160" spans="1:33" x14ac:dyDescent="0.25">
      <c r="A160" s="55"/>
      <c r="B160" s="55"/>
      <c r="C160" s="55"/>
      <c r="D160" s="55"/>
      <c r="E160" s="55"/>
      <c r="F160" s="55"/>
      <c r="G160" s="55"/>
      <c r="H160" s="55"/>
      <c r="I160" s="55"/>
      <c r="J160" s="55"/>
      <c r="K160" s="55"/>
      <c r="L160" s="55"/>
      <c r="M160" s="55"/>
      <c r="N160" s="55"/>
      <c r="O160" s="55"/>
      <c r="Q160" s="55"/>
      <c r="R160" s="55"/>
      <c r="S160" s="55"/>
      <c r="T160" s="55"/>
      <c r="U160" s="55"/>
      <c r="V160" s="55"/>
      <c r="W160" s="55"/>
      <c r="X160" s="55"/>
      <c r="Y160" s="55"/>
      <c r="Z160" s="55"/>
      <c r="AA160" s="55"/>
      <c r="AB160" s="55"/>
      <c r="AC160" s="55"/>
      <c r="AD160" s="55"/>
      <c r="AE160" s="55"/>
      <c r="AF160" s="55"/>
      <c r="AG160" s="55"/>
    </row>
    <row r="161" spans="1:33" x14ac:dyDescent="0.25">
      <c r="A161" s="55"/>
      <c r="B161" s="55"/>
      <c r="C161" s="55"/>
      <c r="D161" s="55"/>
      <c r="E161" s="55"/>
      <c r="F161" s="55"/>
      <c r="G161" s="55"/>
      <c r="H161" s="55"/>
      <c r="I161" s="55"/>
      <c r="J161" s="55"/>
      <c r="K161" s="55"/>
      <c r="L161" s="55"/>
      <c r="M161" s="55"/>
      <c r="N161" s="55"/>
      <c r="O161" s="55"/>
      <c r="Q161" s="55"/>
      <c r="R161" s="55"/>
      <c r="S161" s="55"/>
      <c r="T161" s="55"/>
      <c r="U161" s="55"/>
      <c r="V161" s="55"/>
      <c r="W161" s="55"/>
      <c r="X161" s="55"/>
      <c r="Y161" s="55"/>
      <c r="Z161" s="55"/>
      <c r="AA161" s="55"/>
      <c r="AB161" s="55"/>
      <c r="AC161" s="55"/>
      <c r="AD161" s="55"/>
      <c r="AE161" s="55"/>
      <c r="AF161" s="55"/>
      <c r="AG161" s="55"/>
    </row>
    <row r="162" spans="1:33" x14ac:dyDescent="0.25">
      <c r="A162" s="55"/>
      <c r="B162" s="55"/>
      <c r="C162" s="55"/>
      <c r="D162" s="55"/>
      <c r="E162" s="55"/>
      <c r="F162" s="55"/>
      <c r="G162" s="55"/>
      <c r="H162" s="55"/>
      <c r="I162" s="55"/>
      <c r="J162" s="55"/>
      <c r="K162" s="55"/>
      <c r="L162" s="55"/>
      <c r="M162" s="55"/>
      <c r="N162" s="55"/>
      <c r="O162" s="55"/>
      <c r="Q162" s="55"/>
      <c r="R162" s="55"/>
      <c r="S162" s="55"/>
      <c r="T162" s="55"/>
      <c r="U162" s="55"/>
      <c r="V162" s="55"/>
      <c r="W162" s="55"/>
      <c r="X162" s="55"/>
      <c r="Y162" s="55"/>
      <c r="Z162" s="55"/>
      <c r="AA162" s="55"/>
      <c r="AB162" s="55"/>
      <c r="AC162" s="55"/>
      <c r="AD162" s="55"/>
      <c r="AE162" s="55"/>
      <c r="AF162" s="55"/>
      <c r="AG162" s="55"/>
    </row>
    <row r="163" spans="1:33" x14ac:dyDescent="0.25">
      <c r="A163" s="55"/>
      <c r="B163" s="55"/>
      <c r="C163" s="55"/>
      <c r="D163" s="55"/>
      <c r="E163" s="55"/>
      <c r="F163" s="55"/>
      <c r="G163" s="55"/>
      <c r="H163" s="55"/>
      <c r="I163" s="55"/>
      <c r="J163" s="55"/>
      <c r="K163" s="55"/>
      <c r="L163" s="55"/>
      <c r="M163" s="55"/>
      <c r="N163" s="55"/>
      <c r="O163" s="55"/>
      <c r="Q163" s="55"/>
      <c r="R163" s="55"/>
      <c r="S163" s="55"/>
      <c r="T163" s="55"/>
      <c r="U163" s="55"/>
      <c r="V163" s="55"/>
      <c r="W163" s="55"/>
      <c r="X163" s="55"/>
      <c r="Y163" s="55"/>
      <c r="Z163" s="55"/>
      <c r="AA163" s="55"/>
      <c r="AB163" s="55"/>
      <c r="AC163" s="55"/>
      <c r="AD163" s="55"/>
      <c r="AE163" s="55"/>
      <c r="AF163" s="55"/>
      <c r="AG163" s="55"/>
    </row>
    <row r="164" spans="1:33" x14ac:dyDescent="0.25">
      <c r="A164" s="55"/>
      <c r="B164" s="55"/>
      <c r="C164" s="55"/>
      <c r="D164" s="55"/>
      <c r="E164" s="55"/>
      <c r="F164" s="55"/>
      <c r="G164" s="55"/>
      <c r="H164" s="55"/>
      <c r="I164" s="55"/>
      <c r="J164" s="55"/>
      <c r="K164" s="55"/>
      <c r="L164" s="55"/>
      <c r="M164" s="55"/>
      <c r="N164" s="55"/>
      <c r="O164" s="55"/>
      <c r="Q164" s="55"/>
      <c r="R164" s="55"/>
      <c r="S164" s="55"/>
      <c r="T164" s="55"/>
      <c r="U164" s="55"/>
      <c r="V164" s="55"/>
      <c r="W164" s="55"/>
      <c r="X164" s="55"/>
      <c r="Y164" s="55"/>
      <c r="Z164" s="55"/>
      <c r="AA164" s="55"/>
      <c r="AB164" s="55"/>
      <c r="AC164" s="55"/>
      <c r="AD164" s="55"/>
      <c r="AE164" s="55"/>
      <c r="AF164" s="55"/>
      <c r="AG164" s="55"/>
    </row>
    <row r="165" spans="1:33" x14ac:dyDescent="0.25">
      <c r="A165" s="55"/>
      <c r="B165" s="55"/>
      <c r="C165" s="55"/>
      <c r="D165" s="55"/>
      <c r="E165" s="55"/>
      <c r="F165" s="55"/>
      <c r="G165" s="55"/>
      <c r="H165" s="55"/>
      <c r="I165" s="55"/>
      <c r="J165" s="55"/>
      <c r="K165" s="55"/>
      <c r="L165" s="55"/>
      <c r="M165" s="55"/>
      <c r="N165" s="55"/>
      <c r="O165" s="55"/>
      <c r="Q165" s="55"/>
      <c r="R165" s="55"/>
      <c r="S165" s="55"/>
      <c r="T165" s="55"/>
      <c r="U165" s="55"/>
      <c r="V165" s="55"/>
      <c r="W165" s="55"/>
      <c r="X165" s="55"/>
      <c r="Y165" s="55"/>
      <c r="Z165" s="55"/>
      <c r="AA165" s="55"/>
      <c r="AB165" s="55"/>
      <c r="AC165" s="55"/>
      <c r="AD165" s="55"/>
      <c r="AE165" s="55"/>
      <c r="AF165" s="55"/>
      <c r="AG165" s="55"/>
    </row>
    <row r="166" spans="1:33" x14ac:dyDescent="0.25">
      <c r="A166" s="55"/>
      <c r="B166" s="55"/>
      <c r="C166" s="55"/>
      <c r="D166" s="55"/>
      <c r="E166" s="55"/>
      <c r="F166" s="55"/>
      <c r="G166" s="55"/>
      <c r="H166" s="55"/>
      <c r="I166" s="55"/>
      <c r="J166" s="55"/>
      <c r="K166" s="55"/>
      <c r="L166" s="55"/>
      <c r="M166" s="55"/>
      <c r="N166" s="55"/>
      <c r="O166" s="55"/>
      <c r="Q166" s="55"/>
      <c r="R166" s="55"/>
      <c r="S166" s="55"/>
      <c r="T166" s="55"/>
      <c r="U166" s="55"/>
      <c r="V166" s="55"/>
      <c r="W166" s="55"/>
      <c r="X166" s="55"/>
      <c r="Y166" s="55"/>
      <c r="Z166" s="55"/>
      <c r="AA166" s="55"/>
      <c r="AB166" s="55"/>
      <c r="AC166" s="55"/>
      <c r="AD166" s="55"/>
      <c r="AE166" s="55"/>
      <c r="AF166" s="55"/>
      <c r="AG166" s="55"/>
    </row>
    <row r="167" spans="1:33" x14ac:dyDescent="0.25">
      <c r="A167" s="55"/>
      <c r="B167" s="55"/>
      <c r="C167" s="55"/>
      <c r="D167" s="55"/>
      <c r="E167" s="55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Q167" s="55"/>
      <c r="R167" s="55"/>
      <c r="S167" s="55"/>
      <c r="T167" s="55"/>
      <c r="U167" s="55"/>
      <c r="V167" s="55"/>
      <c r="W167" s="55"/>
      <c r="X167" s="55"/>
      <c r="Y167" s="55"/>
      <c r="Z167" s="55"/>
      <c r="AA167" s="55"/>
      <c r="AB167" s="55"/>
      <c r="AC167" s="55"/>
      <c r="AD167" s="55"/>
      <c r="AE167" s="55"/>
      <c r="AF167" s="55"/>
      <c r="AG167" s="55"/>
    </row>
    <row r="168" spans="1:33" x14ac:dyDescent="0.25">
      <c r="A168" s="55"/>
      <c r="B168" s="55"/>
      <c r="C168" s="55"/>
      <c r="D168" s="55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Q168" s="55"/>
      <c r="R168" s="55"/>
      <c r="S168" s="55"/>
      <c r="T168" s="55"/>
      <c r="U168" s="55"/>
      <c r="V168" s="55"/>
      <c r="W168" s="55"/>
      <c r="X168" s="55"/>
      <c r="Y168" s="55"/>
      <c r="Z168" s="55"/>
      <c r="AA168" s="55"/>
      <c r="AB168" s="55"/>
      <c r="AC168" s="55"/>
      <c r="AD168" s="55"/>
      <c r="AE168" s="55"/>
      <c r="AF168" s="55"/>
      <c r="AG168" s="55"/>
    </row>
    <row r="169" spans="1:33" x14ac:dyDescent="0.25">
      <c r="A169" s="55"/>
      <c r="B169" s="55"/>
      <c r="C169" s="55"/>
      <c r="D169" s="55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Q169" s="55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55"/>
      <c r="AE169" s="55"/>
      <c r="AF169" s="55"/>
      <c r="AG169" s="55"/>
    </row>
    <row r="170" spans="1:33" x14ac:dyDescent="0.25">
      <c r="A170" s="55"/>
      <c r="B170" s="55"/>
      <c r="C170" s="55"/>
      <c r="D170" s="55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Q170" s="55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55"/>
      <c r="AC170" s="55"/>
      <c r="AD170" s="55"/>
      <c r="AE170" s="55"/>
      <c r="AF170" s="55"/>
      <c r="AG170" s="55"/>
    </row>
    <row r="171" spans="1:33" x14ac:dyDescent="0.25">
      <c r="A171" s="55"/>
      <c r="B171" s="55"/>
      <c r="C171" s="55"/>
      <c r="D171" s="55"/>
      <c r="E171" s="55"/>
      <c r="F171" s="55"/>
      <c r="G171" s="55"/>
      <c r="H171" s="55"/>
      <c r="I171" s="55"/>
      <c r="J171" s="55"/>
      <c r="K171" s="55"/>
      <c r="L171" s="55"/>
      <c r="M171" s="55"/>
      <c r="N171" s="55"/>
      <c r="O171" s="55"/>
      <c r="Q171" s="55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55"/>
      <c r="AE171" s="55"/>
      <c r="AF171" s="55"/>
      <c r="AG171" s="55"/>
    </row>
    <row r="172" spans="1:33" x14ac:dyDescent="0.25">
      <c r="A172" s="55"/>
      <c r="B172" s="55"/>
      <c r="C172" s="55"/>
      <c r="D172" s="55"/>
      <c r="E172" s="55"/>
      <c r="F172" s="55"/>
      <c r="G172" s="55"/>
      <c r="H172" s="55"/>
      <c r="I172" s="55"/>
      <c r="J172" s="55"/>
      <c r="K172" s="55"/>
      <c r="L172" s="55"/>
      <c r="M172" s="55"/>
      <c r="N172" s="55"/>
      <c r="O172" s="55"/>
      <c r="Q172" s="55"/>
      <c r="R172" s="55"/>
      <c r="S172" s="55"/>
      <c r="T172" s="55"/>
      <c r="U172" s="55"/>
      <c r="V172" s="55"/>
      <c r="W172" s="55"/>
      <c r="X172" s="55"/>
      <c r="Y172" s="55"/>
      <c r="Z172" s="55"/>
      <c r="AA172" s="55"/>
      <c r="AB172" s="55"/>
      <c r="AC172" s="55"/>
      <c r="AD172" s="55"/>
      <c r="AE172" s="55"/>
      <c r="AF172" s="55"/>
      <c r="AG172" s="55"/>
    </row>
    <row r="173" spans="1:33" x14ac:dyDescent="0.25">
      <c r="A173" s="55"/>
      <c r="B173" s="55"/>
      <c r="C173" s="55"/>
      <c r="D173" s="55"/>
      <c r="E173" s="55"/>
      <c r="F173" s="55"/>
      <c r="G173" s="55"/>
      <c r="H173" s="55"/>
      <c r="I173" s="55"/>
      <c r="J173" s="55"/>
      <c r="K173" s="55"/>
      <c r="L173" s="55"/>
      <c r="M173" s="55"/>
      <c r="N173" s="55"/>
      <c r="O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55"/>
      <c r="AE173" s="55"/>
      <c r="AF173" s="55"/>
      <c r="AG173" s="55"/>
    </row>
    <row r="174" spans="1:33" x14ac:dyDescent="0.25">
      <c r="A174" s="55"/>
      <c r="B174" s="55"/>
      <c r="C174" s="55"/>
      <c r="D174" s="55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/>
      <c r="AC174" s="55"/>
      <c r="AD174" s="55"/>
      <c r="AE174" s="55"/>
      <c r="AF174" s="55"/>
      <c r="AG174" s="55"/>
    </row>
    <row r="175" spans="1:33" x14ac:dyDescent="0.25">
      <c r="A175" s="55"/>
      <c r="B175" s="55"/>
      <c r="C175" s="55"/>
      <c r="D175" s="55"/>
      <c r="E175" s="55"/>
      <c r="F175" s="55"/>
      <c r="G175" s="55"/>
      <c r="H175" s="55"/>
      <c r="I175" s="55"/>
      <c r="J175" s="55"/>
      <c r="K175" s="55"/>
      <c r="L175" s="55"/>
      <c r="M175" s="55"/>
      <c r="N175" s="55"/>
      <c r="O175" s="55"/>
      <c r="Q175" s="55"/>
      <c r="R175" s="55"/>
      <c r="S175" s="55"/>
      <c r="T175" s="55"/>
      <c r="U175" s="55"/>
      <c r="V175" s="55"/>
      <c r="W175" s="55"/>
      <c r="X175" s="55"/>
      <c r="Y175" s="55"/>
      <c r="Z175" s="55"/>
      <c r="AA175" s="55"/>
      <c r="AB175" s="55"/>
      <c r="AC175" s="55"/>
      <c r="AD175" s="55"/>
      <c r="AE175" s="55"/>
      <c r="AF175" s="55"/>
      <c r="AG175" s="55"/>
    </row>
    <row r="176" spans="1:33" x14ac:dyDescent="0.25">
      <c r="A176" s="55"/>
      <c r="B176" s="55"/>
      <c r="C176" s="55"/>
      <c r="D176" s="55"/>
      <c r="E176" s="55"/>
      <c r="F176" s="55"/>
      <c r="G176" s="55"/>
      <c r="H176" s="55"/>
      <c r="I176" s="55"/>
      <c r="J176" s="55"/>
      <c r="K176" s="55"/>
      <c r="L176" s="55"/>
      <c r="M176" s="55"/>
      <c r="N176" s="55"/>
      <c r="O176" s="55"/>
      <c r="Q176" s="55"/>
      <c r="R176" s="55"/>
      <c r="S176" s="55"/>
      <c r="T176" s="55"/>
      <c r="U176" s="55"/>
      <c r="V176" s="55"/>
      <c r="W176" s="55"/>
      <c r="X176" s="55"/>
      <c r="Y176" s="55"/>
      <c r="Z176" s="55"/>
      <c r="AA176" s="55"/>
      <c r="AB176" s="55"/>
      <c r="AC176" s="55"/>
      <c r="AD176" s="55"/>
      <c r="AE176" s="55"/>
      <c r="AF176" s="55"/>
      <c r="AG176" s="55"/>
    </row>
    <row r="177" spans="1:33" x14ac:dyDescent="0.25">
      <c r="A177" s="55"/>
      <c r="B177" s="55"/>
      <c r="C177" s="55"/>
      <c r="D177" s="55"/>
      <c r="E177" s="55"/>
      <c r="F177" s="55"/>
      <c r="G177" s="55"/>
      <c r="H177" s="55"/>
      <c r="I177" s="55"/>
      <c r="J177" s="55"/>
      <c r="K177" s="55"/>
      <c r="L177" s="55"/>
      <c r="M177" s="55"/>
      <c r="N177" s="55"/>
      <c r="O177" s="55"/>
      <c r="Q177" s="55"/>
      <c r="R177" s="55"/>
      <c r="S177" s="55"/>
      <c r="T177" s="55"/>
      <c r="U177" s="55"/>
      <c r="V177" s="55"/>
      <c r="W177" s="55"/>
      <c r="X177" s="55"/>
      <c r="Y177" s="55"/>
      <c r="Z177" s="55"/>
      <c r="AA177" s="55"/>
      <c r="AB177" s="55"/>
      <c r="AC177" s="55"/>
      <c r="AD177" s="55"/>
      <c r="AE177" s="55"/>
      <c r="AF177" s="55"/>
      <c r="AG177" s="55"/>
    </row>
    <row r="178" spans="1:33" x14ac:dyDescent="0.25">
      <c r="A178" s="55"/>
      <c r="B178" s="55"/>
      <c r="C178" s="55"/>
      <c r="D178" s="55"/>
      <c r="E178" s="55"/>
      <c r="F178" s="55"/>
      <c r="G178" s="55"/>
      <c r="H178" s="55"/>
      <c r="I178" s="55"/>
      <c r="J178" s="55"/>
      <c r="K178" s="55"/>
      <c r="L178" s="55"/>
      <c r="M178" s="55"/>
      <c r="N178" s="55"/>
      <c r="O178" s="55"/>
      <c r="Q178" s="55"/>
      <c r="R178" s="55"/>
      <c r="S178" s="55"/>
      <c r="T178" s="55"/>
      <c r="U178" s="55"/>
      <c r="V178" s="55"/>
      <c r="W178" s="55"/>
      <c r="X178" s="55"/>
      <c r="Y178" s="55"/>
      <c r="Z178" s="55"/>
      <c r="AA178" s="55"/>
      <c r="AB178" s="55"/>
      <c r="AC178" s="55"/>
      <c r="AD178" s="55"/>
      <c r="AE178" s="55"/>
      <c r="AF178" s="55"/>
      <c r="AG178" s="55"/>
    </row>
    <row r="179" spans="1:33" x14ac:dyDescent="0.25">
      <c r="A179" s="55"/>
      <c r="B179" s="55"/>
      <c r="C179" s="55"/>
      <c r="D179" s="55"/>
      <c r="E179" s="55"/>
      <c r="F179" s="55"/>
      <c r="G179" s="55"/>
      <c r="H179" s="55"/>
      <c r="I179" s="55"/>
      <c r="J179" s="55"/>
      <c r="K179" s="55"/>
      <c r="L179" s="55"/>
      <c r="M179" s="55"/>
      <c r="N179" s="55"/>
      <c r="O179" s="55"/>
      <c r="Q179" s="55"/>
      <c r="R179" s="55"/>
      <c r="S179" s="55"/>
      <c r="T179" s="55"/>
      <c r="U179" s="55"/>
      <c r="V179" s="55"/>
      <c r="W179" s="55"/>
      <c r="X179" s="55"/>
      <c r="Y179" s="55"/>
      <c r="Z179" s="55"/>
      <c r="AA179" s="55"/>
      <c r="AB179" s="55"/>
      <c r="AC179" s="55"/>
      <c r="AD179" s="55"/>
      <c r="AE179" s="55"/>
      <c r="AF179" s="55"/>
      <c r="AG179" s="55"/>
    </row>
    <row r="180" spans="1:33" x14ac:dyDescent="0.25">
      <c r="A180" s="55"/>
      <c r="B180" s="55"/>
      <c r="C180" s="55"/>
      <c r="D180" s="55"/>
      <c r="E180" s="55"/>
      <c r="F180" s="55"/>
      <c r="G180" s="55"/>
      <c r="H180" s="55"/>
      <c r="I180" s="55"/>
      <c r="J180" s="55"/>
      <c r="K180" s="55"/>
      <c r="L180" s="55"/>
      <c r="M180" s="55"/>
      <c r="N180" s="55"/>
      <c r="O180" s="55"/>
      <c r="Q180" s="55"/>
      <c r="R180" s="55"/>
      <c r="S180" s="55"/>
      <c r="T180" s="55"/>
      <c r="U180" s="55"/>
      <c r="V180" s="55"/>
      <c r="W180" s="55"/>
      <c r="X180" s="55"/>
      <c r="Y180" s="55"/>
      <c r="Z180" s="55"/>
      <c r="AA180" s="55"/>
      <c r="AB180" s="55"/>
      <c r="AC180" s="55"/>
      <c r="AD180" s="55"/>
      <c r="AE180" s="55"/>
      <c r="AF180" s="55"/>
      <c r="AG180" s="55"/>
    </row>
    <row r="181" spans="1:33" x14ac:dyDescent="0.25">
      <c r="A181" s="55"/>
      <c r="B181" s="55"/>
      <c r="C181" s="55"/>
      <c r="D181" s="55"/>
      <c r="E181" s="55"/>
      <c r="F181" s="55"/>
      <c r="G181" s="55"/>
      <c r="H181" s="55"/>
      <c r="I181" s="55"/>
      <c r="J181" s="55"/>
      <c r="K181" s="55"/>
      <c r="L181" s="55"/>
      <c r="M181" s="55"/>
      <c r="N181" s="55"/>
      <c r="O181" s="55"/>
      <c r="Q181" s="55"/>
      <c r="R181" s="55"/>
      <c r="S181" s="55"/>
      <c r="T181" s="55"/>
      <c r="U181" s="55"/>
      <c r="V181" s="55"/>
      <c r="W181" s="55"/>
      <c r="X181" s="55"/>
      <c r="Y181" s="55"/>
      <c r="Z181" s="55"/>
      <c r="AA181" s="55"/>
      <c r="AB181" s="55"/>
      <c r="AC181" s="55"/>
      <c r="AD181" s="55"/>
      <c r="AE181" s="55"/>
      <c r="AF181" s="55"/>
      <c r="AG181" s="55"/>
    </row>
    <row r="182" spans="1:33" x14ac:dyDescent="0.25">
      <c r="A182" s="55"/>
      <c r="B182" s="55"/>
      <c r="C182" s="55"/>
      <c r="D182" s="55"/>
      <c r="E182" s="55"/>
      <c r="F182" s="55"/>
      <c r="G182" s="55"/>
      <c r="H182" s="55"/>
      <c r="I182" s="55"/>
      <c r="J182" s="55"/>
      <c r="K182" s="55"/>
      <c r="L182" s="55"/>
      <c r="M182" s="55"/>
      <c r="N182" s="55"/>
      <c r="O182" s="55"/>
      <c r="Q182" s="55"/>
      <c r="R182" s="55"/>
      <c r="S182" s="55"/>
      <c r="T182" s="55"/>
      <c r="U182" s="55"/>
      <c r="V182" s="55"/>
      <c r="W182" s="55"/>
      <c r="X182" s="55"/>
      <c r="Y182" s="55"/>
      <c r="Z182" s="55"/>
      <c r="AA182" s="55"/>
      <c r="AB182" s="55"/>
      <c r="AC182" s="55"/>
      <c r="AD182" s="55"/>
      <c r="AE182" s="55"/>
      <c r="AF182" s="55"/>
      <c r="AG182" s="55"/>
    </row>
    <row r="183" spans="1:33" x14ac:dyDescent="0.25">
      <c r="A183" s="55"/>
      <c r="B183" s="55"/>
      <c r="C183" s="55"/>
      <c r="D183" s="55"/>
      <c r="E183" s="55"/>
      <c r="F183" s="55"/>
      <c r="G183" s="55"/>
      <c r="H183" s="55"/>
      <c r="I183" s="55"/>
      <c r="J183" s="55"/>
      <c r="K183" s="55"/>
      <c r="L183" s="55"/>
      <c r="M183" s="55"/>
      <c r="N183" s="55"/>
      <c r="O183" s="55"/>
      <c r="Q183" s="55"/>
      <c r="R183" s="55"/>
      <c r="S183" s="55"/>
      <c r="T183" s="55"/>
      <c r="U183" s="55"/>
      <c r="V183" s="55"/>
      <c r="W183" s="55"/>
      <c r="X183" s="55"/>
      <c r="Y183" s="55"/>
      <c r="Z183" s="55"/>
      <c r="AA183" s="55"/>
      <c r="AB183" s="55"/>
      <c r="AC183" s="55"/>
      <c r="AD183" s="55"/>
      <c r="AE183" s="55"/>
      <c r="AF183" s="55"/>
      <c r="AG183" s="55"/>
    </row>
    <row r="184" spans="1:33" x14ac:dyDescent="0.25">
      <c r="A184" s="55"/>
      <c r="B184" s="55"/>
      <c r="C184" s="55"/>
      <c r="D184" s="55"/>
      <c r="E184" s="55"/>
      <c r="F184" s="55"/>
      <c r="G184" s="55"/>
      <c r="H184" s="55"/>
      <c r="I184" s="55"/>
      <c r="J184" s="55"/>
      <c r="K184" s="55"/>
      <c r="L184" s="55"/>
      <c r="M184" s="55"/>
      <c r="N184" s="55"/>
      <c r="O184" s="55"/>
      <c r="Q184" s="55"/>
      <c r="R184" s="55"/>
      <c r="S184" s="55"/>
      <c r="T184" s="55"/>
      <c r="U184" s="55"/>
      <c r="V184" s="55"/>
      <c r="W184" s="55"/>
      <c r="X184" s="55"/>
      <c r="Y184" s="55"/>
      <c r="Z184" s="55"/>
      <c r="AA184" s="55"/>
      <c r="AB184" s="55"/>
      <c r="AC184" s="55"/>
      <c r="AD184" s="55"/>
      <c r="AE184" s="55"/>
      <c r="AF184" s="55"/>
      <c r="AG184" s="55"/>
    </row>
    <row r="185" spans="1:33" x14ac:dyDescent="0.25">
      <c r="A185" s="55"/>
      <c r="B185" s="55"/>
      <c r="C185" s="55"/>
      <c r="D185" s="55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Q185" s="55"/>
      <c r="R185" s="55"/>
      <c r="S185" s="55"/>
      <c r="T185" s="55"/>
      <c r="U185" s="55"/>
      <c r="V185" s="55"/>
      <c r="W185" s="55"/>
      <c r="X185" s="55"/>
      <c r="Y185" s="55"/>
      <c r="Z185" s="55"/>
      <c r="AA185" s="55"/>
      <c r="AB185" s="55"/>
      <c r="AC185" s="55"/>
      <c r="AD185" s="55"/>
      <c r="AE185" s="55"/>
      <c r="AF185" s="55"/>
      <c r="AG185" s="55"/>
    </row>
    <row r="186" spans="1:33" x14ac:dyDescent="0.25">
      <c r="W186" s="55"/>
      <c r="X186" s="55"/>
      <c r="Y186" s="55"/>
      <c r="Z186" s="55"/>
      <c r="AA186" s="55"/>
      <c r="AB186" s="55"/>
      <c r="AC186" s="55"/>
      <c r="AD186" s="55"/>
      <c r="AE186" s="55"/>
      <c r="AF186" s="55"/>
      <c r="AG186" s="55"/>
    </row>
    <row r="187" spans="1:33" x14ac:dyDescent="0.25">
      <c r="W187" s="55"/>
      <c r="X187" s="55"/>
      <c r="Y187" s="55"/>
      <c r="Z187" s="55"/>
      <c r="AA187" s="55"/>
      <c r="AB187" s="55"/>
      <c r="AC187" s="55"/>
      <c r="AD187" s="55"/>
      <c r="AE187" s="55"/>
      <c r="AF187" s="55"/>
      <c r="AG187" s="55"/>
    </row>
    <row r="188" spans="1:33" x14ac:dyDescent="0.25">
      <c r="W188" s="55"/>
      <c r="X188" s="55"/>
      <c r="Y188" s="55"/>
      <c r="Z188" s="55"/>
      <c r="AA188" s="55"/>
      <c r="AB188" s="55"/>
      <c r="AC188" s="55"/>
      <c r="AD188" s="55"/>
      <c r="AE188" s="55"/>
      <c r="AF188" s="55"/>
      <c r="AG188" s="55"/>
    </row>
    <row r="189" spans="1:33" x14ac:dyDescent="0.25">
      <c r="W189" s="55"/>
      <c r="X189" s="55"/>
      <c r="Y189" s="55"/>
      <c r="Z189" s="55"/>
      <c r="AA189" s="55"/>
      <c r="AB189" s="55"/>
      <c r="AC189" s="55"/>
      <c r="AD189" s="55"/>
      <c r="AE189" s="55"/>
      <c r="AF189" s="55"/>
      <c r="AG189" s="55"/>
    </row>
    <row r="190" spans="1:33" x14ac:dyDescent="0.25">
      <c r="W190" s="55"/>
      <c r="X190" s="55"/>
      <c r="Y190" s="55"/>
      <c r="Z190" s="55"/>
      <c r="AA190" s="55"/>
      <c r="AB190" s="55"/>
      <c r="AC190" s="55"/>
      <c r="AD190" s="55"/>
      <c r="AE190" s="55"/>
      <c r="AF190" s="55"/>
      <c r="AG190" s="55"/>
    </row>
    <row r="191" spans="1:33" x14ac:dyDescent="0.25">
      <c r="W191" s="55"/>
      <c r="X191" s="55"/>
      <c r="Y191" s="55"/>
      <c r="Z191" s="55"/>
      <c r="AA191" s="55"/>
      <c r="AB191" s="55"/>
      <c r="AC191" s="55"/>
      <c r="AD191" s="55"/>
      <c r="AE191" s="55"/>
      <c r="AF191" s="55"/>
      <c r="AG191" s="55"/>
    </row>
    <row r="192" spans="1:33" x14ac:dyDescent="0.25">
      <c r="W192" s="55"/>
      <c r="X192" s="55"/>
      <c r="Y192" s="55"/>
      <c r="Z192" s="55"/>
      <c r="AA192" s="55"/>
      <c r="AB192" s="55"/>
      <c r="AC192" s="55"/>
      <c r="AD192" s="55"/>
      <c r="AE192" s="55"/>
      <c r="AF192" s="55"/>
      <c r="AG192" s="55"/>
    </row>
    <row r="193" spans="23:33" x14ac:dyDescent="0.25">
      <c r="W193" s="55"/>
      <c r="X193" s="55"/>
      <c r="Y193" s="55"/>
      <c r="Z193" s="55"/>
      <c r="AA193" s="55"/>
      <c r="AB193" s="55"/>
      <c r="AC193" s="55"/>
      <c r="AD193" s="55"/>
      <c r="AE193" s="55"/>
      <c r="AF193" s="55"/>
      <c r="AG193" s="55"/>
    </row>
    <row r="194" spans="23:33" x14ac:dyDescent="0.25">
      <c r="W194" s="55"/>
      <c r="X194" s="55"/>
      <c r="Y194" s="55"/>
      <c r="Z194" s="55"/>
      <c r="AA194" s="55"/>
      <c r="AB194" s="55"/>
      <c r="AC194" s="55"/>
      <c r="AD194" s="55"/>
      <c r="AE194" s="55"/>
      <c r="AF194" s="55"/>
      <c r="AG194" s="55"/>
    </row>
    <row r="195" spans="23:33" x14ac:dyDescent="0.25">
      <c r="W195" s="55"/>
      <c r="X195" s="55"/>
      <c r="Y195" s="55"/>
      <c r="Z195" s="55"/>
      <c r="AA195" s="55"/>
      <c r="AB195" s="55"/>
      <c r="AC195" s="55"/>
      <c r="AD195" s="55"/>
      <c r="AE195" s="55"/>
      <c r="AF195" s="55"/>
      <c r="AG195" s="55"/>
    </row>
    <row r="196" spans="23:33" x14ac:dyDescent="0.25">
      <c r="W196" s="55"/>
      <c r="X196" s="55"/>
      <c r="Y196" s="55"/>
      <c r="Z196" s="55"/>
      <c r="AA196" s="55"/>
      <c r="AB196" s="55"/>
      <c r="AC196" s="55"/>
      <c r="AD196" s="55"/>
      <c r="AE196" s="55"/>
      <c r="AF196" s="55"/>
      <c r="AG196" s="55"/>
    </row>
    <row r="197" spans="23:33" x14ac:dyDescent="0.25">
      <c r="W197" s="55"/>
      <c r="X197" s="55"/>
      <c r="Y197" s="55"/>
      <c r="Z197" s="55"/>
      <c r="AA197" s="55"/>
      <c r="AB197" s="55"/>
      <c r="AC197" s="55"/>
      <c r="AD197" s="55"/>
      <c r="AE197" s="55"/>
      <c r="AF197" s="55"/>
      <c r="AG197" s="55"/>
    </row>
  </sheetData>
  <mergeCells count="9">
    <mergeCell ref="B28:F32"/>
    <mergeCell ref="E23:F26"/>
    <mergeCell ref="B2:V5"/>
    <mergeCell ref="H7:H31"/>
    <mergeCell ref="P7:P31"/>
    <mergeCell ref="T7:T31"/>
    <mergeCell ref="E17:F21"/>
    <mergeCell ref="J7:L10"/>
    <mergeCell ref="J28:L31"/>
  </mergeCells>
  <conditionalFormatting sqref="N7:N31">
    <cfRule type="expression" dxfId="3" priority="7">
      <formula>M7&lt;=($C$22/$C$12*25)</formula>
    </cfRule>
  </conditionalFormatting>
  <conditionalFormatting sqref="R7:R31">
    <cfRule type="expression" dxfId="2" priority="8">
      <formula>M7&lt;=($C$23/$C$12*25)</formula>
    </cfRule>
  </conditionalFormatting>
  <hyperlinks>
    <hyperlink ref="B28" location="Carburant!A1" display="Carburant!A1" xr:uid="{5A09875B-16D7-4CFA-97A1-E8BC25D8DF19}"/>
    <hyperlink ref="B28:F32" location="'Perfs Atterissage'!A1" display="▶︎ Calculer les performances d'atterissage" xr:uid="{AE4ACBBA-8402-44FC-A415-CC888D12270A}"/>
    <hyperlink ref="E23:F26" location="CG!A1" display="◀︎ Revenir en arrière" xr:uid="{B5FD5111-146D-4ADD-B42F-C4199D5A4D1A}"/>
    <hyperlink ref="E17:F21" location="Accueil!A1" display="◀︎ Menu" xr:uid="{65DF4864-C8CB-4B55-A89F-ED22CB348754}"/>
  </hyperlink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FCA9265-865D-4142-905F-ADADAEC58BD8}">
          <x14:formula1>
            <xm:f>Options!$G$9:$G$13</xm:f>
          </x14:formula1>
          <xm:sqref>C9</xm:sqref>
        </x14:dataValidation>
        <x14:dataValidation type="list" allowBlank="1" showInputMessage="1" showErrorMessage="1" xr:uid="{23942013-4E6D-4E04-9243-4BD88F70E297}">
          <x14:formula1>
            <xm:f>Options!$J$9:$J$10</xm:f>
          </x14:formula1>
          <xm:sqref>C15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8A2DA0-68FE-472D-849A-F8B443E4EFDE}">
  <dimension ref="A1:AG197"/>
  <sheetViews>
    <sheetView zoomScale="88" zoomScaleNormal="115" workbookViewId="0">
      <selection activeCell="B28" sqref="B28:F32"/>
    </sheetView>
  </sheetViews>
  <sheetFormatPr baseColWidth="10" defaultColWidth="9.140625" defaultRowHeight="15" x14ac:dyDescent="0.25"/>
  <cols>
    <col min="2" max="2" width="30" customWidth="1"/>
    <col min="5" max="5" width="27.140625" bestFit="1" customWidth="1"/>
    <col min="7" max="7" width="8.28515625" customWidth="1"/>
    <col min="8" max="8" width="5.7109375" customWidth="1"/>
    <col min="9" max="9" width="1.5703125" customWidth="1"/>
    <col min="10" max="10" width="9.140625" customWidth="1"/>
    <col min="11" max="11" width="0.85546875" customWidth="1"/>
    <col min="13" max="13" width="1.5703125" customWidth="1"/>
    <col min="14" max="14" width="1.7109375" customWidth="1"/>
    <col min="15" max="15" width="1.5703125" customWidth="1"/>
    <col min="16" max="16" width="5.7109375" style="55" customWidth="1"/>
    <col min="17" max="17" width="3.7109375" customWidth="1"/>
    <col min="18" max="18" width="1.7109375" customWidth="1"/>
    <col min="19" max="19" width="1.5703125" customWidth="1"/>
    <col min="20" max="20" width="5.7109375" customWidth="1"/>
  </cols>
  <sheetData>
    <row r="1" spans="1:33" ht="15.75" thickBot="1" x14ac:dyDescent="0.3">
      <c r="A1" s="55" t="s">
        <v>116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</row>
    <row r="2" spans="1:33" x14ac:dyDescent="0.25">
      <c r="A2" s="55"/>
      <c r="B2" s="283" t="s">
        <v>123</v>
      </c>
      <c r="C2" s="284"/>
      <c r="D2" s="284"/>
      <c r="E2" s="284"/>
      <c r="F2" s="284"/>
      <c r="G2" s="284"/>
      <c r="H2" s="284"/>
      <c r="I2" s="284"/>
      <c r="J2" s="284"/>
      <c r="K2" s="284"/>
      <c r="L2" s="284"/>
      <c r="M2" s="284"/>
      <c r="N2" s="284"/>
      <c r="O2" s="284"/>
      <c r="P2" s="284"/>
      <c r="Q2" s="284"/>
      <c r="R2" s="284"/>
      <c r="S2" s="284"/>
      <c r="T2" s="284"/>
      <c r="U2" s="284"/>
      <c r="V2" s="28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</row>
    <row r="3" spans="1:33" x14ac:dyDescent="0.25">
      <c r="A3" s="55"/>
      <c r="B3" s="286"/>
      <c r="C3" s="259"/>
      <c r="D3" s="259"/>
      <c r="E3" s="259"/>
      <c r="F3" s="259"/>
      <c r="G3" s="259"/>
      <c r="H3" s="259"/>
      <c r="I3" s="259"/>
      <c r="J3" s="259"/>
      <c r="K3" s="259"/>
      <c r="L3" s="259"/>
      <c r="M3" s="259"/>
      <c r="N3" s="259"/>
      <c r="O3" s="259"/>
      <c r="P3" s="259"/>
      <c r="Q3" s="259"/>
      <c r="R3" s="259"/>
      <c r="S3" s="259"/>
      <c r="T3" s="259"/>
      <c r="U3" s="259"/>
      <c r="V3" s="287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</row>
    <row r="4" spans="1:33" x14ac:dyDescent="0.25">
      <c r="A4" s="55"/>
      <c r="B4" s="286"/>
      <c r="C4" s="259"/>
      <c r="D4" s="259"/>
      <c r="E4" s="259"/>
      <c r="F4" s="259"/>
      <c r="G4" s="259"/>
      <c r="H4" s="259"/>
      <c r="I4" s="259"/>
      <c r="J4" s="259"/>
      <c r="K4" s="259"/>
      <c r="L4" s="259"/>
      <c r="M4" s="259"/>
      <c r="N4" s="259"/>
      <c r="O4" s="259"/>
      <c r="P4" s="259"/>
      <c r="Q4" s="259"/>
      <c r="R4" s="259"/>
      <c r="S4" s="259"/>
      <c r="T4" s="259"/>
      <c r="U4" s="259"/>
      <c r="V4" s="287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</row>
    <row r="5" spans="1:33" ht="15.75" thickBot="1" x14ac:dyDescent="0.3">
      <c r="A5" s="55"/>
      <c r="B5" s="288"/>
      <c r="C5" s="289"/>
      <c r="D5" s="289"/>
      <c r="E5" s="289"/>
      <c r="F5" s="289"/>
      <c r="G5" s="289"/>
      <c r="H5" s="289"/>
      <c r="I5" s="289"/>
      <c r="J5" s="289"/>
      <c r="K5" s="289"/>
      <c r="L5" s="289"/>
      <c r="M5" s="289"/>
      <c r="N5" s="289"/>
      <c r="O5" s="289"/>
      <c r="P5" s="289"/>
      <c r="Q5" s="289"/>
      <c r="R5" s="289"/>
      <c r="S5" s="289"/>
      <c r="T5" s="289"/>
      <c r="U5" s="289"/>
      <c r="V5" s="290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</row>
    <row r="6" spans="1:33" x14ac:dyDescent="0.25">
      <c r="A6" s="106"/>
      <c r="B6" s="106"/>
      <c r="C6" s="106"/>
      <c r="D6" s="106"/>
      <c r="E6" s="106"/>
      <c r="F6" s="106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6"/>
      <c r="R6" s="106"/>
      <c r="S6" s="106"/>
      <c r="T6" s="106"/>
      <c r="U6" s="106"/>
      <c r="V6" s="106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15" customHeight="1" thickBot="1" x14ac:dyDescent="0.3">
      <c r="A7" s="106"/>
      <c r="B7" s="106"/>
      <c r="C7" s="106"/>
      <c r="D7" s="106"/>
      <c r="E7" s="106"/>
      <c r="F7" s="106"/>
      <c r="G7" s="106"/>
      <c r="H7" s="282" t="str">
        <f>"TODA : "&amp;C12&amp;" m"</f>
        <v>TODA : 700 m</v>
      </c>
      <c r="I7" s="106"/>
      <c r="J7" s="260">
        <f>IF(J28-18&gt;0,J28-18,J28+18)</f>
        <v>30</v>
      </c>
      <c r="K7" s="260"/>
      <c r="L7" s="260"/>
      <c r="M7" s="261">
        <v>25</v>
      </c>
      <c r="N7" s="262"/>
      <c r="O7" s="262"/>
      <c r="P7" s="280" t="s">
        <v>61</v>
      </c>
      <c r="Q7" s="106"/>
      <c r="R7" s="106"/>
      <c r="S7" s="106"/>
      <c r="T7" s="281" t="s">
        <v>62</v>
      </c>
      <c r="U7" s="106"/>
      <c r="V7" s="106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</row>
    <row r="8" spans="1:33" ht="15" customHeight="1" x14ac:dyDescent="0.25">
      <c r="A8" s="106"/>
      <c r="B8" s="52" t="s">
        <v>23</v>
      </c>
      <c r="C8" s="273">
        <v>371</v>
      </c>
      <c r="D8" s="106"/>
      <c r="E8" s="106"/>
      <c r="F8" s="106"/>
      <c r="G8" s="106"/>
      <c r="H8" s="282"/>
      <c r="I8" s="106"/>
      <c r="J8" s="260"/>
      <c r="K8" s="260"/>
      <c r="L8" s="260"/>
      <c r="M8" s="261">
        <v>24</v>
      </c>
      <c r="N8" s="262"/>
      <c r="O8" s="262"/>
      <c r="P8" s="280"/>
      <c r="Q8" s="106"/>
      <c r="R8" s="106"/>
      <c r="S8" s="106"/>
      <c r="T8" s="281"/>
      <c r="U8" s="106"/>
      <c r="V8" s="106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</row>
    <row r="9" spans="1:33" ht="15" customHeight="1" x14ac:dyDescent="0.25">
      <c r="A9" s="106"/>
      <c r="B9" s="53" t="s">
        <v>86</v>
      </c>
      <c r="C9" s="274">
        <v>0</v>
      </c>
      <c r="D9" s="106"/>
      <c r="E9" s="106"/>
      <c r="F9" s="106"/>
      <c r="G9" s="106"/>
      <c r="H9" s="282"/>
      <c r="I9" s="106"/>
      <c r="J9" s="260"/>
      <c r="K9" s="260"/>
      <c r="L9" s="260"/>
      <c r="M9" s="261">
        <v>23</v>
      </c>
      <c r="N9" s="262"/>
      <c r="O9" s="262"/>
      <c r="P9" s="280"/>
      <c r="Q9" s="106"/>
      <c r="R9" s="106"/>
      <c r="S9" s="106"/>
      <c r="T9" s="281"/>
      <c r="U9" s="106"/>
      <c r="V9" s="106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5"/>
    </row>
    <row r="10" spans="1:33" ht="15" customHeight="1" x14ac:dyDescent="0.25">
      <c r="A10" s="106"/>
      <c r="B10" s="53" t="s">
        <v>63</v>
      </c>
      <c r="C10" s="274" t="s">
        <v>99</v>
      </c>
      <c r="D10" s="106"/>
      <c r="E10" s="106"/>
      <c r="F10" s="106"/>
      <c r="G10" s="106"/>
      <c r="H10" s="282"/>
      <c r="I10" s="106"/>
      <c r="J10" s="260"/>
      <c r="K10" s="260"/>
      <c r="L10" s="260"/>
      <c r="M10" s="261">
        <v>22</v>
      </c>
      <c r="N10" s="262"/>
      <c r="O10" s="262"/>
      <c r="P10" s="280"/>
      <c r="Q10" s="106"/>
      <c r="R10" s="106"/>
      <c r="S10" s="106"/>
      <c r="T10" s="281"/>
      <c r="U10" s="106"/>
      <c r="V10" s="106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5"/>
    </row>
    <row r="11" spans="1:33" ht="15" customHeight="1" x14ac:dyDescent="0.25">
      <c r="A11" s="106"/>
      <c r="B11" s="53" t="s">
        <v>65</v>
      </c>
      <c r="C11" s="274">
        <v>119</v>
      </c>
      <c r="D11" s="106"/>
      <c r="E11" s="263"/>
      <c r="F11" s="106"/>
      <c r="G11" s="106"/>
      <c r="H11" s="282"/>
      <c r="I11" s="106"/>
      <c r="J11" s="264"/>
      <c r="K11" s="257"/>
      <c r="L11" s="264"/>
      <c r="M11" s="261">
        <v>21</v>
      </c>
      <c r="N11" s="262"/>
      <c r="O11" s="262"/>
      <c r="P11" s="280"/>
      <c r="Q11" s="106"/>
      <c r="R11" s="106"/>
      <c r="S11" s="106"/>
      <c r="T11" s="281"/>
      <c r="U11" s="106"/>
      <c r="V11" s="106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</row>
    <row r="12" spans="1:33" ht="15" customHeight="1" x14ac:dyDescent="0.25">
      <c r="A12" s="106"/>
      <c r="B12" s="53" t="s">
        <v>66</v>
      </c>
      <c r="C12" s="274">
        <v>700</v>
      </c>
      <c r="D12" s="106"/>
      <c r="E12" s="106"/>
      <c r="F12" s="106"/>
      <c r="G12" s="106"/>
      <c r="H12" s="282"/>
      <c r="I12" s="106"/>
      <c r="J12" s="264"/>
      <c r="K12" s="257"/>
      <c r="L12" s="264"/>
      <c r="M12" s="261">
        <v>20</v>
      </c>
      <c r="N12" s="262"/>
      <c r="O12" s="262"/>
      <c r="P12" s="280"/>
      <c r="Q12" s="106"/>
      <c r="R12" s="106"/>
      <c r="S12" s="106"/>
      <c r="T12" s="281"/>
      <c r="U12" s="106"/>
      <c r="V12" s="106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5"/>
    </row>
    <row r="13" spans="1:33" ht="15" customHeight="1" x14ac:dyDescent="0.25">
      <c r="A13" s="106"/>
      <c r="B13" s="53" t="s">
        <v>67</v>
      </c>
      <c r="C13" s="274">
        <v>0</v>
      </c>
      <c r="D13" s="106"/>
      <c r="E13" s="106"/>
      <c r="F13" s="106"/>
      <c r="G13" s="106"/>
      <c r="H13" s="282"/>
      <c r="I13" s="106"/>
      <c r="J13" s="264"/>
      <c r="K13" s="264"/>
      <c r="L13" s="264"/>
      <c r="M13" s="261">
        <v>19</v>
      </c>
      <c r="N13" s="262"/>
      <c r="O13" s="262"/>
      <c r="P13" s="280"/>
      <c r="Q13" s="106"/>
      <c r="R13" s="106"/>
      <c r="S13" s="106"/>
      <c r="T13" s="281"/>
      <c r="U13" s="106"/>
      <c r="V13" s="106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5"/>
    </row>
    <row r="14" spans="1:33" ht="15" customHeight="1" x14ac:dyDescent="0.25">
      <c r="A14" s="106"/>
      <c r="B14" s="53" t="s">
        <v>68</v>
      </c>
      <c r="C14" s="274">
        <v>119</v>
      </c>
      <c r="D14" s="106"/>
      <c r="E14" s="106"/>
      <c r="F14" s="106"/>
      <c r="G14" s="106"/>
      <c r="H14" s="282"/>
      <c r="I14" s="106"/>
      <c r="J14" s="264"/>
      <c r="K14" s="257"/>
      <c r="L14" s="264"/>
      <c r="M14" s="261">
        <v>18</v>
      </c>
      <c r="N14" s="262"/>
      <c r="O14" s="262"/>
      <c r="P14" s="280"/>
      <c r="Q14" s="106"/>
      <c r="R14" s="106"/>
      <c r="S14" s="106"/>
      <c r="T14" s="281"/>
      <c r="U14" s="106"/>
      <c r="V14" s="106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5"/>
    </row>
    <row r="15" spans="1:33" ht="15" customHeight="1" x14ac:dyDescent="0.25">
      <c r="A15" s="106"/>
      <c r="B15" s="53" t="s">
        <v>85</v>
      </c>
      <c r="C15" s="275" t="s">
        <v>69</v>
      </c>
      <c r="D15" s="106"/>
      <c r="E15" s="106"/>
      <c r="F15" s="106"/>
      <c r="G15" s="106"/>
      <c r="H15" s="282"/>
      <c r="I15" s="106"/>
      <c r="J15" s="264"/>
      <c r="K15" s="257"/>
      <c r="L15" s="264"/>
      <c r="M15" s="261">
        <v>17</v>
      </c>
      <c r="N15" s="262"/>
      <c r="O15" s="262"/>
      <c r="P15" s="280"/>
      <c r="Q15" s="106"/>
      <c r="R15" s="106"/>
      <c r="S15" s="106"/>
      <c r="T15" s="281"/>
      <c r="U15" s="106"/>
      <c r="V15" s="106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</row>
    <row r="16" spans="1:33" ht="15" customHeight="1" thickBot="1" x14ac:dyDescent="0.3">
      <c r="A16" s="106"/>
      <c r="B16" s="53" t="s">
        <v>70</v>
      </c>
      <c r="C16" s="274">
        <v>0</v>
      </c>
      <c r="D16" s="106"/>
      <c r="E16" s="106"/>
      <c r="F16" s="106"/>
      <c r="G16" s="106"/>
      <c r="H16" s="282"/>
      <c r="I16" s="106"/>
      <c r="J16" s="264"/>
      <c r="K16" s="264"/>
      <c r="L16" s="264"/>
      <c r="M16" s="261">
        <v>16</v>
      </c>
      <c r="N16" s="262"/>
      <c r="O16" s="262"/>
      <c r="P16" s="280"/>
      <c r="Q16" s="106"/>
      <c r="R16" s="106"/>
      <c r="S16" s="106"/>
      <c r="T16" s="281"/>
      <c r="U16" s="106"/>
      <c r="V16" s="106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</row>
    <row r="17" spans="1:33" ht="15" customHeight="1" thickBot="1" x14ac:dyDescent="0.3">
      <c r="A17" s="106"/>
      <c r="B17" s="54" t="s">
        <v>71</v>
      </c>
      <c r="C17" s="276">
        <f>C13*COS(RADIANS(ABS(C11-C14)))</f>
        <v>0</v>
      </c>
      <c r="D17" s="106"/>
      <c r="E17" s="304" t="s">
        <v>122</v>
      </c>
      <c r="F17" s="305"/>
      <c r="G17" s="106"/>
      <c r="H17" s="282"/>
      <c r="I17" s="106"/>
      <c r="J17" s="264"/>
      <c r="K17" s="257"/>
      <c r="L17" s="264"/>
      <c r="M17" s="261">
        <v>15</v>
      </c>
      <c r="N17" s="262"/>
      <c r="O17" s="262"/>
      <c r="P17" s="280"/>
      <c r="Q17" s="106"/>
      <c r="R17" s="106"/>
      <c r="S17" s="106"/>
      <c r="T17" s="281"/>
      <c r="U17" s="106"/>
      <c r="V17" s="106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5"/>
    </row>
    <row r="18" spans="1:33" ht="15" customHeight="1" thickBot="1" x14ac:dyDescent="0.3">
      <c r="A18" s="106"/>
      <c r="B18" s="106"/>
      <c r="C18" s="106"/>
      <c r="D18" s="106"/>
      <c r="E18" s="306"/>
      <c r="F18" s="307"/>
      <c r="G18" s="106"/>
      <c r="H18" s="282"/>
      <c r="I18" s="106"/>
      <c r="J18" s="264"/>
      <c r="K18" s="257"/>
      <c r="L18" s="264"/>
      <c r="M18" s="261">
        <v>14</v>
      </c>
      <c r="N18" s="262"/>
      <c r="O18" s="262"/>
      <c r="P18" s="280"/>
      <c r="Q18" s="106"/>
      <c r="R18" s="106"/>
      <c r="S18" s="106"/>
      <c r="T18" s="281"/>
      <c r="U18" s="106"/>
      <c r="V18" s="106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5"/>
    </row>
    <row r="19" spans="1:33" ht="15" customHeight="1" x14ac:dyDescent="0.25">
      <c r="A19" s="106"/>
      <c r="B19" s="52" t="s">
        <v>72</v>
      </c>
      <c r="C19" s="269" cm="1">
        <f t="array" ref="C19">_xlfn.IFS(AND(C15="Dur",MROUND(C8,2000)=0,C9=0),Tableaux!C13,AND(C15="Dur",MROUND(C8,2000)=2000,C9=0),Tableaux!C14,AND(C15="Dur",MROUND(C8,2000)=4000,C9=0),Tableaux!C15,AND(C15="Dur",MROUND(C8,2000)=6000,C9=0),Tableaux!C16,AND(C15="Dur",MROUND(C8,2000)=8000,C9=0),Tableaux!C17,AND(C15="Dur",MROUND(C8,2000)=10000,C9=0),Tableaux!C18,AND(C15="Herbe",MROUND(C8,2000)=0,C9=0),Tableaux!E13,AND(C15="Herbe",MROUND(C8,2000)=2000,C9=0),Tableaux!E14,AND(C15="Herbe",MROUND(C8,2000)=4000,C9=0),Tableaux!E15,AND(C15="Herbe", MROUND(C8,2000)=6000,C9=0),Tableaux!E16,AND(C15="Herbe", MROUND(C8,2000)=8000,C9=0),Tableaux!E17,AND(C15="Herbe", MROUND(C8,2000)=10000,C9=0),Tableaux!E18,AND(C15="Dur",MROUND(C8,2000)=0,C9=10),Tableaux!C23,AND(C15="Dur",MROUND(C8,2000)=2000,C9=10),Tableaux!C24,AND(C15="Dur",MROUND(C8,2000)=4000,C9=10),Tableaux!C25,AND(C15="Dur",MROUND(C8,2000)=6000,C9=10),Tableaux!C26,AND(C15="Dur",MROUND(C8,2000)=8000,C9=10),Tableaux!C27,AND(C15="Dur",MROUND(C8,2000)=10000,C9=10),Tableaux!C28,AND(C15="Herbe",MROUND(C8,2000)=0,C9=10),Tableaux!E23,AND(C15="Herbe",MROUND(C8,2000)=2000,C9=10),Tableaux!E24,AND(C15="Herbe",MROUND(C8,2000)=4000,C9=10),Tableaux!E25,AND(C15="Herbe", MROUND(C8,2000)=6000,C9=10),Tableaux!E26,AND(C15="Herbe", MROUND(C8,2000)=8000,C9=10),Tableaux!E27,AND(C15="Herbe", MROUND(C8,2000)=10000,C9=10),Tableaux!E28,AND(C15="Dur",MROUND(C8,2000)=0,C9=20),Tableaux!C33,AND(C15="Dur",MROUND(C8,2000)=2000,C9=20),Tableaux!C34,AND(C15="Dur",MROUND(C8,2000)=4000,C9=20),Tableaux!C35,AND(C15="Dur",MROUND(C8,2000)=6000,C9=20),Tableaux!C36,AND(C15="Dur",MROUND(C8,2000)=8000,C9=20),Tableaux!C37,AND(C15="Dur",MROUND(C8,2000)=10000,C9=20),Tableaux!C38,AND(C15="Herbe",MROUND(C8,2000)=0,C9=20),Tableaux!E33,AND(C15="Herbe",MROUND(C8,2000)=2000,C9=20),Tableaux!E34,AND(C15="Herbe",MROUND(C8,2000)=4000,C9=20),Tableaux!E35,AND(C15="Herbe", MROUND(C8,2000)=6000,C9=20),Tableaux!E36,AND(C15="Herbe", MROUND(C8,2000)=8000,C9=20),Tableaux!E37,AND(C15="Herbe", MROUND(C8,2000)=10000,C9=20),Tableaux!E38,AND(C15="Dur",MROUND(C8,2000)=0,C9=-10),Tableaux!C43,AND(C15="Dur",MROUND(C8,2000)=2000,C9=-10),Tableaux!C44,AND(C15="Dur",MROUND(C8,2000)=4000,C9=-10),Tableaux!C45,AND(C15="Dur",MROUND(C8,2000)=6000,C9=-10),Tableaux!C46,AND(C15="Dur",MROUND(C8,2000)=8000,C9=-10),Tableaux!C47,AND(C15="Dur",MROUND(C8,2000)=10000,C9=-10),Tableaux!C48,AND(C15="Herbe",MROUND(C8,2000)=0,C9=-10),Tableaux!E43,AND(C15="Herbe",MROUND(C8,2000)=2000,C9=-10),Tableaux!E44,AND(C15="Herbe",MROUND(C8,2000)=4000,C9=-10),Tableaux!E45,AND(C15="Herbe", MROUND(C8,2000)=6000,C9=-10),Tableaux!E46,AND(C15="Herbe", MROUND(C8,2000)=8000,C9=-10),Tableaux!E47,AND(C15="Herbe", MROUND(C8,2000)=10000,C9=-10),Tableaux!E48,AND(C15="Dur",MROUND(C8,2000)=0,C9=-20),Tableaux!C53,AND(C15="Dur",MROUND(C8,2000)=2000,C9=-20),Tableaux!C54,AND(C15="Dur",MROUND(C8,2000)=4000,C9=-20),Tableaux!C55,AND(C15="Dur",MROUND(C8,2000)=6000,C9=-20),Tableaux!C56,AND(C15="Dur",MROUND(C8,2000)=8000,C9=-20),Tableaux!C57,AND(C15="Dur",MROUND(C8,2000)=10000,C9=-20),Tableaux!C58,AND(C15="Herbe",MROUND(C8,2000)=0,C9=-20),Tableaux!E53,AND(C15="Herbe",MROUND(C8,2000)=2000,C9=-20),Tableaux!E54,AND(C15="Herbe",MROUND(C8,2000)=4000,C9=-20),Tableaux!E55,AND(C15="Herbe", MROUND(C8,2000)=6000,C9=-20),Tableaux!E56,AND(C15="Herbe", MROUND(C8,2000)=8000,C9=-20),Tableaux!E57,AND(C15="Herbe", MROUND(C8,2000)=10000,C9=-20),Tableaux!E58)</f>
        <v>128</v>
      </c>
      <c r="D19" s="106"/>
      <c r="E19" s="306"/>
      <c r="F19" s="307"/>
      <c r="G19" s="106"/>
      <c r="H19" s="282"/>
      <c r="I19" s="106"/>
      <c r="J19" s="264"/>
      <c r="K19" s="264"/>
      <c r="L19" s="264"/>
      <c r="M19" s="261">
        <v>13</v>
      </c>
      <c r="N19" s="262"/>
      <c r="O19" s="262"/>
      <c r="P19" s="280"/>
      <c r="Q19" s="106"/>
      <c r="R19" s="106"/>
      <c r="S19" s="106"/>
      <c r="T19" s="281"/>
      <c r="U19" s="106"/>
      <c r="V19" s="106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55"/>
    </row>
    <row r="20" spans="1:33" ht="15" customHeight="1" thickBot="1" x14ac:dyDescent="0.3">
      <c r="A20" s="106"/>
      <c r="B20" s="56" t="s">
        <v>73</v>
      </c>
      <c r="C20" s="270" cm="1">
        <f t="array" ref="C20">_xlfn.IFS(AND(C15="Dur",MROUND(C8,2000)=0,C9=0),Tableaux!D13,AND(C15="Dur",MROUND(C8,2000)=2000,C9=0),Tableaux!D14,AND(C15="Dur",MROUND(C8,2000)=4000,C9=0),Tableaux!D15,AND(C15="Dur",MROUND(C8,2000)=6000,C9=0),Tableaux!D16,AND(C15="Dur",MROUND(C8,2000)=8000,C9=0),Tableaux!D17,AND(C15="Dur",MROUND(C8,2000)=10000,C9=0),Tableaux!D18,AND(C15="Herbe",MROUND(C8,2000)=0,C9=0),Tableaux!F13,AND(C15="Herbe",MROUND(C8,2000)=2000,C9=0),Tableaux!F14,AND(C15="Herbe",MROUND(C8,2000)=4000,C9=0),Tableaux!F15,AND(C15="Herbe", MROUND(C8,2000)=6000,C9=0),Tableaux!F16,AND(C15="Herbe", MROUND(C8,2000)=8000,C9=0),Tableaux!F17,AND(C15="Herbe", MROUND(C8,2000)=10000,C9=0),Tableaux!F18,AND(C15="Dur",MROUND(C8,2000)=0,C9=10),Tableaux!D23,AND(C15="Dur",MROUND(C8,2000)=2000,C9=10),Tableaux!D24,AND(C15="Dur",MROUND(C8,2000)=4000,C9=10),Tableaux!D25,AND(C15="Dur",MROUND(C8,2000)=6000,C9=10),Tableaux!D26,AND(C15="Dur",MROUND(C8,2000)=8000,C9=10),Tableaux!D27,AND(C15="Dur",MROUND(C8,2000)=10000,C9=10),Tableaux!D28,AND(C15="Herbe",MROUND(C8,2000)=0,C9=10),Tableaux!F23,AND(C15="Herbe",MROUND(C8,2000)=2000,C9=10),Tableaux!F24,AND(C15="Herbe",MROUND(C8,2000)=4000,C9=10),Tableaux!F25,AND(C15="Herbe", MROUND(C8,2000)=6000,C9=10),Tableaux!F26,AND(C15="Herbe", MROUND(C8,2000)=8000,C9=10),Tableaux!F27,AND(C15="Herbe", MROUND(C8,2000)=10000,C9=10),Tableaux!F28,AND(C15="Dur",MROUND(C8,2000)=0,C9=20),Tableaux!D33,AND(C15="Dur",MROUND(C8,2000)=2000,C9=20),Tableaux!D34,AND(C15="Dur",MROUND(C8,2000)=4000,C9=20),Tableaux!D35,AND(C15="Dur",MROUND(C8,2000)=6000,C9=20),Tableaux!D36,AND(C15="Dur",MROUND(C8,2000)=8000,C9=20),Tableaux!D37,AND(C15="Dur",MROUND(C8,2000)=10000,C9=20),Tableaux!D38,AND(C15="Herbe",MROUND(C8,2000)=0,C9=20),Tableaux!F33,AND(C15="Herbe",MROUND(C8,2000)=2000,C9=20),Tableaux!F34,AND(C15="Herbe",MROUND(C8,2000)=4000,C9=20),Tableaux!F35,AND(C15="Herbe", MROUND(C8,2000)=6000,C9=20),Tableaux!F36,AND(C15="Herbe", MROUND(C8,2000)=8000,C9=20),Tableaux!F37,AND(C15="Herbe", MROUND(C8,2000)=10000,C9=20),Tableaux!F38,AND(C15="Dur",MROUND(C8,2000)=0,C9=-10),Tableaux!D43,AND(C15="Dur",MROUND(C8,2000)=2000,C9=-10),Tableaux!D44,AND(C15="Dur",MROUND(C8,2000)=4000,C9=-10),Tableaux!D45,AND(C15="Dur",MROUND(C8,2000)=6000,C9=-10),Tableaux!D46,AND(C15="Dur",MROUND(C8,2000)=8000,C9=-10),Tableaux!D47,AND(C15="Dur",MROUND(C8,2000)=10000,C9=-10),Tableaux!D48,AND(C15="Herbe",MROUND(C8,2000)=0,C9=-10),Tableaux!F43,AND(C15="Herbe",MROUND(C8,2000)=2000,C9=-10),Tableaux!F44,AND(C15="Herbe",MROUND(C8,2000)=4000,C9=-10),Tableaux!F45,AND(C15="Herbe", MROUND(C8,2000)=6000,C9=-10),Tableaux!F46,AND(C15="Herbe", MROUND(C8,2000)=8000,C9=-10),Tableaux!F47,AND(C15="Herbe", MROUND(C8,2000)=10000,C9=-10),Tableaux!F48,AND(C15="Dur",MROUND(C8,2000)=0,C9=-20),Tableaux!D53,AND(C15="Dur",MROUND(C8,2000)=2000,C9=-20),Tableaux!D54,AND(C15="Dur",MROUND(C8,2000)=4000,C9=-20),Tableaux!D55,AND(C15="Dur",MROUND(C8,2000)=6000,C9=-20),Tableaux!D56,AND(C15="Dur",MROUND(C8,2000)=8000,C9=-20),Tableaux!D57,AND(C15="Dur",MROUND(C8,2000)=10000,C9=-20),Tableaux!D58,AND(C15="Herbe",MROUND(C8,2000)=0,C9=-20),Tableaux!F53,AND(C15="Herbe",MROUND(C8,2000)=2000,C9=-20),Tableaux!F54,AND(C15="Herbe",MROUND(C8,2000)=4000,C9=-20),Tableaux!F55,AND(C15="Herbe", MROUND(C8,2000)=6000,C9=-20),Tableaux!F56,AND(C15="Herbe", MROUND(C8,2000)=8000,C9=-20),Tableaux!F57,AND(C15="Herbe", MROUND(C8,2000)=10000,C9=-20),Tableaux!F58)</f>
        <v>365</v>
      </c>
      <c r="D20" s="106"/>
      <c r="E20" s="306"/>
      <c r="F20" s="307"/>
      <c r="G20" s="106"/>
      <c r="H20" s="282"/>
      <c r="I20" s="106"/>
      <c r="J20" s="264"/>
      <c r="K20" s="257"/>
      <c r="L20" s="264"/>
      <c r="M20" s="261">
        <v>12</v>
      </c>
      <c r="N20" s="262"/>
      <c r="O20" s="262"/>
      <c r="P20" s="280"/>
      <c r="Q20" s="106"/>
      <c r="R20" s="106"/>
      <c r="S20" s="106"/>
      <c r="T20" s="281"/>
      <c r="U20" s="106"/>
      <c r="V20" s="106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</row>
    <row r="21" spans="1:33" ht="15" customHeight="1" thickBot="1" x14ac:dyDescent="0.3">
      <c r="A21" s="106"/>
      <c r="B21" s="106"/>
      <c r="C21" s="265"/>
      <c r="D21" s="106"/>
      <c r="E21" s="308"/>
      <c r="F21" s="309"/>
      <c r="G21" s="106"/>
      <c r="H21" s="282"/>
      <c r="I21" s="106"/>
      <c r="J21" s="264"/>
      <c r="K21" s="257"/>
      <c r="L21" s="264"/>
      <c r="M21" s="261">
        <v>11</v>
      </c>
      <c r="N21" s="262"/>
      <c r="O21" s="262"/>
      <c r="P21" s="280"/>
      <c r="Q21" s="106"/>
      <c r="R21" s="106"/>
      <c r="S21" s="106"/>
      <c r="T21" s="281"/>
      <c r="U21" s="106"/>
      <c r="V21" s="106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</row>
    <row r="22" spans="1:33" ht="15" customHeight="1" thickBot="1" x14ac:dyDescent="0.3">
      <c r="A22" s="106"/>
      <c r="B22" s="52" t="s">
        <v>74</v>
      </c>
      <c r="C22" s="271">
        <f>C19-0.04*C17*C19+0.08*C16*C19</f>
        <v>128</v>
      </c>
      <c r="D22" s="106"/>
      <c r="E22" s="106"/>
      <c r="F22" s="106"/>
      <c r="G22" s="106"/>
      <c r="H22" s="282"/>
      <c r="I22" s="106"/>
      <c r="J22" s="264"/>
      <c r="K22" s="264"/>
      <c r="L22" s="264"/>
      <c r="M22" s="261">
        <v>10</v>
      </c>
      <c r="N22" s="262"/>
      <c r="O22" s="262"/>
      <c r="P22" s="280"/>
      <c r="Q22" s="106"/>
      <c r="R22" s="106"/>
      <c r="S22" s="106"/>
      <c r="T22" s="281"/>
      <c r="U22" s="106"/>
      <c r="V22" s="106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</row>
    <row r="23" spans="1:33" ht="15" customHeight="1" thickBot="1" x14ac:dyDescent="0.3">
      <c r="A23" s="106"/>
      <c r="B23" s="56" t="s">
        <v>75</v>
      </c>
      <c r="C23" s="272">
        <f>C20*(1-C17*0.04)</f>
        <v>365</v>
      </c>
      <c r="D23" s="106"/>
      <c r="E23" s="248" t="s">
        <v>113</v>
      </c>
      <c r="F23" s="249"/>
      <c r="G23" s="106"/>
      <c r="H23" s="282"/>
      <c r="I23" s="106"/>
      <c r="J23" s="264"/>
      <c r="K23" s="257"/>
      <c r="L23" s="264"/>
      <c r="M23" s="261">
        <v>9</v>
      </c>
      <c r="N23" s="262"/>
      <c r="O23" s="262"/>
      <c r="P23" s="280"/>
      <c r="Q23" s="106"/>
      <c r="R23" s="106"/>
      <c r="S23" s="106"/>
      <c r="T23" s="281"/>
      <c r="U23" s="106"/>
      <c r="V23" s="106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</row>
    <row r="24" spans="1:33" ht="15" customHeight="1" x14ac:dyDescent="0.25">
      <c r="A24" s="106"/>
      <c r="B24" s="106"/>
      <c r="C24" s="106"/>
      <c r="D24" s="106"/>
      <c r="E24" s="251"/>
      <c r="F24" s="252"/>
      <c r="G24" s="263"/>
      <c r="H24" s="282"/>
      <c r="I24" s="106"/>
      <c r="J24" s="264"/>
      <c r="K24" s="257"/>
      <c r="L24" s="264"/>
      <c r="M24" s="261">
        <v>8</v>
      </c>
      <c r="N24" s="262"/>
      <c r="O24" s="262"/>
      <c r="P24" s="280"/>
      <c r="Q24" s="106"/>
      <c r="R24" s="106"/>
      <c r="S24" s="106"/>
      <c r="T24" s="281"/>
      <c r="U24" s="106"/>
      <c r="V24" s="106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</row>
    <row r="25" spans="1:33" ht="15" customHeight="1" x14ac:dyDescent="0.25">
      <c r="A25" s="106"/>
      <c r="B25" s="106"/>
      <c r="C25" s="106"/>
      <c r="D25" s="106"/>
      <c r="E25" s="251"/>
      <c r="F25" s="252"/>
      <c r="G25" s="106"/>
      <c r="H25" s="282"/>
      <c r="I25" s="106"/>
      <c r="J25" s="264"/>
      <c r="K25" s="264"/>
      <c r="L25" s="264"/>
      <c r="M25" s="261">
        <v>7</v>
      </c>
      <c r="N25" s="262"/>
      <c r="O25" s="262"/>
      <c r="P25" s="280"/>
      <c r="Q25" s="106"/>
      <c r="R25" s="106"/>
      <c r="S25" s="106"/>
      <c r="T25" s="281"/>
      <c r="U25" s="106"/>
      <c r="V25" s="106"/>
      <c r="W25" s="55"/>
      <c r="X25" s="55"/>
      <c r="Y25" s="55"/>
      <c r="Z25" s="55"/>
      <c r="AA25" s="55"/>
      <c r="AB25" s="55"/>
      <c r="AC25" s="55"/>
      <c r="AD25" s="55"/>
      <c r="AE25" s="55"/>
      <c r="AF25" s="55"/>
      <c r="AG25" s="55"/>
    </row>
    <row r="26" spans="1:33" ht="15" customHeight="1" x14ac:dyDescent="0.25">
      <c r="A26" s="106"/>
      <c r="B26" s="106"/>
      <c r="C26" s="106"/>
      <c r="D26" s="106"/>
      <c r="E26" s="251"/>
      <c r="F26" s="252"/>
      <c r="G26" s="106"/>
      <c r="H26" s="282"/>
      <c r="I26" s="106"/>
      <c r="J26" s="264"/>
      <c r="K26" s="257"/>
      <c r="L26" s="264"/>
      <c r="M26" s="261">
        <v>6</v>
      </c>
      <c r="N26" s="262"/>
      <c r="O26" s="262"/>
      <c r="P26" s="280"/>
      <c r="Q26" s="106"/>
      <c r="R26" s="106"/>
      <c r="S26" s="106"/>
      <c r="T26" s="281"/>
      <c r="U26" s="106"/>
      <c r="V26" s="106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</row>
    <row r="27" spans="1:33" ht="15" customHeight="1" thickBot="1" x14ac:dyDescent="0.3">
      <c r="A27" s="106"/>
      <c r="B27" s="106"/>
      <c r="C27" s="106"/>
      <c r="D27" s="106"/>
      <c r="E27" s="263"/>
      <c r="F27" s="106"/>
      <c r="G27" s="106"/>
      <c r="H27" s="282"/>
      <c r="I27" s="106"/>
      <c r="J27" s="264"/>
      <c r="K27" s="257"/>
      <c r="L27" s="264"/>
      <c r="M27" s="261">
        <v>5</v>
      </c>
      <c r="N27" s="262"/>
      <c r="O27" s="262"/>
      <c r="P27" s="280"/>
      <c r="Q27" s="106"/>
      <c r="R27" s="106"/>
      <c r="S27" s="106"/>
      <c r="T27" s="281"/>
      <c r="U27" s="106"/>
      <c r="V27" s="106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</row>
    <row r="28" spans="1:33" ht="15" customHeight="1" x14ac:dyDescent="0.25">
      <c r="A28" s="106"/>
      <c r="B28" s="248" t="s">
        <v>108</v>
      </c>
      <c r="C28" s="249"/>
      <c r="D28" s="249"/>
      <c r="E28" s="249"/>
      <c r="F28" s="250"/>
      <c r="G28" s="258"/>
      <c r="H28" s="282"/>
      <c r="I28" s="106"/>
      <c r="J28" s="260" t="str">
        <f>IF(LEN(MROUND(C11,10))=2,LEFT(MROUND(C11,10),1),LEFT(MROUND(C11,10),2))</f>
        <v>12</v>
      </c>
      <c r="K28" s="260"/>
      <c r="L28" s="260"/>
      <c r="M28" s="261">
        <v>4</v>
      </c>
      <c r="N28" s="262"/>
      <c r="O28" s="262"/>
      <c r="P28" s="280"/>
      <c r="Q28" s="106"/>
      <c r="R28" s="106"/>
      <c r="S28" s="106"/>
      <c r="T28" s="281"/>
      <c r="U28" s="106"/>
      <c r="V28" s="106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</row>
    <row r="29" spans="1:33" ht="15" customHeight="1" x14ac:dyDescent="0.25">
      <c r="A29" s="106"/>
      <c r="B29" s="251"/>
      <c r="C29" s="252"/>
      <c r="D29" s="252"/>
      <c r="E29" s="252"/>
      <c r="F29" s="253"/>
      <c r="G29" s="258"/>
      <c r="H29" s="282"/>
      <c r="I29" s="106"/>
      <c r="J29" s="260"/>
      <c r="K29" s="260"/>
      <c r="L29" s="260"/>
      <c r="M29" s="261">
        <v>3</v>
      </c>
      <c r="N29" s="262"/>
      <c r="O29" s="262"/>
      <c r="P29" s="280"/>
      <c r="Q29" s="106"/>
      <c r="R29" s="106"/>
      <c r="S29" s="106"/>
      <c r="T29" s="281"/>
      <c r="U29" s="106"/>
      <c r="V29" s="106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</row>
    <row r="30" spans="1:33" ht="15" customHeight="1" x14ac:dyDescent="0.25">
      <c r="A30" s="106"/>
      <c r="B30" s="251"/>
      <c r="C30" s="252"/>
      <c r="D30" s="252"/>
      <c r="E30" s="252"/>
      <c r="F30" s="253"/>
      <c r="G30" s="258"/>
      <c r="H30" s="282"/>
      <c r="I30" s="106"/>
      <c r="J30" s="260"/>
      <c r="K30" s="260"/>
      <c r="L30" s="260"/>
      <c r="M30" s="261">
        <v>2</v>
      </c>
      <c r="N30" s="262"/>
      <c r="O30" s="262"/>
      <c r="P30" s="280"/>
      <c r="Q30" s="106"/>
      <c r="R30" s="106"/>
      <c r="S30" s="106"/>
      <c r="T30" s="281"/>
      <c r="U30" s="106"/>
      <c r="V30" s="106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</row>
    <row r="31" spans="1:33" ht="15" customHeight="1" x14ac:dyDescent="0.25">
      <c r="A31" s="106"/>
      <c r="B31" s="251"/>
      <c r="C31" s="252"/>
      <c r="D31" s="252"/>
      <c r="E31" s="252"/>
      <c r="F31" s="253"/>
      <c r="G31" s="258"/>
      <c r="H31" s="282"/>
      <c r="I31" s="106"/>
      <c r="J31" s="260"/>
      <c r="K31" s="260"/>
      <c r="L31" s="260"/>
      <c r="M31" s="261">
        <v>1</v>
      </c>
      <c r="N31" s="262"/>
      <c r="O31" s="262"/>
      <c r="P31" s="280"/>
      <c r="Q31" s="106"/>
      <c r="R31" s="106"/>
      <c r="S31" s="106"/>
      <c r="T31" s="281"/>
      <c r="U31" s="106"/>
      <c r="V31" s="106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</row>
    <row r="32" spans="1:33" ht="15" customHeight="1" thickBot="1" x14ac:dyDescent="0.3">
      <c r="A32" s="106"/>
      <c r="B32" s="254"/>
      <c r="C32" s="255"/>
      <c r="D32" s="255"/>
      <c r="E32" s="255"/>
      <c r="F32" s="256"/>
      <c r="G32" s="258"/>
      <c r="H32" s="277"/>
      <c r="I32" s="106"/>
      <c r="J32" s="257"/>
      <c r="K32" s="257"/>
      <c r="L32" s="257"/>
      <c r="M32" s="266"/>
      <c r="N32" s="262"/>
      <c r="O32" s="262"/>
      <c r="P32" s="278"/>
      <c r="Q32" s="106"/>
      <c r="R32" s="106"/>
      <c r="S32" s="106"/>
      <c r="T32" s="279"/>
      <c r="U32" s="106"/>
      <c r="V32" s="106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</row>
    <row r="33" spans="1:33" ht="15" customHeight="1" x14ac:dyDescent="0.25">
      <c r="A33" s="106"/>
      <c r="B33" s="106"/>
      <c r="C33" s="106"/>
      <c r="D33" s="106"/>
      <c r="E33" s="106"/>
      <c r="F33" s="106"/>
      <c r="G33" s="106"/>
      <c r="H33" s="277"/>
      <c r="I33" s="106"/>
      <c r="J33" s="257"/>
      <c r="K33" s="257"/>
      <c r="L33" s="257"/>
      <c r="M33" s="266"/>
      <c r="N33" s="262"/>
      <c r="O33" s="262"/>
      <c r="P33" s="278"/>
      <c r="Q33" s="106"/>
      <c r="R33" s="106"/>
      <c r="S33" s="106"/>
      <c r="T33" s="279"/>
      <c r="U33" s="106"/>
      <c r="V33" s="106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</row>
    <row r="34" spans="1:33" ht="15" customHeight="1" x14ac:dyDescent="0.25">
      <c r="A34" s="106"/>
      <c r="B34" s="106"/>
      <c r="C34" s="106"/>
      <c r="D34" s="106"/>
      <c r="E34" s="106"/>
      <c r="F34" s="106"/>
      <c r="G34" s="106"/>
      <c r="H34" s="277"/>
      <c r="I34" s="106"/>
      <c r="J34" s="106"/>
      <c r="K34" s="106"/>
      <c r="L34" s="106"/>
      <c r="M34" s="266"/>
      <c r="N34" s="262"/>
      <c r="O34" s="262"/>
      <c r="P34" s="278"/>
      <c r="Q34" s="106"/>
      <c r="R34" s="106"/>
      <c r="S34" s="267"/>
      <c r="T34" s="279"/>
      <c r="U34" s="106"/>
      <c r="V34" s="106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</row>
    <row r="35" spans="1:33" ht="15" customHeight="1" x14ac:dyDescent="0.25">
      <c r="A35" s="106"/>
      <c r="B35" s="106"/>
      <c r="C35" s="106"/>
      <c r="D35" s="106"/>
      <c r="E35" s="106"/>
      <c r="F35" s="106"/>
      <c r="G35" s="106"/>
      <c r="H35" s="277"/>
      <c r="I35" s="106"/>
      <c r="J35" s="106"/>
      <c r="K35" s="106"/>
      <c r="L35" s="106"/>
      <c r="M35" s="266"/>
      <c r="N35" s="262"/>
      <c r="O35" s="262"/>
      <c r="P35" s="278"/>
      <c r="Q35" s="106"/>
      <c r="R35" s="106"/>
      <c r="S35" s="106"/>
      <c r="T35" s="279"/>
      <c r="U35" s="106"/>
      <c r="V35" s="106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</row>
    <row r="36" spans="1:33" ht="15" customHeight="1" x14ac:dyDescent="0.25">
      <c r="A36" s="106"/>
      <c r="B36" s="106"/>
      <c r="C36" s="106"/>
      <c r="D36" s="106"/>
      <c r="E36" s="106"/>
      <c r="F36" s="106"/>
      <c r="G36" s="106"/>
      <c r="H36" s="277"/>
      <c r="I36" s="106"/>
      <c r="J36" s="106"/>
      <c r="K36" s="106"/>
      <c r="L36" s="106"/>
      <c r="M36" s="266"/>
      <c r="N36" s="262"/>
      <c r="O36" s="262"/>
      <c r="P36" s="278"/>
      <c r="Q36" s="106"/>
      <c r="R36" s="106"/>
      <c r="S36" s="106"/>
      <c r="T36" s="279"/>
      <c r="U36" s="106"/>
      <c r="V36" s="106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</row>
    <row r="37" spans="1:33" ht="15" customHeight="1" x14ac:dyDescent="0.25">
      <c r="A37" s="106"/>
      <c r="B37" s="106"/>
      <c r="C37" s="106"/>
      <c r="D37" s="106"/>
      <c r="E37" s="106"/>
      <c r="F37" s="106"/>
      <c r="G37" s="106"/>
      <c r="H37" s="277"/>
      <c r="I37" s="106"/>
      <c r="J37" s="106"/>
      <c r="K37" s="106"/>
      <c r="L37" s="106"/>
      <c r="M37" s="266"/>
      <c r="N37" s="262"/>
      <c r="O37" s="262"/>
      <c r="P37" s="278"/>
      <c r="Q37" s="106"/>
      <c r="R37" s="106"/>
      <c r="S37" s="106"/>
      <c r="T37" s="279"/>
      <c r="U37" s="106"/>
      <c r="V37" s="106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</row>
    <row r="38" spans="1:33" x14ac:dyDescent="0.25">
      <c r="A38" s="106"/>
      <c r="B38" s="106"/>
      <c r="C38" s="106"/>
      <c r="D38" s="106"/>
      <c r="E38" s="106"/>
      <c r="F38" s="106"/>
      <c r="G38" s="106"/>
      <c r="H38" s="106"/>
      <c r="I38" s="106"/>
      <c r="J38" s="106"/>
      <c r="K38" s="106"/>
      <c r="L38" s="106"/>
      <c r="M38" s="106"/>
      <c r="N38" s="106"/>
      <c r="O38" s="106"/>
      <c r="P38" s="268"/>
      <c r="Q38" s="106"/>
      <c r="R38" s="106"/>
      <c r="S38" s="106"/>
      <c r="T38" s="106"/>
      <c r="U38" s="106"/>
      <c r="V38" s="106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</row>
    <row r="39" spans="1:33" x14ac:dyDescent="0.25">
      <c r="A39" s="106"/>
      <c r="B39" s="106"/>
      <c r="C39" s="106"/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6"/>
      <c r="O39" s="106"/>
      <c r="P39" s="106"/>
      <c r="Q39" s="106"/>
      <c r="R39" s="106"/>
      <c r="S39" s="106"/>
      <c r="T39" s="106"/>
      <c r="U39" s="106"/>
      <c r="V39" s="106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</row>
    <row r="40" spans="1:33" x14ac:dyDescent="0.25">
      <c r="A40" s="106"/>
      <c r="B40" s="106"/>
      <c r="C40" s="106"/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106"/>
      <c r="P40" s="106"/>
      <c r="Q40" s="106"/>
      <c r="R40" s="106"/>
      <c r="S40" s="106"/>
      <c r="T40" s="106"/>
      <c r="U40" s="106"/>
      <c r="V40" s="106"/>
      <c r="W40" s="55"/>
      <c r="X40" s="55"/>
      <c r="Y40" s="55"/>
      <c r="Z40" s="55"/>
      <c r="AA40" s="55"/>
      <c r="AB40" s="55"/>
      <c r="AC40" s="55"/>
      <c r="AD40" s="55"/>
      <c r="AE40" s="55"/>
      <c r="AF40" s="55"/>
      <c r="AG40" s="55"/>
    </row>
    <row r="41" spans="1:33" x14ac:dyDescent="0.25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Q41" s="55"/>
      <c r="R41" s="55"/>
      <c r="S41" s="55"/>
      <c r="T41" s="55"/>
      <c r="U41" s="55"/>
      <c r="V41" s="55"/>
      <c r="W41" s="55"/>
      <c r="X41" s="55"/>
      <c r="Y41" s="55"/>
      <c r="Z41" s="55"/>
      <c r="AA41" s="55"/>
      <c r="AB41" s="55"/>
      <c r="AC41" s="55"/>
      <c r="AD41" s="55"/>
      <c r="AE41" s="55"/>
      <c r="AF41" s="55"/>
      <c r="AG41" s="55"/>
    </row>
    <row r="42" spans="1:33" x14ac:dyDescent="0.25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55"/>
    </row>
    <row r="43" spans="1:33" x14ac:dyDescent="0.25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Q43" s="55"/>
      <c r="R43" s="55"/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55"/>
    </row>
    <row r="44" spans="1:33" x14ac:dyDescent="0.25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Q44" s="55"/>
      <c r="R44" s="55"/>
      <c r="S44" s="55"/>
      <c r="T44" s="55"/>
      <c r="U44" s="55"/>
      <c r="V44" s="55"/>
      <c r="W44" s="55"/>
      <c r="X44" s="55"/>
      <c r="Y44" s="55"/>
      <c r="Z44" s="55"/>
      <c r="AA44" s="55"/>
      <c r="AB44" s="55"/>
      <c r="AC44" s="55"/>
      <c r="AD44" s="55"/>
      <c r="AE44" s="55"/>
      <c r="AF44" s="55"/>
      <c r="AG44" s="55"/>
    </row>
    <row r="45" spans="1:33" x14ac:dyDescent="0.25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5"/>
    </row>
    <row r="46" spans="1:33" x14ac:dyDescent="0.2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5"/>
    </row>
    <row r="47" spans="1:33" x14ac:dyDescent="0.2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Q47" s="55"/>
      <c r="R47" s="55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55"/>
    </row>
    <row r="48" spans="1:33" x14ac:dyDescent="0.25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</row>
    <row r="49" spans="1:33" x14ac:dyDescent="0.25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55"/>
    </row>
    <row r="50" spans="1:33" x14ac:dyDescent="0.25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Q50" s="55"/>
      <c r="R50" s="55"/>
      <c r="S50" s="55"/>
      <c r="T50" s="55"/>
      <c r="U50" s="55"/>
      <c r="V50" s="55"/>
      <c r="W50" s="55"/>
      <c r="X50" s="55"/>
      <c r="Y50" s="55"/>
      <c r="Z50" s="55"/>
      <c r="AA50" s="55"/>
      <c r="AB50" s="55"/>
      <c r="AC50" s="55"/>
      <c r="AD50" s="55"/>
      <c r="AE50" s="55"/>
      <c r="AF50" s="55"/>
      <c r="AG50" s="55"/>
    </row>
    <row r="51" spans="1:33" x14ac:dyDescent="0.25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55"/>
    </row>
    <row r="52" spans="1:33" x14ac:dyDescent="0.25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</row>
    <row r="53" spans="1:33" x14ac:dyDescent="0.25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</row>
    <row r="54" spans="1:33" x14ac:dyDescent="0.25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55"/>
      <c r="AF54" s="55"/>
      <c r="AG54" s="55"/>
    </row>
    <row r="55" spans="1:33" x14ac:dyDescent="0.2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</row>
    <row r="56" spans="1:33" x14ac:dyDescent="0.2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</row>
    <row r="57" spans="1:33" x14ac:dyDescent="0.2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</row>
    <row r="58" spans="1:33" x14ac:dyDescent="0.25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55"/>
      <c r="AE58" s="55"/>
      <c r="AF58" s="55"/>
      <c r="AG58" s="55"/>
    </row>
    <row r="59" spans="1:33" x14ac:dyDescent="0.25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55"/>
      <c r="AE59" s="55"/>
      <c r="AF59" s="55"/>
      <c r="AG59" s="55"/>
    </row>
    <row r="60" spans="1:33" x14ac:dyDescent="0.25">
      <c r="A60" s="55"/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55"/>
      <c r="AE60" s="55"/>
      <c r="AF60" s="55"/>
      <c r="AG60" s="55"/>
    </row>
    <row r="61" spans="1:33" x14ac:dyDescent="0.25">
      <c r="A61" s="55"/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55"/>
      <c r="AE61" s="55"/>
      <c r="AF61" s="55"/>
      <c r="AG61" s="55"/>
    </row>
    <row r="62" spans="1:33" x14ac:dyDescent="0.25">
      <c r="A62" s="55"/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5"/>
      <c r="AD62" s="55"/>
      <c r="AE62" s="55"/>
      <c r="AF62" s="55"/>
      <c r="AG62" s="55"/>
    </row>
    <row r="63" spans="1:33" x14ac:dyDescent="0.25">
      <c r="A63" s="55"/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55"/>
      <c r="AE63" s="55"/>
      <c r="AF63" s="55"/>
      <c r="AG63" s="55"/>
    </row>
    <row r="64" spans="1:33" x14ac:dyDescent="0.25">
      <c r="A64" s="55"/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</row>
    <row r="65" spans="1:33" x14ac:dyDescent="0.25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55"/>
      <c r="AE65" s="55"/>
      <c r="AF65" s="55"/>
      <c r="AG65" s="55"/>
    </row>
    <row r="66" spans="1:33" x14ac:dyDescent="0.25">
      <c r="A66" s="55"/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Q66" s="55"/>
      <c r="R66" s="55"/>
      <c r="S66" s="55"/>
      <c r="T66" s="55"/>
      <c r="U66" s="55"/>
      <c r="V66" s="55"/>
      <c r="W66" s="55"/>
      <c r="X66" s="55"/>
      <c r="Y66" s="55"/>
      <c r="Z66" s="55"/>
      <c r="AA66" s="55"/>
      <c r="AB66" s="55"/>
      <c r="AC66" s="55"/>
      <c r="AD66" s="55"/>
      <c r="AE66" s="55"/>
      <c r="AF66" s="55"/>
      <c r="AG66" s="55"/>
    </row>
    <row r="67" spans="1:33" x14ac:dyDescent="0.25">
      <c r="A67" s="55"/>
      <c r="B67" s="55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Q67" s="55"/>
      <c r="R67" s="55"/>
      <c r="S67" s="55"/>
      <c r="T67" s="55"/>
      <c r="U67" s="55"/>
      <c r="V67" s="55"/>
      <c r="W67" s="55"/>
      <c r="X67" s="55"/>
      <c r="Y67" s="55"/>
      <c r="Z67" s="55"/>
      <c r="AA67" s="55"/>
      <c r="AB67" s="55"/>
      <c r="AC67" s="55"/>
      <c r="AD67" s="55"/>
      <c r="AE67" s="55"/>
      <c r="AF67" s="55"/>
      <c r="AG67" s="55"/>
    </row>
    <row r="68" spans="1:33" x14ac:dyDescent="0.25">
      <c r="A68" s="55"/>
      <c r="B68" s="55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Q68" s="55"/>
      <c r="R68" s="55"/>
      <c r="S68" s="55"/>
      <c r="T68" s="55"/>
      <c r="U68" s="55"/>
      <c r="V68" s="55"/>
      <c r="W68" s="55"/>
      <c r="X68" s="55"/>
      <c r="Y68" s="55"/>
      <c r="Z68" s="55"/>
      <c r="AA68" s="55"/>
      <c r="AB68" s="55"/>
      <c r="AC68" s="55"/>
      <c r="AD68" s="55"/>
      <c r="AE68" s="55"/>
      <c r="AF68" s="55"/>
      <c r="AG68" s="55"/>
    </row>
    <row r="69" spans="1:33" x14ac:dyDescent="0.25">
      <c r="A69" s="55"/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Q69" s="55"/>
      <c r="R69" s="55"/>
      <c r="S69" s="55"/>
      <c r="T69" s="55"/>
      <c r="U69" s="55"/>
      <c r="V69" s="55"/>
      <c r="W69" s="55"/>
      <c r="X69" s="55"/>
      <c r="Y69" s="55"/>
      <c r="Z69" s="55"/>
      <c r="AA69" s="55"/>
      <c r="AB69" s="55"/>
      <c r="AC69" s="55"/>
      <c r="AD69" s="55"/>
      <c r="AE69" s="55"/>
      <c r="AF69" s="55"/>
      <c r="AG69" s="55"/>
    </row>
    <row r="70" spans="1:33" x14ac:dyDescent="0.25">
      <c r="A70" s="55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Q70" s="55"/>
      <c r="R70" s="55"/>
      <c r="S70" s="55"/>
      <c r="T70" s="55"/>
      <c r="U70" s="55"/>
      <c r="V70" s="55"/>
      <c r="W70" s="55"/>
      <c r="X70" s="55"/>
      <c r="Y70" s="55"/>
      <c r="Z70" s="55"/>
      <c r="AA70" s="55"/>
      <c r="AB70" s="55"/>
      <c r="AC70" s="55"/>
      <c r="AD70" s="55"/>
      <c r="AE70" s="55"/>
      <c r="AF70" s="55"/>
      <c r="AG70" s="55"/>
    </row>
    <row r="71" spans="1:33" x14ac:dyDescent="0.25">
      <c r="A71" s="55"/>
      <c r="B71" s="55"/>
      <c r="C71" s="55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Q71" s="55"/>
      <c r="R71" s="55"/>
      <c r="S71" s="55"/>
      <c r="T71" s="55"/>
      <c r="U71" s="55"/>
      <c r="V71" s="55"/>
      <c r="W71" s="55"/>
      <c r="X71" s="55"/>
      <c r="Y71" s="55"/>
      <c r="Z71" s="55"/>
      <c r="AA71" s="55"/>
      <c r="AB71" s="55"/>
      <c r="AC71" s="55"/>
      <c r="AD71" s="55"/>
      <c r="AE71" s="55"/>
      <c r="AF71" s="55"/>
      <c r="AG71" s="55"/>
    </row>
    <row r="72" spans="1:33" x14ac:dyDescent="0.25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/>
      <c r="Q72" s="55"/>
      <c r="R72" s="55"/>
      <c r="S72" s="55"/>
      <c r="T72" s="55"/>
      <c r="U72" s="55"/>
      <c r="V72" s="55"/>
      <c r="W72" s="55"/>
      <c r="X72" s="55"/>
      <c r="Y72" s="55"/>
      <c r="Z72" s="55"/>
      <c r="AA72" s="55"/>
      <c r="AB72" s="55"/>
      <c r="AC72" s="55"/>
      <c r="AD72" s="55"/>
      <c r="AE72" s="55"/>
      <c r="AF72" s="55"/>
      <c r="AG72" s="55"/>
    </row>
    <row r="73" spans="1:33" x14ac:dyDescent="0.25">
      <c r="A73" s="55"/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Q73" s="55"/>
      <c r="R73" s="55"/>
      <c r="S73" s="55"/>
      <c r="T73" s="55"/>
      <c r="U73" s="55"/>
      <c r="V73" s="55"/>
      <c r="W73" s="55"/>
      <c r="X73" s="55"/>
      <c r="Y73" s="55"/>
      <c r="Z73" s="55"/>
      <c r="AA73" s="55"/>
      <c r="AB73" s="55"/>
      <c r="AC73" s="55"/>
      <c r="AD73" s="55"/>
      <c r="AE73" s="55"/>
      <c r="AF73" s="55"/>
      <c r="AG73" s="55"/>
    </row>
    <row r="74" spans="1:33" x14ac:dyDescent="0.25">
      <c r="A74" s="55"/>
      <c r="B74" s="55"/>
      <c r="C74" s="55"/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Q74" s="55"/>
      <c r="R74" s="55"/>
      <c r="S74" s="55"/>
      <c r="T74" s="55"/>
      <c r="U74" s="55"/>
      <c r="V74" s="55"/>
      <c r="W74" s="55"/>
      <c r="X74" s="55"/>
      <c r="Y74" s="55"/>
      <c r="Z74" s="55"/>
      <c r="AA74" s="55"/>
      <c r="AB74" s="55"/>
      <c r="AC74" s="55"/>
      <c r="AD74" s="55"/>
      <c r="AE74" s="55"/>
      <c r="AF74" s="55"/>
      <c r="AG74" s="55"/>
    </row>
    <row r="75" spans="1:33" x14ac:dyDescent="0.25">
      <c r="A75" s="55"/>
      <c r="B75" s="55"/>
      <c r="C75" s="55"/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5"/>
      <c r="AG75" s="55"/>
    </row>
    <row r="76" spans="1:33" x14ac:dyDescent="0.25">
      <c r="A76" s="55"/>
      <c r="B76" s="55"/>
      <c r="C76" s="55"/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/>
      <c r="AC76" s="55"/>
      <c r="AD76" s="55"/>
      <c r="AE76" s="55"/>
      <c r="AF76" s="55"/>
      <c r="AG76" s="55"/>
    </row>
    <row r="77" spans="1:33" x14ac:dyDescent="0.25">
      <c r="A77" s="55"/>
      <c r="B77" s="55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55"/>
      <c r="Q77" s="55"/>
      <c r="R77" s="55"/>
      <c r="S77" s="55"/>
      <c r="T77" s="55"/>
      <c r="U77" s="55"/>
      <c r="V77" s="55"/>
      <c r="W77" s="55"/>
      <c r="X77" s="55"/>
      <c r="Y77" s="55"/>
      <c r="Z77" s="55"/>
      <c r="AA77" s="55"/>
      <c r="AB77" s="55"/>
      <c r="AC77" s="55"/>
      <c r="AD77" s="55"/>
      <c r="AE77" s="55"/>
      <c r="AF77" s="55"/>
      <c r="AG77" s="55"/>
    </row>
    <row r="78" spans="1:33" x14ac:dyDescent="0.25">
      <c r="A78" s="55"/>
      <c r="B78" s="55"/>
      <c r="C78" s="55"/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Q78" s="55"/>
      <c r="R78" s="55"/>
      <c r="S78" s="55"/>
      <c r="T78" s="55"/>
      <c r="U78" s="55"/>
      <c r="V78" s="55"/>
      <c r="W78" s="55"/>
      <c r="X78" s="55"/>
      <c r="Y78" s="55"/>
      <c r="Z78" s="55"/>
      <c r="AA78" s="55"/>
      <c r="AB78" s="55"/>
      <c r="AC78" s="55"/>
      <c r="AD78" s="55"/>
      <c r="AE78" s="55"/>
      <c r="AF78" s="55"/>
      <c r="AG78" s="55"/>
    </row>
    <row r="79" spans="1:33" x14ac:dyDescent="0.25">
      <c r="A79" s="55"/>
      <c r="B79" s="55"/>
      <c r="C79" s="55"/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55"/>
      <c r="Q79" s="55"/>
      <c r="R79" s="55"/>
      <c r="S79" s="55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55"/>
      <c r="AE79" s="55"/>
      <c r="AF79" s="55"/>
      <c r="AG79" s="55"/>
    </row>
    <row r="80" spans="1:33" x14ac:dyDescent="0.25">
      <c r="A80" s="55"/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/>
      <c r="AC80" s="55"/>
      <c r="AD80" s="55"/>
      <c r="AE80" s="55"/>
      <c r="AF80" s="55"/>
      <c r="AG80" s="55"/>
    </row>
    <row r="81" spans="1:33" x14ac:dyDescent="0.25">
      <c r="A81" s="55"/>
      <c r="B81" s="55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55"/>
      <c r="Q81" s="55"/>
      <c r="R81" s="55"/>
      <c r="S81" s="55"/>
      <c r="T81" s="55"/>
      <c r="U81" s="55"/>
      <c r="V81" s="55"/>
      <c r="W81" s="55"/>
      <c r="X81" s="55"/>
      <c r="Y81" s="55"/>
      <c r="Z81" s="55"/>
      <c r="AA81" s="55"/>
      <c r="AB81" s="55"/>
      <c r="AC81" s="55"/>
      <c r="AD81" s="55"/>
      <c r="AE81" s="55"/>
      <c r="AF81" s="55"/>
      <c r="AG81" s="55"/>
    </row>
    <row r="82" spans="1:33" x14ac:dyDescent="0.25">
      <c r="A82" s="55"/>
      <c r="B82" s="55"/>
      <c r="C82" s="55"/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55"/>
      <c r="Q82" s="55"/>
      <c r="R82" s="55"/>
      <c r="S82" s="55"/>
      <c r="T82" s="55"/>
      <c r="U82" s="55"/>
      <c r="V82" s="55"/>
      <c r="W82" s="55"/>
      <c r="X82" s="55"/>
      <c r="Y82" s="55"/>
      <c r="Z82" s="55"/>
      <c r="AA82" s="55"/>
      <c r="AB82" s="55"/>
      <c r="AC82" s="55"/>
      <c r="AD82" s="55"/>
      <c r="AE82" s="55"/>
      <c r="AF82" s="55"/>
      <c r="AG82" s="55"/>
    </row>
    <row r="83" spans="1:33" x14ac:dyDescent="0.25">
      <c r="A83" s="55"/>
      <c r="B83" s="55"/>
      <c r="C83" s="55"/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55"/>
      <c r="Q83" s="55"/>
      <c r="R83" s="55"/>
      <c r="S83" s="55"/>
      <c r="T83" s="55"/>
      <c r="U83" s="55"/>
      <c r="V83" s="55"/>
      <c r="W83" s="55"/>
      <c r="X83" s="55"/>
      <c r="Y83" s="55"/>
      <c r="Z83" s="55"/>
      <c r="AA83" s="55"/>
      <c r="AB83" s="55"/>
      <c r="AC83" s="55"/>
      <c r="AD83" s="55"/>
      <c r="AE83" s="55"/>
      <c r="AF83" s="55"/>
      <c r="AG83" s="55"/>
    </row>
    <row r="84" spans="1:33" x14ac:dyDescent="0.25">
      <c r="A84" s="55"/>
      <c r="B84" s="55"/>
      <c r="C84" s="55"/>
      <c r="D84" s="55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55"/>
      <c r="Q84" s="55"/>
      <c r="R84" s="55"/>
      <c r="S84" s="55"/>
      <c r="T84" s="55"/>
      <c r="U84" s="55"/>
      <c r="V84" s="55"/>
      <c r="W84" s="55"/>
      <c r="X84" s="55"/>
      <c r="Y84" s="55"/>
      <c r="Z84" s="55"/>
      <c r="AA84" s="55"/>
      <c r="AB84" s="55"/>
      <c r="AC84" s="55"/>
      <c r="AD84" s="55"/>
      <c r="AE84" s="55"/>
      <c r="AF84" s="55"/>
      <c r="AG84" s="55"/>
    </row>
    <row r="85" spans="1:33" x14ac:dyDescent="0.25">
      <c r="A85" s="55"/>
      <c r="B85" s="55"/>
      <c r="C85" s="55"/>
      <c r="D85" s="55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55"/>
      <c r="Q85" s="55"/>
      <c r="R85" s="55"/>
      <c r="S85" s="55"/>
      <c r="T85" s="55"/>
      <c r="U85" s="55"/>
      <c r="V85" s="55"/>
      <c r="W85" s="55"/>
      <c r="X85" s="55"/>
      <c r="Y85" s="55"/>
      <c r="Z85" s="55"/>
      <c r="AA85" s="55"/>
      <c r="AB85" s="55"/>
      <c r="AC85" s="55"/>
      <c r="AD85" s="55"/>
      <c r="AE85" s="55"/>
      <c r="AF85" s="55"/>
      <c r="AG85" s="55"/>
    </row>
    <row r="86" spans="1:33" x14ac:dyDescent="0.25">
      <c r="A86" s="55"/>
      <c r="B86" s="55"/>
      <c r="C86" s="55"/>
      <c r="D86" s="55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55"/>
      <c r="Q86" s="55"/>
      <c r="R86" s="55"/>
      <c r="S86" s="55"/>
      <c r="T86" s="55"/>
      <c r="U86" s="55"/>
      <c r="V86" s="55"/>
      <c r="W86" s="55"/>
      <c r="X86" s="55"/>
      <c r="Y86" s="55"/>
      <c r="Z86" s="55"/>
      <c r="AA86" s="55"/>
      <c r="AB86" s="55"/>
      <c r="AC86" s="55"/>
      <c r="AD86" s="55"/>
      <c r="AE86" s="55"/>
      <c r="AF86" s="55"/>
      <c r="AG86" s="55"/>
    </row>
    <row r="87" spans="1:33" x14ac:dyDescent="0.25">
      <c r="A87" s="55"/>
      <c r="B87" s="55"/>
      <c r="C87" s="55"/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55"/>
      <c r="Q87" s="55"/>
      <c r="R87" s="55"/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</row>
    <row r="88" spans="1:33" x14ac:dyDescent="0.25">
      <c r="A88" s="55"/>
      <c r="B88" s="55"/>
      <c r="C88" s="55"/>
      <c r="D88" s="55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55"/>
      <c r="Q88" s="55"/>
      <c r="R88" s="55"/>
      <c r="S88" s="55"/>
      <c r="T88" s="55"/>
      <c r="U88" s="55"/>
      <c r="V88" s="55"/>
      <c r="W88" s="55"/>
      <c r="X88" s="55"/>
      <c r="Y88" s="55"/>
      <c r="Z88" s="55"/>
      <c r="AA88" s="55"/>
      <c r="AB88" s="55"/>
      <c r="AC88" s="55"/>
      <c r="AD88" s="55"/>
      <c r="AE88" s="55"/>
      <c r="AF88" s="55"/>
      <c r="AG88" s="55"/>
    </row>
    <row r="89" spans="1:33" x14ac:dyDescent="0.25">
      <c r="A89" s="55"/>
      <c r="B89" s="55"/>
      <c r="C89" s="55"/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55"/>
      <c r="Q89" s="55"/>
      <c r="R89" s="55"/>
      <c r="S89" s="55"/>
      <c r="T89" s="55"/>
      <c r="U89" s="55"/>
      <c r="V89" s="55"/>
      <c r="W89" s="55"/>
      <c r="X89" s="55"/>
      <c r="Y89" s="55"/>
      <c r="Z89" s="55"/>
      <c r="AA89" s="55"/>
      <c r="AB89" s="55"/>
      <c r="AC89" s="55"/>
      <c r="AD89" s="55"/>
      <c r="AE89" s="55"/>
      <c r="AF89" s="55"/>
      <c r="AG89" s="55"/>
    </row>
    <row r="90" spans="1:33" x14ac:dyDescent="0.25">
      <c r="A90" s="55"/>
      <c r="B90" s="55"/>
      <c r="C90" s="55"/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Q90" s="55"/>
      <c r="R90" s="55"/>
      <c r="S90" s="55"/>
      <c r="T90" s="55"/>
      <c r="U90" s="55"/>
      <c r="V90" s="55"/>
      <c r="W90" s="55"/>
      <c r="X90" s="55"/>
      <c r="Y90" s="55"/>
      <c r="Z90" s="55"/>
      <c r="AA90" s="55"/>
      <c r="AB90" s="55"/>
      <c r="AC90" s="55"/>
      <c r="AD90" s="55"/>
      <c r="AE90" s="55"/>
      <c r="AF90" s="55"/>
      <c r="AG90" s="55"/>
    </row>
    <row r="91" spans="1:33" x14ac:dyDescent="0.25">
      <c r="A91" s="55"/>
      <c r="B91" s="55"/>
      <c r="C91" s="55"/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55"/>
      <c r="Q91" s="55"/>
      <c r="R91" s="55"/>
      <c r="S91" s="55"/>
      <c r="T91" s="55"/>
      <c r="U91" s="55"/>
      <c r="V91" s="55"/>
      <c r="W91" s="55"/>
      <c r="X91" s="55"/>
      <c r="Y91" s="55"/>
      <c r="Z91" s="55"/>
      <c r="AA91" s="55"/>
      <c r="AB91" s="55"/>
      <c r="AC91" s="55"/>
      <c r="AD91" s="55"/>
      <c r="AE91" s="55"/>
      <c r="AF91" s="55"/>
      <c r="AG91" s="55"/>
    </row>
    <row r="92" spans="1:33" x14ac:dyDescent="0.25">
      <c r="A92" s="55"/>
      <c r="B92" s="55"/>
      <c r="C92" s="55"/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55"/>
      <c r="Q92" s="55"/>
      <c r="R92" s="55"/>
      <c r="S92" s="55"/>
      <c r="T92" s="55"/>
      <c r="U92" s="55"/>
      <c r="V92" s="55"/>
      <c r="W92" s="55"/>
      <c r="X92" s="55"/>
      <c r="Y92" s="55"/>
      <c r="Z92" s="55"/>
      <c r="AA92" s="55"/>
      <c r="AB92" s="55"/>
      <c r="AC92" s="55"/>
      <c r="AD92" s="55"/>
      <c r="AE92" s="55"/>
      <c r="AF92" s="55"/>
      <c r="AG92" s="55"/>
    </row>
    <row r="93" spans="1:33" x14ac:dyDescent="0.25">
      <c r="A93" s="55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</row>
    <row r="94" spans="1:33" x14ac:dyDescent="0.25">
      <c r="A94" s="55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</row>
    <row r="95" spans="1:33" x14ac:dyDescent="0.25">
      <c r="A95" s="55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</row>
    <row r="96" spans="1:33" x14ac:dyDescent="0.25">
      <c r="A96" s="55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5"/>
      <c r="AG96" s="55"/>
    </row>
    <row r="97" spans="1:33" x14ac:dyDescent="0.25">
      <c r="A97" s="55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</row>
    <row r="98" spans="1:33" x14ac:dyDescent="0.25">
      <c r="A98" s="55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</row>
    <row r="99" spans="1:33" x14ac:dyDescent="0.25">
      <c r="A99" s="55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</row>
    <row r="100" spans="1:33" x14ac:dyDescent="0.25">
      <c r="A100" s="55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</row>
    <row r="101" spans="1:33" x14ac:dyDescent="0.25">
      <c r="A101" s="55"/>
      <c r="B101" s="55"/>
      <c r="C101" s="55"/>
      <c r="D101" s="55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55"/>
      <c r="Q101" s="55"/>
      <c r="R101" s="55"/>
      <c r="S101" s="55"/>
      <c r="T101" s="55"/>
      <c r="U101" s="55"/>
      <c r="V101" s="55"/>
      <c r="W101" s="55"/>
      <c r="X101" s="55"/>
      <c r="Y101" s="55"/>
      <c r="Z101" s="55"/>
      <c r="AA101" s="55"/>
      <c r="AB101" s="55"/>
      <c r="AC101" s="55"/>
      <c r="AD101" s="55"/>
      <c r="AE101" s="55"/>
      <c r="AF101" s="55"/>
      <c r="AG101" s="55"/>
    </row>
    <row r="102" spans="1:33" x14ac:dyDescent="0.25">
      <c r="A102" s="55"/>
      <c r="B102" s="55"/>
      <c r="C102" s="55"/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55"/>
      <c r="Q102" s="55"/>
      <c r="R102" s="55"/>
      <c r="S102" s="55"/>
      <c r="T102" s="55"/>
      <c r="U102" s="55"/>
      <c r="V102" s="55"/>
      <c r="W102" s="55"/>
      <c r="X102" s="55"/>
      <c r="Y102" s="55"/>
      <c r="Z102" s="55"/>
      <c r="AA102" s="55"/>
      <c r="AB102" s="55"/>
      <c r="AC102" s="55"/>
      <c r="AD102" s="55"/>
      <c r="AE102" s="55"/>
      <c r="AF102" s="55"/>
      <c r="AG102" s="55"/>
    </row>
    <row r="103" spans="1:33" x14ac:dyDescent="0.25">
      <c r="A103" s="55"/>
      <c r="B103" s="55"/>
      <c r="C103" s="55"/>
      <c r="D103" s="55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55"/>
      <c r="Q103" s="55"/>
      <c r="R103" s="55"/>
      <c r="S103" s="55"/>
      <c r="T103" s="55"/>
      <c r="U103" s="55"/>
      <c r="V103" s="55"/>
      <c r="W103" s="55"/>
      <c r="X103" s="55"/>
      <c r="Y103" s="55"/>
      <c r="Z103" s="55"/>
      <c r="AA103" s="55"/>
      <c r="AB103" s="55"/>
      <c r="AC103" s="55"/>
      <c r="AD103" s="55"/>
      <c r="AE103" s="55"/>
      <c r="AF103" s="55"/>
      <c r="AG103" s="55"/>
    </row>
    <row r="104" spans="1:33" x14ac:dyDescent="0.25">
      <c r="A104" s="55"/>
      <c r="B104" s="55"/>
      <c r="C104" s="55"/>
      <c r="D104" s="55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55"/>
      <c r="Q104" s="55"/>
      <c r="R104" s="55"/>
      <c r="S104" s="55"/>
      <c r="T104" s="55"/>
      <c r="U104" s="55"/>
      <c r="V104" s="55"/>
      <c r="W104" s="55"/>
      <c r="X104" s="55"/>
      <c r="Y104" s="55"/>
      <c r="Z104" s="55"/>
      <c r="AA104" s="55"/>
      <c r="AB104" s="55"/>
      <c r="AC104" s="55"/>
      <c r="AD104" s="55"/>
      <c r="AE104" s="55"/>
      <c r="AF104" s="55"/>
      <c r="AG104" s="55"/>
    </row>
    <row r="105" spans="1:33" x14ac:dyDescent="0.25">
      <c r="A105" s="55"/>
      <c r="B105" s="55"/>
      <c r="C105" s="55"/>
      <c r="D105" s="55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55"/>
      <c r="Q105" s="55"/>
      <c r="R105" s="55"/>
      <c r="S105" s="55"/>
      <c r="T105" s="55"/>
      <c r="U105" s="55"/>
      <c r="V105" s="55"/>
      <c r="W105" s="55"/>
      <c r="X105" s="55"/>
      <c r="Y105" s="55"/>
      <c r="Z105" s="55"/>
      <c r="AA105" s="55"/>
      <c r="AB105" s="55"/>
      <c r="AC105" s="55"/>
      <c r="AD105" s="55"/>
      <c r="AE105" s="55"/>
      <c r="AF105" s="55"/>
      <c r="AG105" s="55"/>
    </row>
    <row r="106" spans="1:33" x14ac:dyDescent="0.25">
      <c r="A106" s="55"/>
      <c r="B106" s="55"/>
      <c r="C106" s="55"/>
      <c r="D106" s="55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55"/>
      <c r="Q106" s="55"/>
      <c r="R106" s="55"/>
      <c r="S106" s="55"/>
      <c r="T106" s="55"/>
      <c r="U106" s="55"/>
      <c r="V106" s="55"/>
      <c r="W106" s="55"/>
      <c r="X106" s="55"/>
      <c r="Y106" s="55"/>
      <c r="Z106" s="55"/>
      <c r="AA106" s="55"/>
      <c r="AB106" s="55"/>
      <c r="AC106" s="55"/>
      <c r="AD106" s="55"/>
      <c r="AE106" s="55"/>
      <c r="AF106" s="55"/>
      <c r="AG106" s="55"/>
    </row>
    <row r="107" spans="1:33" x14ac:dyDescent="0.25">
      <c r="A107" s="55"/>
      <c r="B107" s="55"/>
      <c r="C107" s="55"/>
      <c r="D107" s="55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55"/>
      <c r="Q107" s="55"/>
      <c r="R107" s="55"/>
      <c r="S107" s="55"/>
      <c r="T107" s="55"/>
      <c r="U107" s="55"/>
      <c r="V107" s="55"/>
      <c r="W107" s="55"/>
      <c r="X107" s="55"/>
      <c r="Y107" s="55"/>
      <c r="Z107" s="55"/>
      <c r="AA107" s="55"/>
      <c r="AB107" s="55"/>
      <c r="AC107" s="55"/>
      <c r="AD107" s="55"/>
      <c r="AE107" s="55"/>
      <c r="AF107" s="55"/>
      <c r="AG107" s="55"/>
    </row>
    <row r="108" spans="1:33" x14ac:dyDescent="0.25">
      <c r="A108" s="55"/>
      <c r="B108" s="55"/>
      <c r="C108" s="55"/>
      <c r="D108" s="55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55"/>
      <c r="Q108" s="55"/>
      <c r="R108" s="55"/>
      <c r="S108" s="55"/>
      <c r="T108" s="55"/>
      <c r="U108" s="55"/>
      <c r="V108" s="55"/>
      <c r="W108" s="55"/>
      <c r="X108" s="55"/>
      <c r="Y108" s="55"/>
      <c r="Z108" s="55"/>
      <c r="AA108" s="55"/>
      <c r="AB108" s="55"/>
      <c r="AC108" s="55"/>
      <c r="AD108" s="55"/>
      <c r="AE108" s="55"/>
      <c r="AF108" s="55"/>
      <c r="AG108" s="55"/>
    </row>
    <row r="109" spans="1:33" x14ac:dyDescent="0.25">
      <c r="A109" s="55"/>
      <c r="B109" s="55"/>
      <c r="C109" s="55"/>
      <c r="D109" s="55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55"/>
      <c r="Q109" s="55"/>
      <c r="R109" s="55"/>
      <c r="S109" s="55"/>
      <c r="T109" s="55"/>
      <c r="U109" s="55"/>
      <c r="V109" s="55"/>
      <c r="W109" s="55"/>
      <c r="X109" s="55"/>
      <c r="Y109" s="55"/>
      <c r="Z109" s="55"/>
      <c r="AA109" s="55"/>
      <c r="AB109" s="55"/>
      <c r="AC109" s="55"/>
      <c r="AD109" s="55"/>
      <c r="AE109" s="55"/>
      <c r="AF109" s="55"/>
      <c r="AG109" s="55"/>
    </row>
    <row r="110" spans="1:33" x14ac:dyDescent="0.25">
      <c r="A110" s="55"/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55"/>
      <c r="Q110" s="55"/>
      <c r="R110" s="55"/>
      <c r="S110" s="55"/>
      <c r="T110" s="55"/>
      <c r="U110" s="55"/>
      <c r="V110" s="55"/>
      <c r="W110" s="55"/>
      <c r="X110" s="55"/>
      <c r="Y110" s="55"/>
      <c r="Z110" s="55"/>
      <c r="AA110" s="55"/>
      <c r="AB110" s="55"/>
      <c r="AC110" s="55"/>
      <c r="AD110" s="55"/>
      <c r="AE110" s="55"/>
      <c r="AF110" s="55"/>
      <c r="AG110" s="55"/>
    </row>
    <row r="111" spans="1:33" x14ac:dyDescent="0.25">
      <c r="A111" s="55"/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55"/>
      <c r="Q111" s="55"/>
      <c r="R111" s="55"/>
      <c r="S111" s="55"/>
      <c r="T111" s="55"/>
      <c r="U111" s="55"/>
      <c r="V111" s="55"/>
      <c r="W111" s="55"/>
      <c r="X111" s="55"/>
      <c r="Y111" s="55"/>
      <c r="Z111" s="55"/>
      <c r="AA111" s="55"/>
      <c r="AB111" s="55"/>
      <c r="AC111" s="55"/>
      <c r="AD111" s="55"/>
      <c r="AE111" s="55"/>
      <c r="AF111" s="55"/>
      <c r="AG111" s="55"/>
    </row>
    <row r="112" spans="1:33" x14ac:dyDescent="0.25">
      <c r="A112" s="55"/>
      <c r="B112" s="55"/>
      <c r="C112" s="55"/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55"/>
      <c r="Q112" s="55"/>
      <c r="R112" s="55"/>
      <c r="S112" s="55"/>
      <c r="T112" s="55"/>
      <c r="U112" s="55"/>
      <c r="V112" s="55"/>
      <c r="W112" s="55"/>
      <c r="X112" s="55"/>
      <c r="Y112" s="55"/>
      <c r="Z112" s="55"/>
      <c r="AA112" s="55"/>
      <c r="AB112" s="55"/>
      <c r="AC112" s="55"/>
      <c r="AD112" s="55"/>
      <c r="AE112" s="55"/>
      <c r="AF112" s="55"/>
      <c r="AG112" s="55"/>
    </row>
    <row r="113" spans="1:33" x14ac:dyDescent="0.25">
      <c r="A113" s="55"/>
      <c r="B113" s="55"/>
      <c r="C113" s="55"/>
      <c r="D113" s="55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55"/>
      <c r="Q113" s="55"/>
      <c r="R113" s="55"/>
      <c r="S113" s="55"/>
      <c r="T113" s="55"/>
      <c r="U113" s="55"/>
      <c r="V113" s="55"/>
      <c r="W113" s="55"/>
      <c r="X113" s="55"/>
      <c r="Y113" s="55"/>
      <c r="Z113" s="55"/>
      <c r="AA113" s="55"/>
      <c r="AB113" s="55"/>
      <c r="AC113" s="55"/>
      <c r="AD113" s="55"/>
      <c r="AE113" s="55"/>
      <c r="AF113" s="55"/>
      <c r="AG113" s="55"/>
    </row>
    <row r="114" spans="1:33" x14ac:dyDescent="0.25">
      <c r="A114" s="55"/>
      <c r="B114" s="55"/>
      <c r="C114" s="55"/>
      <c r="D114" s="55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5"/>
      <c r="AG114" s="55"/>
    </row>
    <row r="115" spans="1:33" x14ac:dyDescent="0.25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55"/>
      <c r="AE115" s="55"/>
      <c r="AF115" s="55"/>
      <c r="AG115" s="55"/>
    </row>
    <row r="116" spans="1:33" x14ac:dyDescent="0.25">
      <c r="A116" s="55"/>
      <c r="B116" s="55"/>
      <c r="C116" s="55"/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55"/>
      <c r="Q116" s="55"/>
      <c r="R116" s="55"/>
      <c r="S116" s="55"/>
      <c r="T116" s="55"/>
      <c r="U116" s="55"/>
      <c r="V116" s="55"/>
      <c r="W116" s="55"/>
      <c r="X116" s="55"/>
      <c r="Y116" s="55"/>
      <c r="Z116" s="55"/>
      <c r="AA116" s="55"/>
      <c r="AB116" s="55"/>
      <c r="AC116" s="55"/>
      <c r="AD116" s="55"/>
      <c r="AE116" s="55"/>
      <c r="AF116" s="55"/>
      <c r="AG116" s="55"/>
    </row>
    <row r="117" spans="1:33" x14ac:dyDescent="0.25">
      <c r="A117" s="55"/>
      <c r="B117" s="55"/>
      <c r="C117" s="55"/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Q117" s="55"/>
      <c r="R117" s="55"/>
      <c r="S117" s="55"/>
      <c r="T117" s="55"/>
      <c r="U117" s="55"/>
      <c r="V117" s="55"/>
      <c r="W117" s="55"/>
      <c r="X117" s="55"/>
      <c r="Y117" s="55"/>
      <c r="Z117" s="55"/>
      <c r="AA117" s="55"/>
      <c r="AB117" s="55"/>
      <c r="AC117" s="55"/>
      <c r="AD117" s="55"/>
      <c r="AE117" s="55"/>
      <c r="AF117" s="55"/>
      <c r="AG117" s="55"/>
    </row>
    <row r="118" spans="1:33" x14ac:dyDescent="0.25">
      <c r="A118" s="55"/>
      <c r="B118" s="55"/>
      <c r="C118" s="55"/>
      <c r="D118" s="55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55"/>
      <c r="Q118" s="55"/>
      <c r="R118" s="55"/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55"/>
      <c r="AE118" s="55"/>
      <c r="AF118" s="55"/>
      <c r="AG118" s="55"/>
    </row>
    <row r="119" spans="1:33" x14ac:dyDescent="0.25">
      <c r="A119" s="55"/>
      <c r="B119" s="55"/>
      <c r="C119" s="55"/>
      <c r="D119" s="55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55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55"/>
      <c r="AC119" s="55"/>
      <c r="AD119" s="55"/>
      <c r="AE119" s="55"/>
      <c r="AF119" s="55"/>
      <c r="AG119" s="55"/>
    </row>
    <row r="120" spans="1:33" x14ac:dyDescent="0.25">
      <c r="A120" s="55"/>
      <c r="B120" s="55"/>
      <c r="C120" s="55"/>
      <c r="D120" s="55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55"/>
      <c r="Q120" s="55"/>
      <c r="R120" s="55"/>
      <c r="S120" s="55"/>
      <c r="T120" s="55"/>
      <c r="U120" s="55"/>
      <c r="V120" s="55"/>
      <c r="W120" s="55"/>
      <c r="X120" s="55"/>
      <c r="Y120" s="55"/>
      <c r="Z120" s="55"/>
      <c r="AA120" s="55"/>
      <c r="AB120" s="55"/>
      <c r="AC120" s="55"/>
      <c r="AD120" s="55"/>
      <c r="AE120" s="55"/>
      <c r="AF120" s="55"/>
      <c r="AG120" s="55"/>
    </row>
    <row r="121" spans="1:33" x14ac:dyDescent="0.25">
      <c r="A121" s="55"/>
      <c r="B121" s="55"/>
      <c r="C121" s="55"/>
      <c r="D121" s="55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55"/>
      <c r="Q121" s="55"/>
      <c r="R121" s="55"/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55"/>
      <c r="AE121" s="55"/>
      <c r="AF121" s="55"/>
      <c r="AG121" s="55"/>
    </row>
    <row r="122" spans="1:33" x14ac:dyDescent="0.25">
      <c r="A122" s="55"/>
      <c r="B122" s="55"/>
      <c r="C122" s="55"/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55"/>
      <c r="Q122" s="55"/>
      <c r="R122" s="55"/>
      <c r="S122" s="55"/>
      <c r="T122" s="55"/>
      <c r="U122" s="55"/>
      <c r="V122" s="55"/>
      <c r="W122" s="55"/>
      <c r="X122" s="55"/>
      <c r="Y122" s="55"/>
      <c r="Z122" s="55"/>
      <c r="AA122" s="55"/>
      <c r="AB122" s="55"/>
      <c r="AC122" s="55"/>
      <c r="AD122" s="55"/>
      <c r="AE122" s="55"/>
      <c r="AF122" s="55"/>
      <c r="AG122" s="55"/>
    </row>
    <row r="123" spans="1:33" x14ac:dyDescent="0.25">
      <c r="A123" s="55"/>
      <c r="B123" s="55"/>
      <c r="C123" s="55"/>
      <c r="D123" s="55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55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55"/>
      <c r="AE123" s="55"/>
      <c r="AF123" s="55"/>
      <c r="AG123" s="55"/>
    </row>
    <row r="124" spans="1:33" x14ac:dyDescent="0.25">
      <c r="A124" s="55"/>
      <c r="B124" s="55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55"/>
      <c r="AE124" s="55"/>
      <c r="AF124" s="55"/>
      <c r="AG124" s="55"/>
    </row>
    <row r="125" spans="1:33" x14ac:dyDescent="0.25">
      <c r="A125" s="55"/>
      <c r="B125" s="55"/>
      <c r="C125" s="55"/>
      <c r="D125" s="55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55"/>
      <c r="Q125" s="55"/>
      <c r="R125" s="55"/>
      <c r="S125" s="55"/>
      <c r="T125" s="55"/>
      <c r="U125" s="55"/>
      <c r="V125" s="55"/>
      <c r="W125" s="55"/>
      <c r="X125" s="55"/>
      <c r="Y125" s="55"/>
      <c r="Z125" s="55"/>
      <c r="AA125" s="55"/>
      <c r="AB125" s="55"/>
      <c r="AC125" s="55"/>
      <c r="AD125" s="55"/>
      <c r="AE125" s="55"/>
      <c r="AF125" s="55"/>
      <c r="AG125" s="55"/>
    </row>
    <row r="126" spans="1:33" x14ac:dyDescent="0.25">
      <c r="A126" s="55"/>
      <c r="B126" s="55"/>
      <c r="C126" s="55"/>
      <c r="D126" s="55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55"/>
      <c r="Q126" s="55"/>
      <c r="R126" s="55"/>
      <c r="S126" s="55"/>
      <c r="T126" s="55"/>
      <c r="U126" s="55"/>
      <c r="V126" s="55"/>
      <c r="W126" s="55"/>
      <c r="X126" s="55"/>
      <c r="Y126" s="55"/>
      <c r="Z126" s="55"/>
      <c r="AA126" s="55"/>
      <c r="AB126" s="55"/>
      <c r="AC126" s="55"/>
      <c r="AD126" s="55"/>
      <c r="AE126" s="55"/>
      <c r="AF126" s="55"/>
      <c r="AG126" s="55"/>
    </row>
    <row r="127" spans="1:33" x14ac:dyDescent="0.25">
      <c r="A127" s="55"/>
      <c r="B127" s="55"/>
      <c r="C127" s="55"/>
      <c r="D127" s="55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55"/>
      <c r="Q127" s="55"/>
      <c r="R127" s="55"/>
      <c r="S127" s="55"/>
      <c r="T127" s="55"/>
      <c r="U127" s="55"/>
      <c r="V127" s="55"/>
      <c r="W127" s="55"/>
      <c r="X127" s="55"/>
      <c r="Y127" s="55"/>
      <c r="Z127" s="55"/>
      <c r="AA127" s="55"/>
      <c r="AB127" s="55"/>
      <c r="AC127" s="55"/>
      <c r="AD127" s="55"/>
      <c r="AE127" s="55"/>
      <c r="AF127" s="55"/>
      <c r="AG127" s="55"/>
    </row>
    <row r="128" spans="1:33" x14ac:dyDescent="0.25">
      <c r="A128" s="55"/>
      <c r="B128" s="55"/>
      <c r="C128" s="55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55"/>
      <c r="Q128" s="55"/>
      <c r="R128" s="55"/>
      <c r="S128" s="55"/>
      <c r="T128" s="55"/>
      <c r="U128" s="55"/>
      <c r="V128" s="55"/>
      <c r="W128" s="55"/>
      <c r="X128" s="55"/>
      <c r="Y128" s="55"/>
      <c r="Z128" s="55"/>
      <c r="AA128" s="55"/>
      <c r="AB128" s="55"/>
      <c r="AC128" s="55"/>
      <c r="AD128" s="55"/>
      <c r="AE128" s="55"/>
      <c r="AF128" s="55"/>
      <c r="AG128" s="55"/>
    </row>
    <row r="129" spans="1:33" x14ac:dyDescent="0.25">
      <c r="A129" s="55"/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Q129" s="55"/>
      <c r="R129" s="55"/>
      <c r="S129" s="55"/>
      <c r="T129" s="55"/>
      <c r="U129" s="55"/>
      <c r="V129" s="55"/>
      <c r="W129" s="55"/>
      <c r="X129" s="55"/>
      <c r="Y129" s="55"/>
      <c r="Z129" s="55"/>
      <c r="AA129" s="55"/>
      <c r="AB129" s="55"/>
      <c r="AC129" s="55"/>
      <c r="AD129" s="55"/>
      <c r="AE129" s="55"/>
      <c r="AF129" s="55"/>
      <c r="AG129" s="55"/>
    </row>
    <row r="130" spans="1:33" x14ac:dyDescent="0.25">
      <c r="A130" s="55"/>
      <c r="B130" s="55"/>
      <c r="C130" s="55"/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55"/>
      <c r="Q130" s="55"/>
      <c r="R130" s="55"/>
      <c r="S130" s="55"/>
      <c r="T130" s="55"/>
      <c r="U130" s="55"/>
      <c r="V130" s="55"/>
      <c r="W130" s="55"/>
      <c r="X130" s="55"/>
      <c r="Y130" s="55"/>
      <c r="Z130" s="55"/>
      <c r="AA130" s="55"/>
      <c r="AB130" s="55"/>
      <c r="AC130" s="55"/>
      <c r="AD130" s="55"/>
      <c r="AE130" s="55"/>
      <c r="AF130" s="55"/>
      <c r="AG130" s="55"/>
    </row>
    <row r="131" spans="1:33" x14ac:dyDescent="0.25">
      <c r="A131" s="55"/>
      <c r="B131" s="55"/>
      <c r="C131" s="55"/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55"/>
      <c r="Q131" s="55"/>
      <c r="R131" s="55"/>
      <c r="S131" s="55"/>
      <c r="T131" s="55"/>
      <c r="U131" s="55"/>
      <c r="V131" s="55"/>
      <c r="W131" s="55"/>
      <c r="X131" s="55"/>
      <c r="Y131" s="55"/>
      <c r="Z131" s="55"/>
      <c r="AA131" s="55"/>
      <c r="AB131" s="55"/>
      <c r="AC131" s="55"/>
      <c r="AD131" s="55"/>
      <c r="AE131" s="55"/>
      <c r="AF131" s="55"/>
      <c r="AG131" s="55"/>
    </row>
    <row r="132" spans="1:33" x14ac:dyDescent="0.25">
      <c r="A132" s="55"/>
      <c r="B132" s="55"/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Q132" s="55"/>
      <c r="R132" s="55"/>
      <c r="S132" s="55"/>
      <c r="T132" s="55"/>
      <c r="U132" s="55"/>
      <c r="V132" s="55"/>
      <c r="W132" s="55"/>
      <c r="X132" s="55"/>
      <c r="Y132" s="55"/>
      <c r="Z132" s="55"/>
      <c r="AA132" s="55"/>
      <c r="AB132" s="55"/>
      <c r="AC132" s="55"/>
      <c r="AD132" s="55"/>
      <c r="AE132" s="55"/>
      <c r="AF132" s="55"/>
      <c r="AG132" s="55"/>
    </row>
    <row r="133" spans="1:33" x14ac:dyDescent="0.25">
      <c r="A133" s="55"/>
      <c r="B133" s="55"/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55"/>
      <c r="Q133" s="55"/>
      <c r="R133" s="55"/>
      <c r="S133" s="55"/>
      <c r="T133" s="55"/>
      <c r="U133" s="55"/>
      <c r="V133" s="55"/>
      <c r="W133" s="55"/>
      <c r="X133" s="55"/>
      <c r="Y133" s="55"/>
      <c r="Z133" s="55"/>
      <c r="AA133" s="55"/>
      <c r="AB133" s="55"/>
      <c r="AC133" s="55"/>
      <c r="AD133" s="55"/>
      <c r="AE133" s="55"/>
      <c r="AF133" s="55"/>
      <c r="AG133" s="55"/>
    </row>
    <row r="134" spans="1:33" x14ac:dyDescent="0.25">
      <c r="A134" s="55"/>
      <c r="B134" s="55"/>
      <c r="C134" s="55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55"/>
      <c r="Q134" s="55"/>
      <c r="R134" s="55"/>
      <c r="S134" s="55"/>
      <c r="T134" s="55"/>
      <c r="U134" s="55"/>
      <c r="V134" s="55"/>
      <c r="W134" s="55"/>
      <c r="X134" s="55"/>
      <c r="Y134" s="55"/>
      <c r="Z134" s="55"/>
      <c r="AA134" s="55"/>
      <c r="AB134" s="55"/>
      <c r="AC134" s="55"/>
      <c r="AD134" s="55"/>
      <c r="AE134" s="55"/>
      <c r="AF134" s="55"/>
      <c r="AG134" s="55"/>
    </row>
    <row r="135" spans="1:33" x14ac:dyDescent="0.25">
      <c r="A135" s="55"/>
      <c r="B135" s="55"/>
      <c r="C135" s="55"/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55"/>
      <c r="Q135" s="55"/>
      <c r="R135" s="55"/>
      <c r="S135" s="55"/>
      <c r="T135" s="55"/>
      <c r="U135" s="55"/>
      <c r="V135" s="55"/>
      <c r="W135" s="55"/>
      <c r="X135" s="55"/>
      <c r="Y135" s="55"/>
      <c r="Z135" s="55"/>
      <c r="AA135" s="55"/>
      <c r="AB135" s="55"/>
      <c r="AC135" s="55"/>
      <c r="AD135" s="55"/>
      <c r="AE135" s="55"/>
      <c r="AF135" s="55"/>
      <c r="AG135" s="55"/>
    </row>
    <row r="136" spans="1:33" x14ac:dyDescent="0.25">
      <c r="A136" s="55"/>
      <c r="B136" s="55"/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55"/>
      <c r="Q136" s="55"/>
      <c r="R136" s="55"/>
      <c r="S136" s="55"/>
      <c r="T136" s="55"/>
      <c r="U136" s="55"/>
      <c r="V136" s="55"/>
      <c r="W136" s="55"/>
      <c r="X136" s="55"/>
      <c r="Y136" s="55"/>
      <c r="Z136" s="55"/>
      <c r="AA136" s="55"/>
      <c r="AB136" s="55"/>
      <c r="AC136" s="55"/>
      <c r="AD136" s="55"/>
      <c r="AE136" s="55"/>
      <c r="AF136" s="55"/>
      <c r="AG136" s="55"/>
    </row>
    <row r="137" spans="1:33" x14ac:dyDescent="0.25">
      <c r="A137" s="55"/>
      <c r="B137" s="55"/>
      <c r="C137" s="55"/>
      <c r="D137" s="55"/>
      <c r="E137" s="55"/>
      <c r="F137" s="55"/>
      <c r="G137" s="55"/>
      <c r="H137" s="55"/>
      <c r="I137" s="55"/>
      <c r="J137" s="55"/>
      <c r="K137" s="55"/>
      <c r="L137" s="55"/>
      <c r="M137" s="55"/>
      <c r="N137" s="55"/>
      <c r="O137" s="55"/>
      <c r="Q137" s="55"/>
      <c r="R137" s="55"/>
      <c r="S137" s="55"/>
      <c r="T137" s="55"/>
      <c r="U137" s="55"/>
      <c r="V137" s="55"/>
      <c r="W137" s="55"/>
      <c r="X137" s="55"/>
      <c r="Y137" s="55"/>
      <c r="Z137" s="55"/>
      <c r="AA137" s="55"/>
      <c r="AB137" s="55"/>
      <c r="AC137" s="55"/>
      <c r="AD137" s="55"/>
      <c r="AE137" s="55"/>
      <c r="AF137" s="55"/>
      <c r="AG137" s="55"/>
    </row>
    <row r="138" spans="1:33" x14ac:dyDescent="0.25">
      <c r="A138" s="55"/>
      <c r="B138" s="55"/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55"/>
      <c r="Q138" s="55"/>
      <c r="R138" s="55"/>
      <c r="S138" s="55"/>
      <c r="T138" s="55"/>
      <c r="U138" s="55"/>
      <c r="V138" s="55"/>
      <c r="W138" s="55"/>
      <c r="X138" s="55"/>
      <c r="Y138" s="55"/>
      <c r="Z138" s="55"/>
      <c r="AA138" s="55"/>
      <c r="AB138" s="55"/>
      <c r="AC138" s="55"/>
      <c r="AD138" s="55"/>
      <c r="AE138" s="55"/>
      <c r="AF138" s="55"/>
      <c r="AG138" s="55"/>
    </row>
    <row r="139" spans="1:33" x14ac:dyDescent="0.25">
      <c r="A139" s="55"/>
      <c r="B139" s="55"/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55"/>
      <c r="Q139" s="55"/>
      <c r="R139" s="55"/>
      <c r="S139" s="55"/>
      <c r="T139" s="55"/>
      <c r="U139" s="55"/>
      <c r="V139" s="55"/>
      <c r="W139" s="55"/>
      <c r="X139" s="55"/>
      <c r="Y139" s="55"/>
      <c r="Z139" s="55"/>
      <c r="AA139" s="55"/>
      <c r="AB139" s="55"/>
      <c r="AC139" s="55"/>
      <c r="AD139" s="55"/>
      <c r="AE139" s="55"/>
      <c r="AF139" s="55"/>
      <c r="AG139" s="55"/>
    </row>
    <row r="140" spans="1:33" x14ac:dyDescent="0.25">
      <c r="A140" s="55"/>
      <c r="B140" s="55"/>
      <c r="C140" s="55"/>
      <c r="D140" s="55"/>
      <c r="E140" s="55"/>
      <c r="F140" s="55"/>
      <c r="G140" s="55"/>
      <c r="H140" s="55"/>
      <c r="I140" s="55"/>
      <c r="J140" s="55"/>
      <c r="K140" s="55"/>
      <c r="L140" s="55"/>
      <c r="M140" s="55"/>
      <c r="N140" s="55"/>
      <c r="O140" s="55"/>
      <c r="Q140" s="55"/>
      <c r="R140" s="55"/>
      <c r="S140" s="55"/>
      <c r="T140" s="55"/>
      <c r="U140" s="55"/>
      <c r="V140" s="55"/>
      <c r="W140" s="55"/>
      <c r="X140" s="55"/>
      <c r="Y140" s="55"/>
      <c r="Z140" s="55"/>
      <c r="AA140" s="55"/>
      <c r="AB140" s="55"/>
      <c r="AC140" s="55"/>
      <c r="AD140" s="55"/>
      <c r="AE140" s="55"/>
      <c r="AF140" s="55"/>
      <c r="AG140" s="55"/>
    </row>
    <row r="141" spans="1:33" x14ac:dyDescent="0.25">
      <c r="A141" s="55"/>
      <c r="B141" s="55"/>
      <c r="C141" s="55"/>
      <c r="D141" s="55"/>
      <c r="E141" s="55"/>
      <c r="F141" s="55"/>
      <c r="G141" s="55"/>
      <c r="H141" s="55"/>
      <c r="I141" s="55"/>
      <c r="J141" s="55"/>
      <c r="K141" s="55"/>
      <c r="L141" s="55"/>
      <c r="M141" s="55"/>
      <c r="N141" s="55"/>
      <c r="O141" s="55"/>
      <c r="Q141" s="55"/>
      <c r="R141" s="55"/>
      <c r="S141" s="55"/>
      <c r="T141" s="55"/>
      <c r="U141" s="55"/>
      <c r="V141" s="55"/>
      <c r="W141" s="55"/>
      <c r="X141" s="55"/>
      <c r="Y141" s="55"/>
      <c r="Z141" s="55"/>
      <c r="AA141" s="55"/>
      <c r="AB141" s="55"/>
      <c r="AC141" s="55"/>
      <c r="AD141" s="55"/>
      <c r="AE141" s="55"/>
      <c r="AF141" s="55"/>
      <c r="AG141" s="55"/>
    </row>
    <row r="142" spans="1:33" x14ac:dyDescent="0.25">
      <c r="A142" s="55"/>
      <c r="B142" s="55"/>
      <c r="C142" s="55"/>
      <c r="D142" s="55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55"/>
      <c r="Q142" s="55"/>
      <c r="R142" s="55"/>
      <c r="S142" s="55"/>
      <c r="T142" s="55"/>
      <c r="U142" s="55"/>
      <c r="V142" s="55"/>
      <c r="W142" s="55"/>
      <c r="X142" s="55"/>
      <c r="Y142" s="55"/>
      <c r="Z142" s="55"/>
      <c r="AA142" s="55"/>
      <c r="AB142" s="55"/>
      <c r="AC142" s="55"/>
      <c r="AD142" s="55"/>
      <c r="AE142" s="55"/>
      <c r="AF142" s="55"/>
      <c r="AG142" s="55"/>
    </row>
    <row r="143" spans="1:33" x14ac:dyDescent="0.25">
      <c r="A143" s="55"/>
      <c r="B143" s="55"/>
      <c r="C143" s="55"/>
      <c r="D143" s="55"/>
      <c r="E143" s="55"/>
      <c r="F143" s="55"/>
      <c r="G143" s="55"/>
      <c r="H143" s="55"/>
      <c r="I143" s="55"/>
      <c r="J143" s="55"/>
      <c r="K143" s="55"/>
      <c r="L143" s="55"/>
      <c r="M143" s="55"/>
      <c r="N143" s="55"/>
      <c r="O143" s="55"/>
      <c r="Q143" s="55"/>
      <c r="R143" s="55"/>
      <c r="S143" s="55"/>
      <c r="T143" s="55"/>
      <c r="U143" s="55"/>
      <c r="V143" s="55"/>
      <c r="W143" s="55"/>
      <c r="X143" s="55"/>
      <c r="Y143" s="55"/>
      <c r="Z143" s="55"/>
      <c r="AA143" s="55"/>
      <c r="AB143" s="55"/>
      <c r="AC143" s="55"/>
      <c r="AD143" s="55"/>
      <c r="AE143" s="55"/>
      <c r="AF143" s="55"/>
      <c r="AG143" s="55"/>
    </row>
    <row r="144" spans="1:33" x14ac:dyDescent="0.25">
      <c r="A144" s="55"/>
      <c r="B144" s="55"/>
      <c r="C144" s="55"/>
      <c r="D144" s="55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55"/>
      <c r="Q144" s="55"/>
      <c r="R144" s="55"/>
      <c r="S144" s="55"/>
      <c r="T144" s="55"/>
      <c r="U144" s="55"/>
      <c r="V144" s="55"/>
      <c r="W144" s="55"/>
      <c r="X144" s="55"/>
      <c r="Y144" s="55"/>
      <c r="Z144" s="55"/>
      <c r="AA144" s="55"/>
      <c r="AB144" s="55"/>
      <c r="AC144" s="55"/>
      <c r="AD144" s="55"/>
      <c r="AE144" s="55"/>
      <c r="AF144" s="55"/>
      <c r="AG144" s="55"/>
    </row>
    <row r="145" spans="1:33" x14ac:dyDescent="0.25">
      <c r="A145" s="55"/>
      <c r="B145" s="55"/>
      <c r="C145" s="55"/>
      <c r="D145" s="55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55"/>
      <c r="Q145" s="55"/>
      <c r="R145" s="55"/>
      <c r="S145" s="55"/>
      <c r="T145" s="55"/>
      <c r="U145" s="55"/>
      <c r="V145" s="55"/>
      <c r="W145" s="55"/>
      <c r="X145" s="55"/>
      <c r="Y145" s="55"/>
      <c r="Z145" s="55"/>
      <c r="AA145" s="55"/>
      <c r="AB145" s="55"/>
      <c r="AC145" s="55"/>
      <c r="AD145" s="55"/>
      <c r="AE145" s="55"/>
      <c r="AF145" s="55"/>
      <c r="AG145" s="55"/>
    </row>
    <row r="146" spans="1:33" x14ac:dyDescent="0.25">
      <c r="A146" s="55"/>
      <c r="B146" s="55"/>
      <c r="C146" s="55"/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55"/>
      <c r="Q146" s="55"/>
      <c r="R146" s="55"/>
      <c r="S146" s="55"/>
      <c r="T146" s="55"/>
      <c r="U146" s="55"/>
      <c r="V146" s="55"/>
      <c r="W146" s="55"/>
      <c r="X146" s="55"/>
      <c r="Y146" s="55"/>
      <c r="Z146" s="55"/>
      <c r="AA146" s="55"/>
      <c r="AB146" s="55"/>
      <c r="AC146" s="55"/>
      <c r="AD146" s="55"/>
      <c r="AE146" s="55"/>
      <c r="AF146" s="55"/>
      <c r="AG146" s="55"/>
    </row>
    <row r="147" spans="1:33" x14ac:dyDescent="0.25">
      <c r="A147" s="55"/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55"/>
      <c r="Q147" s="55"/>
      <c r="R147" s="55"/>
      <c r="S147" s="55"/>
      <c r="T147" s="55"/>
      <c r="U147" s="55"/>
      <c r="V147" s="55"/>
      <c r="W147" s="55"/>
      <c r="X147" s="55"/>
      <c r="Y147" s="55"/>
      <c r="Z147" s="55"/>
      <c r="AA147" s="55"/>
      <c r="AB147" s="55"/>
      <c r="AC147" s="55"/>
      <c r="AD147" s="55"/>
      <c r="AE147" s="55"/>
      <c r="AF147" s="55"/>
      <c r="AG147" s="55"/>
    </row>
    <row r="148" spans="1:33" x14ac:dyDescent="0.25">
      <c r="A148" s="55"/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55"/>
      <c r="Q148" s="55"/>
      <c r="R148" s="55"/>
      <c r="S148" s="55"/>
      <c r="T148" s="55"/>
      <c r="U148" s="55"/>
      <c r="V148" s="55"/>
      <c r="W148" s="55"/>
      <c r="X148" s="55"/>
      <c r="Y148" s="55"/>
      <c r="Z148" s="55"/>
      <c r="AA148" s="55"/>
      <c r="AB148" s="55"/>
      <c r="AC148" s="55"/>
      <c r="AD148" s="55"/>
      <c r="AE148" s="55"/>
      <c r="AF148" s="55"/>
      <c r="AG148" s="55"/>
    </row>
    <row r="149" spans="1:33" x14ac:dyDescent="0.25">
      <c r="A149" s="55"/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Q149" s="55"/>
      <c r="R149" s="55"/>
      <c r="S149" s="55"/>
      <c r="T149" s="55"/>
      <c r="U149" s="55"/>
      <c r="V149" s="55"/>
      <c r="W149" s="55"/>
      <c r="X149" s="55"/>
      <c r="Y149" s="55"/>
      <c r="Z149" s="55"/>
      <c r="AA149" s="55"/>
      <c r="AB149" s="55"/>
      <c r="AC149" s="55"/>
      <c r="AD149" s="55"/>
      <c r="AE149" s="55"/>
      <c r="AF149" s="55"/>
      <c r="AG149" s="55"/>
    </row>
    <row r="150" spans="1:33" x14ac:dyDescent="0.25">
      <c r="A150" s="55"/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Q150" s="55"/>
      <c r="R150" s="55"/>
      <c r="S150" s="55"/>
      <c r="T150" s="55"/>
      <c r="U150" s="55"/>
      <c r="V150" s="55"/>
      <c r="W150" s="55"/>
      <c r="X150" s="55"/>
      <c r="Y150" s="55"/>
      <c r="Z150" s="55"/>
      <c r="AA150" s="55"/>
      <c r="AB150" s="55"/>
      <c r="AC150" s="55"/>
      <c r="AD150" s="55"/>
      <c r="AE150" s="55"/>
      <c r="AF150" s="55"/>
      <c r="AG150" s="55"/>
    </row>
    <row r="151" spans="1:33" x14ac:dyDescent="0.25">
      <c r="A151" s="55"/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Q151" s="55"/>
      <c r="R151" s="55"/>
      <c r="S151" s="55"/>
      <c r="T151" s="55"/>
      <c r="U151" s="55"/>
      <c r="V151" s="55"/>
      <c r="W151" s="55"/>
      <c r="X151" s="55"/>
      <c r="Y151" s="55"/>
      <c r="Z151" s="55"/>
      <c r="AA151" s="55"/>
      <c r="AB151" s="55"/>
      <c r="AC151" s="55"/>
      <c r="AD151" s="55"/>
      <c r="AE151" s="55"/>
      <c r="AF151" s="55"/>
      <c r="AG151" s="55"/>
    </row>
    <row r="152" spans="1:33" x14ac:dyDescent="0.25">
      <c r="A152" s="55"/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Q152" s="55"/>
      <c r="R152" s="55"/>
      <c r="S152" s="55"/>
      <c r="T152" s="55"/>
      <c r="U152" s="55"/>
      <c r="V152" s="55"/>
      <c r="W152" s="55"/>
      <c r="X152" s="55"/>
      <c r="Y152" s="55"/>
      <c r="Z152" s="55"/>
      <c r="AA152" s="55"/>
      <c r="AB152" s="55"/>
      <c r="AC152" s="55"/>
      <c r="AD152" s="55"/>
      <c r="AE152" s="55"/>
      <c r="AF152" s="55"/>
      <c r="AG152" s="55"/>
    </row>
    <row r="153" spans="1:33" x14ac:dyDescent="0.25">
      <c r="A153" s="55"/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55"/>
      <c r="Q153" s="55"/>
      <c r="R153" s="55"/>
      <c r="S153" s="55"/>
      <c r="T153" s="55"/>
      <c r="U153" s="55"/>
      <c r="V153" s="55"/>
      <c r="W153" s="55"/>
      <c r="X153" s="55"/>
      <c r="Y153" s="55"/>
      <c r="Z153" s="55"/>
      <c r="AA153" s="55"/>
      <c r="AB153" s="55"/>
      <c r="AC153" s="55"/>
      <c r="AD153" s="55"/>
      <c r="AE153" s="55"/>
      <c r="AF153" s="55"/>
      <c r="AG153" s="55"/>
    </row>
    <row r="154" spans="1:33" x14ac:dyDescent="0.25">
      <c r="A154" s="55"/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55"/>
      <c r="Q154" s="55"/>
      <c r="R154" s="55"/>
      <c r="S154" s="55"/>
      <c r="T154" s="55"/>
      <c r="U154" s="55"/>
      <c r="V154" s="55"/>
      <c r="W154" s="55"/>
      <c r="X154" s="55"/>
      <c r="Y154" s="55"/>
      <c r="Z154" s="55"/>
      <c r="AA154" s="55"/>
      <c r="AB154" s="55"/>
      <c r="AC154" s="55"/>
      <c r="AD154" s="55"/>
      <c r="AE154" s="55"/>
      <c r="AF154" s="55"/>
      <c r="AG154" s="55"/>
    </row>
    <row r="155" spans="1:33" x14ac:dyDescent="0.25">
      <c r="A155" s="55"/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Q155" s="55"/>
      <c r="R155" s="55"/>
      <c r="S155" s="55"/>
      <c r="T155" s="55"/>
      <c r="U155" s="55"/>
      <c r="V155" s="55"/>
      <c r="W155" s="55"/>
      <c r="X155" s="55"/>
      <c r="Y155" s="55"/>
      <c r="Z155" s="55"/>
      <c r="AA155" s="55"/>
      <c r="AB155" s="55"/>
      <c r="AC155" s="55"/>
      <c r="AD155" s="55"/>
      <c r="AE155" s="55"/>
      <c r="AF155" s="55"/>
      <c r="AG155" s="55"/>
    </row>
    <row r="156" spans="1:33" x14ac:dyDescent="0.25">
      <c r="A156" s="55"/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55"/>
      <c r="Q156" s="55"/>
      <c r="R156" s="55"/>
      <c r="S156" s="55"/>
      <c r="T156" s="55"/>
      <c r="U156" s="55"/>
      <c r="V156" s="55"/>
      <c r="W156" s="55"/>
      <c r="X156" s="55"/>
      <c r="Y156" s="55"/>
      <c r="Z156" s="55"/>
      <c r="AA156" s="55"/>
      <c r="AB156" s="55"/>
      <c r="AC156" s="55"/>
      <c r="AD156" s="55"/>
      <c r="AE156" s="55"/>
      <c r="AF156" s="55"/>
      <c r="AG156" s="55"/>
    </row>
    <row r="157" spans="1:33" x14ac:dyDescent="0.25">
      <c r="A157" s="55"/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55"/>
      <c r="Q157" s="55"/>
      <c r="R157" s="55"/>
      <c r="S157" s="55"/>
      <c r="T157" s="55"/>
      <c r="U157" s="55"/>
      <c r="V157" s="55"/>
      <c r="W157" s="55"/>
      <c r="X157" s="55"/>
      <c r="Y157" s="55"/>
      <c r="Z157" s="55"/>
      <c r="AA157" s="55"/>
      <c r="AB157" s="55"/>
      <c r="AC157" s="55"/>
      <c r="AD157" s="55"/>
      <c r="AE157" s="55"/>
      <c r="AF157" s="55"/>
      <c r="AG157" s="55"/>
    </row>
    <row r="158" spans="1:33" x14ac:dyDescent="0.25">
      <c r="A158" s="55"/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55"/>
      <c r="Q158" s="55"/>
      <c r="R158" s="55"/>
      <c r="S158" s="55"/>
      <c r="T158" s="55"/>
      <c r="U158" s="55"/>
      <c r="V158" s="55"/>
      <c r="W158" s="55"/>
      <c r="X158" s="55"/>
      <c r="Y158" s="55"/>
      <c r="Z158" s="55"/>
      <c r="AA158" s="55"/>
      <c r="AB158" s="55"/>
      <c r="AC158" s="55"/>
      <c r="AD158" s="55"/>
      <c r="AE158" s="55"/>
      <c r="AF158" s="55"/>
      <c r="AG158" s="55"/>
    </row>
    <row r="159" spans="1:33" x14ac:dyDescent="0.25">
      <c r="A159" s="55"/>
      <c r="B159" s="55"/>
      <c r="C159" s="55"/>
      <c r="D159" s="55"/>
      <c r="E159" s="55"/>
      <c r="F159" s="55"/>
      <c r="G159" s="55"/>
      <c r="H159" s="55"/>
      <c r="I159" s="55"/>
      <c r="J159" s="55"/>
      <c r="K159" s="55"/>
      <c r="L159" s="55"/>
      <c r="M159" s="55"/>
      <c r="N159" s="55"/>
      <c r="O159" s="55"/>
      <c r="Q159" s="55"/>
      <c r="R159" s="55"/>
      <c r="S159" s="55"/>
      <c r="T159" s="55"/>
      <c r="U159" s="55"/>
      <c r="V159" s="55"/>
      <c r="W159" s="55"/>
      <c r="X159" s="55"/>
      <c r="Y159" s="55"/>
      <c r="Z159" s="55"/>
      <c r="AA159" s="55"/>
      <c r="AB159" s="55"/>
      <c r="AC159" s="55"/>
      <c r="AD159" s="55"/>
      <c r="AE159" s="55"/>
      <c r="AF159" s="55"/>
      <c r="AG159" s="55"/>
    </row>
    <row r="160" spans="1:33" x14ac:dyDescent="0.25">
      <c r="A160" s="55"/>
      <c r="B160" s="55"/>
      <c r="C160" s="55"/>
      <c r="D160" s="55"/>
      <c r="E160" s="55"/>
      <c r="F160" s="55"/>
      <c r="G160" s="55"/>
      <c r="H160" s="55"/>
      <c r="I160" s="55"/>
      <c r="J160" s="55"/>
      <c r="K160" s="55"/>
      <c r="L160" s="55"/>
      <c r="M160" s="55"/>
      <c r="N160" s="55"/>
      <c r="O160" s="55"/>
      <c r="Q160" s="55"/>
      <c r="R160" s="55"/>
      <c r="S160" s="55"/>
      <c r="T160" s="55"/>
      <c r="U160" s="55"/>
      <c r="V160" s="55"/>
      <c r="W160" s="55"/>
      <c r="X160" s="55"/>
      <c r="Y160" s="55"/>
      <c r="Z160" s="55"/>
      <c r="AA160" s="55"/>
      <c r="AB160" s="55"/>
      <c r="AC160" s="55"/>
      <c r="AD160" s="55"/>
      <c r="AE160" s="55"/>
      <c r="AF160" s="55"/>
      <c r="AG160" s="55"/>
    </row>
    <row r="161" spans="1:33" x14ac:dyDescent="0.25">
      <c r="A161" s="55"/>
      <c r="B161" s="55"/>
      <c r="C161" s="55"/>
      <c r="D161" s="55"/>
      <c r="E161" s="55"/>
      <c r="F161" s="55"/>
      <c r="G161" s="55"/>
      <c r="H161" s="55"/>
      <c r="I161" s="55"/>
      <c r="J161" s="55"/>
      <c r="K161" s="55"/>
      <c r="L161" s="55"/>
      <c r="M161" s="55"/>
      <c r="N161" s="55"/>
      <c r="O161" s="55"/>
      <c r="Q161" s="55"/>
      <c r="R161" s="55"/>
      <c r="S161" s="55"/>
      <c r="T161" s="55"/>
      <c r="U161" s="55"/>
      <c r="V161" s="55"/>
      <c r="W161" s="55"/>
      <c r="X161" s="55"/>
      <c r="Y161" s="55"/>
      <c r="Z161" s="55"/>
      <c r="AA161" s="55"/>
      <c r="AB161" s="55"/>
      <c r="AC161" s="55"/>
      <c r="AD161" s="55"/>
      <c r="AE161" s="55"/>
      <c r="AF161" s="55"/>
      <c r="AG161" s="55"/>
    </row>
    <row r="162" spans="1:33" x14ac:dyDescent="0.25">
      <c r="A162" s="55"/>
      <c r="B162" s="55"/>
      <c r="C162" s="55"/>
      <c r="D162" s="55"/>
      <c r="E162" s="55"/>
      <c r="F162" s="55"/>
      <c r="G162" s="55"/>
      <c r="H162" s="55"/>
      <c r="I162" s="55"/>
      <c r="J162" s="55"/>
      <c r="K162" s="55"/>
      <c r="L162" s="55"/>
      <c r="M162" s="55"/>
      <c r="N162" s="55"/>
      <c r="O162" s="55"/>
      <c r="Q162" s="55"/>
      <c r="R162" s="55"/>
      <c r="S162" s="55"/>
      <c r="T162" s="55"/>
      <c r="U162" s="55"/>
      <c r="V162" s="55"/>
      <c r="W162" s="55"/>
      <c r="X162" s="55"/>
      <c r="Y162" s="55"/>
      <c r="Z162" s="55"/>
      <c r="AA162" s="55"/>
      <c r="AB162" s="55"/>
      <c r="AC162" s="55"/>
      <c r="AD162" s="55"/>
      <c r="AE162" s="55"/>
      <c r="AF162" s="55"/>
      <c r="AG162" s="55"/>
    </row>
    <row r="163" spans="1:33" x14ac:dyDescent="0.25">
      <c r="A163" s="55"/>
      <c r="B163" s="55"/>
      <c r="C163" s="55"/>
      <c r="D163" s="55"/>
      <c r="E163" s="55"/>
      <c r="F163" s="55"/>
      <c r="G163" s="55"/>
      <c r="H163" s="55"/>
      <c r="I163" s="55"/>
      <c r="J163" s="55"/>
      <c r="K163" s="55"/>
      <c r="L163" s="55"/>
      <c r="M163" s="55"/>
      <c r="N163" s="55"/>
      <c r="O163" s="55"/>
      <c r="Q163" s="55"/>
      <c r="R163" s="55"/>
      <c r="S163" s="55"/>
      <c r="T163" s="55"/>
      <c r="U163" s="55"/>
      <c r="V163" s="55"/>
      <c r="W163" s="55"/>
      <c r="X163" s="55"/>
      <c r="Y163" s="55"/>
      <c r="Z163" s="55"/>
      <c r="AA163" s="55"/>
      <c r="AB163" s="55"/>
      <c r="AC163" s="55"/>
      <c r="AD163" s="55"/>
      <c r="AE163" s="55"/>
      <c r="AF163" s="55"/>
      <c r="AG163" s="55"/>
    </row>
    <row r="164" spans="1:33" x14ac:dyDescent="0.25">
      <c r="A164" s="55"/>
      <c r="B164" s="55"/>
      <c r="C164" s="55"/>
      <c r="D164" s="55"/>
      <c r="E164" s="55"/>
      <c r="F164" s="55"/>
      <c r="G164" s="55"/>
      <c r="H164" s="55"/>
      <c r="I164" s="55"/>
      <c r="J164" s="55"/>
      <c r="K164" s="55"/>
      <c r="L164" s="55"/>
      <c r="M164" s="55"/>
      <c r="N164" s="55"/>
      <c r="O164" s="55"/>
      <c r="Q164" s="55"/>
      <c r="R164" s="55"/>
      <c r="S164" s="55"/>
      <c r="T164" s="55"/>
      <c r="U164" s="55"/>
      <c r="V164" s="55"/>
      <c r="W164" s="55"/>
      <c r="X164" s="55"/>
      <c r="Y164" s="55"/>
      <c r="Z164" s="55"/>
      <c r="AA164" s="55"/>
      <c r="AB164" s="55"/>
      <c r="AC164" s="55"/>
      <c r="AD164" s="55"/>
      <c r="AE164" s="55"/>
      <c r="AF164" s="55"/>
      <c r="AG164" s="55"/>
    </row>
    <row r="165" spans="1:33" x14ac:dyDescent="0.25">
      <c r="A165" s="55"/>
      <c r="B165" s="55"/>
      <c r="C165" s="55"/>
      <c r="D165" s="55"/>
      <c r="E165" s="55"/>
      <c r="F165" s="55"/>
      <c r="G165" s="55"/>
      <c r="H165" s="55"/>
      <c r="I165" s="55"/>
      <c r="J165" s="55"/>
      <c r="K165" s="55"/>
      <c r="L165" s="55"/>
      <c r="M165" s="55"/>
      <c r="N165" s="55"/>
      <c r="O165" s="55"/>
      <c r="Q165" s="55"/>
      <c r="R165" s="55"/>
      <c r="S165" s="55"/>
      <c r="T165" s="55"/>
      <c r="U165" s="55"/>
      <c r="V165" s="55"/>
      <c r="W165" s="55"/>
      <c r="X165" s="55"/>
      <c r="Y165" s="55"/>
      <c r="Z165" s="55"/>
      <c r="AA165" s="55"/>
      <c r="AB165" s="55"/>
      <c r="AC165" s="55"/>
      <c r="AD165" s="55"/>
      <c r="AE165" s="55"/>
      <c r="AF165" s="55"/>
      <c r="AG165" s="55"/>
    </row>
    <row r="166" spans="1:33" x14ac:dyDescent="0.25">
      <c r="A166" s="55"/>
      <c r="B166" s="55"/>
      <c r="C166" s="55"/>
      <c r="D166" s="55"/>
      <c r="E166" s="55"/>
      <c r="F166" s="55"/>
      <c r="G166" s="55"/>
      <c r="H166" s="55"/>
      <c r="I166" s="55"/>
      <c r="J166" s="55"/>
      <c r="K166" s="55"/>
      <c r="L166" s="55"/>
      <c r="M166" s="55"/>
      <c r="N166" s="55"/>
      <c r="O166" s="55"/>
      <c r="Q166" s="55"/>
      <c r="R166" s="55"/>
      <c r="S166" s="55"/>
      <c r="T166" s="55"/>
      <c r="U166" s="55"/>
      <c r="V166" s="55"/>
      <c r="W166" s="55"/>
      <c r="X166" s="55"/>
      <c r="Y166" s="55"/>
      <c r="Z166" s="55"/>
      <c r="AA166" s="55"/>
      <c r="AB166" s="55"/>
      <c r="AC166" s="55"/>
      <c r="AD166" s="55"/>
      <c r="AE166" s="55"/>
      <c r="AF166" s="55"/>
      <c r="AG166" s="55"/>
    </row>
    <row r="167" spans="1:33" x14ac:dyDescent="0.25">
      <c r="A167" s="55"/>
      <c r="B167" s="55"/>
      <c r="C167" s="55"/>
      <c r="D167" s="55"/>
      <c r="E167" s="55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Q167" s="55"/>
      <c r="R167" s="55"/>
      <c r="S167" s="55"/>
      <c r="T167" s="55"/>
      <c r="U167" s="55"/>
      <c r="V167" s="55"/>
      <c r="W167" s="55"/>
      <c r="X167" s="55"/>
      <c r="Y167" s="55"/>
      <c r="Z167" s="55"/>
      <c r="AA167" s="55"/>
      <c r="AB167" s="55"/>
      <c r="AC167" s="55"/>
      <c r="AD167" s="55"/>
      <c r="AE167" s="55"/>
      <c r="AF167" s="55"/>
      <c r="AG167" s="55"/>
    </row>
    <row r="168" spans="1:33" x14ac:dyDescent="0.25">
      <c r="A168" s="55"/>
      <c r="B168" s="55"/>
      <c r="C168" s="55"/>
      <c r="D168" s="55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Q168" s="55"/>
      <c r="R168" s="55"/>
      <c r="S168" s="55"/>
      <c r="T168" s="55"/>
      <c r="U168" s="55"/>
      <c r="V168" s="55"/>
      <c r="W168" s="55"/>
      <c r="X168" s="55"/>
      <c r="Y168" s="55"/>
      <c r="Z168" s="55"/>
      <c r="AA168" s="55"/>
      <c r="AB168" s="55"/>
      <c r="AC168" s="55"/>
      <c r="AD168" s="55"/>
      <c r="AE168" s="55"/>
      <c r="AF168" s="55"/>
      <c r="AG168" s="55"/>
    </row>
    <row r="169" spans="1:33" x14ac:dyDescent="0.25">
      <c r="A169" s="55"/>
      <c r="B169" s="55"/>
      <c r="C169" s="55"/>
      <c r="D169" s="55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Q169" s="55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55"/>
      <c r="AE169" s="55"/>
      <c r="AF169" s="55"/>
      <c r="AG169" s="55"/>
    </row>
    <row r="170" spans="1:33" x14ac:dyDescent="0.25">
      <c r="A170" s="55"/>
      <c r="B170" s="55"/>
      <c r="C170" s="55"/>
      <c r="D170" s="55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Q170" s="55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55"/>
      <c r="AC170" s="55"/>
      <c r="AD170" s="55"/>
      <c r="AE170" s="55"/>
      <c r="AF170" s="55"/>
      <c r="AG170" s="55"/>
    </row>
    <row r="171" spans="1:33" x14ac:dyDescent="0.25">
      <c r="A171" s="55"/>
      <c r="B171" s="55"/>
      <c r="C171" s="55"/>
      <c r="D171" s="55"/>
      <c r="E171" s="55"/>
      <c r="F171" s="55"/>
      <c r="G171" s="55"/>
      <c r="H171" s="55"/>
      <c r="I171" s="55"/>
      <c r="J171" s="55"/>
      <c r="K171" s="55"/>
      <c r="L171" s="55"/>
      <c r="M171" s="55"/>
      <c r="N171" s="55"/>
      <c r="O171" s="55"/>
      <c r="Q171" s="55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55"/>
      <c r="AE171" s="55"/>
      <c r="AF171" s="55"/>
      <c r="AG171" s="55"/>
    </row>
    <row r="172" spans="1:33" x14ac:dyDescent="0.25">
      <c r="A172" s="55"/>
      <c r="B172" s="55"/>
      <c r="C172" s="55"/>
      <c r="D172" s="55"/>
      <c r="E172" s="55"/>
      <c r="F172" s="55"/>
      <c r="G172" s="55"/>
      <c r="H172" s="55"/>
      <c r="I172" s="55"/>
      <c r="J172" s="55"/>
      <c r="K172" s="55"/>
      <c r="L172" s="55"/>
      <c r="M172" s="55"/>
      <c r="N172" s="55"/>
      <c r="O172" s="55"/>
      <c r="Q172" s="55"/>
      <c r="R172" s="55"/>
      <c r="S172" s="55"/>
      <c r="T172" s="55"/>
      <c r="U172" s="55"/>
      <c r="V172" s="55"/>
      <c r="W172" s="55"/>
      <c r="X172" s="55"/>
      <c r="Y172" s="55"/>
      <c r="Z172" s="55"/>
      <c r="AA172" s="55"/>
      <c r="AB172" s="55"/>
      <c r="AC172" s="55"/>
      <c r="AD172" s="55"/>
      <c r="AE172" s="55"/>
      <c r="AF172" s="55"/>
      <c r="AG172" s="55"/>
    </row>
    <row r="173" spans="1:33" x14ac:dyDescent="0.25">
      <c r="A173" s="55"/>
      <c r="B173" s="55"/>
      <c r="C173" s="55"/>
      <c r="D173" s="55"/>
      <c r="E173" s="55"/>
      <c r="F173" s="55"/>
      <c r="G173" s="55"/>
      <c r="H173" s="55"/>
      <c r="I173" s="55"/>
      <c r="J173" s="55"/>
      <c r="K173" s="55"/>
      <c r="L173" s="55"/>
      <c r="M173" s="55"/>
      <c r="N173" s="55"/>
      <c r="O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55"/>
      <c r="AE173" s="55"/>
      <c r="AF173" s="55"/>
      <c r="AG173" s="55"/>
    </row>
    <row r="174" spans="1:33" x14ac:dyDescent="0.25">
      <c r="A174" s="55"/>
      <c r="B174" s="55"/>
      <c r="C174" s="55"/>
      <c r="D174" s="55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/>
      <c r="AC174" s="55"/>
      <c r="AD174" s="55"/>
      <c r="AE174" s="55"/>
      <c r="AF174" s="55"/>
      <c r="AG174" s="55"/>
    </row>
    <row r="175" spans="1:33" x14ac:dyDescent="0.25">
      <c r="A175" s="55"/>
      <c r="B175" s="55"/>
      <c r="C175" s="55"/>
      <c r="D175" s="55"/>
      <c r="E175" s="55"/>
      <c r="F175" s="55"/>
      <c r="G175" s="55"/>
      <c r="H175" s="55"/>
      <c r="I175" s="55"/>
      <c r="J175" s="55"/>
      <c r="K175" s="55"/>
      <c r="L175" s="55"/>
      <c r="M175" s="55"/>
      <c r="N175" s="55"/>
      <c r="O175" s="55"/>
      <c r="Q175" s="55"/>
      <c r="R175" s="55"/>
      <c r="S175" s="55"/>
      <c r="T175" s="55"/>
      <c r="U175" s="55"/>
      <c r="V175" s="55"/>
      <c r="W175" s="55"/>
      <c r="X175" s="55"/>
      <c r="Y175" s="55"/>
      <c r="Z175" s="55"/>
      <c r="AA175" s="55"/>
      <c r="AB175" s="55"/>
      <c r="AC175" s="55"/>
      <c r="AD175" s="55"/>
      <c r="AE175" s="55"/>
      <c r="AF175" s="55"/>
      <c r="AG175" s="55"/>
    </row>
    <row r="176" spans="1:33" x14ac:dyDescent="0.25">
      <c r="A176" s="55"/>
      <c r="B176" s="55"/>
      <c r="C176" s="55"/>
      <c r="D176" s="55"/>
      <c r="E176" s="55"/>
      <c r="F176" s="55"/>
      <c r="G176" s="55"/>
      <c r="H176" s="55"/>
      <c r="I176" s="55"/>
      <c r="J176" s="55"/>
      <c r="K176" s="55"/>
      <c r="L176" s="55"/>
      <c r="M176" s="55"/>
      <c r="N176" s="55"/>
      <c r="O176" s="55"/>
      <c r="Q176" s="55"/>
      <c r="R176" s="55"/>
      <c r="S176" s="55"/>
      <c r="T176" s="55"/>
      <c r="U176" s="55"/>
      <c r="V176" s="55"/>
      <c r="W176" s="55"/>
      <c r="X176" s="55"/>
      <c r="Y176" s="55"/>
      <c r="Z176" s="55"/>
      <c r="AA176" s="55"/>
      <c r="AB176" s="55"/>
      <c r="AC176" s="55"/>
      <c r="AD176" s="55"/>
      <c r="AE176" s="55"/>
      <c r="AF176" s="55"/>
      <c r="AG176" s="55"/>
    </row>
    <row r="177" spans="1:33" x14ac:dyDescent="0.25">
      <c r="A177" s="55"/>
      <c r="B177" s="55"/>
      <c r="C177" s="55"/>
      <c r="D177" s="55"/>
      <c r="E177" s="55"/>
      <c r="F177" s="55"/>
      <c r="G177" s="55"/>
      <c r="H177" s="55"/>
      <c r="I177" s="55"/>
      <c r="J177" s="55"/>
      <c r="K177" s="55"/>
      <c r="L177" s="55"/>
      <c r="M177" s="55"/>
      <c r="N177" s="55"/>
      <c r="O177" s="55"/>
      <c r="Q177" s="55"/>
      <c r="R177" s="55"/>
      <c r="S177" s="55"/>
      <c r="T177" s="55"/>
      <c r="U177" s="55"/>
      <c r="V177" s="55"/>
      <c r="W177" s="55"/>
      <c r="X177" s="55"/>
      <c r="Y177" s="55"/>
      <c r="Z177" s="55"/>
      <c r="AA177" s="55"/>
      <c r="AB177" s="55"/>
      <c r="AC177" s="55"/>
      <c r="AD177" s="55"/>
      <c r="AE177" s="55"/>
      <c r="AF177" s="55"/>
      <c r="AG177" s="55"/>
    </row>
    <row r="178" spans="1:33" x14ac:dyDescent="0.25">
      <c r="A178" s="55"/>
      <c r="B178" s="55"/>
      <c r="C178" s="55"/>
      <c r="D178" s="55"/>
      <c r="E178" s="55"/>
      <c r="F178" s="55"/>
      <c r="G178" s="55"/>
      <c r="H178" s="55"/>
      <c r="I178" s="55"/>
      <c r="J178" s="55"/>
      <c r="K178" s="55"/>
      <c r="L178" s="55"/>
      <c r="M178" s="55"/>
      <c r="N178" s="55"/>
      <c r="O178" s="55"/>
      <c r="Q178" s="55"/>
      <c r="R178" s="55"/>
      <c r="S178" s="55"/>
      <c r="T178" s="55"/>
      <c r="U178" s="55"/>
      <c r="V178" s="55"/>
      <c r="W178" s="55"/>
      <c r="X178" s="55"/>
      <c r="Y178" s="55"/>
      <c r="Z178" s="55"/>
      <c r="AA178" s="55"/>
      <c r="AB178" s="55"/>
      <c r="AC178" s="55"/>
      <c r="AD178" s="55"/>
      <c r="AE178" s="55"/>
      <c r="AF178" s="55"/>
      <c r="AG178" s="55"/>
    </row>
    <row r="179" spans="1:33" x14ac:dyDescent="0.25">
      <c r="A179" s="55"/>
      <c r="B179" s="55"/>
      <c r="C179" s="55"/>
      <c r="D179" s="55"/>
      <c r="E179" s="55"/>
      <c r="F179" s="55"/>
      <c r="G179" s="55"/>
      <c r="H179" s="55"/>
      <c r="I179" s="55"/>
      <c r="J179" s="55"/>
      <c r="K179" s="55"/>
      <c r="L179" s="55"/>
      <c r="M179" s="55"/>
      <c r="N179" s="55"/>
      <c r="O179" s="55"/>
      <c r="Q179" s="55"/>
      <c r="R179" s="55"/>
      <c r="S179" s="55"/>
      <c r="T179" s="55"/>
      <c r="U179" s="55"/>
      <c r="V179" s="55"/>
      <c r="W179" s="55"/>
      <c r="X179" s="55"/>
      <c r="Y179" s="55"/>
      <c r="Z179" s="55"/>
      <c r="AA179" s="55"/>
      <c r="AB179" s="55"/>
      <c r="AC179" s="55"/>
      <c r="AD179" s="55"/>
      <c r="AE179" s="55"/>
      <c r="AF179" s="55"/>
      <c r="AG179" s="55"/>
    </row>
    <row r="180" spans="1:33" x14ac:dyDescent="0.25">
      <c r="A180" s="55"/>
      <c r="B180" s="55"/>
      <c r="C180" s="55"/>
      <c r="D180" s="55"/>
      <c r="E180" s="55"/>
      <c r="F180" s="55"/>
      <c r="G180" s="55"/>
      <c r="H180" s="55"/>
      <c r="I180" s="55"/>
      <c r="J180" s="55"/>
      <c r="K180" s="55"/>
      <c r="L180" s="55"/>
      <c r="M180" s="55"/>
      <c r="N180" s="55"/>
      <c r="O180" s="55"/>
      <c r="Q180" s="55"/>
      <c r="R180" s="55"/>
      <c r="S180" s="55"/>
      <c r="T180" s="55"/>
      <c r="U180" s="55"/>
      <c r="V180" s="55"/>
      <c r="W180" s="55"/>
      <c r="X180" s="55"/>
      <c r="Y180" s="55"/>
      <c r="Z180" s="55"/>
      <c r="AA180" s="55"/>
      <c r="AB180" s="55"/>
      <c r="AC180" s="55"/>
      <c r="AD180" s="55"/>
      <c r="AE180" s="55"/>
      <c r="AF180" s="55"/>
      <c r="AG180" s="55"/>
    </row>
    <row r="181" spans="1:33" x14ac:dyDescent="0.25">
      <c r="A181" s="55"/>
      <c r="B181" s="55"/>
      <c r="C181" s="55"/>
      <c r="D181" s="55"/>
      <c r="E181" s="55"/>
      <c r="F181" s="55"/>
      <c r="G181" s="55"/>
      <c r="H181" s="55"/>
      <c r="I181" s="55"/>
      <c r="J181" s="55"/>
      <c r="K181" s="55"/>
      <c r="L181" s="55"/>
      <c r="M181" s="55"/>
      <c r="N181" s="55"/>
      <c r="O181" s="55"/>
      <c r="Q181" s="55"/>
      <c r="R181" s="55"/>
      <c r="S181" s="55"/>
      <c r="T181" s="55"/>
      <c r="U181" s="55"/>
      <c r="V181" s="55"/>
      <c r="W181" s="55"/>
      <c r="X181" s="55"/>
      <c r="Y181" s="55"/>
      <c r="Z181" s="55"/>
      <c r="AA181" s="55"/>
      <c r="AB181" s="55"/>
      <c r="AC181" s="55"/>
      <c r="AD181" s="55"/>
      <c r="AE181" s="55"/>
      <c r="AF181" s="55"/>
      <c r="AG181" s="55"/>
    </row>
    <row r="182" spans="1:33" x14ac:dyDescent="0.25">
      <c r="A182" s="55"/>
      <c r="B182" s="55"/>
      <c r="C182" s="55"/>
      <c r="D182" s="55"/>
      <c r="E182" s="55"/>
      <c r="F182" s="55"/>
      <c r="G182" s="55"/>
      <c r="H182" s="55"/>
      <c r="I182" s="55"/>
      <c r="J182" s="55"/>
      <c r="K182" s="55"/>
      <c r="L182" s="55"/>
      <c r="M182" s="55"/>
      <c r="N182" s="55"/>
      <c r="O182" s="55"/>
      <c r="Q182" s="55"/>
      <c r="R182" s="55"/>
      <c r="S182" s="55"/>
      <c r="T182" s="55"/>
      <c r="U182" s="55"/>
      <c r="V182" s="55"/>
      <c r="W182" s="55"/>
      <c r="X182" s="55"/>
      <c r="Y182" s="55"/>
      <c r="Z182" s="55"/>
      <c r="AA182" s="55"/>
      <c r="AB182" s="55"/>
      <c r="AC182" s="55"/>
      <c r="AD182" s="55"/>
      <c r="AE182" s="55"/>
      <c r="AF182" s="55"/>
      <c r="AG182" s="55"/>
    </row>
    <row r="183" spans="1:33" x14ac:dyDescent="0.25">
      <c r="A183" s="55"/>
      <c r="B183" s="55"/>
      <c r="C183" s="55"/>
      <c r="D183" s="55"/>
      <c r="E183" s="55"/>
      <c r="F183" s="55"/>
      <c r="G183" s="55"/>
      <c r="H183" s="55"/>
      <c r="I183" s="55"/>
      <c r="J183" s="55"/>
      <c r="K183" s="55"/>
      <c r="L183" s="55"/>
      <c r="M183" s="55"/>
      <c r="N183" s="55"/>
      <c r="O183" s="55"/>
      <c r="Q183" s="55"/>
      <c r="R183" s="55"/>
      <c r="S183" s="55"/>
      <c r="T183" s="55"/>
      <c r="U183" s="55"/>
      <c r="V183" s="55"/>
      <c r="W183" s="55"/>
      <c r="X183" s="55"/>
      <c r="Y183" s="55"/>
      <c r="Z183" s="55"/>
      <c r="AA183" s="55"/>
      <c r="AB183" s="55"/>
      <c r="AC183" s="55"/>
      <c r="AD183" s="55"/>
      <c r="AE183" s="55"/>
      <c r="AF183" s="55"/>
      <c r="AG183" s="55"/>
    </row>
    <row r="184" spans="1:33" x14ac:dyDescent="0.25">
      <c r="A184" s="55"/>
      <c r="B184" s="55"/>
      <c r="C184" s="55"/>
      <c r="D184" s="55"/>
      <c r="E184" s="55"/>
      <c r="F184" s="55"/>
      <c r="G184" s="55"/>
      <c r="H184" s="55"/>
      <c r="I184" s="55"/>
      <c r="J184" s="55"/>
      <c r="K184" s="55"/>
      <c r="L184" s="55"/>
      <c r="M184" s="55"/>
      <c r="N184" s="55"/>
      <c r="O184" s="55"/>
      <c r="Q184" s="55"/>
      <c r="R184" s="55"/>
      <c r="S184" s="55"/>
      <c r="T184" s="55"/>
      <c r="U184" s="55"/>
      <c r="V184" s="55"/>
      <c r="W184" s="55"/>
      <c r="X184" s="55"/>
      <c r="Y184" s="55"/>
      <c r="Z184" s="55"/>
      <c r="AA184" s="55"/>
      <c r="AB184" s="55"/>
      <c r="AC184" s="55"/>
      <c r="AD184" s="55"/>
      <c r="AE184" s="55"/>
      <c r="AF184" s="55"/>
      <c r="AG184" s="55"/>
    </row>
    <row r="185" spans="1:33" x14ac:dyDescent="0.25">
      <c r="A185" s="55"/>
      <c r="B185" s="55"/>
      <c r="C185" s="55"/>
      <c r="D185" s="55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Q185" s="55"/>
      <c r="R185" s="55"/>
      <c r="S185" s="55"/>
      <c r="T185" s="55"/>
      <c r="U185" s="55"/>
      <c r="V185" s="55"/>
      <c r="W185" s="55"/>
      <c r="X185" s="55"/>
      <c r="Y185" s="55"/>
      <c r="Z185" s="55"/>
      <c r="AA185" s="55"/>
      <c r="AB185" s="55"/>
      <c r="AC185" s="55"/>
      <c r="AD185" s="55"/>
      <c r="AE185" s="55"/>
      <c r="AF185" s="55"/>
      <c r="AG185" s="55"/>
    </row>
    <row r="186" spans="1:33" x14ac:dyDescent="0.25">
      <c r="W186" s="55"/>
      <c r="X186" s="55"/>
      <c r="Y186" s="55"/>
      <c r="Z186" s="55"/>
      <c r="AA186" s="55"/>
      <c r="AB186" s="55"/>
      <c r="AC186" s="55"/>
      <c r="AD186" s="55"/>
      <c r="AE186" s="55"/>
      <c r="AF186" s="55"/>
      <c r="AG186" s="55"/>
    </row>
    <row r="187" spans="1:33" x14ac:dyDescent="0.25">
      <c r="W187" s="55"/>
      <c r="X187" s="55"/>
      <c r="Y187" s="55"/>
      <c r="Z187" s="55"/>
      <c r="AA187" s="55"/>
      <c r="AB187" s="55"/>
      <c r="AC187" s="55"/>
      <c r="AD187" s="55"/>
      <c r="AE187" s="55"/>
      <c r="AF187" s="55"/>
      <c r="AG187" s="55"/>
    </row>
    <row r="188" spans="1:33" x14ac:dyDescent="0.25">
      <c r="W188" s="55"/>
      <c r="X188" s="55"/>
      <c r="Y188" s="55"/>
      <c r="Z188" s="55"/>
      <c r="AA188" s="55"/>
      <c r="AB188" s="55"/>
      <c r="AC188" s="55"/>
      <c r="AD188" s="55"/>
      <c r="AE188" s="55"/>
      <c r="AF188" s="55"/>
      <c r="AG188" s="55"/>
    </row>
    <row r="189" spans="1:33" x14ac:dyDescent="0.25">
      <c r="W189" s="55"/>
      <c r="X189" s="55"/>
      <c r="Y189" s="55"/>
      <c r="Z189" s="55"/>
      <c r="AA189" s="55"/>
      <c r="AB189" s="55"/>
      <c r="AC189" s="55"/>
      <c r="AD189" s="55"/>
      <c r="AE189" s="55"/>
      <c r="AF189" s="55"/>
      <c r="AG189" s="55"/>
    </row>
    <row r="190" spans="1:33" x14ac:dyDescent="0.25">
      <c r="W190" s="55"/>
      <c r="X190" s="55"/>
      <c r="Y190" s="55"/>
      <c r="Z190" s="55"/>
      <c r="AA190" s="55"/>
      <c r="AB190" s="55"/>
      <c r="AC190" s="55"/>
      <c r="AD190" s="55"/>
      <c r="AE190" s="55"/>
      <c r="AF190" s="55"/>
      <c r="AG190" s="55"/>
    </row>
    <row r="191" spans="1:33" x14ac:dyDescent="0.25">
      <c r="W191" s="55"/>
      <c r="X191" s="55"/>
      <c r="Y191" s="55"/>
      <c r="Z191" s="55"/>
      <c r="AA191" s="55"/>
      <c r="AB191" s="55"/>
      <c r="AC191" s="55"/>
      <c r="AD191" s="55"/>
      <c r="AE191" s="55"/>
      <c r="AF191" s="55"/>
      <c r="AG191" s="55"/>
    </row>
    <row r="192" spans="1:33" x14ac:dyDescent="0.25">
      <c r="W192" s="55"/>
      <c r="X192" s="55"/>
      <c r="Y192" s="55"/>
      <c r="Z192" s="55"/>
      <c r="AA192" s="55"/>
      <c r="AB192" s="55"/>
      <c r="AC192" s="55"/>
      <c r="AD192" s="55"/>
      <c r="AE192" s="55"/>
      <c r="AF192" s="55"/>
      <c r="AG192" s="55"/>
    </row>
    <row r="193" spans="23:33" x14ac:dyDescent="0.25">
      <c r="W193" s="55"/>
      <c r="X193" s="55"/>
      <c r="Y193" s="55"/>
      <c r="Z193" s="55"/>
      <c r="AA193" s="55"/>
      <c r="AB193" s="55"/>
      <c r="AC193" s="55"/>
      <c r="AD193" s="55"/>
      <c r="AE193" s="55"/>
      <c r="AF193" s="55"/>
      <c r="AG193" s="55"/>
    </row>
    <row r="194" spans="23:33" x14ac:dyDescent="0.25">
      <c r="W194" s="55"/>
      <c r="X194" s="55"/>
      <c r="Y194" s="55"/>
      <c r="Z194" s="55"/>
      <c r="AA194" s="55"/>
      <c r="AB194" s="55"/>
      <c r="AC194" s="55"/>
      <c r="AD194" s="55"/>
      <c r="AE194" s="55"/>
      <c r="AF194" s="55"/>
      <c r="AG194" s="55"/>
    </row>
    <row r="195" spans="23:33" x14ac:dyDescent="0.25">
      <c r="W195" s="55"/>
      <c r="X195" s="55"/>
      <c r="Y195" s="55"/>
      <c r="Z195" s="55"/>
      <c r="AA195" s="55"/>
      <c r="AB195" s="55"/>
      <c r="AC195" s="55"/>
      <c r="AD195" s="55"/>
      <c r="AE195" s="55"/>
      <c r="AF195" s="55"/>
      <c r="AG195" s="55"/>
    </row>
    <row r="196" spans="23:33" x14ac:dyDescent="0.25">
      <c r="W196" s="55"/>
      <c r="X196" s="55"/>
      <c r="Y196" s="55"/>
      <c r="Z196" s="55"/>
      <c r="AA196" s="55"/>
      <c r="AB196" s="55"/>
      <c r="AC196" s="55"/>
      <c r="AD196" s="55"/>
      <c r="AE196" s="55"/>
      <c r="AF196" s="55"/>
      <c r="AG196" s="55"/>
    </row>
    <row r="197" spans="23:33" x14ac:dyDescent="0.25">
      <c r="W197" s="55"/>
      <c r="X197" s="55"/>
      <c r="Y197" s="55"/>
      <c r="Z197" s="55"/>
      <c r="AA197" s="55"/>
      <c r="AB197" s="55"/>
      <c r="AC197" s="55"/>
      <c r="AD197" s="55"/>
      <c r="AE197" s="55"/>
      <c r="AF197" s="55"/>
      <c r="AG197" s="55"/>
    </row>
  </sheetData>
  <mergeCells count="9">
    <mergeCell ref="B2:V5"/>
    <mergeCell ref="H7:H31"/>
    <mergeCell ref="J7:L10"/>
    <mergeCell ref="P7:P31"/>
    <mergeCell ref="T7:T31"/>
    <mergeCell ref="E23:F26"/>
    <mergeCell ref="B28:F32"/>
    <mergeCell ref="J28:L31"/>
    <mergeCell ref="E17:F21"/>
  </mergeCells>
  <conditionalFormatting sqref="N7:N31">
    <cfRule type="expression" dxfId="1" priority="1">
      <formula>M7&lt;=($C$22/$C$12*25)</formula>
    </cfRule>
  </conditionalFormatting>
  <conditionalFormatting sqref="R7:R31">
    <cfRule type="expression" dxfId="0" priority="2">
      <formula>M7&lt;=($C$23/$C$12*25)</formula>
    </cfRule>
  </conditionalFormatting>
  <hyperlinks>
    <hyperlink ref="B28" location="Carburant!A1" display="Carburant!A1" xr:uid="{CA1AE0A0-09C3-4BBB-886A-11C2784D517F}"/>
    <hyperlink ref="B28:F32" location="Résumé!A1" display="▶︎ Aller vers le résumé du vol" xr:uid="{708E56B7-04AD-4AB7-8EAD-9DE52A37358E}"/>
    <hyperlink ref="E23:F26" location="'Perfs Décollage'!A1" display="◀︎ Revenir en arrière" xr:uid="{917245E1-1BF2-476D-B545-C79D681CC2A4}"/>
    <hyperlink ref="E17:F21" location="Accueil!A1" display="◀︎ Menu" xr:uid="{13C0951C-39DB-4BD7-8606-AD6234E2555D}"/>
  </hyperlink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75E5E79-D408-44D1-9B20-3A57953D4ABE}">
          <x14:formula1>
            <xm:f>Options!$J$9:$J$10</xm:f>
          </x14:formula1>
          <xm:sqref>C15</xm:sqref>
        </x14:dataValidation>
        <x14:dataValidation type="list" allowBlank="1" showInputMessage="1" showErrorMessage="1" xr:uid="{5DAEA90A-F114-4215-9ECD-B952A53B7AB7}">
          <x14:formula1>
            <xm:f>Options!$G$9:$G$13</xm:f>
          </x14:formula1>
          <xm:sqref>C9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EE99C-9780-4D37-962B-EC7314298EF8}">
  <dimension ref="A1:Q31"/>
  <sheetViews>
    <sheetView workbookViewId="0"/>
  </sheetViews>
  <sheetFormatPr baseColWidth="10" defaultRowHeight="15" x14ac:dyDescent="0.25"/>
  <cols>
    <col min="2" max="2" width="11.28515625" customWidth="1"/>
    <col min="3" max="3" width="11" customWidth="1"/>
    <col min="6" max="6" width="34.140625" customWidth="1"/>
    <col min="7" max="7" width="19.42578125" customWidth="1"/>
  </cols>
  <sheetData>
    <row r="1" spans="1:17" ht="15.75" thickBot="1" x14ac:dyDescent="0.3">
      <c r="A1" s="72"/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</row>
    <row r="2" spans="1:17" x14ac:dyDescent="0.25">
      <c r="A2" s="72"/>
      <c r="B2" s="228" t="s">
        <v>93</v>
      </c>
      <c r="C2" s="229"/>
      <c r="D2" s="229"/>
      <c r="E2" s="229"/>
      <c r="F2" s="229"/>
      <c r="G2" s="229"/>
      <c r="H2" s="229"/>
      <c r="I2" s="229"/>
      <c r="J2" s="229"/>
      <c r="K2" s="229"/>
      <c r="L2" s="229"/>
      <c r="M2" s="229"/>
      <c r="N2" s="230"/>
      <c r="O2" s="72"/>
      <c r="P2" s="72"/>
      <c r="Q2" s="72"/>
    </row>
    <row r="3" spans="1:17" x14ac:dyDescent="0.25">
      <c r="A3" s="72"/>
      <c r="B3" s="231"/>
      <c r="C3" s="232"/>
      <c r="D3" s="232"/>
      <c r="E3" s="232"/>
      <c r="F3" s="232"/>
      <c r="G3" s="232"/>
      <c r="H3" s="232"/>
      <c r="I3" s="232"/>
      <c r="J3" s="232"/>
      <c r="K3" s="232"/>
      <c r="L3" s="232"/>
      <c r="M3" s="232"/>
      <c r="N3" s="233"/>
      <c r="O3" s="72"/>
      <c r="P3" s="72"/>
      <c r="Q3" s="72"/>
    </row>
    <row r="4" spans="1:17" x14ac:dyDescent="0.25">
      <c r="A4" s="72"/>
      <c r="B4" s="231"/>
      <c r="C4" s="232"/>
      <c r="D4" s="232"/>
      <c r="E4" s="232"/>
      <c r="F4" s="232"/>
      <c r="G4" s="232"/>
      <c r="H4" s="232"/>
      <c r="I4" s="232"/>
      <c r="J4" s="232"/>
      <c r="K4" s="232"/>
      <c r="L4" s="232"/>
      <c r="M4" s="232"/>
      <c r="N4" s="233"/>
      <c r="O4" s="72"/>
      <c r="P4" s="72"/>
      <c r="Q4" s="72"/>
    </row>
    <row r="5" spans="1:17" ht="15.75" thickBot="1" x14ac:dyDescent="0.3">
      <c r="A5" s="72"/>
      <c r="B5" s="234"/>
      <c r="C5" s="235"/>
      <c r="D5" s="235"/>
      <c r="E5" s="235"/>
      <c r="F5" s="235"/>
      <c r="G5" s="235"/>
      <c r="H5" s="235"/>
      <c r="I5" s="235"/>
      <c r="J5" s="235"/>
      <c r="K5" s="235"/>
      <c r="L5" s="235"/>
      <c r="M5" s="235"/>
      <c r="N5" s="236"/>
      <c r="O5" s="72"/>
      <c r="P5" s="72"/>
      <c r="Q5" s="72"/>
    </row>
    <row r="6" spans="1:17" x14ac:dyDescent="0.25">
      <c r="A6" s="72"/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</row>
    <row r="7" spans="1:17" ht="15.75" thickBot="1" x14ac:dyDescent="0.3">
      <c r="A7" s="72"/>
      <c r="B7" s="72"/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</row>
    <row r="8" spans="1:17" ht="19.5" thickBot="1" x14ac:dyDescent="0.3">
      <c r="A8" s="72"/>
      <c r="B8" s="72"/>
      <c r="C8" s="72"/>
      <c r="D8" s="72"/>
      <c r="E8" s="72"/>
      <c r="F8" s="175" t="s">
        <v>94</v>
      </c>
      <c r="G8" s="176"/>
    </row>
    <row r="9" spans="1:17" ht="19.5" thickBot="1" x14ac:dyDescent="0.3">
      <c r="A9" s="72"/>
      <c r="B9" s="72"/>
      <c r="C9" s="72"/>
      <c r="D9" s="72"/>
      <c r="E9" s="72"/>
      <c r="F9" s="178" t="s">
        <v>47</v>
      </c>
      <c r="G9" s="177" t="str">
        <f>'Perfs Décollage'!C10&amp;" ▶︎ "&amp;'Perfs Atterissage'!C10</f>
        <v>LFPQ ▶︎ LFLO</v>
      </c>
    </row>
    <row r="10" spans="1:17" ht="19.5" thickBot="1" x14ac:dyDescent="0.3">
      <c r="A10" s="72"/>
      <c r="B10" s="304" t="s">
        <v>122</v>
      </c>
      <c r="C10" s="305"/>
      <c r="D10" s="72"/>
      <c r="E10" s="72"/>
      <c r="F10" s="168" t="s">
        <v>76</v>
      </c>
      <c r="G10" s="169">
        <f>'Log de Nav'!D25</f>
        <v>0.75</v>
      </c>
    </row>
    <row r="11" spans="1:17" ht="18.75" x14ac:dyDescent="0.25">
      <c r="A11" s="72"/>
      <c r="B11" s="306"/>
      <c r="C11" s="307"/>
      <c r="D11" s="72"/>
      <c r="E11" s="72"/>
      <c r="F11" s="168" t="s">
        <v>100</v>
      </c>
      <c r="G11" s="170">
        <f>MIN('Log de Nav'!C8:C22)</f>
        <v>0</v>
      </c>
      <c r="K11" s="248" t="s">
        <v>113</v>
      </c>
      <c r="L11" s="249"/>
      <c r="M11" s="249"/>
      <c r="N11" s="250"/>
    </row>
    <row r="12" spans="1:17" ht="18.75" x14ac:dyDescent="0.25">
      <c r="A12" s="72"/>
      <c r="B12" s="306"/>
      <c r="C12" s="307"/>
      <c r="D12" s="72"/>
      <c r="E12" s="72"/>
      <c r="F12" s="168" t="s">
        <v>95</v>
      </c>
      <c r="G12" s="170">
        <f>MAX('Log de Nav'!C8:C22)</f>
        <v>8000</v>
      </c>
      <c r="K12" s="251"/>
      <c r="L12" s="252"/>
      <c r="M12" s="252"/>
      <c r="N12" s="253"/>
    </row>
    <row r="13" spans="1:17" ht="18.75" x14ac:dyDescent="0.25">
      <c r="A13" s="72"/>
      <c r="B13" s="306"/>
      <c r="C13" s="307"/>
      <c r="D13" s="72"/>
      <c r="E13" s="72"/>
      <c r="F13" s="168" t="s">
        <v>96</v>
      </c>
      <c r="G13" s="171">
        <f>'Log de Nav'!O23</f>
        <v>228.72388870742978</v>
      </c>
      <c r="K13" s="251"/>
      <c r="L13" s="252"/>
      <c r="M13" s="252"/>
      <c r="N13" s="253"/>
    </row>
    <row r="14" spans="1:17" ht="19.5" thickBot="1" x14ac:dyDescent="0.3">
      <c r="A14" s="72"/>
      <c r="B14" s="308"/>
      <c r="C14" s="309"/>
      <c r="D14" s="72"/>
      <c r="E14" s="72"/>
      <c r="F14" s="168" t="s">
        <v>97</v>
      </c>
      <c r="G14" s="171">
        <f>CG!C13</f>
        <v>583.25141173778411</v>
      </c>
      <c r="K14" s="251"/>
      <c r="L14" s="252"/>
      <c r="M14" s="252"/>
      <c r="N14" s="253"/>
    </row>
    <row r="15" spans="1:17" ht="19.5" thickBot="1" x14ac:dyDescent="0.3">
      <c r="A15" s="72"/>
      <c r="B15" s="72"/>
      <c r="C15" s="72"/>
      <c r="D15" s="72"/>
      <c r="E15" s="72"/>
      <c r="F15" s="168" t="s">
        <v>101</v>
      </c>
      <c r="G15" s="172">
        <f>CG!D13</f>
        <v>0.37801187540170744</v>
      </c>
      <c r="K15" s="254"/>
      <c r="L15" s="255"/>
      <c r="M15" s="255"/>
      <c r="N15" s="256"/>
    </row>
    <row r="16" spans="1:17" ht="18.75" x14ac:dyDescent="0.25">
      <c r="A16" s="72"/>
      <c r="B16" s="72"/>
      <c r="C16" s="72"/>
      <c r="D16" s="72"/>
      <c r="E16" s="72"/>
      <c r="F16" s="168" t="s">
        <v>62</v>
      </c>
      <c r="G16" s="171">
        <f>'Perfs Décollage'!C23</f>
        <v>365</v>
      </c>
    </row>
    <row r="17" spans="1:16" ht="18.75" x14ac:dyDescent="0.25">
      <c r="A17" s="72"/>
      <c r="B17" s="72"/>
      <c r="C17" s="72"/>
      <c r="D17" s="72"/>
      <c r="E17" s="72"/>
      <c r="F17" s="168" t="s">
        <v>98</v>
      </c>
      <c r="G17" s="171">
        <f>'Perfs Atterissage'!C23</f>
        <v>365</v>
      </c>
    </row>
    <row r="18" spans="1:16" ht="18.75" x14ac:dyDescent="0.25">
      <c r="A18" s="72"/>
      <c r="B18" s="72"/>
      <c r="C18" s="72"/>
      <c r="D18" s="72"/>
      <c r="E18" s="72"/>
      <c r="F18" s="168" t="s">
        <v>102</v>
      </c>
      <c r="G18" s="171">
        <f>Carburant!E16</f>
        <v>84.146594391821296</v>
      </c>
      <c r="J18" s="72"/>
      <c r="K18" s="72"/>
      <c r="L18" s="72"/>
      <c r="M18" s="72"/>
      <c r="N18" s="72"/>
      <c r="O18" s="72"/>
      <c r="P18" s="72"/>
    </row>
    <row r="19" spans="1:16" ht="19.5" thickBot="1" x14ac:dyDescent="0.3">
      <c r="A19" s="72"/>
      <c r="B19" s="72"/>
      <c r="C19" s="72"/>
      <c r="D19" s="72"/>
      <c r="E19" s="72"/>
      <c r="F19" s="173" t="s">
        <v>103</v>
      </c>
      <c r="G19" s="174">
        <f>Carburant!D16</f>
        <v>293.72388870742975</v>
      </c>
      <c r="J19" s="72"/>
      <c r="K19" s="291"/>
      <c r="L19" s="291"/>
      <c r="M19" s="291"/>
      <c r="N19" s="291"/>
      <c r="O19" s="291"/>
      <c r="P19" s="72"/>
    </row>
    <row r="20" spans="1:16" ht="15" customHeight="1" x14ac:dyDescent="0.25">
      <c r="A20" s="72"/>
      <c r="B20" s="72"/>
      <c r="C20" s="72"/>
      <c r="D20" s="72"/>
      <c r="E20" s="72"/>
      <c r="J20" s="72"/>
      <c r="K20" s="72"/>
      <c r="L20" s="72"/>
      <c r="M20" s="72"/>
      <c r="N20" s="72"/>
      <c r="O20" s="291"/>
      <c r="P20" s="72"/>
    </row>
    <row r="21" spans="1:16" ht="15" customHeight="1" x14ac:dyDescent="0.25">
      <c r="A21" s="72"/>
      <c r="B21" s="72"/>
      <c r="C21" s="72"/>
      <c r="D21" s="72"/>
      <c r="E21" s="72"/>
      <c r="J21" s="72"/>
      <c r="K21" s="72"/>
      <c r="L21" s="72"/>
      <c r="M21" s="72"/>
      <c r="N21" s="72"/>
      <c r="O21" s="291"/>
      <c r="P21" s="72"/>
    </row>
    <row r="22" spans="1:16" ht="15" customHeight="1" x14ac:dyDescent="0.25">
      <c r="A22" s="72"/>
      <c r="B22" s="72"/>
      <c r="C22" s="72"/>
      <c r="D22" s="72"/>
      <c r="E22" s="72"/>
      <c r="J22" s="72"/>
      <c r="K22" s="72"/>
      <c r="L22" s="72"/>
      <c r="M22" s="72"/>
      <c r="N22" s="72"/>
      <c r="O22" s="291"/>
      <c r="P22" s="72"/>
    </row>
    <row r="23" spans="1:16" ht="15" customHeight="1" x14ac:dyDescent="0.25">
      <c r="A23" s="72"/>
      <c r="B23" s="72"/>
      <c r="C23" s="72"/>
      <c r="D23" s="72"/>
      <c r="E23" s="72"/>
      <c r="J23" s="72"/>
      <c r="K23" s="72"/>
      <c r="L23" s="72"/>
      <c r="M23" s="72"/>
      <c r="N23" s="72"/>
      <c r="O23" s="291"/>
      <c r="P23" s="72"/>
    </row>
    <row r="24" spans="1:16" ht="15.75" customHeight="1" x14ac:dyDescent="0.25">
      <c r="A24" s="72"/>
      <c r="B24" s="72"/>
      <c r="C24" s="72"/>
      <c r="D24" s="72"/>
      <c r="E24" s="72"/>
      <c r="J24" s="72"/>
      <c r="K24" s="72"/>
      <c r="L24" s="72"/>
      <c r="M24" s="72"/>
      <c r="N24" s="72"/>
      <c r="O24" s="291"/>
      <c r="P24" s="72"/>
    </row>
    <row r="25" spans="1:16" ht="26.25" customHeight="1" x14ac:dyDescent="0.25">
      <c r="A25" s="72"/>
      <c r="B25" s="72"/>
      <c r="C25" s="72"/>
      <c r="D25" s="72"/>
      <c r="E25" s="72"/>
      <c r="J25" s="72"/>
      <c r="K25" s="291"/>
      <c r="L25" s="291"/>
      <c r="M25" s="291"/>
      <c r="N25" s="291"/>
      <c r="O25" s="291"/>
      <c r="P25" s="72"/>
    </row>
    <row r="26" spans="1:16" x14ac:dyDescent="0.25">
      <c r="A26" s="72"/>
      <c r="B26" s="72"/>
      <c r="C26" s="72"/>
      <c r="D26" s="72"/>
      <c r="E26" s="72"/>
      <c r="J26" s="72"/>
      <c r="K26" s="291"/>
      <c r="L26" s="291"/>
      <c r="M26" s="291"/>
      <c r="N26" s="291"/>
      <c r="O26" s="291"/>
      <c r="P26" s="72"/>
    </row>
    <row r="27" spans="1:16" x14ac:dyDescent="0.25">
      <c r="B27" s="72"/>
      <c r="C27" s="72"/>
      <c r="D27" s="72"/>
      <c r="E27" s="72"/>
      <c r="J27" s="72"/>
      <c r="K27" s="291"/>
      <c r="L27" s="291"/>
      <c r="M27" s="291"/>
      <c r="N27" s="291"/>
      <c r="O27" s="291"/>
      <c r="P27" s="72"/>
    </row>
    <row r="28" spans="1:16" x14ac:dyDescent="0.25">
      <c r="B28" s="72"/>
      <c r="C28" s="72"/>
      <c r="D28" s="72"/>
      <c r="E28" s="72"/>
      <c r="J28" s="72"/>
      <c r="K28" s="291"/>
      <c r="L28" s="291"/>
      <c r="M28" s="291"/>
      <c r="N28" s="291"/>
      <c r="O28" s="291"/>
      <c r="P28" s="72"/>
    </row>
    <row r="29" spans="1:16" x14ac:dyDescent="0.25">
      <c r="B29" s="72"/>
      <c r="C29" s="72"/>
      <c r="D29" s="72"/>
      <c r="E29" s="72"/>
      <c r="J29" s="72"/>
      <c r="K29" s="72"/>
      <c r="L29" s="72"/>
      <c r="M29" s="72"/>
      <c r="N29" s="72"/>
      <c r="O29" s="72"/>
      <c r="P29" s="72"/>
    </row>
    <row r="30" spans="1:16" x14ac:dyDescent="0.25">
      <c r="B30" s="72"/>
      <c r="C30" s="72"/>
      <c r="D30" s="72"/>
      <c r="E30" s="72"/>
    </row>
    <row r="31" spans="1:16" x14ac:dyDescent="0.25">
      <c r="B31" s="72"/>
      <c r="C31" s="72"/>
      <c r="D31" s="72"/>
      <c r="E31" s="72"/>
    </row>
  </sheetData>
  <mergeCells count="4">
    <mergeCell ref="K11:N15"/>
    <mergeCell ref="B10:C14"/>
    <mergeCell ref="B2:N5"/>
    <mergeCell ref="F8:G8"/>
  </mergeCells>
  <hyperlinks>
    <hyperlink ref="K11:M15" location="'Perfs Atterissage'!A1" display="◀︎ Revenir en arrière" xr:uid="{23AC310A-C4FB-4244-89E8-3FCEA88185DC}"/>
    <hyperlink ref="B10:C14" location="Accueil!A1" display="◀︎ Menu" xr:uid="{1242C95C-B9D0-4634-816A-FA18C1D9D900}"/>
  </hyperlinks>
  <pageMargins left="0.7" right="0.7" top="0.75" bottom="0.75" header="0.3" footer="0.3"/>
  <pageSetup paperSize="9"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C4574-6348-4101-9325-F51183B2230C}">
  <dimension ref="A1:AH153"/>
  <sheetViews>
    <sheetView workbookViewId="0">
      <selection activeCell="B17" sqref="B17:C21"/>
    </sheetView>
  </sheetViews>
  <sheetFormatPr baseColWidth="10" defaultRowHeight="15" x14ac:dyDescent="0.25"/>
  <sheetData>
    <row r="1" spans="1:34" ht="15.75" thickBot="1" x14ac:dyDescent="0.3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</row>
    <row r="2" spans="1:34" x14ac:dyDescent="0.25">
      <c r="A2" s="55"/>
      <c r="B2" s="283" t="s">
        <v>121</v>
      </c>
      <c r="C2" s="284"/>
      <c r="D2" s="284"/>
      <c r="E2" s="284"/>
      <c r="F2" s="284"/>
      <c r="G2" s="284"/>
      <c r="H2" s="284"/>
      <c r="I2" s="284"/>
      <c r="J2" s="284"/>
      <c r="K2" s="284"/>
      <c r="L2" s="284"/>
      <c r="M2" s="284"/>
      <c r="N2" s="284"/>
      <c r="O2" s="284"/>
      <c r="P2" s="284"/>
      <c r="Q2" s="284"/>
      <c r="R2" s="28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</row>
    <row r="3" spans="1:34" x14ac:dyDescent="0.25">
      <c r="A3" s="55"/>
      <c r="B3" s="286"/>
      <c r="C3" s="259"/>
      <c r="D3" s="259"/>
      <c r="E3" s="259"/>
      <c r="F3" s="259"/>
      <c r="G3" s="259"/>
      <c r="H3" s="259"/>
      <c r="I3" s="259"/>
      <c r="J3" s="259"/>
      <c r="K3" s="259"/>
      <c r="L3" s="259"/>
      <c r="M3" s="259"/>
      <c r="N3" s="259"/>
      <c r="O3" s="259"/>
      <c r="P3" s="259"/>
      <c r="Q3" s="259"/>
      <c r="R3" s="287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</row>
    <row r="4" spans="1:34" x14ac:dyDescent="0.25">
      <c r="A4" s="55"/>
      <c r="B4" s="286"/>
      <c r="C4" s="259"/>
      <c r="D4" s="259"/>
      <c r="E4" s="259"/>
      <c r="F4" s="259"/>
      <c r="G4" s="259"/>
      <c r="H4" s="259"/>
      <c r="I4" s="259"/>
      <c r="J4" s="259"/>
      <c r="K4" s="259"/>
      <c r="L4" s="259"/>
      <c r="M4" s="259"/>
      <c r="N4" s="259"/>
      <c r="O4" s="259"/>
      <c r="P4" s="259"/>
      <c r="Q4" s="259"/>
      <c r="R4" s="287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</row>
    <row r="5" spans="1:34" x14ac:dyDescent="0.25">
      <c r="A5" s="55"/>
      <c r="B5" s="286"/>
      <c r="C5" s="259"/>
      <c r="D5" s="259"/>
      <c r="E5" s="259"/>
      <c r="F5" s="259"/>
      <c r="G5" s="259"/>
      <c r="H5" s="259"/>
      <c r="I5" s="259"/>
      <c r="J5" s="259"/>
      <c r="K5" s="259"/>
      <c r="L5" s="259"/>
      <c r="M5" s="259"/>
      <c r="N5" s="259"/>
      <c r="O5" s="259"/>
      <c r="P5" s="259"/>
      <c r="Q5" s="259"/>
      <c r="R5" s="287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5"/>
    </row>
    <row r="6" spans="1:34" ht="15.75" thickBot="1" x14ac:dyDescent="0.3">
      <c r="A6" s="55"/>
      <c r="B6" s="288"/>
      <c r="C6" s="289"/>
      <c r="D6" s="289"/>
      <c r="E6" s="289"/>
      <c r="F6" s="289"/>
      <c r="G6" s="289"/>
      <c r="H6" s="289"/>
      <c r="I6" s="289"/>
      <c r="J6" s="289"/>
      <c r="K6" s="289"/>
      <c r="L6" s="289"/>
      <c r="M6" s="289"/>
      <c r="N6" s="289"/>
      <c r="O6" s="289"/>
      <c r="P6" s="289"/>
      <c r="Q6" s="289"/>
      <c r="R6" s="290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</row>
    <row r="7" spans="1:34" x14ac:dyDescent="0.25">
      <c r="A7" s="55"/>
      <c r="B7" s="55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  <c r="AH7" s="55"/>
    </row>
    <row r="8" spans="1:34" ht="15" customHeight="1" x14ac:dyDescent="0.25">
      <c r="A8" s="55"/>
      <c r="B8" s="303"/>
      <c r="C8" s="303"/>
      <c r="D8" s="303"/>
      <c r="E8" s="303"/>
      <c r="F8" s="303"/>
      <c r="G8" s="303"/>
      <c r="H8" s="303"/>
      <c r="I8" s="303"/>
      <c r="J8" s="303"/>
      <c r="K8" s="303"/>
      <c r="L8" s="303"/>
      <c r="M8" s="303"/>
      <c r="N8" s="303"/>
      <c r="O8" s="303"/>
      <c r="P8" s="303"/>
      <c r="Q8" s="303"/>
      <c r="R8" s="303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  <c r="AH8" s="55"/>
    </row>
    <row r="9" spans="1:34" ht="15" customHeight="1" x14ac:dyDescent="0.25">
      <c r="A9" s="55"/>
      <c r="B9" s="303"/>
      <c r="C9" s="303"/>
      <c r="D9" s="303"/>
      <c r="E9" s="303"/>
      <c r="F9" s="303"/>
      <c r="G9" s="303"/>
      <c r="H9" s="303"/>
      <c r="I9" s="303"/>
      <c r="J9" s="303"/>
      <c r="K9" s="303"/>
      <c r="L9" s="303"/>
      <c r="M9" s="303"/>
      <c r="N9" s="303"/>
      <c r="O9" s="303"/>
      <c r="P9" s="303"/>
      <c r="Q9" s="303"/>
      <c r="R9" s="303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5"/>
      <c r="AH9" s="55"/>
    </row>
    <row r="10" spans="1:34" ht="15" customHeight="1" x14ac:dyDescent="0.25">
      <c r="A10" s="55"/>
      <c r="B10" s="303"/>
      <c r="C10" s="303"/>
      <c r="D10" s="303"/>
      <c r="E10" s="303"/>
      <c r="F10" s="303"/>
      <c r="G10" s="303"/>
      <c r="H10" s="303"/>
      <c r="I10" s="303"/>
      <c r="J10" s="303"/>
      <c r="K10" s="303"/>
      <c r="L10" s="303"/>
      <c r="M10" s="303"/>
      <c r="N10" s="303"/>
      <c r="O10" s="303"/>
      <c r="P10" s="303"/>
      <c r="Q10" s="303"/>
      <c r="R10" s="303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5"/>
      <c r="AH10" s="55"/>
    </row>
    <row r="11" spans="1:34" ht="15" customHeight="1" x14ac:dyDescent="0.25">
      <c r="A11" s="55"/>
      <c r="B11" s="303"/>
      <c r="C11" s="303"/>
      <c r="D11" s="303"/>
      <c r="E11" s="303"/>
      <c r="F11" s="303"/>
      <c r="G11" s="303"/>
      <c r="H11" s="303"/>
      <c r="I11" s="303"/>
      <c r="J11" s="303"/>
      <c r="K11" s="303"/>
      <c r="L11" s="303"/>
      <c r="M11" s="303"/>
      <c r="N11" s="303"/>
      <c r="O11" s="303"/>
      <c r="P11" s="303"/>
      <c r="Q11" s="303"/>
      <c r="R11" s="303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5"/>
    </row>
    <row r="12" spans="1:34" ht="15" customHeight="1" x14ac:dyDescent="0.25">
      <c r="A12" s="55"/>
      <c r="B12" s="303"/>
      <c r="C12" s="303"/>
      <c r="D12" s="303"/>
      <c r="E12" s="303"/>
      <c r="F12" s="303"/>
      <c r="G12" s="303"/>
      <c r="H12" s="303"/>
      <c r="I12" s="303"/>
      <c r="J12" s="303"/>
      <c r="K12" s="303"/>
      <c r="L12" s="303"/>
      <c r="M12" s="303"/>
      <c r="N12" s="303"/>
      <c r="O12" s="303"/>
      <c r="P12" s="303"/>
      <c r="Q12" s="303"/>
      <c r="R12" s="303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5"/>
      <c r="AH12" s="55"/>
    </row>
    <row r="13" spans="1:34" ht="15" customHeight="1" x14ac:dyDescent="0.25">
      <c r="A13" s="55"/>
      <c r="B13" s="303"/>
      <c r="C13" s="303"/>
      <c r="D13" s="303"/>
      <c r="E13" s="303"/>
      <c r="F13" s="303"/>
      <c r="G13" s="303"/>
      <c r="H13" s="303"/>
      <c r="I13" s="303"/>
      <c r="J13" s="303"/>
      <c r="K13" s="303"/>
      <c r="L13" s="303"/>
      <c r="M13" s="303"/>
      <c r="N13" s="303"/>
      <c r="O13" s="303"/>
      <c r="P13" s="303"/>
      <c r="Q13" s="303"/>
      <c r="R13" s="303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5"/>
      <c r="AH13" s="55"/>
    </row>
    <row r="14" spans="1:34" ht="15" customHeight="1" x14ac:dyDescent="0.25">
      <c r="A14" s="55"/>
      <c r="B14" s="303"/>
      <c r="C14" s="303"/>
      <c r="D14" s="303"/>
      <c r="E14" s="303"/>
      <c r="F14" s="303"/>
      <c r="G14" s="303"/>
      <c r="H14" s="303"/>
      <c r="I14" s="303"/>
      <c r="J14" s="303"/>
      <c r="K14" s="303"/>
      <c r="L14" s="303"/>
      <c r="M14" s="303"/>
      <c r="N14" s="303"/>
      <c r="O14" s="303"/>
      <c r="P14" s="303"/>
      <c r="Q14" s="303"/>
      <c r="R14" s="303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5"/>
      <c r="AH14" s="55"/>
    </row>
    <row r="15" spans="1:34" ht="15" customHeight="1" x14ac:dyDescent="0.25">
      <c r="A15" s="55"/>
      <c r="B15" s="303"/>
      <c r="C15" s="303"/>
      <c r="D15" s="303"/>
      <c r="E15" s="303"/>
      <c r="F15" s="303"/>
      <c r="G15" s="303"/>
      <c r="H15" s="303"/>
      <c r="I15" s="303"/>
      <c r="J15" s="303"/>
      <c r="K15" s="303"/>
      <c r="L15" s="303"/>
      <c r="M15" s="303"/>
      <c r="N15" s="303"/>
      <c r="O15" s="303"/>
      <c r="P15" s="303"/>
      <c r="Q15" s="303"/>
      <c r="R15" s="303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  <c r="AH15" s="55"/>
    </row>
    <row r="16" spans="1:34" ht="15" customHeight="1" thickBot="1" x14ac:dyDescent="0.3">
      <c r="A16" s="55"/>
      <c r="B16" s="303"/>
      <c r="C16" s="303"/>
      <c r="D16" s="303"/>
      <c r="E16" s="303"/>
      <c r="F16" s="303"/>
      <c r="G16" s="303"/>
      <c r="H16" s="303"/>
      <c r="I16" s="303"/>
      <c r="J16" s="303"/>
      <c r="K16" s="303"/>
      <c r="L16" s="303"/>
      <c r="M16" s="303"/>
      <c r="N16" s="303"/>
      <c r="O16" s="303"/>
      <c r="P16" s="303"/>
      <c r="Q16" s="303"/>
      <c r="R16" s="303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  <c r="AH16" s="55"/>
    </row>
    <row r="17" spans="1:34" ht="15" customHeight="1" x14ac:dyDescent="0.25">
      <c r="A17" s="55"/>
      <c r="B17" s="304" t="s">
        <v>122</v>
      </c>
      <c r="C17" s="305"/>
      <c r="D17" s="303"/>
      <c r="E17" s="303"/>
      <c r="F17" s="303"/>
      <c r="G17" s="303"/>
      <c r="H17" s="303"/>
      <c r="I17" s="303"/>
      <c r="J17" s="303"/>
      <c r="K17" s="303"/>
      <c r="L17" s="303"/>
      <c r="M17" s="303"/>
      <c r="N17" s="303"/>
      <c r="O17" s="303"/>
      <c r="P17" s="303"/>
      <c r="Q17" s="303"/>
      <c r="R17" s="303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5"/>
      <c r="AH17" s="55"/>
    </row>
    <row r="18" spans="1:34" ht="15" customHeight="1" x14ac:dyDescent="0.25">
      <c r="A18" s="55"/>
      <c r="B18" s="306"/>
      <c r="C18" s="307"/>
      <c r="D18" s="303"/>
      <c r="E18" s="303"/>
      <c r="F18" s="303"/>
      <c r="G18" s="303"/>
      <c r="H18" s="303"/>
      <c r="I18" s="303"/>
      <c r="J18" s="303"/>
      <c r="K18" s="303"/>
      <c r="L18" s="303"/>
      <c r="M18" s="303"/>
      <c r="N18" s="303"/>
      <c r="O18" s="303"/>
      <c r="P18" s="303"/>
      <c r="Q18" s="303"/>
      <c r="R18" s="303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5"/>
      <c r="AH18" s="55"/>
    </row>
    <row r="19" spans="1:34" ht="15" customHeight="1" x14ac:dyDescent="0.25">
      <c r="A19" s="55"/>
      <c r="B19" s="306"/>
      <c r="C19" s="307"/>
      <c r="D19" s="303"/>
      <c r="E19" s="303"/>
      <c r="F19" s="303"/>
      <c r="G19" s="303"/>
      <c r="H19" s="303"/>
      <c r="I19" s="303"/>
      <c r="J19" s="303"/>
      <c r="K19" s="303"/>
      <c r="L19" s="303"/>
      <c r="M19" s="303"/>
      <c r="N19" s="303"/>
      <c r="O19" s="303"/>
      <c r="P19" s="303"/>
      <c r="Q19" s="303"/>
      <c r="R19" s="303"/>
      <c r="S19" s="55"/>
      <c r="T19" s="55"/>
      <c r="U19" s="55"/>
      <c r="V19" s="55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55"/>
      <c r="AH19" s="55"/>
    </row>
    <row r="20" spans="1:34" ht="15" customHeight="1" x14ac:dyDescent="0.25">
      <c r="A20" s="55"/>
      <c r="B20" s="306"/>
      <c r="C20" s="307"/>
      <c r="D20" s="303"/>
      <c r="E20" s="303"/>
      <c r="F20" s="303"/>
      <c r="G20" s="303"/>
      <c r="H20" s="303"/>
      <c r="I20" s="303"/>
      <c r="J20" s="303"/>
      <c r="K20" s="303"/>
      <c r="L20" s="303"/>
      <c r="M20" s="303"/>
      <c r="N20" s="303"/>
      <c r="O20" s="303"/>
      <c r="P20" s="303"/>
      <c r="Q20" s="303"/>
      <c r="R20" s="303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  <c r="AH20" s="55"/>
    </row>
    <row r="21" spans="1:34" ht="15" customHeight="1" thickBot="1" x14ac:dyDescent="0.3">
      <c r="A21" s="55"/>
      <c r="B21" s="308"/>
      <c r="C21" s="309"/>
      <c r="D21" s="303"/>
      <c r="E21" s="303"/>
      <c r="F21" s="303"/>
      <c r="G21" s="303"/>
      <c r="H21" s="303"/>
      <c r="I21" s="303"/>
      <c r="J21" s="303"/>
      <c r="K21" s="303"/>
      <c r="L21" s="303"/>
      <c r="M21" s="303"/>
      <c r="N21" s="303"/>
      <c r="O21" s="303"/>
      <c r="P21" s="303"/>
      <c r="Q21" s="303"/>
      <c r="R21" s="303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</row>
    <row r="22" spans="1:34" ht="15" customHeight="1" x14ac:dyDescent="0.25">
      <c r="A22" s="55"/>
      <c r="B22" s="303"/>
      <c r="C22" s="303"/>
      <c r="D22" s="303"/>
      <c r="E22" s="303"/>
      <c r="F22" s="303"/>
      <c r="G22" s="303"/>
      <c r="H22" s="303"/>
      <c r="I22" s="303"/>
      <c r="J22" s="303"/>
      <c r="K22" s="303"/>
      <c r="L22" s="303"/>
      <c r="M22" s="303"/>
      <c r="N22" s="303"/>
      <c r="O22" s="303"/>
      <c r="P22" s="303"/>
      <c r="Q22" s="303"/>
      <c r="R22" s="303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55"/>
    </row>
    <row r="23" spans="1:34" ht="15" customHeight="1" x14ac:dyDescent="0.25">
      <c r="A23" s="55"/>
      <c r="B23" s="303"/>
      <c r="C23" s="303"/>
      <c r="D23" s="303"/>
      <c r="E23" s="303"/>
      <c r="F23" s="303"/>
      <c r="G23" s="303"/>
      <c r="H23" s="303"/>
      <c r="I23" s="303"/>
      <c r="J23" s="303"/>
      <c r="K23" s="303"/>
      <c r="L23" s="303"/>
      <c r="M23" s="303"/>
      <c r="N23" s="303"/>
      <c r="O23" s="303"/>
      <c r="P23" s="303"/>
      <c r="Q23" s="303"/>
      <c r="R23" s="303"/>
      <c r="S23" s="55"/>
      <c r="T23" s="55"/>
      <c r="U23" s="55"/>
      <c r="V23" s="55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  <c r="AH23" s="55"/>
    </row>
    <row r="24" spans="1:34" ht="15" customHeight="1" x14ac:dyDescent="0.25">
      <c r="A24" s="55"/>
      <c r="B24" s="303"/>
      <c r="C24" s="303"/>
      <c r="D24" s="303"/>
      <c r="E24" s="303"/>
      <c r="F24" s="303"/>
      <c r="G24" s="303"/>
      <c r="H24" s="303"/>
      <c r="I24" s="303"/>
      <c r="J24" s="303"/>
      <c r="K24" s="303"/>
      <c r="L24" s="303"/>
      <c r="M24" s="303"/>
      <c r="N24" s="303"/>
      <c r="O24" s="303"/>
      <c r="P24" s="303"/>
      <c r="Q24" s="303"/>
      <c r="R24" s="303"/>
      <c r="S24" s="55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55"/>
    </row>
    <row r="25" spans="1:34" ht="15" customHeight="1" x14ac:dyDescent="0.25">
      <c r="A25" s="55"/>
      <c r="B25" s="303"/>
      <c r="C25" s="303"/>
      <c r="D25" s="303"/>
      <c r="E25" s="303"/>
      <c r="F25" s="303"/>
      <c r="G25" s="303"/>
      <c r="H25" s="303"/>
      <c r="I25" s="303"/>
      <c r="J25" s="303"/>
      <c r="K25" s="303"/>
      <c r="L25" s="303"/>
      <c r="M25" s="303"/>
      <c r="N25" s="303"/>
      <c r="O25" s="303"/>
      <c r="P25" s="303"/>
      <c r="Q25" s="303"/>
      <c r="R25" s="303"/>
      <c r="S25" s="55"/>
      <c r="T25" s="55"/>
      <c r="U25" s="55"/>
      <c r="V25" s="55"/>
      <c r="W25" s="55"/>
      <c r="X25" s="55"/>
      <c r="Y25" s="55"/>
      <c r="Z25" s="55"/>
      <c r="AA25" s="55"/>
      <c r="AB25" s="55"/>
      <c r="AC25" s="55"/>
      <c r="AD25" s="55"/>
      <c r="AE25" s="55"/>
      <c r="AF25" s="55"/>
      <c r="AG25" s="55"/>
      <c r="AH25" s="55"/>
    </row>
    <row r="26" spans="1:34" ht="15" customHeight="1" x14ac:dyDescent="0.25">
      <c r="A26" s="55"/>
      <c r="B26" s="303"/>
      <c r="C26" s="303"/>
      <c r="D26" s="303"/>
      <c r="E26" s="303"/>
      <c r="F26" s="303"/>
      <c r="G26" s="303"/>
      <c r="H26" s="303"/>
      <c r="I26" s="303"/>
      <c r="J26" s="303"/>
      <c r="K26" s="303"/>
      <c r="L26" s="303"/>
      <c r="M26" s="303"/>
      <c r="N26" s="303"/>
      <c r="O26" s="303"/>
      <c r="P26" s="303"/>
      <c r="Q26" s="303"/>
      <c r="R26" s="303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</row>
    <row r="27" spans="1:34" ht="15" customHeight="1" x14ac:dyDescent="0.25">
      <c r="A27" s="55"/>
      <c r="B27" s="303"/>
      <c r="C27" s="303"/>
      <c r="D27" s="303"/>
      <c r="E27" s="303"/>
      <c r="F27" s="303"/>
      <c r="G27" s="303"/>
      <c r="H27" s="303"/>
      <c r="I27" s="303"/>
      <c r="J27" s="303"/>
      <c r="K27" s="303"/>
      <c r="L27" s="303"/>
      <c r="M27" s="303"/>
      <c r="N27" s="303"/>
      <c r="O27" s="303"/>
      <c r="P27" s="303"/>
      <c r="Q27" s="303"/>
      <c r="R27" s="303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</row>
    <row r="28" spans="1:34" x14ac:dyDescent="0.25">
      <c r="A28" s="55"/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  <c r="AH28" s="55"/>
    </row>
    <row r="29" spans="1:34" x14ac:dyDescent="0.25">
      <c r="A29" s="55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  <c r="AH29" s="55"/>
    </row>
    <row r="30" spans="1:34" x14ac:dyDescent="0.25">
      <c r="A30" s="55"/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  <c r="AH30" s="55"/>
    </row>
    <row r="31" spans="1:34" x14ac:dyDescent="0.25">
      <c r="A31" s="55"/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55"/>
    </row>
    <row r="32" spans="1:34" x14ac:dyDescent="0.25">
      <c r="A32" s="55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</row>
    <row r="33" spans="1:34" x14ac:dyDescent="0.25">
      <c r="A33" s="55"/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</row>
    <row r="34" spans="1:34" x14ac:dyDescent="0.25">
      <c r="A34" s="55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  <c r="AH34" s="55"/>
    </row>
    <row r="35" spans="1:34" x14ac:dyDescent="0.25">
      <c r="A35" s="55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</row>
    <row r="36" spans="1:34" x14ac:dyDescent="0.25">
      <c r="A36" s="55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  <c r="AH36" s="55"/>
    </row>
    <row r="37" spans="1:34" x14ac:dyDescent="0.25">
      <c r="A37" s="55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/>
    </row>
    <row r="38" spans="1:34" x14ac:dyDescent="0.25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</row>
    <row r="39" spans="1:34" x14ac:dyDescent="0.25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  <c r="AH39" s="55"/>
    </row>
    <row r="40" spans="1:34" x14ac:dyDescent="0.25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5"/>
      <c r="AA40" s="55"/>
      <c r="AB40" s="55"/>
      <c r="AC40" s="55"/>
      <c r="AD40" s="55"/>
      <c r="AE40" s="55"/>
      <c r="AF40" s="55"/>
      <c r="AG40" s="55"/>
      <c r="AH40" s="55"/>
    </row>
    <row r="41" spans="1:34" x14ac:dyDescent="0.25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55"/>
      <c r="AA41" s="55"/>
      <c r="AB41" s="55"/>
      <c r="AC41" s="55"/>
      <c r="AD41" s="55"/>
      <c r="AE41" s="55"/>
      <c r="AF41" s="55"/>
      <c r="AG41" s="55"/>
      <c r="AH41" s="55"/>
    </row>
    <row r="42" spans="1:34" x14ac:dyDescent="0.25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55"/>
      <c r="AH42" s="55"/>
    </row>
    <row r="43" spans="1:34" x14ac:dyDescent="0.25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55"/>
      <c r="AH43" s="55"/>
    </row>
    <row r="44" spans="1:34" x14ac:dyDescent="0.25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5"/>
      <c r="AA44" s="55"/>
      <c r="AB44" s="55"/>
      <c r="AC44" s="55"/>
      <c r="AD44" s="55"/>
      <c r="AE44" s="55"/>
      <c r="AF44" s="55"/>
      <c r="AG44" s="55"/>
      <c r="AH44" s="55"/>
    </row>
    <row r="45" spans="1:34" x14ac:dyDescent="0.25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5"/>
      <c r="AH45" s="55"/>
    </row>
    <row r="46" spans="1:34" x14ac:dyDescent="0.2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5"/>
      <c r="AH46" s="55"/>
    </row>
    <row r="47" spans="1:34" x14ac:dyDescent="0.2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55"/>
      <c r="AH47" s="55"/>
    </row>
    <row r="48" spans="1:34" x14ac:dyDescent="0.25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  <c r="AH48" s="55"/>
    </row>
    <row r="49" spans="1:34" x14ac:dyDescent="0.25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55"/>
      <c r="AH49" s="55"/>
    </row>
    <row r="50" spans="1:34" x14ac:dyDescent="0.25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55"/>
      <c r="Z50" s="55"/>
      <c r="AA50" s="55"/>
      <c r="AB50" s="55"/>
      <c r="AC50" s="55"/>
      <c r="AD50" s="55"/>
      <c r="AE50" s="55"/>
      <c r="AF50" s="55"/>
      <c r="AG50" s="55"/>
      <c r="AH50" s="55"/>
    </row>
    <row r="51" spans="1:34" x14ac:dyDescent="0.25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55"/>
      <c r="AH51" s="55"/>
    </row>
    <row r="52" spans="1:34" x14ac:dyDescent="0.25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  <c r="AH52" s="55"/>
    </row>
    <row r="53" spans="1:34" x14ac:dyDescent="0.25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  <c r="AH53" s="55"/>
    </row>
    <row r="54" spans="1:34" x14ac:dyDescent="0.25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55"/>
      <c r="AF54" s="55"/>
      <c r="AG54" s="55"/>
      <c r="AH54" s="55"/>
    </row>
    <row r="55" spans="1:34" x14ac:dyDescent="0.2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55"/>
    </row>
    <row r="56" spans="1:34" x14ac:dyDescent="0.2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55"/>
    </row>
    <row r="57" spans="1:34" x14ac:dyDescent="0.2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  <c r="AH57" s="55"/>
    </row>
    <row r="58" spans="1:34" x14ac:dyDescent="0.25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55"/>
      <c r="AE58" s="55"/>
      <c r="AF58" s="55"/>
      <c r="AG58" s="55"/>
      <c r="AH58" s="55"/>
    </row>
    <row r="59" spans="1:34" x14ac:dyDescent="0.25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55"/>
      <c r="AE59" s="55"/>
      <c r="AF59" s="55"/>
      <c r="AG59" s="55"/>
      <c r="AH59" s="55"/>
    </row>
    <row r="60" spans="1:34" x14ac:dyDescent="0.25">
      <c r="A60" s="55"/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55"/>
      <c r="AE60" s="55"/>
      <c r="AF60" s="55"/>
      <c r="AG60" s="55"/>
      <c r="AH60" s="55"/>
    </row>
    <row r="61" spans="1:34" x14ac:dyDescent="0.25">
      <c r="A61" s="55"/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55"/>
      <c r="AE61" s="55"/>
      <c r="AF61" s="55"/>
      <c r="AG61" s="55"/>
      <c r="AH61" s="55"/>
    </row>
    <row r="62" spans="1:34" x14ac:dyDescent="0.25">
      <c r="A62" s="55"/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5"/>
      <c r="AD62" s="55"/>
      <c r="AE62" s="55"/>
      <c r="AF62" s="55"/>
      <c r="AG62" s="55"/>
      <c r="AH62" s="55"/>
    </row>
    <row r="63" spans="1:34" x14ac:dyDescent="0.25">
      <c r="A63" s="55"/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55"/>
      <c r="AE63" s="55"/>
      <c r="AF63" s="55"/>
      <c r="AG63" s="55"/>
      <c r="AH63" s="55"/>
    </row>
    <row r="64" spans="1:34" x14ac:dyDescent="0.25">
      <c r="A64" s="55"/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  <c r="AH64" s="55"/>
    </row>
    <row r="65" spans="1:34" x14ac:dyDescent="0.25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55"/>
      <c r="AE65" s="55"/>
      <c r="AF65" s="55"/>
      <c r="AG65" s="55"/>
      <c r="AH65" s="55"/>
    </row>
    <row r="66" spans="1:34" x14ac:dyDescent="0.25">
      <c r="A66" s="55"/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5"/>
      <c r="AA66" s="55"/>
      <c r="AB66" s="55"/>
      <c r="AC66" s="55"/>
      <c r="AD66" s="55"/>
      <c r="AE66" s="55"/>
      <c r="AF66" s="55"/>
      <c r="AG66" s="55"/>
      <c r="AH66" s="55"/>
    </row>
    <row r="67" spans="1:34" x14ac:dyDescent="0.25">
      <c r="A67" s="55"/>
      <c r="B67" s="55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5"/>
      <c r="AA67" s="55"/>
      <c r="AB67" s="55"/>
      <c r="AC67" s="55"/>
      <c r="AD67" s="55"/>
      <c r="AE67" s="55"/>
      <c r="AF67" s="55"/>
      <c r="AG67" s="55"/>
      <c r="AH67" s="55"/>
    </row>
    <row r="68" spans="1:34" x14ac:dyDescent="0.25">
      <c r="A68" s="55"/>
      <c r="B68" s="55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5"/>
      <c r="AA68" s="55"/>
      <c r="AB68" s="55"/>
      <c r="AC68" s="55"/>
      <c r="AD68" s="55"/>
      <c r="AE68" s="55"/>
      <c r="AF68" s="55"/>
      <c r="AG68" s="55"/>
      <c r="AH68" s="55"/>
    </row>
    <row r="69" spans="1:34" x14ac:dyDescent="0.25">
      <c r="A69" s="55"/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5"/>
      <c r="AA69" s="55"/>
      <c r="AB69" s="55"/>
      <c r="AC69" s="55"/>
      <c r="AD69" s="55"/>
      <c r="AE69" s="55"/>
      <c r="AF69" s="55"/>
      <c r="AG69" s="55"/>
      <c r="AH69" s="55"/>
    </row>
    <row r="70" spans="1:34" x14ac:dyDescent="0.25">
      <c r="A70" s="55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5"/>
      <c r="X70" s="55"/>
      <c r="Y70" s="55"/>
      <c r="Z70" s="55"/>
      <c r="AA70" s="55"/>
      <c r="AB70" s="55"/>
      <c r="AC70" s="55"/>
      <c r="AD70" s="55"/>
      <c r="AE70" s="55"/>
      <c r="AF70" s="55"/>
      <c r="AG70" s="55"/>
      <c r="AH70" s="55"/>
    </row>
    <row r="71" spans="1:34" x14ac:dyDescent="0.25">
      <c r="A71" s="55"/>
      <c r="B71" s="55"/>
      <c r="C71" s="55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5"/>
      <c r="AA71" s="55"/>
      <c r="AB71" s="55"/>
      <c r="AC71" s="55"/>
      <c r="AD71" s="55"/>
      <c r="AE71" s="55"/>
      <c r="AF71" s="55"/>
      <c r="AG71" s="55"/>
      <c r="AH71" s="55"/>
    </row>
    <row r="72" spans="1:34" x14ac:dyDescent="0.25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5"/>
      <c r="AA72" s="55"/>
      <c r="AB72" s="55"/>
      <c r="AC72" s="55"/>
      <c r="AD72" s="55"/>
      <c r="AE72" s="55"/>
      <c r="AF72" s="55"/>
      <c r="AG72" s="55"/>
      <c r="AH72" s="55"/>
    </row>
    <row r="73" spans="1:34" x14ac:dyDescent="0.25">
      <c r="A73" s="55"/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5"/>
      <c r="AA73" s="55"/>
      <c r="AB73" s="55"/>
      <c r="AC73" s="55"/>
      <c r="AD73" s="55"/>
      <c r="AE73" s="55"/>
      <c r="AF73" s="55"/>
      <c r="AG73" s="55"/>
      <c r="AH73" s="55"/>
    </row>
    <row r="74" spans="1:34" x14ac:dyDescent="0.25">
      <c r="A74" s="55"/>
      <c r="B74" s="55"/>
      <c r="C74" s="55"/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5"/>
      <c r="AA74" s="55"/>
      <c r="AB74" s="55"/>
      <c r="AC74" s="55"/>
      <c r="AD74" s="55"/>
      <c r="AE74" s="55"/>
      <c r="AF74" s="55"/>
      <c r="AG74" s="55"/>
      <c r="AH74" s="55"/>
    </row>
    <row r="75" spans="1:34" x14ac:dyDescent="0.25">
      <c r="A75" s="55"/>
      <c r="B75" s="55"/>
      <c r="C75" s="55"/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5"/>
      <c r="AG75" s="55"/>
      <c r="AH75" s="55"/>
    </row>
    <row r="76" spans="1:34" x14ac:dyDescent="0.25">
      <c r="A76" s="55"/>
      <c r="B76" s="55"/>
      <c r="C76" s="55"/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/>
      <c r="AC76" s="55"/>
      <c r="AD76" s="55"/>
      <c r="AE76" s="55"/>
      <c r="AF76" s="55"/>
      <c r="AG76" s="55"/>
      <c r="AH76" s="55"/>
    </row>
    <row r="77" spans="1:34" x14ac:dyDescent="0.25">
      <c r="A77" s="55"/>
      <c r="B77" s="55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5"/>
      <c r="AA77" s="55"/>
      <c r="AB77" s="55"/>
      <c r="AC77" s="55"/>
      <c r="AD77" s="55"/>
      <c r="AE77" s="55"/>
      <c r="AF77" s="55"/>
      <c r="AG77" s="55"/>
      <c r="AH77" s="55"/>
    </row>
    <row r="78" spans="1:34" x14ac:dyDescent="0.25">
      <c r="A78" s="55"/>
      <c r="B78" s="55"/>
      <c r="C78" s="55"/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5"/>
      <c r="AA78" s="55"/>
      <c r="AB78" s="55"/>
      <c r="AC78" s="55"/>
      <c r="AD78" s="55"/>
      <c r="AE78" s="55"/>
      <c r="AF78" s="55"/>
      <c r="AG78" s="55"/>
      <c r="AH78" s="55"/>
    </row>
    <row r="79" spans="1:34" x14ac:dyDescent="0.25">
      <c r="A79" s="55"/>
      <c r="B79" s="55"/>
      <c r="C79" s="55"/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55"/>
      <c r="AE79" s="55"/>
      <c r="AF79" s="55"/>
      <c r="AG79" s="55"/>
      <c r="AH79" s="55"/>
    </row>
    <row r="80" spans="1:34" x14ac:dyDescent="0.25">
      <c r="A80" s="55"/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/>
      <c r="AC80" s="55"/>
      <c r="AD80" s="55"/>
      <c r="AE80" s="55"/>
      <c r="AF80" s="55"/>
      <c r="AG80" s="55"/>
      <c r="AH80" s="55"/>
    </row>
    <row r="81" spans="1:34" x14ac:dyDescent="0.25">
      <c r="A81" s="55"/>
      <c r="B81" s="55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5"/>
      <c r="AA81" s="55"/>
      <c r="AB81" s="55"/>
      <c r="AC81" s="55"/>
      <c r="AD81" s="55"/>
      <c r="AE81" s="55"/>
      <c r="AF81" s="55"/>
      <c r="AG81" s="55"/>
      <c r="AH81" s="55"/>
    </row>
    <row r="82" spans="1:34" x14ac:dyDescent="0.25">
      <c r="A82" s="55"/>
      <c r="B82" s="55"/>
      <c r="C82" s="55"/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5"/>
      <c r="AA82" s="55"/>
      <c r="AB82" s="55"/>
      <c r="AC82" s="55"/>
      <c r="AD82" s="55"/>
      <c r="AE82" s="55"/>
      <c r="AF82" s="55"/>
      <c r="AG82" s="55"/>
      <c r="AH82" s="55"/>
    </row>
    <row r="83" spans="1:34" x14ac:dyDescent="0.25">
      <c r="A83" s="55"/>
      <c r="B83" s="55"/>
      <c r="C83" s="55"/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55"/>
      <c r="P83" s="55"/>
      <c r="Q83" s="55"/>
      <c r="R83" s="55"/>
      <c r="S83" s="55"/>
      <c r="T83" s="55"/>
      <c r="U83" s="55"/>
      <c r="V83" s="55"/>
      <c r="W83" s="55"/>
      <c r="X83" s="55"/>
      <c r="Y83" s="55"/>
      <c r="Z83" s="55"/>
      <c r="AA83" s="55"/>
      <c r="AB83" s="55"/>
      <c r="AC83" s="55"/>
      <c r="AD83" s="55"/>
      <c r="AE83" s="55"/>
      <c r="AF83" s="55"/>
      <c r="AG83" s="55"/>
      <c r="AH83" s="55"/>
    </row>
    <row r="84" spans="1:34" x14ac:dyDescent="0.25">
      <c r="S84" s="55"/>
      <c r="T84" s="55"/>
      <c r="U84" s="55"/>
      <c r="V84" s="55"/>
      <c r="W84" s="55"/>
      <c r="X84" s="55"/>
      <c r="Y84" s="55"/>
      <c r="Z84" s="55"/>
      <c r="AA84" s="55"/>
      <c r="AB84" s="55"/>
      <c r="AC84" s="55"/>
      <c r="AD84" s="55"/>
      <c r="AE84" s="55"/>
      <c r="AF84" s="55"/>
      <c r="AG84" s="55"/>
      <c r="AH84" s="55"/>
    </row>
    <row r="85" spans="1:34" x14ac:dyDescent="0.25">
      <c r="S85" s="55"/>
      <c r="T85" s="55"/>
      <c r="U85" s="55"/>
      <c r="V85" s="55"/>
      <c r="W85" s="55"/>
      <c r="X85" s="55"/>
      <c r="Y85" s="55"/>
      <c r="Z85" s="55"/>
      <c r="AA85" s="55"/>
      <c r="AB85" s="55"/>
      <c r="AC85" s="55"/>
      <c r="AD85" s="55"/>
      <c r="AE85" s="55"/>
      <c r="AF85" s="55"/>
      <c r="AG85" s="55"/>
      <c r="AH85" s="55"/>
    </row>
    <row r="86" spans="1:34" x14ac:dyDescent="0.25">
      <c r="S86" s="55"/>
      <c r="T86" s="55"/>
      <c r="U86" s="55"/>
      <c r="V86" s="55"/>
      <c r="W86" s="55"/>
      <c r="X86" s="55"/>
      <c r="Y86" s="55"/>
      <c r="Z86" s="55"/>
      <c r="AA86" s="55"/>
      <c r="AB86" s="55"/>
      <c r="AC86" s="55"/>
      <c r="AD86" s="55"/>
      <c r="AE86" s="55"/>
      <c r="AF86" s="55"/>
      <c r="AG86" s="55"/>
      <c r="AH86" s="55"/>
    </row>
    <row r="87" spans="1:34" x14ac:dyDescent="0.25"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  <c r="AH87" s="55"/>
    </row>
    <row r="88" spans="1:34" x14ac:dyDescent="0.25">
      <c r="S88" s="55"/>
      <c r="T88" s="55"/>
      <c r="U88" s="55"/>
      <c r="V88" s="55"/>
      <c r="W88" s="55"/>
      <c r="X88" s="55"/>
      <c r="Y88" s="55"/>
      <c r="Z88" s="55"/>
      <c r="AA88" s="55"/>
      <c r="AB88" s="55"/>
      <c r="AC88" s="55"/>
      <c r="AD88" s="55"/>
      <c r="AE88" s="55"/>
      <c r="AF88" s="55"/>
      <c r="AG88" s="55"/>
      <c r="AH88" s="55"/>
    </row>
    <row r="89" spans="1:34" x14ac:dyDescent="0.25">
      <c r="S89" s="55"/>
      <c r="T89" s="55"/>
      <c r="U89" s="55"/>
      <c r="V89" s="55"/>
      <c r="W89" s="55"/>
      <c r="X89" s="55"/>
      <c r="Y89" s="55"/>
      <c r="Z89" s="55"/>
      <c r="AA89" s="55"/>
      <c r="AB89" s="55"/>
      <c r="AC89" s="55"/>
      <c r="AD89" s="55"/>
      <c r="AE89" s="55"/>
      <c r="AF89" s="55"/>
      <c r="AG89" s="55"/>
      <c r="AH89" s="55"/>
    </row>
    <row r="90" spans="1:34" x14ac:dyDescent="0.25">
      <c r="S90" s="55"/>
      <c r="T90" s="55"/>
      <c r="U90" s="55"/>
      <c r="V90" s="55"/>
      <c r="W90" s="55"/>
      <c r="X90" s="55"/>
      <c r="Y90" s="55"/>
      <c r="Z90" s="55"/>
      <c r="AA90" s="55"/>
      <c r="AB90" s="55"/>
      <c r="AC90" s="55"/>
      <c r="AD90" s="55"/>
      <c r="AE90" s="55"/>
      <c r="AF90" s="55"/>
      <c r="AG90" s="55"/>
      <c r="AH90" s="55"/>
    </row>
    <row r="91" spans="1:34" x14ac:dyDescent="0.25">
      <c r="S91" s="55"/>
      <c r="T91" s="55"/>
      <c r="U91" s="55"/>
      <c r="V91" s="55"/>
      <c r="W91" s="55"/>
      <c r="X91" s="55"/>
      <c r="Y91" s="55"/>
      <c r="Z91" s="55"/>
      <c r="AA91" s="55"/>
      <c r="AB91" s="55"/>
      <c r="AC91" s="55"/>
      <c r="AD91" s="55"/>
      <c r="AE91" s="55"/>
      <c r="AF91" s="55"/>
      <c r="AG91" s="55"/>
      <c r="AH91" s="55"/>
    </row>
    <row r="92" spans="1:34" x14ac:dyDescent="0.25">
      <c r="S92" s="55"/>
      <c r="T92" s="55"/>
      <c r="U92" s="55"/>
      <c r="V92" s="55"/>
      <c r="W92" s="55"/>
      <c r="X92" s="55"/>
      <c r="Y92" s="55"/>
      <c r="Z92" s="55"/>
      <c r="AA92" s="55"/>
      <c r="AB92" s="55"/>
      <c r="AC92" s="55"/>
      <c r="AD92" s="55"/>
      <c r="AE92" s="55"/>
      <c r="AF92" s="55"/>
      <c r="AG92" s="55"/>
      <c r="AH92" s="55"/>
    </row>
    <row r="93" spans="1:34" x14ac:dyDescent="0.25"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AH93" s="55"/>
    </row>
    <row r="94" spans="1:34" x14ac:dyDescent="0.25"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AH94" s="55"/>
    </row>
    <row r="95" spans="1:34" x14ac:dyDescent="0.25"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AH95" s="55"/>
    </row>
    <row r="96" spans="1:34" x14ac:dyDescent="0.25"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5"/>
      <c r="AG96" s="55"/>
      <c r="AH96" s="55"/>
    </row>
    <row r="97" spans="19:34" x14ac:dyDescent="0.25"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AH97" s="55"/>
    </row>
    <row r="98" spans="19:34" x14ac:dyDescent="0.25"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AH98" s="55"/>
    </row>
    <row r="99" spans="19:34" x14ac:dyDescent="0.25"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  <c r="AH99" s="55"/>
    </row>
    <row r="100" spans="19:34" x14ac:dyDescent="0.25"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  <c r="AH100" s="55"/>
    </row>
    <row r="101" spans="19:34" x14ac:dyDescent="0.25">
      <c r="S101" s="55"/>
      <c r="T101" s="55"/>
      <c r="U101" s="55"/>
      <c r="V101" s="55"/>
      <c r="W101" s="55"/>
      <c r="X101" s="55"/>
      <c r="Y101" s="55"/>
      <c r="Z101" s="55"/>
      <c r="AA101" s="55"/>
      <c r="AB101" s="55"/>
      <c r="AC101" s="55"/>
      <c r="AD101" s="55"/>
      <c r="AE101" s="55"/>
      <c r="AF101" s="55"/>
      <c r="AG101" s="55"/>
      <c r="AH101" s="55"/>
    </row>
    <row r="102" spans="19:34" x14ac:dyDescent="0.25">
      <c r="S102" s="55"/>
      <c r="T102" s="55"/>
      <c r="U102" s="55"/>
      <c r="V102" s="55"/>
      <c r="W102" s="55"/>
      <c r="X102" s="55"/>
      <c r="Y102" s="55"/>
      <c r="Z102" s="55"/>
      <c r="AA102" s="55"/>
      <c r="AB102" s="55"/>
      <c r="AC102" s="55"/>
      <c r="AD102" s="55"/>
      <c r="AE102" s="55"/>
      <c r="AF102" s="55"/>
      <c r="AG102" s="55"/>
      <c r="AH102" s="55"/>
    </row>
    <row r="103" spans="19:34" x14ac:dyDescent="0.25">
      <c r="S103" s="55"/>
      <c r="T103" s="55"/>
      <c r="U103" s="55"/>
      <c r="V103" s="55"/>
      <c r="W103" s="55"/>
      <c r="X103" s="55"/>
      <c r="Y103" s="55"/>
      <c r="Z103" s="55"/>
      <c r="AA103" s="55"/>
      <c r="AB103" s="55"/>
      <c r="AC103" s="55"/>
      <c r="AD103" s="55"/>
      <c r="AE103" s="55"/>
      <c r="AF103" s="55"/>
      <c r="AG103" s="55"/>
      <c r="AH103" s="55"/>
    </row>
    <row r="104" spans="19:34" x14ac:dyDescent="0.25">
      <c r="S104" s="55"/>
      <c r="T104" s="55"/>
      <c r="U104" s="55"/>
      <c r="V104" s="55"/>
      <c r="W104" s="55"/>
      <c r="X104" s="55"/>
      <c r="Y104" s="55"/>
      <c r="Z104" s="55"/>
      <c r="AA104" s="55"/>
      <c r="AB104" s="55"/>
      <c r="AC104" s="55"/>
      <c r="AD104" s="55"/>
      <c r="AE104" s="55"/>
      <c r="AF104" s="55"/>
      <c r="AG104" s="55"/>
      <c r="AH104" s="55"/>
    </row>
    <row r="105" spans="19:34" x14ac:dyDescent="0.25">
      <c r="S105" s="55"/>
      <c r="T105" s="55"/>
      <c r="U105" s="55"/>
      <c r="V105" s="55"/>
      <c r="W105" s="55"/>
      <c r="X105" s="55"/>
      <c r="Y105" s="55"/>
      <c r="Z105" s="55"/>
      <c r="AA105" s="55"/>
      <c r="AB105" s="55"/>
      <c r="AC105" s="55"/>
      <c r="AD105" s="55"/>
      <c r="AE105" s="55"/>
      <c r="AF105" s="55"/>
      <c r="AG105" s="55"/>
      <c r="AH105" s="55"/>
    </row>
    <row r="106" spans="19:34" x14ac:dyDescent="0.25">
      <c r="S106" s="55"/>
      <c r="T106" s="55"/>
      <c r="U106" s="55"/>
      <c r="V106" s="55"/>
      <c r="W106" s="55"/>
      <c r="X106" s="55"/>
      <c r="Y106" s="55"/>
      <c r="Z106" s="55"/>
      <c r="AA106" s="55"/>
      <c r="AB106" s="55"/>
      <c r="AC106" s="55"/>
      <c r="AD106" s="55"/>
      <c r="AE106" s="55"/>
      <c r="AF106" s="55"/>
      <c r="AG106" s="55"/>
      <c r="AH106" s="55"/>
    </row>
    <row r="107" spans="19:34" x14ac:dyDescent="0.25">
      <c r="S107" s="55"/>
      <c r="T107" s="55"/>
      <c r="U107" s="55"/>
      <c r="V107" s="55"/>
      <c r="W107" s="55"/>
      <c r="X107" s="55"/>
      <c r="Y107" s="55"/>
      <c r="Z107" s="55"/>
      <c r="AA107" s="55"/>
      <c r="AB107" s="55"/>
      <c r="AC107" s="55"/>
      <c r="AD107" s="55"/>
      <c r="AE107" s="55"/>
      <c r="AF107" s="55"/>
      <c r="AG107" s="55"/>
      <c r="AH107" s="55"/>
    </row>
    <row r="108" spans="19:34" x14ac:dyDescent="0.25">
      <c r="S108" s="55"/>
      <c r="T108" s="55"/>
      <c r="U108" s="55"/>
      <c r="V108" s="55"/>
      <c r="W108" s="55"/>
      <c r="X108" s="55"/>
      <c r="Y108" s="55"/>
      <c r="Z108" s="55"/>
      <c r="AA108" s="55"/>
      <c r="AB108" s="55"/>
      <c r="AC108" s="55"/>
      <c r="AD108" s="55"/>
      <c r="AE108" s="55"/>
      <c r="AF108" s="55"/>
      <c r="AG108" s="55"/>
      <c r="AH108" s="55"/>
    </row>
    <row r="109" spans="19:34" x14ac:dyDescent="0.25">
      <c r="S109" s="55"/>
      <c r="T109" s="55"/>
      <c r="U109" s="55"/>
      <c r="V109" s="55"/>
      <c r="W109" s="55"/>
      <c r="X109" s="55"/>
      <c r="Y109" s="55"/>
      <c r="Z109" s="55"/>
      <c r="AA109" s="55"/>
      <c r="AB109" s="55"/>
      <c r="AC109" s="55"/>
      <c r="AD109" s="55"/>
      <c r="AE109" s="55"/>
      <c r="AF109" s="55"/>
      <c r="AG109" s="55"/>
      <c r="AH109" s="55"/>
    </row>
    <row r="110" spans="19:34" x14ac:dyDescent="0.25">
      <c r="S110" s="55"/>
      <c r="T110" s="55"/>
      <c r="U110" s="55"/>
      <c r="V110" s="55"/>
      <c r="W110" s="55"/>
      <c r="X110" s="55"/>
      <c r="Y110" s="55"/>
      <c r="Z110" s="55"/>
      <c r="AA110" s="55"/>
      <c r="AB110" s="55"/>
      <c r="AC110" s="55"/>
      <c r="AD110" s="55"/>
      <c r="AE110" s="55"/>
      <c r="AF110" s="55"/>
      <c r="AG110" s="55"/>
      <c r="AH110" s="55"/>
    </row>
    <row r="111" spans="19:34" x14ac:dyDescent="0.25">
      <c r="S111" s="55"/>
      <c r="T111" s="55"/>
      <c r="U111" s="55"/>
      <c r="V111" s="55"/>
      <c r="W111" s="55"/>
      <c r="X111" s="55"/>
      <c r="Y111" s="55"/>
      <c r="Z111" s="55"/>
      <c r="AA111" s="55"/>
      <c r="AB111" s="55"/>
      <c r="AC111" s="55"/>
      <c r="AD111" s="55"/>
      <c r="AE111" s="55"/>
      <c r="AF111" s="55"/>
      <c r="AG111" s="55"/>
      <c r="AH111" s="55"/>
    </row>
    <row r="112" spans="19:34" x14ac:dyDescent="0.25">
      <c r="S112" s="55"/>
      <c r="T112" s="55"/>
      <c r="U112" s="55"/>
      <c r="V112" s="55"/>
      <c r="W112" s="55"/>
      <c r="X112" s="55"/>
      <c r="Y112" s="55"/>
      <c r="Z112" s="55"/>
      <c r="AA112" s="55"/>
      <c r="AB112" s="55"/>
      <c r="AC112" s="55"/>
      <c r="AD112" s="55"/>
      <c r="AE112" s="55"/>
      <c r="AF112" s="55"/>
      <c r="AG112" s="55"/>
      <c r="AH112" s="55"/>
    </row>
    <row r="113" spans="19:34" x14ac:dyDescent="0.25">
      <c r="S113" s="55"/>
      <c r="T113" s="55"/>
      <c r="U113" s="55"/>
      <c r="V113" s="55"/>
      <c r="W113" s="55"/>
      <c r="X113" s="55"/>
      <c r="Y113" s="55"/>
      <c r="Z113" s="55"/>
      <c r="AA113" s="55"/>
      <c r="AB113" s="55"/>
      <c r="AC113" s="55"/>
      <c r="AD113" s="55"/>
      <c r="AE113" s="55"/>
      <c r="AF113" s="55"/>
      <c r="AG113" s="55"/>
      <c r="AH113" s="55"/>
    </row>
    <row r="114" spans="19:34" x14ac:dyDescent="0.25"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5"/>
      <c r="AG114" s="55"/>
      <c r="AH114" s="55"/>
    </row>
    <row r="115" spans="19:34" x14ac:dyDescent="0.25"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55"/>
      <c r="AE115" s="55"/>
      <c r="AF115" s="55"/>
      <c r="AG115" s="55"/>
      <c r="AH115" s="55"/>
    </row>
    <row r="116" spans="19:34" x14ac:dyDescent="0.25">
      <c r="S116" s="55"/>
      <c r="T116" s="55"/>
      <c r="U116" s="55"/>
      <c r="V116" s="55"/>
      <c r="W116" s="55"/>
      <c r="X116" s="55"/>
      <c r="Y116" s="55"/>
      <c r="Z116" s="55"/>
      <c r="AA116" s="55"/>
      <c r="AB116" s="55"/>
      <c r="AC116" s="55"/>
      <c r="AD116" s="55"/>
      <c r="AE116" s="55"/>
      <c r="AF116" s="55"/>
      <c r="AG116" s="55"/>
      <c r="AH116" s="55"/>
    </row>
    <row r="117" spans="19:34" x14ac:dyDescent="0.25">
      <c r="S117" s="55"/>
      <c r="T117" s="55"/>
      <c r="U117" s="55"/>
      <c r="V117" s="55"/>
      <c r="W117" s="55"/>
      <c r="X117" s="55"/>
      <c r="Y117" s="55"/>
      <c r="Z117" s="55"/>
      <c r="AA117" s="55"/>
      <c r="AB117" s="55"/>
      <c r="AC117" s="55"/>
      <c r="AD117" s="55"/>
      <c r="AE117" s="55"/>
      <c r="AF117" s="55"/>
      <c r="AG117" s="55"/>
      <c r="AH117" s="55"/>
    </row>
    <row r="118" spans="19:34" x14ac:dyDescent="0.25"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55"/>
      <c r="AE118" s="55"/>
      <c r="AF118" s="55"/>
      <c r="AG118" s="55"/>
      <c r="AH118" s="55"/>
    </row>
    <row r="119" spans="19:34" x14ac:dyDescent="0.25">
      <c r="S119" s="55"/>
      <c r="T119" s="55"/>
      <c r="U119" s="55"/>
      <c r="V119" s="55"/>
      <c r="W119" s="55"/>
      <c r="X119" s="55"/>
      <c r="Y119" s="55"/>
      <c r="Z119" s="55"/>
      <c r="AA119" s="55"/>
      <c r="AB119" s="55"/>
      <c r="AC119" s="55"/>
      <c r="AD119" s="55"/>
      <c r="AE119" s="55"/>
      <c r="AF119" s="55"/>
      <c r="AG119" s="55"/>
      <c r="AH119" s="55"/>
    </row>
    <row r="120" spans="19:34" x14ac:dyDescent="0.25">
      <c r="S120" s="55"/>
      <c r="T120" s="55"/>
      <c r="U120" s="55"/>
      <c r="V120" s="55"/>
      <c r="W120" s="55"/>
      <c r="X120" s="55"/>
      <c r="Y120" s="55"/>
      <c r="Z120" s="55"/>
      <c r="AA120" s="55"/>
      <c r="AB120" s="55"/>
      <c r="AC120" s="55"/>
      <c r="AD120" s="55"/>
      <c r="AE120" s="55"/>
      <c r="AF120" s="55"/>
      <c r="AG120" s="55"/>
      <c r="AH120" s="55"/>
    </row>
    <row r="121" spans="19:34" x14ac:dyDescent="0.25"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55"/>
      <c r="AE121" s="55"/>
      <c r="AF121" s="55"/>
      <c r="AG121" s="55"/>
      <c r="AH121" s="55"/>
    </row>
    <row r="122" spans="19:34" x14ac:dyDescent="0.25">
      <c r="S122" s="55"/>
      <c r="T122" s="55"/>
      <c r="U122" s="55"/>
      <c r="V122" s="55"/>
      <c r="W122" s="55"/>
      <c r="X122" s="55"/>
      <c r="Y122" s="55"/>
      <c r="Z122" s="55"/>
      <c r="AA122" s="55"/>
      <c r="AB122" s="55"/>
      <c r="AC122" s="55"/>
      <c r="AD122" s="55"/>
      <c r="AE122" s="55"/>
      <c r="AF122" s="55"/>
      <c r="AG122" s="55"/>
      <c r="AH122" s="55"/>
    </row>
    <row r="123" spans="19:34" x14ac:dyDescent="0.25"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55"/>
      <c r="AE123" s="55"/>
      <c r="AF123" s="55"/>
      <c r="AG123" s="55"/>
      <c r="AH123" s="55"/>
    </row>
    <row r="124" spans="19:34" x14ac:dyDescent="0.25"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55"/>
      <c r="AE124" s="55"/>
      <c r="AF124" s="55"/>
      <c r="AG124" s="55"/>
      <c r="AH124" s="55"/>
    </row>
    <row r="125" spans="19:34" x14ac:dyDescent="0.25">
      <c r="S125" s="55"/>
      <c r="T125" s="55"/>
      <c r="U125" s="55"/>
      <c r="V125" s="55"/>
      <c r="W125" s="55"/>
      <c r="X125" s="55"/>
      <c r="Y125" s="55"/>
      <c r="Z125" s="55"/>
      <c r="AA125" s="55"/>
      <c r="AB125" s="55"/>
      <c r="AC125" s="55"/>
      <c r="AD125" s="55"/>
      <c r="AE125" s="55"/>
      <c r="AF125" s="55"/>
      <c r="AG125" s="55"/>
      <c r="AH125" s="55"/>
    </row>
    <row r="126" spans="19:34" x14ac:dyDescent="0.25">
      <c r="S126" s="55"/>
      <c r="T126" s="55"/>
      <c r="U126" s="55"/>
      <c r="V126" s="55"/>
      <c r="W126" s="55"/>
      <c r="X126" s="55"/>
      <c r="Y126" s="55"/>
      <c r="Z126" s="55"/>
      <c r="AA126" s="55"/>
      <c r="AB126" s="55"/>
      <c r="AC126" s="55"/>
      <c r="AD126" s="55"/>
      <c r="AE126" s="55"/>
      <c r="AF126" s="55"/>
      <c r="AG126" s="55"/>
      <c r="AH126" s="55"/>
    </row>
    <row r="127" spans="19:34" x14ac:dyDescent="0.25">
      <c r="S127" s="55"/>
      <c r="T127" s="55"/>
      <c r="U127" s="55"/>
      <c r="V127" s="55"/>
      <c r="W127" s="55"/>
      <c r="X127" s="55"/>
      <c r="Y127" s="55"/>
      <c r="Z127" s="55"/>
      <c r="AA127" s="55"/>
      <c r="AB127" s="55"/>
      <c r="AC127" s="55"/>
      <c r="AD127" s="55"/>
      <c r="AE127" s="55"/>
      <c r="AF127" s="55"/>
      <c r="AG127" s="55"/>
      <c r="AH127" s="55"/>
    </row>
    <row r="128" spans="19:34" x14ac:dyDescent="0.25">
      <c r="S128" s="55"/>
      <c r="T128" s="55"/>
      <c r="U128" s="55"/>
      <c r="V128" s="55"/>
      <c r="W128" s="55"/>
      <c r="X128" s="55"/>
      <c r="Y128" s="55"/>
      <c r="Z128" s="55"/>
      <c r="AA128" s="55"/>
      <c r="AB128" s="55"/>
      <c r="AC128" s="55"/>
      <c r="AD128" s="55"/>
      <c r="AE128" s="55"/>
      <c r="AF128" s="55"/>
      <c r="AG128" s="55"/>
      <c r="AH128" s="55"/>
    </row>
    <row r="129" spans="19:34" x14ac:dyDescent="0.25">
      <c r="S129" s="55"/>
      <c r="T129" s="55"/>
      <c r="U129" s="55"/>
      <c r="V129" s="55"/>
      <c r="W129" s="55"/>
      <c r="X129" s="55"/>
      <c r="Y129" s="55"/>
      <c r="Z129" s="55"/>
      <c r="AA129" s="55"/>
      <c r="AB129" s="55"/>
      <c r="AC129" s="55"/>
      <c r="AD129" s="55"/>
      <c r="AE129" s="55"/>
      <c r="AF129" s="55"/>
      <c r="AG129" s="55"/>
      <c r="AH129" s="55"/>
    </row>
    <row r="130" spans="19:34" x14ac:dyDescent="0.25">
      <c r="S130" s="55"/>
      <c r="T130" s="55"/>
      <c r="U130" s="55"/>
      <c r="V130" s="55"/>
      <c r="W130" s="55"/>
      <c r="X130" s="55"/>
      <c r="Y130" s="55"/>
      <c r="Z130" s="55"/>
      <c r="AA130" s="55"/>
      <c r="AB130" s="55"/>
      <c r="AC130" s="55"/>
      <c r="AD130" s="55"/>
      <c r="AE130" s="55"/>
      <c r="AF130" s="55"/>
      <c r="AG130" s="55"/>
      <c r="AH130" s="55"/>
    </row>
    <row r="131" spans="19:34" x14ac:dyDescent="0.25">
      <c r="S131" s="55"/>
      <c r="T131" s="55"/>
      <c r="U131" s="55"/>
      <c r="V131" s="55"/>
      <c r="W131" s="55"/>
      <c r="X131" s="55"/>
      <c r="Y131" s="55"/>
      <c r="Z131" s="55"/>
      <c r="AA131" s="55"/>
      <c r="AB131" s="55"/>
      <c r="AC131" s="55"/>
      <c r="AD131" s="55"/>
      <c r="AE131" s="55"/>
      <c r="AF131" s="55"/>
      <c r="AG131" s="55"/>
      <c r="AH131" s="55"/>
    </row>
    <row r="132" spans="19:34" x14ac:dyDescent="0.25">
      <c r="S132" s="55"/>
      <c r="T132" s="55"/>
      <c r="U132" s="55"/>
      <c r="V132" s="55"/>
      <c r="W132" s="55"/>
      <c r="X132" s="55"/>
      <c r="Y132" s="55"/>
      <c r="Z132" s="55"/>
      <c r="AA132" s="55"/>
      <c r="AB132" s="55"/>
      <c r="AC132" s="55"/>
      <c r="AD132" s="55"/>
      <c r="AE132" s="55"/>
      <c r="AF132" s="55"/>
      <c r="AG132" s="55"/>
      <c r="AH132" s="55"/>
    </row>
    <row r="133" spans="19:34" x14ac:dyDescent="0.25">
      <c r="S133" s="55"/>
      <c r="T133" s="55"/>
      <c r="U133" s="55"/>
      <c r="V133" s="55"/>
      <c r="W133" s="55"/>
      <c r="X133" s="55"/>
      <c r="Y133" s="55"/>
      <c r="Z133" s="55"/>
      <c r="AA133" s="55"/>
      <c r="AB133" s="55"/>
      <c r="AC133" s="55"/>
      <c r="AD133" s="55"/>
      <c r="AE133" s="55"/>
      <c r="AF133" s="55"/>
      <c r="AG133" s="55"/>
      <c r="AH133" s="55"/>
    </row>
    <row r="134" spans="19:34" x14ac:dyDescent="0.25">
      <c r="S134" s="55"/>
      <c r="T134" s="55"/>
      <c r="U134" s="55"/>
      <c r="V134" s="55"/>
      <c r="W134" s="55"/>
      <c r="X134" s="55"/>
      <c r="Y134" s="55"/>
      <c r="Z134" s="55"/>
      <c r="AA134" s="55"/>
      <c r="AB134" s="55"/>
      <c r="AC134" s="55"/>
      <c r="AD134" s="55"/>
      <c r="AE134" s="55"/>
      <c r="AF134" s="55"/>
      <c r="AG134" s="55"/>
      <c r="AH134" s="55"/>
    </row>
    <row r="135" spans="19:34" x14ac:dyDescent="0.25">
      <c r="S135" s="55"/>
      <c r="T135" s="55"/>
      <c r="U135" s="55"/>
      <c r="V135" s="55"/>
      <c r="W135" s="55"/>
      <c r="X135" s="55"/>
      <c r="Y135" s="55"/>
      <c r="Z135" s="55"/>
      <c r="AA135" s="55"/>
      <c r="AB135" s="55"/>
      <c r="AC135" s="55"/>
      <c r="AD135" s="55"/>
      <c r="AE135" s="55"/>
      <c r="AF135" s="55"/>
      <c r="AG135" s="55"/>
      <c r="AH135" s="55"/>
    </row>
    <row r="136" spans="19:34" x14ac:dyDescent="0.25">
      <c r="S136" s="55"/>
      <c r="T136" s="55"/>
      <c r="U136" s="55"/>
      <c r="V136" s="55"/>
      <c r="W136" s="55"/>
      <c r="X136" s="55"/>
      <c r="Y136" s="55"/>
      <c r="Z136" s="55"/>
      <c r="AA136" s="55"/>
      <c r="AB136" s="55"/>
      <c r="AC136" s="55"/>
      <c r="AD136" s="55"/>
      <c r="AE136" s="55"/>
      <c r="AF136" s="55"/>
      <c r="AG136" s="55"/>
      <c r="AH136" s="55"/>
    </row>
    <row r="137" spans="19:34" x14ac:dyDescent="0.25">
      <c r="S137" s="55"/>
      <c r="T137" s="55"/>
      <c r="U137" s="55"/>
      <c r="V137" s="55"/>
      <c r="W137" s="55"/>
      <c r="X137" s="55"/>
      <c r="Y137" s="55"/>
      <c r="Z137" s="55"/>
      <c r="AA137" s="55"/>
      <c r="AB137" s="55"/>
      <c r="AC137" s="55"/>
      <c r="AD137" s="55"/>
      <c r="AE137" s="55"/>
      <c r="AF137" s="55"/>
      <c r="AG137" s="55"/>
      <c r="AH137" s="55"/>
    </row>
    <row r="138" spans="19:34" x14ac:dyDescent="0.25">
      <c r="S138" s="55"/>
      <c r="T138" s="55"/>
      <c r="U138" s="55"/>
      <c r="V138" s="55"/>
      <c r="W138" s="55"/>
      <c r="X138" s="55"/>
      <c r="Y138" s="55"/>
      <c r="Z138" s="55"/>
      <c r="AA138" s="55"/>
      <c r="AB138" s="55"/>
      <c r="AC138" s="55"/>
      <c r="AD138" s="55"/>
      <c r="AE138" s="55"/>
      <c r="AF138" s="55"/>
      <c r="AG138" s="55"/>
      <c r="AH138" s="55"/>
    </row>
    <row r="139" spans="19:34" x14ac:dyDescent="0.25">
      <c r="S139" s="55"/>
      <c r="T139" s="55"/>
      <c r="U139" s="55"/>
      <c r="V139" s="55"/>
      <c r="W139" s="55"/>
      <c r="X139" s="55"/>
      <c r="Y139" s="55"/>
      <c r="Z139" s="55"/>
      <c r="AA139" s="55"/>
      <c r="AB139" s="55"/>
      <c r="AC139" s="55"/>
      <c r="AD139" s="55"/>
      <c r="AE139" s="55"/>
      <c r="AF139" s="55"/>
      <c r="AG139" s="55"/>
      <c r="AH139" s="55"/>
    </row>
    <row r="140" spans="19:34" x14ac:dyDescent="0.25">
      <c r="S140" s="55"/>
      <c r="T140" s="55"/>
      <c r="U140" s="55"/>
      <c r="V140" s="55"/>
      <c r="W140" s="55"/>
      <c r="X140" s="55"/>
      <c r="Y140" s="55"/>
      <c r="Z140" s="55"/>
      <c r="AA140" s="55"/>
      <c r="AB140" s="55"/>
      <c r="AC140" s="55"/>
      <c r="AD140" s="55"/>
      <c r="AE140" s="55"/>
      <c r="AF140" s="55"/>
      <c r="AG140" s="55"/>
      <c r="AH140" s="55"/>
    </row>
    <row r="141" spans="19:34" x14ac:dyDescent="0.25">
      <c r="S141" s="55"/>
      <c r="T141" s="55"/>
      <c r="U141" s="55"/>
      <c r="V141" s="55"/>
      <c r="W141" s="55"/>
      <c r="X141" s="55"/>
      <c r="Y141" s="55"/>
      <c r="Z141" s="55"/>
      <c r="AA141" s="55"/>
      <c r="AB141" s="55"/>
      <c r="AC141" s="55"/>
      <c r="AD141" s="55"/>
      <c r="AE141" s="55"/>
      <c r="AF141" s="55"/>
      <c r="AG141" s="55"/>
      <c r="AH141" s="55"/>
    </row>
    <row r="142" spans="19:34" x14ac:dyDescent="0.25">
      <c r="S142" s="55"/>
      <c r="T142" s="55"/>
      <c r="U142" s="55"/>
      <c r="V142" s="55"/>
      <c r="W142" s="55"/>
      <c r="X142" s="55"/>
      <c r="Y142" s="55"/>
      <c r="Z142" s="55"/>
      <c r="AA142" s="55"/>
      <c r="AB142" s="55"/>
      <c r="AC142" s="55"/>
      <c r="AD142" s="55"/>
      <c r="AE142" s="55"/>
      <c r="AF142" s="55"/>
      <c r="AG142" s="55"/>
      <c r="AH142" s="55"/>
    </row>
    <row r="143" spans="19:34" x14ac:dyDescent="0.25">
      <c r="S143" s="55"/>
      <c r="T143" s="55"/>
      <c r="U143" s="55"/>
      <c r="V143" s="55"/>
      <c r="W143" s="55"/>
      <c r="X143" s="55"/>
      <c r="Y143" s="55"/>
      <c r="Z143" s="55"/>
      <c r="AA143" s="55"/>
      <c r="AB143" s="55"/>
      <c r="AC143" s="55"/>
      <c r="AD143" s="55"/>
      <c r="AE143" s="55"/>
      <c r="AF143" s="55"/>
      <c r="AG143" s="55"/>
      <c r="AH143" s="55"/>
    </row>
    <row r="144" spans="19:34" x14ac:dyDescent="0.25">
      <c r="S144" s="55"/>
      <c r="T144" s="55"/>
      <c r="U144" s="55"/>
      <c r="V144" s="55"/>
      <c r="W144" s="55"/>
      <c r="X144" s="55"/>
      <c r="Y144" s="55"/>
      <c r="Z144" s="55"/>
      <c r="AA144" s="55"/>
      <c r="AB144" s="55"/>
      <c r="AC144" s="55"/>
      <c r="AD144" s="55"/>
      <c r="AE144" s="55"/>
      <c r="AF144" s="55"/>
      <c r="AG144" s="55"/>
      <c r="AH144" s="55"/>
    </row>
    <row r="145" spans="19:34" x14ac:dyDescent="0.25">
      <c r="S145" s="55"/>
      <c r="T145" s="55"/>
      <c r="U145" s="55"/>
      <c r="V145" s="55"/>
      <c r="W145" s="55"/>
      <c r="X145" s="55"/>
      <c r="Y145" s="55"/>
      <c r="Z145" s="55"/>
      <c r="AA145" s="55"/>
      <c r="AB145" s="55"/>
      <c r="AC145" s="55"/>
      <c r="AD145" s="55"/>
      <c r="AE145" s="55"/>
      <c r="AF145" s="55"/>
      <c r="AG145" s="55"/>
      <c r="AH145" s="55"/>
    </row>
    <row r="146" spans="19:34" x14ac:dyDescent="0.25">
      <c r="S146" s="55"/>
      <c r="T146" s="55"/>
      <c r="U146" s="55"/>
      <c r="V146" s="55"/>
      <c r="W146" s="55"/>
      <c r="X146" s="55"/>
      <c r="Y146" s="55"/>
      <c r="Z146" s="55"/>
      <c r="AA146" s="55"/>
      <c r="AB146" s="55"/>
      <c r="AC146" s="55"/>
      <c r="AD146" s="55"/>
      <c r="AE146" s="55"/>
      <c r="AF146" s="55"/>
      <c r="AG146" s="55"/>
      <c r="AH146" s="55"/>
    </row>
    <row r="147" spans="19:34" x14ac:dyDescent="0.25">
      <c r="S147" s="55"/>
      <c r="T147" s="55"/>
      <c r="U147" s="55"/>
      <c r="V147" s="55"/>
      <c r="W147" s="55"/>
      <c r="X147" s="55"/>
      <c r="Y147" s="55"/>
      <c r="Z147" s="55"/>
      <c r="AA147" s="55"/>
      <c r="AB147" s="55"/>
      <c r="AC147" s="55"/>
      <c r="AD147" s="55"/>
      <c r="AE147" s="55"/>
      <c r="AF147" s="55"/>
      <c r="AG147" s="55"/>
      <c r="AH147" s="55"/>
    </row>
    <row r="148" spans="19:34" x14ac:dyDescent="0.25">
      <c r="S148" s="55"/>
      <c r="T148" s="55"/>
      <c r="U148" s="55"/>
      <c r="V148" s="55"/>
      <c r="W148" s="55"/>
      <c r="X148" s="55"/>
      <c r="Y148" s="55"/>
      <c r="Z148" s="55"/>
      <c r="AA148" s="55"/>
      <c r="AB148" s="55"/>
      <c r="AC148" s="55"/>
      <c r="AD148" s="55"/>
      <c r="AE148" s="55"/>
      <c r="AF148" s="55"/>
      <c r="AG148" s="55"/>
      <c r="AH148" s="55"/>
    </row>
    <row r="149" spans="19:34" x14ac:dyDescent="0.25">
      <c r="S149" s="55"/>
      <c r="T149" s="55"/>
      <c r="U149" s="55"/>
      <c r="V149" s="55"/>
      <c r="W149" s="55"/>
      <c r="X149" s="55"/>
      <c r="Y149" s="55"/>
      <c r="Z149" s="55"/>
      <c r="AA149" s="55"/>
      <c r="AB149" s="55"/>
      <c r="AC149" s="55"/>
      <c r="AD149" s="55"/>
      <c r="AE149" s="55"/>
      <c r="AF149" s="55"/>
      <c r="AG149" s="55"/>
      <c r="AH149" s="55"/>
    </row>
    <row r="150" spans="19:34" x14ac:dyDescent="0.25">
      <c r="S150" s="55"/>
      <c r="T150" s="55"/>
      <c r="U150" s="55"/>
      <c r="V150" s="55"/>
      <c r="W150" s="55"/>
      <c r="X150" s="55"/>
      <c r="Y150" s="55"/>
      <c r="Z150" s="55"/>
      <c r="AA150" s="55"/>
      <c r="AB150" s="55"/>
      <c r="AC150" s="55"/>
      <c r="AD150" s="55"/>
      <c r="AE150" s="55"/>
      <c r="AF150" s="55"/>
      <c r="AG150" s="55"/>
      <c r="AH150" s="55"/>
    </row>
    <row r="151" spans="19:34" x14ac:dyDescent="0.25">
      <c r="S151" s="55"/>
      <c r="T151" s="55"/>
      <c r="U151" s="55"/>
      <c r="V151" s="55"/>
      <c r="W151" s="55"/>
      <c r="X151" s="55"/>
      <c r="Y151" s="55"/>
      <c r="Z151" s="55"/>
      <c r="AA151" s="55"/>
      <c r="AB151" s="55"/>
      <c r="AC151" s="55"/>
      <c r="AD151" s="55"/>
      <c r="AE151" s="55"/>
      <c r="AF151" s="55"/>
      <c r="AG151" s="55"/>
      <c r="AH151" s="55"/>
    </row>
    <row r="152" spans="19:34" x14ac:dyDescent="0.25">
      <c r="S152" s="55"/>
      <c r="T152" s="55"/>
      <c r="U152" s="55"/>
      <c r="V152" s="55"/>
      <c r="W152" s="55"/>
      <c r="X152" s="55"/>
      <c r="Y152" s="55"/>
      <c r="Z152" s="55"/>
      <c r="AA152" s="55"/>
      <c r="AB152" s="55"/>
      <c r="AC152" s="55"/>
      <c r="AD152" s="55"/>
      <c r="AE152" s="55"/>
      <c r="AF152" s="55"/>
      <c r="AG152" s="55"/>
      <c r="AH152" s="55"/>
    </row>
    <row r="153" spans="19:34" x14ac:dyDescent="0.25">
      <c r="S153" s="55"/>
      <c r="T153" s="55"/>
      <c r="U153" s="55"/>
      <c r="V153" s="55"/>
      <c r="W153" s="55"/>
      <c r="X153" s="55"/>
      <c r="Y153" s="55"/>
      <c r="Z153" s="55"/>
      <c r="AA153" s="55"/>
      <c r="AB153" s="55"/>
      <c r="AC153" s="55"/>
      <c r="AD153" s="55"/>
      <c r="AE153" s="55"/>
      <c r="AF153" s="55"/>
      <c r="AG153" s="55"/>
      <c r="AH153" s="55"/>
    </row>
  </sheetData>
  <mergeCells count="2">
    <mergeCell ref="B2:R6"/>
    <mergeCell ref="B17:C21"/>
  </mergeCells>
  <hyperlinks>
    <hyperlink ref="B17:C21" location="Accueil!A1" display="◀︎ Menu" xr:uid="{4A58F397-559D-4003-9878-5EBC0B1A1D48}"/>
  </hyperlinks>
  <pageMargins left="0.7" right="0.7" top="0.75" bottom="0.75" header="0.3" footer="0.3"/>
  <pageSetup paperSize="9" orientation="portrait" horizontalDpi="360" verticalDpi="36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AF2E4-73D9-40EF-B6DC-E59796AF3709}">
  <dimension ref="B1:Q13"/>
  <sheetViews>
    <sheetView workbookViewId="0">
      <selection activeCell="B2" sqref="B2:Q6"/>
    </sheetView>
  </sheetViews>
  <sheetFormatPr baseColWidth="10" defaultColWidth="11.42578125" defaultRowHeight="15" x14ac:dyDescent="0.25"/>
  <cols>
    <col min="8" max="8" width="12.28515625" bestFit="1" customWidth="1"/>
    <col min="9" max="9" width="13" bestFit="1" customWidth="1"/>
  </cols>
  <sheetData>
    <row r="1" spans="2:17" ht="15.75" thickBot="1" x14ac:dyDescent="0.3"/>
    <row r="2" spans="2:17" ht="15" customHeight="1" x14ac:dyDescent="0.25">
      <c r="B2" s="219" t="s">
        <v>104</v>
      </c>
      <c r="C2" s="220"/>
      <c r="D2" s="220"/>
      <c r="E2" s="220"/>
      <c r="F2" s="220"/>
      <c r="G2" s="220"/>
      <c r="H2" s="220"/>
      <c r="I2" s="220"/>
      <c r="J2" s="220"/>
      <c r="K2" s="220"/>
      <c r="L2" s="220"/>
      <c r="M2" s="220"/>
      <c r="N2" s="220"/>
      <c r="O2" s="220"/>
      <c r="P2" s="220"/>
      <c r="Q2" s="221"/>
    </row>
    <row r="3" spans="2:17" ht="15" customHeight="1" x14ac:dyDescent="0.25">
      <c r="B3" s="222"/>
      <c r="C3" s="223"/>
      <c r="D3" s="223"/>
      <c r="E3" s="223"/>
      <c r="F3" s="223"/>
      <c r="G3" s="223"/>
      <c r="H3" s="223"/>
      <c r="I3" s="223"/>
      <c r="J3" s="223"/>
      <c r="K3" s="223"/>
      <c r="L3" s="223"/>
      <c r="M3" s="223"/>
      <c r="N3" s="223"/>
      <c r="O3" s="223"/>
      <c r="P3" s="223"/>
      <c r="Q3" s="224"/>
    </row>
    <row r="4" spans="2:17" ht="15" customHeight="1" x14ac:dyDescent="0.25">
      <c r="B4" s="222"/>
      <c r="C4" s="223"/>
      <c r="D4" s="223"/>
      <c r="E4" s="223"/>
      <c r="F4" s="223"/>
      <c r="G4" s="223"/>
      <c r="H4" s="223"/>
      <c r="I4" s="223"/>
      <c r="J4" s="223"/>
      <c r="K4" s="223"/>
      <c r="L4" s="223"/>
      <c r="M4" s="223"/>
      <c r="N4" s="223"/>
      <c r="O4" s="223"/>
      <c r="P4" s="223"/>
      <c r="Q4" s="224"/>
    </row>
    <row r="5" spans="2:17" ht="15" customHeight="1" x14ac:dyDescent="0.25">
      <c r="B5" s="222"/>
      <c r="C5" s="223"/>
      <c r="D5" s="223"/>
      <c r="E5" s="223"/>
      <c r="F5" s="223"/>
      <c r="G5" s="223"/>
      <c r="H5" s="223"/>
      <c r="I5" s="223"/>
      <c r="J5" s="223"/>
      <c r="K5" s="223"/>
      <c r="L5" s="223"/>
      <c r="M5" s="223"/>
      <c r="N5" s="223"/>
      <c r="O5" s="223"/>
      <c r="P5" s="223"/>
      <c r="Q5" s="224"/>
    </row>
    <row r="6" spans="2:17" ht="15" customHeight="1" thickBot="1" x14ac:dyDescent="0.3">
      <c r="B6" s="225"/>
      <c r="C6" s="226"/>
      <c r="D6" s="226"/>
      <c r="E6" s="226"/>
      <c r="F6" s="226"/>
      <c r="G6" s="226"/>
      <c r="H6" s="226"/>
      <c r="I6" s="226"/>
      <c r="J6" s="226"/>
      <c r="K6" s="226"/>
      <c r="L6" s="226"/>
      <c r="M6" s="226"/>
      <c r="N6" s="226"/>
      <c r="O6" s="226"/>
      <c r="P6" s="226"/>
      <c r="Q6" s="227"/>
    </row>
    <row r="8" spans="2:17" ht="15.75" thickBot="1" x14ac:dyDescent="0.3"/>
    <row r="9" spans="2:17" x14ac:dyDescent="0.25">
      <c r="C9" s="98" t="s">
        <v>76</v>
      </c>
      <c r="D9" s="179">
        <v>0.55000000000000004</v>
      </c>
      <c r="F9" s="98" t="s">
        <v>105</v>
      </c>
      <c r="G9" s="181">
        <v>0</v>
      </c>
      <c r="I9" s="98" t="s">
        <v>77</v>
      </c>
      <c r="J9" s="181" t="s">
        <v>78</v>
      </c>
    </row>
    <row r="10" spans="2:17" ht="15.75" thickBot="1" x14ac:dyDescent="0.3">
      <c r="C10" s="107"/>
      <c r="D10" s="166">
        <v>0.65</v>
      </c>
      <c r="F10" s="107"/>
      <c r="G10" s="167">
        <v>10</v>
      </c>
      <c r="I10" s="99"/>
      <c r="J10" s="182" t="s">
        <v>69</v>
      </c>
    </row>
    <row r="11" spans="2:17" x14ac:dyDescent="0.25">
      <c r="C11" s="107"/>
      <c r="D11" s="166">
        <v>0.75</v>
      </c>
      <c r="F11" s="107"/>
      <c r="G11" s="167">
        <v>20</v>
      </c>
    </row>
    <row r="12" spans="2:17" ht="15.75" thickBot="1" x14ac:dyDescent="0.3">
      <c r="C12" s="99"/>
      <c r="D12" s="180" t="s">
        <v>52</v>
      </c>
      <c r="F12" s="107"/>
      <c r="G12" s="167">
        <v>-10</v>
      </c>
    </row>
    <row r="13" spans="2:17" ht="15.75" thickBot="1" x14ac:dyDescent="0.3">
      <c r="F13" s="99"/>
      <c r="G13" s="182">
        <v>-20</v>
      </c>
    </row>
  </sheetData>
  <mergeCells count="4">
    <mergeCell ref="B2:Q6"/>
    <mergeCell ref="C9:C12"/>
    <mergeCell ref="I9:I10"/>
    <mergeCell ref="F9:F13"/>
  </mergeCells>
  <pageMargins left="0.7" right="0.7" top="0.75" bottom="0.75" header="0.3" footer="0.3"/>
  <pageSetup paperSize="9" orientation="portrait" horizontalDpi="360" verticalDpi="36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C00F2-0C2C-46FA-B397-AC846BB46CF8}">
  <dimension ref="B1:AJ58"/>
  <sheetViews>
    <sheetView zoomScale="76" workbookViewId="0">
      <selection activeCell="R51" sqref="R51"/>
    </sheetView>
  </sheetViews>
  <sheetFormatPr baseColWidth="10" defaultColWidth="9.140625" defaultRowHeight="15" x14ac:dyDescent="0.25"/>
  <cols>
    <col min="2" max="2" width="15.85546875" bestFit="1" customWidth="1"/>
    <col min="8" max="8" width="23.85546875" bestFit="1" customWidth="1"/>
    <col min="9" max="9" width="9.42578125" bestFit="1" customWidth="1"/>
    <col min="14" max="14" width="24.28515625" customWidth="1"/>
    <col min="18" max="18" width="35" bestFit="1" customWidth="1"/>
    <col min="20" max="20" width="21.28515625" bestFit="1" customWidth="1"/>
    <col min="35" max="35" width="17" customWidth="1"/>
    <col min="36" max="36" width="17.7109375" customWidth="1"/>
  </cols>
  <sheetData>
    <row r="1" spans="2:36" ht="15.75" thickBot="1" x14ac:dyDescent="0.3"/>
    <row r="2" spans="2:36" ht="15" customHeight="1" x14ac:dyDescent="0.25">
      <c r="B2" s="183" t="s">
        <v>106</v>
      </c>
      <c r="C2" s="184"/>
      <c r="D2" s="184"/>
      <c r="E2" s="184"/>
      <c r="F2" s="184"/>
      <c r="G2" s="184"/>
      <c r="H2" s="184"/>
      <c r="I2" s="184"/>
      <c r="J2" s="185"/>
      <c r="K2" s="192" t="s">
        <v>107</v>
      </c>
      <c r="L2" s="193"/>
      <c r="M2" s="193"/>
      <c r="N2" s="193"/>
      <c r="O2" s="193"/>
      <c r="P2" s="193"/>
      <c r="Q2" s="193"/>
      <c r="R2" s="193"/>
      <c r="S2" s="194"/>
    </row>
    <row r="3" spans="2:36" ht="15" customHeight="1" x14ac:dyDescent="0.25">
      <c r="B3" s="186"/>
      <c r="C3" s="187"/>
      <c r="D3" s="187"/>
      <c r="E3" s="187"/>
      <c r="F3" s="187"/>
      <c r="G3" s="187"/>
      <c r="H3" s="187"/>
      <c r="I3" s="187"/>
      <c r="J3" s="188"/>
      <c r="K3" s="195"/>
      <c r="L3" s="196"/>
      <c r="M3" s="196"/>
      <c r="N3" s="196"/>
      <c r="O3" s="196"/>
      <c r="P3" s="196"/>
      <c r="Q3" s="196"/>
      <c r="R3" s="196"/>
      <c r="S3" s="197"/>
    </row>
    <row r="4" spans="2:36" ht="15" customHeight="1" x14ac:dyDescent="0.25">
      <c r="B4" s="186"/>
      <c r="C4" s="187"/>
      <c r="D4" s="187"/>
      <c r="E4" s="187"/>
      <c r="F4" s="187"/>
      <c r="G4" s="187"/>
      <c r="H4" s="187"/>
      <c r="I4" s="187"/>
      <c r="J4" s="188"/>
      <c r="K4" s="195"/>
      <c r="L4" s="196"/>
      <c r="M4" s="196"/>
      <c r="N4" s="196"/>
      <c r="O4" s="196"/>
      <c r="P4" s="196"/>
      <c r="Q4" s="196"/>
      <c r="R4" s="196"/>
      <c r="S4" s="197"/>
    </row>
    <row r="5" spans="2:36" ht="15" customHeight="1" x14ac:dyDescent="0.25">
      <c r="B5" s="186"/>
      <c r="C5" s="187"/>
      <c r="D5" s="187"/>
      <c r="E5" s="187"/>
      <c r="F5" s="187"/>
      <c r="G5" s="187"/>
      <c r="H5" s="187"/>
      <c r="I5" s="187"/>
      <c r="J5" s="188"/>
      <c r="K5" s="195"/>
      <c r="L5" s="196"/>
      <c r="M5" s="196"/>
      <c r="N5" s="196"/>
      <c r="O5" s="196"/>
      <c r="P5" s="196"/>
      <c r="Q5" s="196"/>
      <c r="R5" s="196"/>
      <c r="S5" s="197"/>
    </row>
    <row r="6" spans="2:36" ht="15" customHeight="1" x14ac:dyDescent="0.25">
      <c r="B6" s="186"/>
      <c r="C6" s="187"/>
      <c r="D6" s="187"/>
      <c r="E6" s="187"/>
      <c r="F6" s="187"/>
      <c r="G6" s="187"/>
      <c r="H6" s="187"/>
      <c r="I6" s="187"/>
      <c r="J6" s="188"/>
      <c r="K6" s="195"/>
      <c r="L6" s="196"/>
      <c r="M6" s="196"/>
      <c r="N6" s="196"/>
      <c r="O6" s="196"/>
      <c r="P6" s="196"/>
      <c r="Q6" s="196"/>
      <c r="R6" s="196"/>
      <c r="S6" s="197"/>
    </row>
    <row r="7" spans="2:36" ht="15" customHeight="1" thickBot="1" x14ac:dyDescent="0.3">
      <c r="B7" s="189"/>
      <c r="C7" s="190"/>
      <c r="D7" s="190"/>
      <c r="E7" s="190"/>
      <c r="F7" s="190"/>
      <c r="G7" s="190"/>
      <c r="H7" s="190"/>
      <c r="I7" s="190"/>
      <c r="J7" s="191"/>
      <c r="K7" s="198"/>
      <c r="L7" s="199"/>
      <c r="M7" s="199"/>
      <c r="N7" s="199"/>
      <c r="O7" s="199"/>
      <c r="P7" s="199"/>
      <c r="Q7" s="199"/>
      <c r="R7" s="199"/>
      <c r="S7" s="200"/>
    </row>
    <row r="9" spans="2:36" ht="15.75" thickBot="1" x14ac:dyDescent="0.3"/>
    <row r="10" spans="2:36" ht="21.75" customHeight="1" thickBot="1" x14ac:dyDescent="0.3">
      <c r="B10" s="64" t="s">
        <v>79</v>
      </c>
      <c r="C10" s="65" t="s">
        <v>80</v>
      </c>
      <c r="D10" s="66"/>
      <c r="E10" s="66"/>
      <c r="F10" s="67"/>
      <c r="H10" s="98" t="s">
        <v>45</v>
      </c>
      <c r="I10" s="83" t="s">
        <v>46</v>
      </c>
      <c r="J10" s="84"/>
      <c r="K10" s="84"/>
      <c r="L10" s="85"/>
      <c r="N10" s="201" t="s">
        <v>43</v>
      </c>
      <c r="O10" s="202"/>
      <c r="P10" s="202"/>
      <c r="Q10" s="202"/>
      <c r="R10" s="203"/>
      <c r="T10" s="210" t="s">
        <v>10</v>
      </c>
      <c r="U10" s="211"/>
      <c r="V10" s="211"/>
      <c r="W10" s="211"/>
      <c r="X10" s="211"/>
      <c r="Y10" s="211"/>
      <c r="Z10" s="211"/>
      <c r="AA10" s="211"/>
      <c r="AB10" s="211"/>
      <c r="AC10" s="211"/>
      <c r="AD10" s="211"/>
      <c r="AE10" s="211"/>
      <c r="AF10" s="211"/>
      <c r="AG10" s="212"/>
      <c r="AI10" s="10" t="s">
        <v>1</v>
      </c>
      <c r="AJ10" s="10" t="s">
        <v>2</v>
      </c>
    </row>
    <row r="11" spans="2:36" ht="21.75" customHeight="1" thickBot="1" x14ac:dyDescent="0.3">
      <c r="B11" s="71"/>
      <c r="C11" s="63" t="s">
        <v>69</v>
      </c>
      <c r="D11" s="69"/>
      <c r="E11" s="63" t="s">
        <v>78</v>
      </c>
      <c r="F11" s="70"/>
      <c r="H11" s="107"/>
      <c r="I11" s="100" t="s">
        <v>42</v>
      </c>
      <c r="J11" s="101"/>
      <c r="K11" s="101"/>
      <c r="L11" s="102"/>
      <c r="N11" s="204"/>
      <c r="O11" s="205"/>
      <c r="P11" s="205"/>
      <c r="Q11" s="205"/>
      <c r="R11" s="206"/>
      <c r="T11" s="213"/>
      <c r="U11" s="214"/>
      <c r="V11" s="214"/>
      <c r="W11" s="214"/>
      <c r="X11" s="214"/>
      <c r="Y11" s="214"/>
      <c r="Z11" s="214"/>
      <c r="AA11" s="214"/>
      <c r="AB11" s="214"/>
      <c r="AC11" s="214"/>
      <c r="AD11" s="214"/>
      <c r="AE11" s="214"/>
      <c r="AF11" s="214"/>
      <c r="AG11" s="215"/>
      <c r="AI11" s="310">
        <v>364.3</v>
      </c>
      <c r="AJ11" s="310">
        <v>0.245</v>
      </c>
    </row>
    <row r="12" spans="2:36" ht="21.75" customHeight="1" thickBot="1" x14ac:dyDescent="0.3">
      <c r="B12" s="42" t="s">
        <v>23</v>
      </c>
      <c r="C12" s="34" t="s">
        <v>74</v>
      </c>
      <c r="D12" s="47" t="s">
        <v>75</v>
      </c>
      <c r="E12" s="34" t="s">
        <v>74</v>
      </c>
      <c r="F12" s="28" t="s">
        <v>75</v>
      </c>
      <c r="H12" s="107"/>
      <c r="I12" s="103">
        <v>0.55000000000000004</v>
      </c>
      <c r="J12" s="104">
        <v>0.65</v>
      </c>
      <c r="K12" s="104">
        <v>0.75</v>
      </c>
      <c r="L12" s="105" t="s">
        <v>52</v>
      </c>
      <c r="N12" s="207"/>
      <c r="O12" s="208"/>
      <c r="P12" s="208"/>
      <c r="Q12" s="208"/>
      <c r="R12" s="209"/>
      <c r="T12" s="216"/>
      <c r="U12" s="217"/>
      <c r="V12" s="217"/>
      <c r="W12" s="217"/>
      <c r="X12" s="217"/>
      <c r="Y12" s="217"/>
      <c r="Z12" s="217"/>
      <c r="AA12" s="217"/>
      <c r="AB12" s="217"/>
      <c r="AC12" s="217"/>
      <c r="AD12" s="217"/>
      <c r="AE12" s="217"/>
      <c r="AF12" s="217"/>
      <c r="AG12" s="218"/>
      <c r="AI12" s="310">
        <v>364.3</v>
      </c>
      <c r="AJ12" s="310">
        <v>0.3</v>
      </c>
    </row>
    <row r="13" spans="2:36" ht="15.75" thickBot="1" x14ac:dyDescent="0.3">
      <c r="B13" s="32">
        <v>0</v>
      </c>
      <c r="C13" s="44">
        <v>128</v>
      </c>
      <c r="D13" s="43">
        <v>365</v>
      </c>
      <c r="E13" s="43">
        <v>200</v>
      </c>
      <c r="F13" s="48">
        <v>450</v>
      </c>
      <c r="H13" s="99"/>
      <c r="I13" s="87" t="s">
        <v>53</v>
      </c>
      <c r="J13" s="2" t="s">
        <v>54</v>
      </c>
      <c r="K13" s="2" t="s">
        <v>55</v>
      </c>
      <c r="L13" s="86" t="s">
        <v>56</v>
      </c>
      <c r="T13" s="21"/>
      <c r="AI13" s="310">
        <v>402</v>
      </c>
      <c r="AJ13" s="310">
        <v>0.37</v>
      </c>
    </row>
    <row r="14" spans="2:36" ht="15.75" thickBot="1" x14ac:dyDescent="0.3">
      <c r="B14" s="32">
        <v>2000</v>
      </c>
      <c r="C14" s="45">
        <v>144</v>
      </c>
      <c r="D14" s="30">
        <v>411</v>
      </c>
      <c r="E14" s="30">
        <v>225</v>
      </c>
      <c r="F14" s="39">
        <v>506</v>
      </c>
      <c r="H14" s="98">
        <v>118</v>
      </c>
      <c r="I14" s="91">
        <f>1393/1.852</f>
        <v>752.15982721382284</v>
      </c>
      <c r="J14" s="92">
        <f>1245/1.852</f>
        <v>672.24622030237583</v>
      </c>
      <c r="K14" s="92">
        <f>1180/1.852</f>
        <v>637.14902807775377</v>
      </c>
      <c r="L14" s="93">
        <f>1025/1.852</f>
        <v>553.45572354211663</v>
      </c>
      <c r="N14" s="79" t="s">
        <v>23</v>
      </c>
      <c r="O14" s="121" t="s">
        <v>42</v>
      </c>
      <c r="P14" s="122"/>
      <c r="Q14" s="122"/>
      <c r="R14" s="123"/>
      <c r="T14" s="2" t="s">
        <v>11</v>
      </c>
      <c r="U14" s="2" t="s">
        <v>0</v>
      </c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I14" s="310">
        <v>455</v>
      </c>
      <c r="AJ14" s="310">
        <v>0.4</v>
      </c>
    </row>
    <row r="15" spans="2:36" ht="15.75" thickBot="1" x14ac:dyDescent="0.3">
      <c r="B15" s="32">
        <v>4000</v>
      </c>
      <c r="C15" s="45">
        <v>162</v>
      </c>
      <c r="D15" s="30">
        <v>463</v>
      </c>
      <c r="E15" s="30">
        <v>254</v>
      </c>
      <c r="F15" s="39">
        <v>571</v>
      </c>
      <c r="H15" s="99"/>
      <c r="I15" s="94">
        <v>0.39583333333333331</v>
      </c>
      <c r="J15" s="95">
        <v>0.3125</v>
      </c>
      <c r="K15" s="95">
        <v>0.28333333333333333</v>
      </c>
      <c r="L15" s="96">
        <v>0.22083333333333333</v>
      </c>
      <c r="N15" s="80"/>
      <c r="O15" s="103">
        <v>0.55000000000000004</v>
      </c>
      <c r="P15" s="104">
        <v>0.65</v>
      </c>
      <c r="Q15" s="104">
        <v>0.75</v>
      </c>
      <c r="R15" s="124" t="s">
        <v>52</v>
      </c>
      <c r="T15" s="2"/>
      <c r="U15" s="2">
        <v>364</v>
      </c>
      <c r="V15" s="2">
        <v>380</v>
      </c>
      <c r="W15" s="2">
        <v>400</v>
      </c>
      <c r="X15" s="2">
        <v>420</v>
      </c>
      <c r="Y15" s="2">
        <v>440</v>
      </c>
      <c r="Z15" s="2">
        <v>460</v>
      </c>
      <c r="AA15" s="2">
        <v>480</v>
      </c>
      <c r="AB15" s="2">
        <v>500</v>
      </c>
      <c r="AC15" s="2">
        <v>520</v>
      </c>
      <c r="AD15" s="2">
        <v>540</v>
      </c>
      <c r="AE15" s="2">
        <v>560</v>
      </c>
      <c r="AF15" s="2">
        <v>580</v>
      </c>
      <c r="AG15" s="2">
        <v>600</v>
      </c>
      <c r="AI15" s="310">
        <v>600</v>
      </c>
      <c r="AJ15" s="310">
        <v>0.4</v>
      </c>
    </row>
    <row r="16" spans="2:36" ht="15.75" thickBot="1" x14ac:dyDescent="0.3">
      <c r="B16" s="32">
        <v>6000</v>
      </c>
      <c r="C16" s="45">
        <v>183</v>
      </c>
      <c r="D16" s="30">
        <v>522</v>
      </c>
      <c r="E16" s="30">
        <v>286</v>
      </c>
      <c r="F16" s="39">
        <v>644</v>
      </c>
      <c r="H16" s="98">
        <v>100</v>
      </c>
      <c r="I16" s="91">
        <f>1180/1.852</f>
        <v>637.14902807775377</v>
      </c>
      <c r="J16" s="92">
        <f>1055/1.852</f>
        <v>569.65442764578836</v>
      </c>
      <c r="K16" s="92">
        <f>1000/1.852</f>
        <v>539.9568034557235</v>
      </c>
      <c r="L16" s="93">
        <f>869/1.852</f>
        <v>469.22246220302372</v>
      </c>
      <c r="N16" s="80"/>
      <c r="O16" s="88">
        <v>4300</v>
      </c>
      <c r="P16" s="89">
        <v>4800</v>
      </c>
      <c r="Q16" s="89">
        <v>5000</v>
      </c>
      <c r="R16" s="90">
        <v>5500</v>
      </c>
      <c r="T16" s="2" t="s">
        <v>12</v>
      </c>
      <c r="U16" s="3">
        <f>$AG16*Tableaux!U$26</f>
        <v>33.492188143904045</v>
      </c>
      <c r="V16" s="3">
        <f>$AG16*Tableaux!V$26</f>
        <v>34.220364307431524</v>
      </c>
      <c r="W16" s="3">
        <f>$AG16*Tableaux!W$26</f>
        <v>35.109352979892222</v>
      </c>
      <c r="X16" s="3">
        <f>$AG16*Tableaux!X$26</f>
        <v>35.976381140965252</v>
      </c>
      <c r="Y16" s="3">
        <f>$AG16*Tableaux!Y$26</f>
        <v>36.823000058840037</v>
      </c>
      <c r="Z16" s="3">
        <f>$AG16*Tableaux!Z$26</f>
        <v>37.650586538149263</v>
      </c>
      <c r="AA16" s="3">
        <f>$AG16*Tableaux!AA$26</f>
        <v>38.460369212996383</v>
      </c>
      <c r="AB16" s="3">
        <f>$AG16*Tableaux!AB$26</f>
        <v>39.253449954536904</v>
      </c>
      <c r="AC16" s="3">
        <f>$AG16*Tableaux!AC$26</f>
        <v>40.030821458804304</v>
      </c>
      <c r="AD16" s="3">
        <f>$AG16*Tableaux!AD$26</f>
        <v>40.793381816172094</v>
      </c>
      <c r="AE16" s="3">
        <f>$AG16*Tableaux!AE$26</f>
        <v>41.541946672409722</v>
      </c>
      <c r="AF16" s="3">
        <f>$AG16*Tableaux!AF$26</f>
        <v>42.277259450757533</v>
      </c>
      <c r="AG16" s="25">
        <v>43</v>
      </c>
      <c r="AI16" s="310">
        <v>600</v>
      </c>
      <c r="AJ16" s="310">
        <v>0.37</v>
      </c>
    </row>
    <row r="17" spans="2:36" ht="15.75" thickBot="1" x14ac:dyDescent="0.3">
      <c r="B17" s="32">
        <v>8000</v>
      </c>
      <c r="C17" s="45">
        <v>207</v>
      </c>
      <c r="D17" s="30">
        <v>591</v>
      </c>
      <c r="E17" s="30">
        <v>324</v>
      </c>
      <c r="F17" s="39">
        <v>729</v>
      </c>
      <c r="H17" s="99"/>
      <c r="I17" s="94">
        <v>0.33750000000000002</v>
      </c>
      <c r="J17" s="95">
        <v>0.26250000000000001</v>
      </c>
      <c r="K17" s="95">
        <v>0.23749999999999999</v>
      </c>
      <c r="L17" s="96">
        <v>0.1875</v>
      </c>
      <c r="N17" s="53">
        <v>0</v>
      </c>
      <c r="O17" s="118">
        <v>80</v>
      </c>
      <c r="P17" s="119">
        <v>91</v>
      </c>
      <c r="Q17" s="119">
        <v>96</v>
      </c>
      <c r="R17" s="120">
        <v>107</v>
      </c>
      <c r="T17" s="2" t="s">
        <v>13</v>
      </c>
      <c r="U17" s="3">
        <f>$AG17*Tableaux!U$26</f>
        <v>52.185502456780725</v>
      </c>
      <c r="V17" s="3">
        <f>$AG17*Tableaux!V$26</f>
        <v>53.320102525532839</v>
      </c>
      <c r="W17" s="3">
        <f>$AG17*Tableaux!W$26</f>
        <v>54.705270922157645</v>
      </c>
      <c r="X17" s="3">
        <f>$AG17*Tableaux!X$26</f>
        <v>56.056221777783065</v>
      </c>
      <c r="Y17" s="3">
        <f>$AG17*Tableaux!Y$26</f>
        <v>57.375372184704247</v>
      </c>
      <c r="Z17" s="3">
        <f>$AG17*Tableaux!Z$26</f>
        <v>58.664867396651182</v>
      </c>
      <c r="AA17" s="3">
        <f>$AG17*Tableaux!AA$26</f>
        <v>59.926621796994361</v>
      </c>
      <c r="AB17" s="3">
        <f>$AG17*Tableaux!AB$26</f>
        <v>61.162352254743553</v>
      </c>
      <c r="AC17" s="3">
        <f>$AG17*Tableaux!AC$26</f>
        <v>62.373605528834609</v>
      </c>
      <c r="AD17" s="3">
        <f>$AG17*Tableaux!AD$26</f>
        <v>63.561780969384422</v>
      </c>
      <c r="AE17" s="3">
        <f>$AG17*Tableaux!AE$26</f>
        <v>64.728149466312829</v>
      </c>
      <c r="AF17" s="3">
        <f>$AG17*Tableaux!AF$26</f>
        <v>65.873869376761732</v>
      </c>
      <c r="AG17" s="25">
        <v>67</v>
      </c>
      <c r="AI17" s="310">
        <v>364.3</v>
      </c>
      <c r="AJ17" s="310">
        <v>0.245</v>
      </c>
    </row>
    <row r="18" spans="2:36" ht="15.75" thickBot="1" x14ac:dyDescent="0.3">
      <c r="B18" s="33">
        <v>10000</v>
      </c>
      <c r="C18" s="46">
        <v>235</v>
      </c>
      <c r="D18" s="40">
        <v>669</v>
      </c>
      <c r="E18" s="40">
        <v>367</v>
      </c>
      <c r="F18" s="41">
        <v>825</v>
      </c>
      <c r="H18" s="98">
        <v>80</v>
      </c>
      <c r="I18" s="91">
        <f>944/1.852</f>
        <v>509.71922246220299</v>
      </c>
      <c r="J18" s="92">
        <f>844/1.852</f>
        <v>455.72354211663065</v>
      </c>
      <c r="K18" s="92">
        <f>800/1.852</f>
        <v>431.96544276457882</v>
      </c>
      <c r="L18" s="93">
        <f>695/1.852</f>
        <v>375.26997840172783</v>
      </c>
      <c r="N18" s="53">
        <v>2000</v>
      </c>
      <c r="O18" s="116">
        <v>76</v>
      </c>
      <c r="P18" s="24">
        <v>87</v>
      </c>
      <c r="Q18" s="24">
        <v>92</v>
      </c>
      <c r="R18" s="113">
        <v>104</v>
      </c>
      <c r="T18" s="2" t="s">
        <v>14</v>
      </c>
      <c r="U18" s="3">
        <f>$AG18*Tableaux!U$26</f>
        <v>38.944404818493076</v>
      </c>
      <c r="V18" s="3">
        <f>$AG18*Tableaux!V$26</f>
        <v>39.791121287711071</v>
      </c>
      <c r="W18" s="3">
        <f>$AG18*Tableaux!W$26</f>
        <v>40.824829046386299</v>
      </c>
      <c r="X18" s="3">
        <f>$AG18*Tableaux!X$26</f>
        <v>41.83300132670378</v>
      </c>
      <c r="Y18" s="3">
        <f>$AG18*Tableaux!Y$26</f>
        <v>42.817441928883767</v>
      </c>
      <c r="Z18" s="3">
        <f>$AG18*Tableaux!Z$26</f>
        <v>43.77975178854566</v>
      </c>
      <c r="AA18" s="3">
        <f>$AG18*Tableaux!AA$26</f>
        <v>44.721359549995796</v>
      </c>
      <c r="AB18" s="3">
        <f>$AG18*Tableaux!AB$26</f>
        <v>45.643546458763844</v>
      </c>
      <c r="AC18" s="3">
        <f>$AG18*Tableaux!AC$26</f>
        <v>46.547466812563144</v>
      </c>
      <c r="AD18" s="3">
        <f>$AG18*Tableaux!AD$26</f>
        <v>47.434164902525687</v>
      </c>
      <c r="AE18" s="3">
        <f>$AG18*Tableaux!AE$26</f>
        <v>48.304589153964791</v>
      </c>
      <c r="AF18" s="3">
        <f>$AG18*Tableaux!AF$26</f>
        <v>49.159604012508758</v>
      </c>
      <c r="AG18" s="25">
        <v>50</v>
      </c>
    </row>
    <row r="19" spans="2:36" ht="15.75" thickBot="1" x14ac:dyDescent="0.3">
      <c r="H19" s="99"/>
      <c r="I19" s="94">
        <v>0.26666666666666666</v>
      </c>
      <c r="J19" s="95">
        <v>0.21249999999999999</v>
      </c>
      <c r="K19" s="95">
        <v>0.19166666666666668</v>
      </c>
      <c r="L19" s="96">
        <v>0.15</v>
      </c>
      <c r="N19" s="53">
        <v>4000</v>
      </c>
      <c r="O19" s="116">
        <v>73</v>
      </c>
      <c r="P19" s="24">
        <v>84</v>
      </c>
      <c r="Q19" s="24">
        <v>89</v>
      </c>
      <c r="R19" s="113">
        <v>101</v>
      </c>
      <c r="T19" s="2" t="s">
        <v>15</v>
      </c>
      <c r="U19" s="3">
        <f>$AG19*Tableaux!U$26</f>
        <v>30.376635758424602</v>
      </c>
      <c r="V19" s="3">
        <f>$AG19*Tableaux!V$26</f>
        <v>31.037074604414638</v>
      </c>
      <c r="W19" s="3">
        <f>$AG19*Tableaux!W$26</f>
        <v>31.843366656181317</v>
      </c>
      <c r="X19" s="3">
        <f>$AG19*Tableaux!X$26</f>
        <v>32.629741034828946</v>
      </c>
      <c r="Y19" s="3">
        <f>$AG19*Tableaux!Y$26</f>
        <v>33.397604704529336</v>
      </c>
      <c r="Z19" s="3">
        <f>$AG19*Tableaux!Z$26</f>
        <v>34.148206395065614</v>
      </c>
      <c r="AA19" s="3">
        <f>$AG19*Tableaux!AA$26</f>
        <v>34.882660448996717</v>
      </c>
      <c r="AB19" s="3">
        <f>$AG19*Tableaux!AB$26</f>
        <v>35.601966237835796</v>
      </c>
      <c r="AC19" s="3">
        <f>$AG19*Tableaux!AC$26</f>
        <v>36.307024113799251</v>
      </c>
      <c r="AD19" s="3">
        <f>$AG19*Tableaux!AD$26</f>
        <v>36.998648623970034</v>
      </c>
      <c r="AE19" s="3">
        <f>$AG19*Tableaux!AE$26</f>
        <v>37.677579540092538</v>
      </c>
      <c r="AF19" s="3">
        <f>$AG19*Tableaux!AF$26</f>
        <v>38.344491129756832</v>
      </c>
      <c r="AG19" s="25">
        <v>39</v>
      </c>
    </row>
    <row r="20" spans="2:36" ht="15.75" thickBot="1" x14ac:dyDescent="0.3">
      <c r="B20" s="64" t="s">
        <v>81</v>
      </c>
      <c r="C20" s="65" t="s">
        <v>80</v>
      </c>
      <c r="D20" s="66"/>
      <c r="E20" s="66"/>
      <c r="F20" s="67"/>
      <c r="H20" s="98">
        <v>60</v>
      </c>
      <c r="I20" s="91">
        <f>708/1.852</f>
        <v>382.28941684665227</v>
      </c>
      <c r="J20" s="92">
        <f>633/1.852</f>
        <v>341.792656587473</v>
      </c>
      <c r="K20" s="92">
        <f>600/1.852</f>
        <v>323.97408207343409</v>
      </c>
      <c r="L20" s="93">
        <f>521/1.852</f>
        <v>281.31749460043193</v>
      </c>
      <c r="N20" s="53">
        <v>6000</v>
      </c>
      <c r="O20" s="116">
        <v>69</v>
      </c>
      <c r="P20" s="24">
        <v>81</v>
      </c>
      <c r="Q20" s="24">
        <v>85</v>
      </c>
      <c r="R20" s="113">
        <v>97</v>
      </c>
      <c r="T20" s="2" t="s">
        <v>16</v>
      </c>
      <c r="U20" s="3">
        <f>$AG20*Tableaux!U$26</f>
        <v>32.713300047534183</v>
      </c>
      <c r="V20" s="3">
        <f>$AG20*Tableaux!V$26</f>
        <v>33.4245418816773</v>
      </c>
      <c r="W20" s="3">
        <f>$AG20*Tableaux!W$26</f>
        <v>34.292856398964496</v>
      </c>
      <c r="X20" s="3">
        <f>$AG20*Tableaux!X$26</f>
        <v>35.139721114431175</v>
      </c>
      <c r="Y20" s="3">
        <f>$AG20*Tableaux!Y$26</f>
        <v>35.966651220262364</v>
      </c>
      <c r="Z20" s="3">
        <f>$AG20*Tableaux!Z$26</f>
        <v>36.774991502378349</v>
      </c>
      <c r="AA20" s="3">
        <f>$AG20*Tableaux!AA$26</f>
        <v>37.565942021996463</v>
      </c>
      <c r="AB20" s="3">
        <f>$AG20*Tableaux!AB$26</f>
        <v>38.340579025361627</v>
      </c>
      <c r="AC20" s="3">
        <f>$AG20*Tableaux!AC$26</f>
        <v>39.099872122553037</v>
      </c>
      <c r="AD20" s="3">
        <f>$AG20*Tableaux!AD$26</f>
        <v>39.844698518121575</v>
      </c>
      <c r="AE20" s="3">
        <f>$AG20*Tableaux!AE$26</f>
        <v>40.575854889330429</v>
      </c>
      <c r="AF20" s="3">
        <f>$AG20*Tableaux!AF$26</f>
        <v>41.294067370507356</v>
      </c>
      <c r="AG20" s="25">
        <v>42</v>
      </c>
    </row>
    <row r="21" spans="2:36" ht="15.75" thickBot="1" x14ac:dyDescent="0.3">
      <c r="B21" s="71"/>
      <c r="C21" s="63" t="s">
        <v>69</v>
      </c>
      <c r="D21" s="69"/>
      <c r="E21" s="63" t="s">
        <v>78</v>
      </c>
      <c r="F21" s="70"/>
      <c r="H21" s="99"/>
      <c r="I21" s="94">
        <v>0.2</v>
      </c>
      <c r="J21" s="95">
        <v>0.15833333333333333</v>
      </c>
      <c r="K21" s="95">
        <v>0.14166666666666666</v>
      </c>
      <c r="L21" s="96">
        <v>0.1125</v>
      </c>
      <c r="N21" s="53">
        <v>8000</v>
      </c>
      <c r="O21" s="116">
        <v>65</v>
      </c>
      <c r="P21" s="24">
        <v>77</v>
      </c>
      <c r="Q21" s="24">
        <v>82</v>
      </c>
      <c r="R21" s="113">
        <v>94</v>
      </c>
      <c r="T21" s="2" t="s">
        <v>17</v>
      </c>
      <c r="U21" s="3">
        <f>$AG21*Tableaux!U$26</f>
        <v>70.099928673287536</v>
      </c>
      <c r="V21" s="3">
        <f>$AG21*Tableaux!V$26</f>
        <v>71.62401831787993</v>
      </c>
      <c r="W21" s="3">
        <f>$AG21*Tableaux!W$26</f>
        <v>73.484692283495349</v>
      </c>
      <c r="X21" s="3">
        <f>$AG21*Tableaux!X$26</f>
        <v>75.299402388066795</v>
      </c>
      <c r="Y21" s="3">
        <f>$AG21*Tableaux!Y$26</f>
        <v>77.071395471990783</v>
      </c>
      <c r="Z21" s="3">
        <f>$AG21*Tableaux!Z$26</f>
        <v>78.803553219382181</v>
      </c>
      <c r="AA21" s="3">
        <f>$AG21*Tableaux!AA$26</f>
        <v>80.498447189992433</v>
      </c>
      <c r="AB21" s="3">
        <f>$AG21*Tableaux!AB$26</f>
        <v>82.158383625774917</v>
      </c>
      <c r="AC21" s="3">
        <f>$AG21*Tableaux!AC$26</f>
        <v>83.785440262613662</v>
      </c>
      <c r="AD21" s="3">
        <f>$AG21*Tableaux!AD$26</f>
        <v>85.381496824546232</v>
      </c>
      <c r="AE21" s="3">
        <f>$AG21*Tableaux!AE$26</f>
        <v>86.948260477136628</v>
      </c>
      <c r="AF21" s="3">
        <f>$AG21*Tableaux!AF$26</f>
        <v>88.487287222515761</v>
      </c>
      <c r="AG21" s="25">
        <v>90</v>
      </c>
    </row>
    <row r="22" spans="2:36" ht="15.75" thickBot="1" x14ac:dyDescent="0.3">
      <c r="B22" s="42" t="s">
        <v>23</v>
      </c>
      <c r="C22" s="34" t="s">
        <v>74</v>
      </c>
      <c r="D22" s="47" t="s">
        <v>75</v>
      </c>
      <c r="E22" s="34" t="s">
        <v>74</v>
      </c>
      <c r="F22" s="28" t="s">
        <v>75</v>
      </c>
      <c r="H22" s="98">
        <v>40</v>
      </c>
      <c r="I22" s="81">
        <f>472/1.852</f>
        <v>254.8596112311015</v>
      </c>
      <c r="J22" s="82">
        <f>422/1.852</f>
        <v>227.86177105831533</v>
      </c>
      <c r="K22" s="82">
        <f>400/1.852</f>
        <v>215.98272138228941</v>
      </c>
      <c r="L22" s="97">
        <f>348/1.852</f>
        <v>187.9049676025918</v>
      </c>
      <c r="N22" s="56">
        <v>10000</v>
      </c>
      <c r="O22" s="117">
        <v>61</v>
      </c>
      <c r="P22" s="114">
        <v>74</v>
      </c>
      <c r="Q22" s="114">
        <v>78</v>
      </c>
      <c r="R22" s="115" t="s">
        <v>91</v>
      </c>
      <c r="T22" s="2" t="s">
        <v>18</v>
      </c>
      <c r="U22" s="3">
        <f>$AG22*Tableaux!U$26</f>
        <v>55.301054842260172</v>
      </c>
      <c r="V22" s="3">
        <f>$AG22*Tableaux!V$26</f>
        <v>56.503392228549721</v>
      </c>
      <c r="W22" s="3">
        <f>$AG22*Tableaux!W$26</f>
        <v>57.97125724586855</v>
      </c>
      <c r="X22" s="3">
        <f>$AG22*Tableaux!X$26</f>
        <v>59.402861883919364</v>
      </c>
      <c r="Y22" s="3">
        <f>$AG22*Tableaux!Y$26</f>
        <v>60.800767539014949</v>
      </c>
      <c r="Z22" s="3">
        <f>$AG22*Tableaux!Z$26</f>
        <v>62.167247539734831</v>
      </c>
      <c r="AA22" s="3">
        <f>$AG22*Tableaux!AA$26</f>
        <v>63.504330560994028</v>
      </c>
      <c r="AB22" s="3">
        <f>$AG22*Tableaux!AB$26</f>
        <v>64.813835971444661</v>
      </c>
      <c r="AC22" s="3">
        <f>$AG22*Tableaux!AC$26</f>
        <v>66.09740287383967</v>
      </c>
      <c r="AD22" s="3">
        <f>$AG22*Tableaux!AD$26</f>
        <v>67.356514161586475</v>
      </c>
      <c r="AE22" s="3">
        <f>$AG22*Tableaux!AE$26</f>
        <v>68.592516598630013</v>
      </c>
      <c r="AF22" s="3">
        <f>$AG22*Tableaux!AF$26</f>
        <v>69.80663769776244</v>
      </c>
      <c r="AG22" s="25">
        <v>71</v>
      </c>
    </row>
    <row r="23" spans="2:36" ht="15.75" thickBot="1" x14ac:dyDescent="0.3">
      <c r="B23" s="32">
        <v>0</v>
      </c>
      <c r="C23" s="44">
        <v>137</v>
      </c>
      <c r="D23" s="43">
        <v>391</v>
      </c>
      <c r="E23" s="43">
        <v>214</v>
      </c>
      <c r="F23" s="48">
        <v>482</v>
      </c>
      <c r="H23" s="99"/>
      <c r="I23" s="94">
        <v>0.13333333333333333</v>
      </c>
      <c r="J23" s="95">
        <v>0.10416666666666667</v>
      </c>
      <c r="K23" s="95">
        <v>9.583333333333334E-2</v>
      </c>
      <c r="L23" s="96">
        <v>7.4999999999999997E-2</v>
      </c>
      <c r="T23" s="2" t="s">
        <v>19</v>
      </c>
      <c r="U23" s="3">
        <f>$AG23*Tableaux!U$26</f>
        <v>39.723292914862938</v>
      </c>
      <c r="V23" s="3">
        <f>$AG23*Tableaux!V$26</f>
        <v>40.586943713465296</v>
      </c>
      <c r="W23" s="3">
        <f>$AG23*Tableaux!W$26</f>
        <v>41.641325627314025</v>
      </c>
      <c r="X23" s="3">
        <f>$AG23*Tableaux!X$26</f>
        <v>42.669661353237856</v>
      </c>
      <c r="Y23" s="3">
        <f>$AG23*Tableaux!Y$26</f>
        <v>43.673790767461441</v>
      </c>
      <c r="Z23" s="3">
        <f>$AG23*Tableaux!Z$26</f>
        <v>44.655346824316567</v>
      </c>
      <c r="AA23" s="3">
        <f>$AG23*Tableaux!AA$26</f>
        <v>45.615786740995709</v>
      </c>
      <c r="AB23" s="3">
        <f>$AG23*Tableaux!AB$26</f>
        <v>46.556417387939121</v>
      </c>
      <c r="AC23" s="3">
        <f>$AG23*Tableaux!AC$26</f>
        <v>47.478416148814404</v>
      </c>
      <c r="AD23" s="3">
        <f>$AG23*Tableaux!AD$26</f>
        <v>48.382848200576205</v>
      </c>
      <c r="AE23" s="3">
        <f>$AG23*Tableaux!AE$26</f>
        <v>49.270680937044091</v>
      </c>
      <c r="AF23" s="3">
        <f>$AG23*Tableaux!AF$26</f>
        <v>50.142796092758928</v>
      </c>
      <c r="AG23" s="25">
        <v>51</v>
      </c>
    </row>
    <row r="24" spans="2:36" ht="15" customHeight="1" x14ac:dyDescent="0.25">
      <c r="B24" s="32">
        <v>2000</v>
      </c>
      <c r="C24" s="45">
        <v>154</v>
      </c>
      <c r="D24" s="30">
        <v>440</v>
      </c>
      <c r="E24" s="30">
        <v>241</v>
      </c>
      <c r="F24" s="39">
        <v>543</v>
      </c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</row>
    <row r="25" spans="2:36" ht="15" customHeight="1" x14ac:dyDescent="0.25">
      <c r="B25" s="32">
        <v>4000</v>
      </c>
      <c r="C25" s="45">
        <v>174</v>
      </c>
      <c r="D25" s="30">
        <v>496</v>
      </c>
      <c r="E25" s="30">
        <v>272</v>
      </c>
      <c r="F25" s="39">
        <v>612</v>
      </c>
      <c r="T25" s="4" t="s">
        <v>20</v>
      </c>
      <c r="U25" s="25">
        <f>Tableaux!U15*2.205</f>
        <v>802.62</v>
      </c>
      <c r="V25" s="25">
        <f>Tableaux!V15*2.205</f>
        <v>837.9</v>
      </c>
      <c r="W25" s="25">
        <f>Tableaux!W15*2.205</f>
        <v>882</v>
      </c>
      <c r="X25" s="25">
        <f>Tableaux!X15*2.205</f>
        <v>926.1</v>
      </c>
      <c r="Y25" s="25">
        <f>Tableaux!Y15*2.205</f>
        <v>970.2</v>
      </c>
      <c r="Z25" s="25">
        <f>Tableaux!Z15*2.205</f>
        <v>1014.3000000000001</v>
      </c>
      <c r="AA25" s="25">
        <f>Tableaux!AA15*2.205</f>
        <v>1058.4000000000001</v>
      </c>
      <c r="AB25" s="25">
        <f>Tableaux!AB15*2.205</f>
        <v>1102.5</v>
      </c>
      <c r="AC25" s="25">
        <f>Tableaux!AC15*2.205</f>
        <v>1146.6000000000001</v>
      </c>
      <c r="AD25" s="25">
        <f>Tableaux!AD15*2.205</f>
        <v>1190.7</v>
      </c>
      <c r="AE25" s="25">
        <f>Tableaux!AE15*2.205</f>
        <v>1234.8</v>
      </c>
      <c r="AF25" s="25">
        <f>Tableaux!AF15*2.205</f>
        <v>1278.9000000000001</v>
      </c>
      <c r="AG25" s="25">
        <f>Tableaux!AG15*2.205</f>
        <v>1323</v>
      </c>
    </row>
    <row r="26" spans="2:36" ht="15.75" customHeight="1" thickBot="1" x14ac:dyDescent="0.3">
      <c r="B26" s="32">
        <v>6000</v>
      </c>
      <c r="C26" s="45">
        <v>197</v>
      </c>
      <c r="D26" s="30">
        <v>561</v>
      </c>
      <c r="E26" s="30">
        <v>307</v>
      </c>
      <c r="F26" s="39">
        <v>692</v>
      </c>
      <c r="T26" s="4" t="s">
        <v>21</v>
      </c>
      <c r="U26" s="19">
        <f>SQRT(U25/$AG25)</f>
        <v>0.77888809636986156</v>
      </c>
      <c r="V26" s="19">
        <f>SQRT(V25/$AG25)</f>
        <v>0.79582242575422146</v>
      </c>
      <c r="W26" s="19">
        <f>SQRT(W25/$AG25)</f>
        <v>0.81649658092772603</v>
      </c>
      <c r="X26" s="19">
        <f>SQRT(X25/$AG25)</f>
        <v>0.83666002653407556</v>
      </c>
      <c r="Y26" s="19">
        <f>SQRT(Y25/$AG25)</f>
        <v>0.8563488385776753</v>
      </c>
      <c r="Z26" s="19">
        <f>SQRT(Z25/$AG25)</f>
        <v>0.87559503577091313</v>
      </c>
      <c r="AA26" s="19">
        <f>SQRT(AA25/$AG25)</f>
        <v>0.89442719099991586</v>
      </c>
      <c r="AB26" s="19">
        <f>SQRT(AB25/$AG25)</f>
        <v>0.9128709291752769</v>
      </c>
      <c r="AC26" s="19">
        <f>SQRT(AC25/$AG25)</f>
        <v>0.93094933625126286</v>
      </c>
      <c r="AD26" s="19">
        <f>SQRT(AD25/$AG25)</f>
        <v>0.94868329805051377</v>
      </c>
      <c r="AE26" s="19">
        <f>SQRT(AE25/$AG25)</f>
        <v>0.96609178307929588</v>
      </c>
      <c r="AF26" s="19">
        <f>SQRT(AF25/$AG25)</f>
        <v>0.98319208025017513</v>
      </c>
      <c r="AG26" s="7">
        <f>SQRT(AG25/$AG25)</f>
        <v>1</v>
      </c>
    </row>
    <row r="27" spans="2:36" x14ac:dyDescent="0.25">
      <c r="B27" s="32">
        <v>8000</v>
      </c>
      <c r="C27" s="45">
        <v>223</v>
      </c>
      <c r="D27" s="30">
        <v>635</v>
      </c>
      <c r="E27" s="30">
        <v>348</v>
      </c>
      <c r="F27" s="39">
        <v>783</v>
      </c>
      <c r="H27" s="108" t="s">
        <v>90</v>
      </c>
      <c r="I27" s="109"/>
    </row>
    <row r="28" spans="2:36" ht="15.75" thickBot="1" x14ac:dyDescent="0.3">
      <c r="B28" s="33">
        <v>10000</v>
      </c>
      <c r="C28" s="46">
        <v>253</v>
      </c>
      <c r="D28" s="40">
        <v>720</v>
      </c>
      <c r="E28" s="40">
        <v>395</v>
      </c>
      <c r="F28" s="41">
        <v>888</v>
      </c>
      <c r="H28" s="110">
        <v>0.55000000000000004</v>
      </c>
      <c r="I28" s="111">
        <v>12.4</v>
      </c>
    </row>
    <row r="29" spans="2:36" ht="16.5" customHeight="1" thickBot="1" x14ac:dyDescent="0.3">
      <c r="H29" s="110">
        <v>0.65</v>
      </c>
      <c r="I29" s="111">
        <v>15.8</v>
      </c>
      <c r="T29" s="201" t="s">
        <v>22</v>
      </c>
      <c r="U29" s="202"/>
      <c r="V29" s="202"/>
      <c r="W29" s="202"/>
      <c r="X29" s="202"/>
      <c r="Y29" s="202"/>
      <c r="Z29" s="202"/>
      <c r="AA29" s="202"/>
      <c r="AB29" s="202"/>
      <c r="AC29" s="202"/>
      <c r="AD29" s="202"/>
      <c r="AE29" s="202"/>
      <c r="AF29" s="202"/>
      <c r="AG29" s="203"/>
    </row>
    <row r="30" spans="2:36" ht="16.5" customHeight="1" thickBot="1" x14ac:dyDescent="0.3">
      <c r="B30" s="64" t="s">
        <v>82</v>
      </c>
      <c r="C30" s="65" t="s">
        <v>80</v>
      </c>
      <c r="D30" s="66"/>
      <c r="E30" s="66"/>
      <c r="F30" s="67"/>
      <c r="H30" s="110">
        <v>0.75</v>
      </c>
      <c r="I30" s="111">
        <v>17.399999999999999</v>
      </c>
      <c r="T30" s="204"/>
      <c r="U30" s="205"/>
      <c r="V30" s="205"/>
      <c r="W30" s="205"/>
      <c r="X30" s="205"/>
      <c r="Y30" s="205"/>
      <c r="Z30" s="205"/>
      <c r="AA30" s="205"/>
      <c r="AB30" s="205"/>
      <c r="AC30" s="205"/>
      <c r="AD30" s="205"/>
      <c r="AE30" s="205"/>
      <c r="AF30" s="205"/>
      <c r="AG30" s="206"/>
    </row>
    <row r="31" spans="2:36" ht="16.5" customHeight="1" thickBot="1" x14ac:dyDescent="0.3">
      <c r="B31" s="58"/>
      <c r="C31" s="68" t="s">
        <v>69</v>
      </c>
      <c r="D31" s="69"/>
      <c r="E31" s="63" t="s">
        <v>78</v>
      </c>
      <c r="F31" s="70"/>
      <c r="H31" s="88" t="s">
        <v>52</v>
      </c>
      <c r="I31" s="112">
        <v>22.4</v>
      </c>
      <c r="T31" s="207"/>
      <c r="U31" s="208"/>
      <c r="V31" s="208"/>
      <c r="W31" s="208"/>
      <c r="X31" s="208"/>
      <c r="Y31" s="208"/>
      <c r="Z31" s="208"/>
      <c r="AA31" s="208"/>
      <c r="AB31" s="208"/>
      <c r="AC31" s="208"/>
      <c r="AD31" s="208"/>
      <c r="AE31" s="208"/>
      <c r="AF31" s="208"/>
      <c r="AG31" s="209"/>
    </row>
    <row r="32" spans="2:36" ht="15.75" thickBot="1" x14ac:dyDescent="0.3">
      <c r="B32" s="32" t="s">
        <v>23</v>
      </c>
      <c r="C32" s="29" t="s">
        <v>74</v>
      </c>
      <c r="D32" s="47" t="s">
        <v>75</v>
      </c>
      <c r="E32" s="49" t="s">
        <v>74</v>
      </c>
      <c r="F32" s="50" t="s">
        <v>75</v>
      </c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</row>
    <row r="33" spans="2:33" ht="15.75" thickBot="1" x14ac:dyDescent="0.3">
      <c r="B33" s="32">
        <v>0</v>
      </c>
      <c r="C33" s="44">
        <v>146</v>
      </c>
      <c r="D33" s="43">
        <v>417</v>
      </c>
      <c r="E33" s="43">
        <v>229</v>
      </c>
      <c r="F33" s="48">
        <v>515</v>
      </c>
      <c r="H33" s="149" t="s">
        <v>92</v>
      </c>
      <c r="I33" s="148">
        <v>0.76</v>
      </c>
      <c r="T33" s="2" t="s">
        <v>23</v>
      </c>
      <c r="U33" s="2" t="s">
        <v>0</v>
      </c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</row>
    <row r="34" spans="2:33" x14ac:dyDescent="0.25">
      <c r="B34" s="32">
        <v>2000</v>
      </c>
      <c r="C34" s="45">
        <v>165</v>
      </c>
      <c r="D34" s="30">
        <v>471</v>
      </c>
      <c r="E34" s="30">
        <v>258</v>
      </c>
      <c r="F34" s="39">
        <v>580</v>
      </c>
      <c r="T34" s="2"/>
      <c r="U34" s="2">
        <v>360</v>
      </c>
      <c r="V34" s="2">
        <v>380</v>
      </c>
      <c r="W34" s="2">
        <v>400</v>
      </c>
      <c r="X34" s="2">
        <v>420</v>
      </c>
      <c r="Y34" s="2">
        <v>440</v>
      </c>
      <c r="Z34" s="2">
        <v>460</v>
      </c>
      <c r="AA34" s="2">
        <v>480</v>
      </c>
      <c r="AB34" s="2">
        <v>500</v>
      </c>
      <c r="AC34" s="2">
        <v>520</v>
      </c>
      <c r="AD34" s="2">
        <v>540</v>
      </c>
      <c r="AE34" s="2">
        <v>560</v>
      </c>
      <c r="AF34" s="2">
        <v>580</v>
      </c>
      <c r="AG34" s="2">
        <v>600</v>
      </c>
    </row>
    <row r="35" spans="2:33" x14ac:dyDescent="0.25">
      <c r="B35" s="32">
        <v>4000</v>
      </c>
      <c r="C35" s="45">
        <v>186</v>
      </c>
      <c r="D35" s="30">
        <v>531</v>
      </c>
      <c r="E35" s="30">
        <v>291</v>
      </c>
      <c r="F35" s="39">
        <v>655</v>
      </c>
      <c r="T35" s="2">
        <v>0</v>
      </c>
      <c r="U35" s="3">
        <f>$AG35*Tableaux!U$49</f>
        <v>51.897976839179385</v>
      </c>
      <c r="V35" s="3">
        <f>$AG35*Tableaux!V$49</f>
        <v>53.320102525532839</v>
      </c>
      <c r="W35" s="3">
        <f>$AG35*Tableaux!W$49</f>
        <v>54.705270922157645</v>
      </c>
      <c r="X35" s="3">
        <f>$AG35*Tableaux!X$49</f>
        <v>56.056221777783065</v>
      </c>
      <c r="Y35" s="3">
        <f>$AG35*Tableaux!Y$49</f>
        <v>57.375372184704247</v>
      </c>
      <c r="Z35" s="3">
        <f>$AG35*Tableaux!Z$49</f>
        <v>58.664867396651182</v>
      </c>
      <c r="AA35" s="3">
        <f>$AG35*Tableaux!AA$49</f>
        <v>59.926621796994361</v>
      </c>
      <c r="AB35" s="3">
        <f>$AG35*Tableaux!AB$49</f>
        <v>61.162352254743553</v>
      </c>
      <c r="AC35" s="3">
        <f>$AG35*Tableaux!AC$49</f>
        <v>62.373605528834609</v>
      </c>
      <c r="AD35" s="3">
        <f>$AG35*Tableaux!AD$49</f>
        <v>63.561780969384422</v>
      </c>
      <c r="AE35" s="3">
        <f>$AG35*Tableaux!AE$49</f>
        <v>64.728149466312829</v>
      </c>
      <c r="AF35" s="3">
        <f>$AG35*Tableaux!AF$49</f>
        <v>65.873869376761732</v>
      </c>
      <c r="AG35" s="24">
        <v>67</v>
      </c>
    </row>
    <row r="36" spans="2:33" x14ac:dyDescent="0.25">
      <c r="B36" s="32">
        <v>6000</v>
      </c>
      <c r="C36" s="45">
        <v>211</v>
      </c>
      <c r="D36" s="30">
        <v>601</v>
      </c>
      <c r="E36" s="30">
        <v>329</v>
      </c>
      <c r="F36" s="39">
        <v>741</v>
      </c>
      <c r="T36" s="2">
        <v>1000</v>
      </c>
      <c r="U36" s="3">
        <f>$AG36*Tableaux!U$49</f>
        <v>51.123380169937903</v>
      </c>
      <c r="V36" s="3">
        <f>$AG36*Tableaux!V$49</f>
        <v>52.524280099778615</v>
      </c>
      <c r="W36" s="3">
        <f>$AG36*Tableaux!W$49</f>
        <v>53.888774341229919</v>
      </c>
      <c r="X36" s="3">
        <f>$AG36*Tableaux!X$49</f>
        <v>55.219561751248989</v>
      </c>
      <c r="Y36" s="3">
        <f>$AG36*Tableaux!Y$49</f>
        <v>56.519023346126566</v>
      </c>
      <c r="Z36" s="3">
        <f>$AG36*Tableaux!Z$49</f>
        <v>57.789272360880268</v>
      </c>
      <c r="AA36" s="3">
        <f>$AG36*Tableaux!AA$49</f>
        <v>59.032194605994448</v>
      </c>
      <c r="AB36" s="3">
        <f>$AG36*Tableaux!AB$49</f>
        <v>60.249481325568276</v>
      </c>
      <c r="AC36" s="3">
        <f>$AG36*Tableaux!AC$49</f>
        <v>61.44265619258335</v>
      </c>
      <c r="AD36" s="3">
        <f>$AG36*Tableaux!AD$49</f>
        <v>62.613097671333911</v>
      </c>
      <c r="AE36" s="3">
        <f>$AG36*Tableaux!AE$49</f>
        <v>63.762057683233529</v>
      </c>
      <c r="AF36" s="3">
        <f>$AG36*Tableaux!AF$49</f>
        <v>64.890677296511555</v>
      </c>
      <c r="AG36" s="24">
        <v>66</v>
      </c>
    </row>
    <row r="37" spans="2:33" x14ac:dyDescent="0.25">
      <c r="B37" s="32">
        <v>8000</v>
      </c>
      <c r="C37" s="45">
        <v>239</v>
      </c>
      <c r="D37" s="30">
        <v>681</v>
      </c>
      <c r="E37" s="30">
        <v>273</v>
      </c>
      <c r="F37" s="39">
        <v>840</v>
      </c>
      <c r="T37" s="2">
        <v>2000</v>
      </c>
      <c r="U37" s="3">
        <f>$AG37*Tableaux!U$49</f>
        <v>50.34878350069642</v>
      </c>
      <c r="V37" s="3">
        <f>$AG37*Tableaux!V$49</f>
        <v>51.728457674024398</v>
      </c>
      <c r="W37" s="3">
        <f>$AG37*Tableaux!W$49</f>
        <v>53.072277760302192</v>
      </c>
      <c r="X37" s="3">
        <f>$AG37*Tableaux!X$49</f>
        <v>54.382901724714912</v>
      </c>
      <c r="Y37" s="3">
        <f>$AG37*Tableaux!Y$49</f>
        <v>55.662674507548893</v>
      </c>
      <c r="Z37" s="3">
        <f>$AG37*Tableaux!Z$49</f>
        <v>56.913677325109354</v>
      </c>
      <c r="AA37" s="3">
        <f>$AG37*Tableaux!AA$49</f>
        <v>58.137767414994528</v>
      </c>
      <c r="AB37" s="3">
        <f>$AG37*Tableaux!AB$49</f>
        <v>59.336610396392999</v>
      </c>
      <c r="AC37" s="3">
        <f>$AG37*Tableaux!AC$49</f>
        <v>60.511706856332083</v>
      </c>
      <c r="AD37" s="3">
        <f>$AG37*Tableaux!AD$49</f>
        <v>61.664414373283392</v>
      </c>
      <c r="AE37" s="3">
        <f>$AG37*Tableaux!AE$49</f>
        <v>62.795965900154229</v>
      </c>
      <c r="AF37" s="3">
        <f>$AG37*Tableaux!AF$49</f>
        <v>63.907485216261385</v>
      </c>
      <c r="AG37" s="24">
        <v>65</v>
      </c>
    </row>
    <row r="38" spans="2:33" ht="15.75" thickBot="1" x14ac:dyDescent="0.3">
      <c r="B38" s="33">
        <v>10000</v>
      </c>
      <c r="C38" s="46">
        <v>271</v>
      </c>
      <c r="D38" s="40">
        <v>773</v>
      </c>
      <c r="E38" s="40">
        <v>424</v>
      </c>
      <c r="F38" s="41">
        <v>953</v>
      </c>
      <c r="T38" s="2">
        <v>3000</v>
      </c>
      <c r="U38" s="3">
        <f>$AG38*Tableaux!U$49</f>
        <v>50.34878350069642</v>
      </c>
      <c r="V38" s="3">
        <f>$AG38*Tableaux!V$49</f>
        <v>51.728457674024398</v>
      </c>
      <c r="W38" s="3">
        <f>$AG38*Tableaux!W$49</f>
        <v>53.072277760302192</v>
      </c>
      <c r="X38" s="3">
        <f>$AG38*Tableaux!X$49</f>
        <v>54.382901724714912</v>
      </c>
      <c r="Y38" s="3">
        <f>$AG38*Tableaux!Y$49</f>
        <v>55.662674507548893</v>
      </c>
      <c r="Z38" s="3">
        <f>$AG38*Tableaux!Z$49</f>
        <v>56.913677325109354</v>
      </c>
      <c r="AA38" s="3">
        <f>$AG38*Tableaux!AA$49</f>
        <v>58.137767414994528</v>
      </c>
      <c r="AB38" s="3">
        <f>$AG38*Tableaux!AB$49</f>
        <v>59.336610396392999</v>
      </c>
      <c r="AC38" s="3">
        <f>$AG38*Tableaux!AC$49</f>
        <v>60.511706856332083</v>
      </c>
      <c r="AD38" s="3">
        <f>$AG38*Tableaux!AD$49</f>
        <v>61.664414373283392</v>
      </c>
      <c r="AE38" s="3">
        <f>$AG38*Tableaux!AE$49</f>
        <v>62.795965900154229</v>
      </c>
      <c r="AF38" s="3">
        <f>$AG38*Tableaux!AF$49</f>
        <v>63.907485216261385</v>
      </c>
      <c r="AG38" s="24">
        <v>65</v>
      </c>
    </row>
    <row r="39" spans="2:33" ht="15.75" thickBot="1" x14ac:dyDescent="0.3">
      <c r="T39" s="2">
        <v>4000</v>
      </c>
      <c r="U39" s="3">
        <f>$AG39*Tableaux!U$49</f>
        <v>49.574186831454938</v>
      </c>
      <c r="V39" s="3">
        <f>$AG39*Tableaux!V$49</f>
        <v>50.932635248270174</v>
      </c>
      <c r="W39" s="3">
        <f>$AG39*Tableaux!W$49</f>
        <v>52.255781179374466</v>
      </c>
      <c r="X39" s="3">
        <f>$AG39*Tableaux!X$49</f>
        <v>53.546241698180836</v>
      </c>
      <c r="Y39" s="3">
        <f>$AG39*Tableaux!Y$49</f>
        <v>54.806325668971219</v>
      </c>
      <c r="Z39" s="3">
        <f>$AG39*Tableaux!Z$49</f>
        <v>56.03808228933844</v>
      </c>
      <c r="AA39" s="3">
        <f>$AG39*Tableaux!AA$49</f>
        <v>57.243340223994615</v>
      </c>
      <c r="AB39" s="3">
        <f>$AG39*Tableaux!AB$49</f>
        <v>58.423739467217722</v>
      </c>
      <c r="AC39" s="3">
        <f>$AG39*Tableaux!AC$49</f>
        <v>59.580757520080823</v>
      </c>
      <c r="AD39" s="3">
        <f>$AG39*Tableaux!AD$49</f>
        <v>60.715731075232881</v>
      </c>
      <c r="AE39" s="3">
        <f>$AG39*Tableaux!AE$49</f>
        <v>61.829874117074937</v>
      </c>
      <c r="AF39" s="3">
        <f>$AG39*Tableaux!AF$49</f>
        <v>62.924293136011208</v>
      </c>
      <c r="AG39" s="24">
        <v>64</v>
      </c>
    </row>
    <row r="40" spans="2:33" ht="15.75" thickBot="1" x14ac:dyDescent="0.3">
      <c r="B40" s="64" t="s">
        <v>83</v>
      </c>
      <c r="C40" s="65" t="s">
        <v>80</v>
      </c>
      <c r="D40" s="66"/>
      <c r="E40" s="66"/>
      <c r="F40" s="67"/>
      <c r="T40" s="2">
        <v>5000</v>
      </c>
      <c r="U40" s="3">
        <f>$AG40*Tableaux!U$49</f>
        <v>49.574186831454938</v>
      </c>
      <c r="V40" s="3">
        <f>$AG40*Tableaux!V$49</f>
        <v>50.932635248270174</v>
      </c>
      <c r="W40" s="3">
        <f>$AG40*Tableaux!W$49</f>
        <v>52.255781179374466</v>
      </c>
      <c r="X40" s="3">
        <f>$AG40*Tableaux!X$49</f>
        <v>53.546241698180836</v>
      </c>
      <c r="Y40" s="3">
        <f>$AG40*Tableaux!Y$49</f>
        <v>54.806325668971219</v>
      </c>
      <c r="Z40" s="3">
        <f>$AG40*Tableaux!Z$49</f>
        <v>56.03808228933844</v>
      </c>
      <c r="AA40" s="3">
        <f>$AG40*Tableaux!AA$49</f>
        <v>57.243340223994615</v>
      </c>
      <c r="AB40" s="3">
        <f>$AG40*Tableaux!AB$49</f>
        <v>58.423739467217722</v>
      </c>
      <c r="AC40" s="3">
        <f>$AG40*Tableaux!AC$49</f>
        <v>59.580757520080823</v>
      </c>
      <c r="AD40" s="3">
        <f>$AG40*Tableaux!AD$49</f>
        <v>60.715731075232881</v>
      </c>
      <c r="AE40" s="3">
        <f>$AG40*Tableaux!AE$49</f>
        <v>61.829874117074937</v>
      </c>
      <c r="AF40" s="3">
        <f>$AG40*Tableaux!AF$49</f>
        <v>62.924293136011208</v>
      </c>
      <c r="AG40" s="24">
        <v>64</v>
      </c>
    </row>
    <row r="41" spans="2:33" x14ac:dyDescent="0.25">
      <c r="B41" s="58"/>
      <c r="C41" s="68" t="s">
        <v>69</v>
      </c>
      <c r="D41" s="69"/>
      <c r="E41" s="63" t="s">
        <v>78</v>
      </c>
      <c r="F41" s="70"/>
      <c r="T41" s="2">
        <v>6000</v>
      </c>
      <c r="U41" s="3">
        <f>$AG41*Tableaux!U$49</f>
        <v>48.799590162213455</v>
      </c>
      <c r="V41" s="3">
        <f>$AG41*Tableaux!V$49</f>
        <v>50.13681282251595</v>
      </c>
      <c r="W41" s="3">
        <f>$AG41*Tableaux!W$49</f>
        <v>51.43928459844674</v>
      </c>
      <c r="X41" s="3">
        <f>$AG41*Tableaux!X$49</f>
        <v>52.70958167164676</v>
      </c>
      <c r="Y41" s="3">
        <f>$AG41*Tableaux!Y$49</f>
        <v>53.949976830393545</v>
      </c>
      <c r="Z41" s="3">
        <f>$AG41*Tableaux!Z$49</f>
        <v>55.162487253567527</v>
      </c>
      <c r="AA41" s="3">
        <f>$AG41*Tableaux!AA$49</f>
        <v>56.348913032994702</v>
      </c>
      <c r="AB41" s="3">
        <f>$AG41*Tableaux!AB$49</f>
        <v>57.510868538042445</v>
      </c>
      <c r="AC41" s="3">
        <f>$AG41*Tableaux!AC$49</f>
        <v>58.649808183829563</v>
      </c>
      <c r="AD41" s="3">
        <f>$AG41*Tableaux!AD$49</f>
        <v>59.76704777718237</v>
      </c>
      <c r="AE41" s="3">
        <f>$AG41*Tableaux!AE$49</f>
        <v>60.863782333995644</v>
      </c>
      <c r="AF41" s="3">
        <f>$AG41*Tableaux!AF$49</f>
        <v>61.941101055761031</v>
      </c>
      <c r="AG41" s="24">
        <v>63</v>
      </c>
    </row>
    <row r="42" spans="2:33" ht="15.75" thickBot="1" x14ac:dyDescent="0.3">
      <c r="B42" s="32" t="s">
        <v>23</v>
      </c>
      <c r="C42" s="29" t="s">
        <v>74</v>
      </c>
      <c r="D42" s="47" t="s">
        <v>75</v>
      </c>
      <c r="E42" s="49" t="s">
        <v>74</v>
      </c>
      <c r="F42" s="50" t="s">
        <v>75</v>
      </c>
      <c r="T42" s="2">
        <v>7000</v>
      </c>
      <c r="U42" s="3">
        <f>$AG42*Tableaux!U$49</f>
        <v>48.799590162213455</v>
      </c>
      <c r="V42" s="3">
        <f>$AG42*Tableaux!V$49</f>
        <v>50.13681282251595</v>
      </c>
      <c r="W42" s="3">
        <f>$AG42*Tableaux!W$49</f>
        <v>51.43928459844674</v>
      </c>
      <c r="X42" s="3">
        <f>$AG42*Tableaux!X$49</f>
        <v>52.70958167164676</v>
      </c>
      <c r="Y42" s="3">
        <f>$AG42*Tableaux!Y$49</f>
        <v>53.949976830393545</v>
      </c>
      <c r="Z42" s="3">
        <f>$AG42*Tableaux!Z$49</f>
        <v>55.162487253567527</v>
      </c>
      <c r="AA42" s="3">
        <f>$AG42*Tableaux!AA$49</f>
        <v>56.348913032994702</v>
      </c>
      <c r="AB42" s="3">
        <f>$AG42*Tableaux!AB$49</f>
        <v>57.510868538042445</v>
      </c>
      <c r="AC42" s="3">
        <f>$AG42*Tableaux!AC$49</f>
        <v>58.649808183829563</v>
      </c>
      <c r="AD42" s="3">
        <f>$AG42*Tableaux!AD$49</f>
        <v>59.76704777718237</v>
      </c>
      <c r="AE42" s="3">
        <f>$AG42*Tableaux!AE$49</f>
        <v>60.863782333995644</v>
      </c>
      <c r="AF42" s="3">
        <f>$AG42*Tableaux!AF$49</f>
        <v>61.941101055761031</v>
      </c>
      <c r="AG42" s="24">
        <v>63</v>
      </c>
    </row>
    <row r="43" spans="2:33" x14ac:dyDescent="0.25">
      <c r="B43" s="32">
        <v>0</v>
      </c>
      <c r="C43" s="44">
        <v>119</v>
      </c>
      <c r="D43" s="43">
        <v>340</v>
      </c>
      <c r="E43" s="43">
        <v>186</v>
      </c>
      <c r="F43" s="48">
        <v>419</v>
      </c>
      <c r="T43" s="2">
        <v>8000</v>
      </c>
      <c r="U43" s="3">
        <f>$AG43*Tableaux!U$49</f>
        <v>48.024993492971973</v>
      </c>
      <c r="V43" s="3">
        <f>$AG43*Tableaux!V$49</f>
        <v>49.340990396761732</v>
      </c>
      <c r="W43" s="3">
        <f>$AG43*Tableaux!W$49</f>
        <v>50.622788017519014</v>
      </c>
      <c r="X43" s="3">
        <f>$AG43*Tableaux!X$49</f>
        <v>51.872921645112683</v>
      </c>
      <c r="Y43" s="3">
        <f>$AG43*Tableaux!Y$49</f>
        <v>53.093627991815872</v>
      </c>
      <c r="Z43" s="3">
        <f>$AG43*Tableaux!Z$49</f>
        <v>54.286892217796613</v>
      </c>
      <c r="AA43" s="3">
        <f>$AG43*Tableaux!AA$49</f>
        <v>55.454485841994781</v>
      </c>
      <c r="AB43" s="3">
        <f>$AG43*Tableaux!AB$49</f>
        <v>56.597997608867168</v>
      </c>
      <c r="AC43" s="3">
        <f>$AG43*Tableaux!AC$49</f>
        <v>57.718858847578296</v>
      </c>
      <c r="AD43" s="3">
        <f>$AG43*Tableaux!AD$49</f>
        <v>58.818364479131851</v>
      </c>
      <c r="AE43" s="3">
        <f>$AG43*Tableaux!AE$49</f>
        <v>59.897690550916344</v>
      </c>
      <c r="AF43" s="3">
        <f>$AG43*Tableaux!AF$49</f>
        <v>60.957908975510861</v>
      </c>
      <c r="AG43" s="24">
        <v>62</v>
      </c>
    </row>
    <row r="44" spans="2:33" x14ac:dyDescent="0.25">
      <c r="B44" s="32">
        <v>2000</v>
      </c>
      <c r="C44" s="45">
        <v>134</v>
      </c>
      <c r="D44" s="30">
        <v>382</v>
      </c>
      <c r="E44" s="30">
        <v>209</v>
      </c>
      <c r="F44" s="39">
        <v>471</v>
      </c>
      <c r="T44" s="2">
        <v>9000</v>
      </c>
      <c r="U44" s="3">
        <f>$AG44*Tableaux!U$49</f>
        <v>48.024993492971973</v>
      </c>
      <c r="V44" s="3">
        <f>$AG44*Tableaux!V$49</f>
        <v>49.340990396761732</v>
      </c>
      <c r="W44" s="3">
        <f>$AG44*Tableaux!W$49</f>
        <v>50.622788017519014</v>
      </c>
      <c r="X44" s="3">
        <f>$AG44*Tableaux!X$49</f>
        <v>51.872921645112683</v>
      </c>
      <c r="Y44" s="3">
        <f>$AG44*Tableaux!Y$49</f>
        <v>53.093627991815872</v>
      </c>
      <c r="Z44" s="3">
        <f>$AG44*Tableaux!Z$49</f>
        <v>54.286892217796613</v>
      </c>
      <c r="AA44" s="3">
        <f>$AG44*Tableaux!AA$49</f>
        <v>55.454485841994781</v>
      </c>
      <c r="AB44" s="3">
        <f>$AG44*Tableaux!AB$49</f>
        <v>56.597997608867168</v>
      </c>
      <c r="AC44" s="3">
        <f>$AG44*Tableaux!AC$49</f>
        <v>57.718858847578296</v>
      </c>
      <c r="AD44" s="3">
        <f>$AG44*Tableaux!AD$49</f>
        <v>58.818364479131851</v>
      </c>
      <c r="AE44" s="3">
        <f>$AG44*Tableaux!AE$49</f>
        <v>59.897690550916344</v>
      </c>
      <c r="AF44" s="3">
        <f>$AG44*Tableaux!AF$49</f>
        <v>60.957908975510861</v>
      </c>
      <c r="AG44" s="24">
        <v>62</v>
      </c>
    </row>
    <row r="45" spans="2:33" x14ac:dyDescent="0.25">
      <c r="B45" s="32">
        <v>4000</v>
      </c>
      <c r="C45" s="45">
        <v>151</v>
      </c>
      <c r="D45" s="30">
        <v>430</v>
      </c>
      <c r="E45" s="30">
        <v>236</v>
      </c>
      <c r="F45" s="39">
        <v>531</v>
      </c>
      <c r="T45" s="2">
        <v>10000</v>
      </c>
      <c r="U45" s="3">
        <f>$AG45*Tableaux!U$49</f>
        <v>47.25039682373049</v>
      </c>
      <c r="V45" s="3">
        <f>$AG45*Tableaux!V$49</f>
        <v>48.545167971007508</v>
      </c>
      <c r="W45" s="3">
        <f>$AG45*Tableaux!W$49</f>
        <v>49.806291436591287</v>
      </c>
      <c r="X45" s="3">
        <f>$AG45*Tableaux!X$49</f>
        <v>51.036261618578607</v>
      </c>
      <c r="Y45" s="3">
        <f>$AG45*Tableaux!Y$49</f>
        <v>52.237279153238191</v>
      </c>
      <c r="Z45" s="3">
        <f>$AG45*Tableaux!Z$49</f>
        <v>53.411297182025699</v>
      </c>
      <c r="AA45" s="3">
        <f>$AG45*Tableaux!AA$49</f>
        <v>54.560058650994868</v>
      </c>
      <c r="AB45" s="3">
        <f>$AG45*Tableaux!AB$49</f>
        <v>55.685126679691891</v>
      </c>
      <c r="AC45" s="3">
        <f>$AG45*Tableaux!AC$49</f>
        <v>56.787909511327037</v>
      </c>
      <c r="AD45" s="3">
        <f>$AG45*Tableaux!AD$49</f>
        <v>57.86968118108134</v>
      </c>
      <c r="AE45" s="3">
        <f>$AG45*Tableaux!AE$49</f>
        <v>58.931598767837052</v>
      </c>
      <c r="AF45" s="3">
        <f>$AG45*Tableaux!AF$49</f>
        <v>59.974716895260684</v>
      </c>
      <c r="AG45" s="24">
        <v>61</v>
      </c>
    </row>
    <row r="46" spans="2:33" ht="15" customHeight="1" x14ac:dyDescent="0.25">
      <c r="B46" s="32">
        <v>6000</v>
      </c>
      <c r="C46" s="45">
        <v>170</v>
      </c>
      <c r="D46" s="30">
        <v>485</v>
      </c>
      <c r="E46" s="30">
        <v>266</v>
      </c>
      <c r="F46" s="39">
        <v>598</v>
      </c>
    </row>
    <row r="47" spans="2:33" ht="15" customHeight="1" x14ac:dyDescent="0.25">
      <c r="B47" s="32">
        <v>8000</v>
      </c>
      <c r="C47" s="45">
        <v>192</v>
      </c>
      <c r="D47" s="30">
        <v>548</v>
      </c>
      <c r="E47" s="30">
        <v>300</v>
      </c>
      <c r="F47" s="39">
        <v>676</v>
      </c>
      <c r="T47" s="2" t="s">
        <v>0</v>
      </c>
      <c r="U47" s="7">
        <v>360</v>
      </c>
      <c r="V47" s="7">
        <v>380</v>
      </c>
      <c r="W47" s="7">
        <v>400</v>
      </c>
      <c r="X47" s="7">
        <v>420</v>
      </c>
      <c r="Y47" s="7">
        <v>440</v>
      </c>
      <c r="Z47" s="7">
        <v>460</v>
      </c>
      <c r="AA47" s="7">
        <v>480</v>
      </c>
      <c r="AB47" s="7">
        <v>500</v>
      </c>
      <c r="AC47" s="7">
        <v>520</v>
      </c>
      <c r="AD47" s="7">
        <v>540</v>
      </c>
      <c r="AE47" s="7">
        <v>560</v>
      </c>
      <c r="AF47" s="7">
        <v>580</v>
      </c>
      <c r="AG47" s="7">
        <v>600</v>
      </c>
    </row>
    <row r="48" spans="2:33" ht="15.75" customHeight="1" thickBot="1" x14ac:dyDescent="0.3">
      <c r="B48" s="33">
        <v>10000</v>
      </c>
      <c r="C48" s="46">
        <v>218</v>
      </c>
      <c r="D48" s="40">
        <v>620</v>
      </c>
      <c r="E48" s="40">
        <v>340</v>
      </c>
      <c r="F48" s="41">
        <v>765</v>
      </c>
      <c r="T48" s="2" t="s">
        <v>20</v>
      </c>
      <c r="U48" s="25">
        <f>U47*2.205</f>
        <v>793.80000000000007</v>
      </c>
      <c r="V48" s="25">
        <f>V47*2.205</f>
        <v>837.9</v>
      </c>
      <c r="W48" s="25">
        <f>W47*2.205</f>
        <v>882</v>
      </c>
      <c r="X48" s="25">
        <f>X47*2.205</f>
        <v>926.1</v>
      </c>
      <c r="Y48" s="25">
        <f>Y47*2.205</f>
        <v>970.2</v>
      </c>
      <c r="Z48" s="25">
        <f>Z47*2.205</f>
        <v>1014.3000000000001</v>
      </c>
      <c r="AA48" s="25">
        <f>AA47*2.205</f>
        <v>1058.4000000000001</v>
      </c>
      <c r="AB48" s="25">
        <f>AB47*2.205</f>
        <v>1102.5</v>
      </c>
      <c r="AC48" s="25">
        <f>AC47*2.205</f>
        <v>1146.6000000000001</v>
      </c>
      <c r="AD48" s="25">
        <f>AD47*2.205</f>
        <v>1190.7</v>
      </c>
      <c r="AE48" s="25">
        <f>AE47*2.205</f>
        <v>1234.8</v>
      </c>
      <c r="AF48" s="25">
        <f>AF47*2.205</f>
        <v>1278.9000000000001</v>
      </c>
      <c r="AG48" s="25">
        <f>AG47*2.205</f>
        <v>1323</v>
      </c>
    </row>
    <row r="49" spans="2:33" ht="15.75" thickBot="1" x14ac:dyDescent="0.3">
      <c r="T49" s="2" t="s">
        <v>21</v>
      </c>
      <c r="U49" s="19">
        <f>SQRT(U48/$AG48)</f>
        <v>0.7745966692414834</v>
      </c>
      <c r="V49" s="19">
        <f>SQRT(V48/$AG48)</f>
        <v>0.79582242575422146</v>
      </c>
      <c r="W49" s="19">
        <f>SQRT(W48/$AG48)</f>
        <v>0.81649658092772603</v>
      </c>
      <c r="X49" s="19">
        <f>SQRT(X48/$AG48)</f>
        <v>0.83666002653407556</v>
      </c>
      <c r="Y49" s="19">
        <f>SQRT(Y48/$AG48)</f>
        <v>0.8563488385776753</v>
      </c>
      <c r="Z49" s="19">
        <f>SQRT(Z48/$AG48)</f>
        <v>0.87559503577091313</v>
      </c>
      <c r="AA49" s="19">
        <f>SQRT(AA48/$AG48)</f>
        <v>0.89442719099991586</v>
      </c>
      <c r="AB49" s="19">
        <f>SQRT(AB48/$AG48)</f>
        <v>0.9128709291752769</v>
      </c>
      <c r="AC49" s="19">
        <f>SQRT(AC48/$AG48)</f>
        <v>0.93094933625126286</v>
      </c>
      <c r="AD49" s="19">
        <f>SQRT(AD48/$AG48)</f>
        <v>0.94868329805051377</v>
      </c>
      <c r="AE49" s="19">
        <f>SQRT(AE48/$AG48)</f>
        <v>0.96609178307929588</v>
      </c>
      <c r="AF49" s="19">
        <f>SQRT(AF48/$AG48)</f>
        <v>0.98319208025017513</v>
      </c>
      <c r="AG49" s="7">
        <f>SQRT(AG48/$AG48)</f>
        <v>1</v>
      </c>
    </row>
    <row r="50" spans="2:33" ht="15.75" thickBot="1" x14ac:dyDescent="0.3">
      <c r="B50" s="64" t="s">
        <v>84</v>
      </c>
      <c r="C50" s="65" t="s">
        <v>80</v>
      </c>
      <c r="D50" s="66"/>
      <c r="E50" s="66"/>
      <c r="F50" s="67"/>
    </row>
    <row r="51" spans="2:33" x14ac:dyDescent="0.25">
      <c r="B51" s="71"/>
      <c r="C51" s="63" t="s">
        <v>69</v>
      </c>
      <c r="D51" s="70"/>
      <c r="E51" s="68" t="s">
        <v>78</v>
      </c>
      <c r="F51" s="70"/>
    </row>
    <row r="52" spans="2:33" ht="15.75" thickBot="1" x14ac:dyDescent="0.3">
      <c r="B52" s="42" t="s">
        <v>23</v>
      </c>
      <c r="C52" s="34" t="s">
        <v>74</v>
      </c>
      <c r="D52" s="28" t="s">
        <v>75</v>
      </c>
      <c r="E52" s="51" t="s">
        <v>74</v>
      </c>
      <c r="F52" s="50" t="s">
        <v>75</v>
      </c>
    </row>
    <row r="53" spans="2:33" x14ac:dyDescent="0.25">
      <c r="B53" s="32">
        <v>0</v>
      </c>
      <c r="C53" s="44">
        <v>111</v>
      </c>
      <c r="D53" s="43">
        <v>316</v>
      </c>
      <c r="E53" s="43">
        <v>173</v>
      </c>
      <c r="F53" s="48">
        <v>390</v>
      </c>
    </row>
    <row r="54" spans="2:33" x14ac:dyDescent="0.25">
      <c r="B54" s="32">
        <v>2000</v>
      </c>
      <c r="C54" s="45">
        <v>124</v>
      </c>
      <c r="D54" s="30">
        <v>355</v>
      </c>
      <c r="E54" s="30">
        <v>194</v>
      </c>
      <c r="F54" s="39">
        <v>438</v>
      </c>
    </row>
    <row r="55" spans="2:33" x14ac:dyDescent="0.25">
      <c r="B55" s="32">
        <v>4000</v>
      </c>
      <c r="C55" s="45">
        <v>140</v>
      </c>
      <c r="D55" s="30">
        <v>399</v>
      </c>
      <c r="E55" s="30">
        <v>219</v>
      </c>
      <c r="F55" s="39">
        <v>492</v>
      </c>
    </row>
    <row r="56" spans="2:33" x14ac:dyDescent="0.25">
      <c r="B56" s="32">
        <v>6000</v>
      </c>
      <c r="C56" s="45">
        <v>158</v>
      </c>
      <c r="D56" s="30">
        <v>450</v>
      </c>
      <c r="E56" s="30">
        <v>246</v>
      </c>
      <c r="F56" s="39">
        <v>554</v>
      </c>
    </row>
    <row r="57" spans="2:33" x14ac:dyDescent="0.25">
      <c r="B57" s="32">
        <v>8000</v>
      </c>
      <c r="C57" s="45">
        <v>178</v>
      </c>
      <c r="D57" s="30">
        <v>507</v>
      </c>
      <c r="E57" s="30">
        <v>278</v>
      </c>
      <c r="F57" s="39">
        <v>625</v>
      </c>
    </row>
    <row r="58" spans="2:33" ht="15.75" thickBot="1" x14ac:dyDescent="0.3">
      <c r="B58" s="33">
        <v>10000</v>
      </c>
      <c r="C58" s="46">
        <v>201</v>
      </c>
      <c r="D58" s="40">
        <v>573</v>
      </c>
      <c r="E58" s="40">
        <v>314</v>
      </c>
      <c r="F58" s="41">
        <v>707</v>
      </c>
    </row>
  </sheetData>
  <mergeCells count="36">
    <mergeCell ref="T10:AG12"/>
    <mergeCell ref="T29:AG31"/>
    <mergeCell ref="B2:J7"/>
    <mergeCell ref="K2:S7"/>
    <mergeCell ref="N10:R12"/>
    <mergeCell ref="N14:N16"/>
    <mergeCell ref="H10:H13"/>
    <mergeCell ref="H27:I27"/>
    <mergeCell ref="O14:R14"/>
    <mergeCell ref="I10:L10"/>
    <mergeCell ref="I11:L11"/>
    <mergeCell ref="H22:H23"/>
    <mergeCell ref="H14:H15"/>
    <mergeCell ref="H16:H17"/>
    <mergeCell ref="H18:H19"/>
    <mergeCell ref="H20:H21"/>
    <mergeCell ref="C10:F10"/>
    <mergeCell ref="B10:B11"/>
    <mergeCell ref="B20:B21"/>
    <mergeCell ref="C20:F20"/>
    <mergeCell ref="C21:D21"/>
    <mergeCell ref="E21:F21"/>
    <mergeCell ref="B30:B31"/>
    <mergeCell ref="C30:F30"/>
    <mergeCell ref="C31:D31"/>
    <mergeCell ref="E31:F31"/>
    <mergeCell ref="C11:D11"/>
    <mergeCell ref="E11:F11"/>
    <mergeCell ref="B40:B41"/>
    <mergeCell ref="C40:F40"/>
    <mergeCell ref="C41:D41"/>
    <mergeCell ref="E41:F41"/>
    <mergeCell ref="B50:B51"/>
    <mergeCell ref="C50:F50"/>
    <mergeCell ref="C51:D51"/>
    <mergeCell ref="E51:F51"/>
  </mergeCells>
  <pageMargins left="0.7" right="0.7" top="0.75" bottom="0.75" header="0.3" footer="0.3"/>
  <pageSetup paperSize="9" orientation="portrait" horizontalDpi="360" verticalDpi="36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BFC9AED-F8D0-47B8-964F-F7569BF8A55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Accueil</vt:lpstr>
      <vt:lpstr>Log de Nav</vt:lpstr>
      <vt:lpstr>Carburant</vt:lpstr>
      <vt:lpstr>CG</vt:lpstr>
      <vt:lpstr>Perfs Décollage</vt:lpstr>
      <vt:lpstr>Perfs Atterissage</vt:lpstr>
      <vt:lpstr>Résumé</vt:lpstr>
      <vt:lpstr>Tutoriel</vt:lpstr>
      <vt:lpstr>Options</vt:lpstr>
      <vt:lpstr>Tableaux</vt:lpstr>
      <vt:lpstr>CG!Zone_d_impression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Félix Rochefort</dc:creator>
  <cp:keywords/>
  <dc:description/>
  <cp:lastModifiedBy>Félix Rochefort</cp:lastModifiedBy>
  <cp:revision/>
  <dcterms:created xsi:type="dcterms:W3CDTF">2024-05-12T19:22:07Z</dcterms:created>
  <dcterms:modified xsi:type="dcterms:W3CDTF">2024-05-16T19:34:06Z</dcterms:modified>
  <cp:category/>
  <cp:contentStatus/>
</cp:coreProperties>
</file>