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https://d.docs.live.net/935c7e25b853f5c7/Documents/Félix/Aviation/Aéroclubs/Chaubuisson/Doc VFR/"/>
    </mc:Choice>
  </mc:AlternateContent>
  <xr:revisionPtr revIDLastSave="2914" documentId="8_{B3F4D767-DD2E-4F37-8C04-6394A364F51E}" xr6:coauthVersionLast="47" xr6:coauthVersionMax="47" xr10:uidLastSave="{B0693763-206C-467D-8B10-AB4935E973E6}"/>
  <bookViews>
    <workbookView xWindow="-120" yWindow="-120" windowWidth="24240" windowHeight="13740" firstSheet="3" activeTab="3" xr2:uid="{766F9A6F-B94E-4F7E-9211-5E0A35DC6B53}"/>
  </bookViews>
  <sheets>
    <sheet name="CG" sheetId="5" r:id="rId1"/>
    <sheet name="V-speeds" sheetId="1" r:id="rId2"/>
    <sheet name="Log de Nav" sheetId="8" r:id="rId3"/>
    <sheet name="Perfs Décollage" sheetId="10" r:id="rId4"/>
    <sheet name="Options" sheetId="9" r:id="rId5"/>
    <sheet name="Matrices" sheetId="12" r:id="rId6"/>
  </sheets>
  <externalReferences>
    <externalReference r:id="rId7"/>
  </externalReferences>
  <definedNames>
    <definedName name="Aéroport">[1]Aéroport!$A$3:$AK$409</definedName>
    <definedName name="AiportDbApiRequest">#REF!</definedName>
    <definedName name="Intersection">[1]Reports!$A$3:$I$52</definedName>
    <definedName name="NDB">[1]NDB!$A$2:$I$183</definedName>
    <definedName name="Point_VFR">'[1]Point VFR'!$A$2:$J$426</definedName>
    <definedName name="Report">[1]Reports!$A$3:$I$52</definedName>
    <definedName name="VOR">[1]VOR!$A$2:$I$112</definedName>
    <definedName name="_xlnm.Print_Area" localSheetId="0">CG!$B$10:$M$49</definedName>
  </definedName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9" i="10" l="1"/>
  <c r="J2" i="10" s="1"/>
  <c r="H2" i="10"/>
  <c r="C14" i="10" a="1"/>
  <c r="C14" i="10" s="1"/>
  <c r="C15" i="10" a="1"/>
  <c r="C15" i="10" s="1"/>
  <c r="C12" i="10"/>
  <c r="L8" i="8"/>
  <c r="H8" i="8" a="1"/>
  <c r="H8" i="8" s="1"/>
  <c r="J8" i="8" s="1"/>
  <c r="K8" i="8" s="1"/>
  <c r="K34" i="8"/>
  <c r="H9" i="8" a="1"/>
  <c r="H9" i="8" s="1"/>
  <c r="I9" i="8" s="1"/>
  <c r="H10" i="8" a="1"/>
  <c r="H10" i="8" s="1"/>
  <c r="I10" i="8" s="1"/>
  <c r="H11" i="8" a="1"/>
  <c r="H11" i="8" s="1"/>
  <c r="I11" i="8" s="1"/>
  <c r="H12" i="8" a="1"/>
  <c r="H12" i="8" s="1"/>
  <c r="I12" i="8" s="1"/>
  <c r="H13" i="8" a="1"/>
  <c r="H13" i="8" s="1"/>
  <c r="J13" i="8" s="1"/>
  <c r="H14" i="8" a="1"/>
  <c r="H14" i="8" s="1"/>
  <c r="I14" i="8" s="1"/>
  <c r="H15" i="8" a="1"/>
  <c r="H15" i="8" s="1"/>
  <c r="J15" i="8" s="1"/>
  <c r="H16" i="8" a="1"/>
  <c r="H16" i="8" s="1"/>
  <c r="J16" i="8" s="1"/>
  <c r="H17" i="8" a="1"/>
  <c r="H17" i="8" s="1"/>
  <c r="M17" i="8" s="1"/>
  <c r="H18" i="8" a="1"/>
  <c r="H18" i="8" s="1"/>
  <c r="M18" i="8" s="1"/>
  <c r="H19" i="8" a="1"/>
  <c r="H19" i="8" s="1"/>
  <c r="M19" i="8" s="1"/>
  <c r="H20" i="8" a="1"/>
  <c r="H20" i="8" s="1"/>
  <c r="I20" i="8" s="1"/>
  <c r="H21" i="8" a="1"/>
  <c r="H21" i="8" s="1"/>
  <c r="I21" i="8" s="1"/>
  <c r="H22" i="8" a="1"/>
  <c r="H22" i="8" s="1"/>
  <c r="I22" i="8" s="1"/>
  <c r="D23" i="8"/>
  <c r="O42" i="1"/>
  <c r="O43" i="1" s="1"/>
  <c r="N42" i="1"/>
  <c r="N43" i="1" s="1"/>
  <c r="M42" i="1"/>
  <c r="M43" i="1" s="1"/>
  <c r="L42" i="1"/>
  <c r="L43" i="1" s="1"/>
  <c r="K42" i="1"/>
  <c r="K43" i="1" s="1"/>
  <c r="J42" i="1"/>
  <c r="J43" i="1" s="1"/>
  <c r="I42" i="1"/>
  <c r="I43" i="1" s="1"/>
  <c r="H42" i="1"/>
  <c r="H43" i="1" s="1"/>
  <c r="G42" i="1"/>
  <c r="G43" i="1" s="1"/>
  <c r="F42" i="1"/>
  <c r="F43" i="1" s="1"/>
  <c r="E42" i="1"/>
  <c r="E43" i="1" s="1"/>
  <c r="D42" i="1"/>
  <c r="D43" i="1" s="1"/>
  <c r="C42" i="1"/>
  <c r="C43" i="1" s="1"/>
  <c r="L50" i="8"/>
  <c r="L47" i="8"/>
  <c r="L49" i="8"/>
  <c r="L48" i="8"/>
  <c r="L45" i="8"/>
  <c r="C8" i="5"/>
  <c r="C14" i="5" s="1"/>
  <c r="C52" i="8"/>
  <c r="F61" i="8"/>
  <c r="F58" i="8"/>
  <c r="F55" i="8"/>
  <c r="F52" i="8"/>
  <c r="F49" i="8"/>
  <c r="E61" i="8"/>
  <c r="E58" i="8"/>
  <c r="E55" i="8"/>
  <c r="E52" i="8"/>
  <c r="E49" i="8"/>
  <c r="D61" i="8"/>
  <c r="D58" i="8"/>
  <c r="D55" i="8"/>
  <c r="D52" i="8"/>
  <c r="D49" i="8"/>
  <c r="C61" i="8"/>
  <c r="C58" i="8"/>
  <c r="C55" i="8"/>
  <c r="C49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O19" i="1"/>
  <c r="O20" i="1" s="1"/>
  <c r="C16" i="5"/>
  <c r="C15" i="5"/>
  <c r="E11" i="5"/>
  <c r="E12" i="5"/>
  <c r="E13" i="5"/>
  <c r="D19" i="1"/>
  <c r="D20" i="1" s="1"/>
  <c r="D10" i="1" s="1"/>
  <c r="E19" i="1"/>
  <c r="E20" i="1" s="1"/>
  <c r="E10" i="1" s="1"/>
  <c r="F19" i="1"/>
  <c r="G19" i="1"/>
  <c r="H19" i="1"/>
  <c r="I19" i="1"/>
  <c r="J19" i="1"/>
  <c r="K19" i="1"/>
  <c r="L19" i="1"/>
  <c r="M19" i="1"/>
  <c r="M20" i="1" s="1"/>
  <c r="N19" i="1"/>
  <c r="N20" i="1" s="1"/>
  <c r="C19" i="1"/>
  <c r="C20" i="1" s="1"/>
  <c r="C18" i="10" l="1"/>
  <c r="C17" i="10"/>
  <c r="M8" i="8"/>
  <c r="O8" i="8" s="1"/>
  <c r="I8" i="8"/>
  <c r="M16" i="8"/>
  <c r="J12" i="8"/>
  <c r="M15" i="8"/>
  <c r="O15" i="8" s="1"/>
  <c r="I18" i="8"/>
  <c r="I19" i="8"/>
  <c r="J11" i="8"/>
  <c r="K11" i="8" s="1"/>
  <c r="N11" i="8" s="1"/>
  <c r="M14" i="8"/>
  <c r="O14" i="8" s="1"/>
  <c r="I17" i="8"/>
  <c r="J22" i="8"/>
  <c r="K22" i="8" s="1"/>
  <c r="N22" i="8" s="1"/>
  <c r="J10" i="8"/>
  <c r="K10" i="8" s="1"/>
  <c r="N10" i="8" s="1"/>
  <c r="M13" i="8"/>
  <c r="O13" i="8" s="1"/>
  <c r="I16" i="8"/>
  <c r="J21" i="8"/>
  <c r="J9" i="8"/>
  <c r="K9" i="8" s="1"/>
  <c r="N9" i="8" s="1"/>
  <c r="M12" i="8"/>
  <c r="O12" i="8" s="1"/>
  <c r="I15" i="8"/>
  <c r="J20" i="8"/>
  <c r="M11" i="8"/>
  <c r="O11" i="8" s="1"/>
  <c r="J19" i="8"/>
  <c r="K19" i="8" s="1"/>
  <c r="N19" i="8" s="1"/>
  <c r="M22" i="8"/>
  <c r="O22" i="8" s="1"/>
  <c r="M10" i="8"/>
  <c r="O10" i="8" s="1"/>
  <c r="I13" i="8"/>
  <c r="J18" i="8"/>
  <c r="K18" i="8" s="1"/>
  <c r="N18" i="8" s="1"/>
  <c r="M21" i="8"/>
  <c r="M9" i="8"/>
  <c r="J17" i="8"/>
  <c r="K17" i="8" s="1"/>
  <c r="N17" i="8" s="1"/>
  <c r="M20" i="8"/>
  <c r="J14" i="8"/>
  <c r="K14" i="8" s="1"/>
  <c r="N14" i="8" s="1"/>
  <c r="K15" i="8"/>
  <c r="N15" i="8" s="1"/>
  <c r="K12" i="8"/>
  <c r="N12" i="8" s="1"/>
  <c r="K20" i="8"/>
  <c r="N20" i="8" s="1"/>
  <c r="O20" i="8"/>
  <c r="K21" i="8"/>
  <c r="N21" i="8" s="1"/>
  <c r="K13" i="8"/>
  <c r="N13" i="8" s="1"/>
  <c r="O18" i="8"/>
  <c r="K16" i="8"/>
  <c r="N16" i="8" s="1"/>
  <c r="O19" i="8"/>
  <c r="O17" i="8"/>
  <c r="O16" i="8"/>
  <c r="O9" i="8"/>
  <c r="C30" i="1"/>
  <c r="C31" i="1"/>
  <c r="C32" i="1"/>
  <c r="C33" i="1"/>
  <c r="C34" i="1"/>
  <c r="C35" i="1"/>
  <c r="C36" i="1"/>
  <c r="C37" i="1"/>
  <c r="C38" i="1"/>
  <c r="C39" i="1"/>
  <c r="C29" i="1"/>
  <c r="D30" i="1"/>
  <c r="D31" i="1"/>
  <c r="D32" i="1"/>
  <c r="D33" i="1"/>
  <c r="D34" i="1"/>
  <c r="D35" i="1"/>
  <c r="D36" i="1"/>
  <c r="D37" i="1"/>
  <c r="D38" i="1"/>
  <c r="D39" i="1"/>
  <c r="D29" i="1"/>
  <c r="E30" i="1"/>
  <c r="E31" i="1"/>
  <c r="E32" i="1"/>
  <c r="E33" i="1"/>
  <c r="E34" i="1"/>
  <c r="E35" i="1"/>
  <c r="E36" i="1"/>
  <c r="E37" i="1"/>
  <c r="E38" i="1"/>
  <c r="E39" i="1"/>
  <c r="E29" i="1"/>
  <c r="F30" i="1"/>
  <c r="F31" i="1"/>
  <c r="F32" i="1"/>
  <c r="F33" i="1"/>
  <c r="F34" i="1"/>
  <c r="F35" i="1"/>
  <c r="F36" i="1"/>
  <c r="F37" i="1"/>
  <c r="F38" i="1"/>
  <c r="F39" i="1"/>
  <c r="F29" i="1"/>
  <c r="G30" i="1"/>
  <c r="G31" i="1"/>
  <c r="G32" i="1"/>
  <c r="G33" i="1"/>
  <c r="G34" i="1"/>
  <c r="G35" i="1"/>
  <c r="G36" i="1"/>
  <c r="G37" i="1"/>
  <c r="G38" i="1"/>
  <c r="G39" i="1"/>
  <c r="G29" i="1"/>
  <c r="H30" i="1"/>
  <c r="H31" i="1"/>
  <c r="H32" i="1"/>
  <c r="H33" i="1"/>
  <c r="H34" i="1"/>
  <c r="H35" i="1"/>
  <c r="H36" i="1"/>
  <c r="H37" i="1"/>
  <c r="H38" i="1"/>
  <c r="H39" i="1"/>
  <c r="H29" i="1"/>
  <c r="I30" i="1"/>
  <c r="I31" i="1"/>
  <c r="I32" i="1"/>
  <c r="I33" i="1"/>
  <c r="I34" i="1"/>
  <c r="I35" i="1"/>
  <c r="I36" i="1"/>
  <c r="I37" i="1"/>
  <c r="I38" i="1"/>
  <c r="I39" i="1"/>
  <c r="I29" i="1"/>
  <c r="J30" i="1"/>
  <c r="J31" i="1"/>
  <c r="J32" i="1"/>
  <c r="J33" i="1"/>
  <c r="J34" i="1"/>
  <c r="J35" i="1"/>
  <c r="J36" i="1"/>
  <c r="J37" i="1"/>
  <c r="J38" i="1"/>
  <c r="J39" i="1"/>
  <c r="J29" i="1"/>
  <c r="K30" i="1"/>
  <c r="K31" i="1"/>
  <c r="K32" i="1"/>
  <c r="K33" i="1"/>
  <c r="K34" i="1"/>
  <c r="K35" i="1"/>
  <c r="K36" i="1"/>
  <c r="K37" i="1"/>
  <c r="K38" i="1"/>
  <c r="K39" i="1"/>
  <c r="K29" i="1"/>
  <c r="L30" i="1"/>
  <c r="L31" i="1"/>
  <c r="L32" i="1"/>
  <c r="L33" i="1"/>
  <c r="L34" i="1"/>
  <c r="L35" i="1"/>
  <c r="L36" i="1"/>
  <c r="L37" i="1"/>
  <c r="L38" i="1"/>
  <c r="L39" i="1"/>
  <c r="L29" i="1"/>
  <c r="M30" i="1"/>
  <c r="M31" i="1"/>
  <c r="M32" i="1"/>
  <c r="M33" i="1"/>
  <c r="M34" i="1"/>
  <c r="M35" i="1"/>
  <c r="M36" i="1"/>
  <c r="M37" i="1"/>
  <c r="M38" i="1"/>
  <c r="M39" i="1"/>
  <c r="M29" i="1"/>
  <c r="N30" i="1"/>
  <c r="N31" i="1"/>
  <c r="N32" i="1"/>
  <c r="N33" i="1"/>
  <c r="N34" i="1"/>
  <c r="N35" i="1"/>
  <c r="N36" i="1"/>
  <c r="N37" i="1"/>
  <c r="N38" i="1"/>
  <c r="N39" i="1"/>
  <c r="N29" i="1"/>
  <c r="N8" i="8"/>
  <c r="N16" i="1"/>
  <c r="N14" i="1"/>
  <c r="N11" i="1"/>
  <c r="N9" i="1"/>
  <c r="N10" i="1"/>
  <c r="N12" i="1"/>
  <c r="N13" i="1"/>
  <c r="N15" i="1"/>
  <c r="C10" i="1"/>
  <c r="C11" i="1"/>
  <c r="C12" i="1"/>
  <c r="C13" i="1"/>
  <c r="C14" i="1"/>
  <c r="C15" i="1"/>
  <c r="C9" i="1"/>
  <c r="C16" i="1"/>
  <c r="M13" i="1"/>
  <c r="M10" i="1"/>
  <c r="M12" i="1"/>
  <c r="M15" i="1"/>
  <c r="M16" i="1"/>
  <c r="M11" i="1"/>
  <c r="M14" i="1"/>
  <c r="M9" i="1"/>
  <c r="D16" i="1"/>
  <c r="E16" i="1"/>
  <c r="E9" i="1"/>
  <c r="E15" i="1"/>
  <c r="E14" i="1"/>
  <c r="E13" i="1"/>
  <c r="E12" i="1"/>
  <c r="E11" i="1"/>
  <c r="D9" i="1"/>
  <c r="D15" i="1"/>
  <c r="D14" i="1"/>
  <c r="D13" i="1"/>
  <c r="D12" i="1"/>
  <c r="D11" i="1"/>
  <c r="G20" i="1"/>
  <c r="F20" i="1"/>
  <c r="E14" i="5"/>
  <c r="E16" i="5" s="1"/>
  <c r="D16" i="5" s="1"/>
  <c r="E15" i="5"/>
  <c r="D15" i="5" s="1"/>
  <c r="J20" i="1"/>
  <c r="K20" i="1"/>
  <c r="H20" i="1"/>
  <c r="L20" i="1"/>
  <c r="I20" i="1"/>
  <c r="K33" i="8" l="1"/>
  <c r="I23" i="8"/>
  <c r="O21" i="8"/>
  <c r="O23" i="8"/>
  <c r="K46" i="8" s="1"/>
  <c r="H10" i="1"/>
  <c r="H12" i="1"/>
  <c r="H14" i="1"/>
  <c r="H15" i="1"/>
  <c r="H9" i="1"/>
  <c r="H11" i="1"/>
  <c r="H13" i="1"/>
  <c r="H16" i="1"/>
  <c r="L16" i="1"/>
  <c r="L11" i="1"/>
  <c r="L13" i="1"/>
  <c r="L15" i="1"/>
  <c r="L10" i="1"/>
  <c r="L12" i="1"/>
  <c r="L14" i="1"/>
  <c r="L9" i="1"/>
  <c r="G12" i="1"/>
  <c r="G14" i="1"/>
  <c r="G9" i="1"/>
  <c r="G16" i="1"/>
  <c r="G11" i="1"/>
  <c r="G10" i="1"/>
  <c r="G13" i="1"/>
  <c r="G15" i="1"/>
  <c r="I16" i="1"/>
  <c r="I10" i="1"/>
  <c r="I14" i="1"/>
  <c r="I11" i="1"/>
  <c r="I9" i="1"/>
  <c r="I12" i="1"/>
  <c r="I13" i="1"/>
  <c r="I15" i="1"/>
  <c r="K16" i="1"/>
  <c r="K12" i="1"/>
  <c r="K14" i="1"/>
  <c r="K11" i="1"/>
  <c r="K9" i="1"/>
  <c r="K10" i="1"/>
  <c r="K13" i="1"/>
  <c r="K15" i="1"/>
  <c r="J16" i="1"/>
  <c r="J12" i="1"/>
  <c r="J14" i="1"/>
  <c r="J9" i="1"/>
  <c r="J11" i="1"/>
  <c r="J15" i="1"/>
  <c r="J10" i="1"/>
  <c r="J13" i="1"/>
  <c r="F10" i="1"/>
  <c r="F15" i="1"/>
  <c r="F16" i="1"/>
  <c r="F12" i="1"/>
  <c r="F13" i="1"/>
  <c r="F9" i="1"/>
  <c r="F11" i="1"/>
  <c r="F14" i="1"/>
  <c r="K35" i="8" l="1"/>
  <c r="K51" i="8"/>
  <c r="L46" i="8"/>
  <c r="L51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306238-1CAC-4B97-BC45-028C15C03DAB}" keepAlive="1" name="Requête - AirportName" description="Connexion à la requête « AirportName » dans le classeur." type="5" refreshedVersion="0" background="1">
    <dbPr connection="Provider=Microsoft.Mashup.OleDb.1;Data Source=$Workbook$;Location=AirportName;Extended Properties=&quot;&quot;" command="SELECT * FROM [AirportName]"/>
  </connection>
  <connection id="2" xr16:uid="{51D638D7-B19A-41D9-945A-C1237D5B560C}" keepAlive="1" name="Requête - Requête1" description="Connexion à la requête « Requête1 » dans le classeur." type="5" refreshedVersion="0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<sst xmlns="http://schemas.openxmlformats.org/spreadsheetml/2006/main" count="154" uniqueCount="102">
  <si>
    <t>Masse et centrage - FHTJC</t>
  </si>
  <si>
    <t>Convesion SP98 : L -&gt; kg</t>
  </si>
  <si>
    <t>Quantité (l)</t>
  </si>
  <si>
    <t>Poids (kg)</t>
  </si>
  <si>
    <t>Masse (kg)</t>
  </si>
  <si>
    <t>Bras de levier (m)</t>
  </si>
  <si>
    <t>Moment (m.kg)</t>
  </si>
  <si>
    <t>Avion vide</t>
  </si>
  <si>
    <t>Equipage</t>
  </si>
  <si>
    <t>Bagages</t>
  </si>
  <si>
    <t>Essence (118l max)</t>
  </si>
  <si>
    <t>ZFW</t>
  </si>
  <si>
    <t>Avion plein</t>
  </si>
  <si>
    <t>Masse (Kg)</t>
  </si>
  <si>
    <t>Bras de levier (M)</t>
  </si>
  <si>
    <t>Table d'ajustument Poids/Vitesses - F-HTJC - 0ft - ISA - Volets 0° -  30% MAC)</t>
  </si>
  <si>
    <t>Vitesses caractéristiques</t>
  </si>
  <si>
    <t>Vr</t>
  </si>
  <si>
    <t>Vy</t>
  </si>
  <si>
    <t>Vx</t>
  </si>
  <si>
    <t>Vs0</t>
  </si>
  <si>
    <t>Vs1</t>
  </si>
  <si>
    <t>Va</t>
  </si>
  <si>
    <t>Vb</t>
  </si>
  <si>
    <t>Vref</t>
  </si>
  <si>
    <t>Poids (lbs)</t>
  </si>
  <si>
    <t>Coefficient de vitesse</t>
  </si>
  <si>
    <t>Table des vitesses de montée maximale Vy - ISA - 30%MAC - Réchauf carbu OFF - Volets 0° - MCP</t>
  </si>
  <si>
    <t>Altitude</t>
  </si>
  <si>
    <t>Calculateur de vitesses et caps pour log de nav</t>
  </si>
  <si>
    <t>Points</t>
  </si>
  <si>
    <t>Entrée des paramètres</t>
  </si>
  <si>
    <t>Ne pas modifier : Résulats</t>
  </si>
  <si>
    <t>Atitude</t>
  </si>
  <si>
    <t>d (nm)</t>
  </si>
  <si>
    <t>Rm (°)</t>
  </si>
  <si>
    <t>Vw (kt)</t>
  </si>
  <si>
    <t>Vw (°)</t>
  </si>
  <si>
    <t>Vp (kt)</t>
  </si>
  <si>
    <t>Tsv (')</t>
  </si>
  <si>
    <t>Xmax  (°)</t>
  </si>
  <si>
    <t>X(°)</t>
  </si>
  <si>
    <t>Veff (kt)</t>
  </si>
  <si>
    <t>Vs (kt)</t>
  </si>
  <si>
    <t>Cm (°)</t>
  </si>
  <si>
    <t>Tav (')</t>
  </si>
  <si>
    <t>Total</t>
  </si>
  <si>
    <t>Régime de croisière</t>
  </si>
  <si>
    <t xml:space="preserve">Table des vitesses de croisière - ISA - 30% MAC - Réchauf carbu OFF - Volets 0° </t>
  </si>
  <si>
    <t>Choix de la puissance (2000ft - ISA)</t>
  </si>
  <si>
    <t>Vitesse sol moyenne</t>
  </si>
  <si>
    <t>Distance totale</t>
  </si>
  <si>
    <t>Temps total (h)</t>
  </si>
  <si>
    <t xml:space="preserve">Calculateur carburant </t>
  </si>
  <si>
    <t>Consomation croisière  (L/h)</t>
  </si>
  <si>
    <t>Carburant (l)</t>
  </si>
  <si>
    <t>Endurance (nm)</t>
  </si>
  <si>
    <t>Etape</t>
  </si>
  <si>
    <t>Temps (')</t>
  </si>
  <si>
    <t>Quantité (L)</t>
  </si>
  <si>
    <t>Délestage</t>
  </si>
  <si>
    <t>Forfait départ</t>
  </si>
  <si>
    <t>MCP</t>
  </si>
  <si>
    <t>4300 RPM</t>
  </si>
  <si>
    <t>4800 RPM</t>
  </si>
  <si>
    <t>5000 RPM</t>
  </si>
  <si>
    <t>5500 RPM</t>
  </si>
  <si>
    <t>Forfait arrivé</t>
  </si>
  <si>
    <t>12,4 L/h</t>
  </si>
  <si>
    <t>15,8 L/h</t>
  </si>
  <si>
    <t>17,4 L/h</t>
  </si>
  <si>
    <t>22,4 L/h</t>
  </si>
  <si>
    <t>Réseve</t>
  </si>
  <si>
    <t>Déroutement</t>
  </si>
  <si>
    <t xml:space="preserve">Total </t>
  </si>
  <si>
    <t>Distance de roulage</t>
  </si>
  <si>
    <t>Distance de décollage</t>
  </si>
  <si>
    <t>Conditions ISA</t>
  </si>
  <si>
    <t>Aéroport</t>
  </si>
  <si>
    <t>LFPQ</t>
  </si>
  <si>
    <t>QFU</t>
  </si>
  <si>
    <t>TODA</t>
  </si>
  <si>
    <t>Vent (kt)</t>
  </si>
  <si>
    <t>Vent (°)</t>
  </si>
  <si>
    <t>Type</t>
  </si>
  <si>
    <t>Dur</t>
  </si>
  <si>
    <t>Pente (%)</t>
  </si>
  <si>
    <t>Veff (calcul)</t>
  </si>
  <si>
    <t>Roulage (sans vent et pente)</t>
  </si>
  <si>
    <t>Décollage (sans vent)</t>
  </si>
  <si>
    <t>Roulage</t>
  </si>
  <si>
    <t>Décollage</t>
  </si>
  <si>
    <t>Régime</t>
  </si>
  <si>
    <t>ISA</t>
  </si>
  <si>
    <t>Type de piste</t>
  </si>
  <si>
    <t>Herbe</t>
  </si>
  <si>
    <t>ISA 0°C</t>
  </si>
  <si>
    <t>Distance (m)</t>
  </si>
  <si>
    <t>ISA 10°C</t>
  </si>
  <si>
    <t>ISA 20°C</t>
  </si>
  <si>
    <t>ISA -10°C</t>
  </si>
  <si>
    <t>ISA -20°C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</si>
</sst>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£&quot;* #,##0.00_-;\-&quot;£&quot;* #,##0.00_-;_-&quot;£&quot;* &quot;-&quot;??_-;_-@_-"/>
    <numFmt numFmtId="164" formatCode="0.000"/>
    <numFmt numFmtId="165" formatCode="0.0"/>
    <numFmt numFmtId="166" formatCode="[&gt;0]0;&quot;&quot;;"/>
    <numFmt numFmtId="167" formatCode="[&gt;0]0.000;&quot;&quot;"/>
    <numFmt numFmtId="168" formatCode="[&gt;0]0.00;&quot;&quot;"/>
    <numFmt numFmtId="169" formatCode="[&gt;0]&quot;Essence &quot;0&quot; l&quot;;&quot;Essence&quot;"/>
    <numFmt numFmtId="170" formatCode="_-&quot;£&quot;* #,##0_-;\-&quot;£&quot;* #,##0_-;_-&quot;£&quot;* &quot;-&quot;??_-;_-@_-"/>
  </numFmts>
  <fonts count="2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name val="Aptos Narrow"/>
      <family val="2"/>
      <scheme val="minor"/>
    </font>
    <font>
      <b/>
      <sz val="10"/>
      <color indexed="8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11"/>
      <color theme="9" tint="-0.249977111117893"/>
      <name val="Aptos Narrow"/>
      <family val="2"/>
      <scheme val="minor"/>
    </font>
    <font>
      <b/>
      <sz val="22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11"/>
      <color theme="1"/>
      <name val="Aptos"/>
      <family val="2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4"/>
      <color theme="0"/>
      <name val="Arial"/>
      <family val="2"/>
    </font>
    <font>
      <sz val="8"/>
      <color theme="0"/>
      <name val="Aptos Narrow"/>
      <family val="2"/>
      <scheme val="minor"/>
    </font>
    <font>
      <sz val="24"/>
      <name val="Aptos Narrow"/>
      <family val="2"/>
      <scheme val="minor"/>
    </font>
    <font>
      <sz val="11"/>
      <color theme="5" tint="0.79998168889431442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44" fontId="18" fillId="0" borderId="0" applyFont="0" applyFill="0" applyBorder="0" applyAlignment="0" applyProtection="0"/>
  </cellStyleXfs>
  <cellXfs count="172">
    <xf numFmtId="0" fontId="0" fillId="0" borderId="0" xfId="0"/>
    <xf numFmtId="2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3" borderId="1" xfId="0" applyNumberForma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1"/>
    <xf numFmtId="0" fontId="4" fillId="0" borderId="0" xfId="1" applyAlignment="1">
      <alignment horizontal="center"/>
    </xf>
    <xf numFmtId="164" fontId="3" fillId="3" borderId="1" xfId="1" applyNumberFormat="1" applyFont="1" applyFill="1" applyBorder="1" applyAlignment="1">
      <alignment horizontal="center" vertical="center" wrapText="1"/>
    </xf>
    <xf numFmtId="169" fontId="7" fillId="3" borderId="1" xfId="1" applyNumberFormat="1" applyFont="1" applyFill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5" fillId="6" borderId="2" xfId="1" applyFont="1" applyFill="1" applyBorder="1"/>
    <xf numFmtId="0" fontId="5" fillId="6" borderId="0" xfId="1" applyFont="1" applyFill="1"/>
    <xf numFmtId="0" fontId="1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10" fillId="0" borderId="0" xfId="1" applyFont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9" fontId="1" fillId="3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4" fillId="0" borderId="0" xfId="1" applyFont="1" applyAlignment="1">
      <alignment vertical="center"/>
    </xf>
    <xf numFmtId="0" fontId="14" fillId="3" borderId="3" xfId="1" applyFont="1" applyFill="1" applyBorder="1" applyAlignment="1">
      <alignment horizontal="center" vertical="center"/>
    </xf>
    <xf numFmtId="166" fontId="6" fillId="7" borderId="1" xfId="1" applyNumberFormat="1" applyFont="1" applyFill="1" applyBorder="1" applyAlignment="1">
      <alignment horizontal="center" vertical="center"/>
    </xf>
    <xf numFmtId="0" fontId="6" fillId="7" borderId="3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167" fontId="6" fillId="2" borderId="1" xfId="1" applyNumberFormat="1" applyFont="1" applyFill="1" applyBorder="1" applyAlignment="1">
      <alignment horizontal="center" vertical="center"/>
    </xf>
    <xf numFmtId="168" fontId="6" fillId="2" borderId="1" xfId="1" applyNumberFormat="1" applyFont="1" applyFill="1" applyBorder="1" applyAlignment="1">
      <alignment horizontal="center" vertical="center"/>
    </xf>
    <xf numFmtId="166" fontId="6" fillId="2" borderId="1" xfId="1" applyNumberFormat="1" applyFont="1" applyFill="1" applyBorder="1" applyAlignment="1">
      <alignment horizontal="center" vertical="center"/>
    </xf>
    <xf numFmtId="0" fontId="6" fillId="2" borderId="3" xfId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" fontId="0" fillId="0" borderId="17" xfId="0" applyNumberFormat="1" applyBorder="1" applyAlignment="1">
      <alignment horizontal="center" vertical="center"/>
    </xf>
    <xf numFmtId="9" fontId="1" fillId="3" borderId="3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9" fontId="1" fillId="3" borderId="23" xfId="0" applyNumberFormat="1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0" fontId="0" fillId="7" borderId="3" xfId="0" applyFill="1" applyBorder="1"/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5" borderId="0" xfId="0" applyFill="1"/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9" fontId="0" fillId="0" borderId="0" xfId="0" applyNumberFormat="1"/>
    <xf numFmtId="0" fontId="17" fillId="2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9" fontId="1" fillId="0" borderId="0" xfId="0" applyNumberFormat="1" applyFont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1" fillId="3" borderId="41" xfId="0" applyFont="1" applyFill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43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/>
    </xf>
    <xf numFmtId="0" fontId="1" fillId="3" borderId="46" xfId="0" applyFont="1" applyFill="1" applyBorder="1" applyAlignment="1">
      <alignment horizontal="center"/>
    </xf>
    <xf numFmtId="2" fontId="0" fillId="4" borderId="46" xfId="0" applyNumberFormat="1" applyFill="1" applyBorder="1" applyAlignment="1">
      <alignment horizontal="center"/>
    </xf>
    <xf numFmtId="0" fontId="0" fillId="10" borderId="0" xfId="0" applyFill="1"/>
    <xf numFmtId="0" fontId="0" fillId="11" borderId="47" xfId="0" applyFill="1" applyBorder="1"/>
    <xf numFmtId="0" fontId="0" fillId="11" borderId="48" xfId="0" applyFill="1" applyBorder="1"/>
    <xf numFmtId="0" fontId="0" fillId="11" borderId="49" xfId="0" applyFill="1" applyBorder="1"/>
    <xf numFmtId="0" fontId="0" fillId="11" borderId="50" xfId="0" applyFill="1" applyBorder="1"/>
    <xf numFmtId="0" fontId="0" fillId="11" borderId="0" xfId="0" applyFill="1"/>
    <xf numFmtId="0" fontId="0" fillId="11" borderId="51" xfId="0" applyFill="1" applyBorder="1"/>
    <xf numFmtId="1" fontId="0" fillId="11" borderId="0" xfId="0" applyNumberFormat="1" applyFill="1"/>
    <xf numFmtId="0" fontId="0" fillId="9" borderId="0" xfId="0" applyFill="1"/>
    <xf numFmtId="0" fontId="19" fillId="9" borderId="0" xfId="0" applyFont="1" applyFill="1"/>
    <xf numFmtId="2" fontId="0" fillId="11" borderId="0" xfId="0" applyNumberFormat="1" applyFill="1"/>
    <xf numFmtId="0" fontId="17" fillId="11" borderId="0" xfId="0" applyFont="1" applyFill="1" applyAlignment="1">
      <alignment vertical="center"/>
    </xf>
    <xf numFmtId="0" fontId="0" fillId="11" borderId="0" xfId="0" applyFill="1" applyAlignment="1">
      <alignment vertical="center"/>
    </xf>
    <xf numFmtId="0" fontId="0" fillId="11" borderId="52" xfId="0" applyFill="1" applyBorder="1"/>
    <xf numFmtId="0" fontId="0" fillId="11" borderId="53" xfId="0" applyFill="1" applyBorder="1"/>
    <xf numFmtId="0" fontId="0" fillId="11" borderId="54" xfId="0" applyFill="1" applyBorder="1"/>
    <xf numFmtId="0" fontId="21" fillId="11" borderId="0" xfId="0" applyFont="1" applyFill="1"/>
    <xf numFmtId="0" fontId="6" fillId="11" borderId="0" xfId="0" applyFont="1" applyFill="1"/>
    <xf numFmtId="0" fontId="10" fillId="4" borderId="0" xfId="1" applyFont="1" applyFill="1" applyAlignment="1">
      <alignment horizontal="center" vertical="center"/>
    </xf>
    <xf numFmtId="0" fontId="14" fillId="3" borderId="3" xfId="1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9" fontId="1" fillId="4" borderId="27" xfId="0" applyNumberFormat="1" applyFont="1" applyFill="1" applyBorder="1" applyAlignment="1">
      <alignment horizontal="center" vertical="center"/>
    </xf>
    <xf numFmtId="9" fontId="1" fillId="4" borderId="28" xfId="0" applyNumberFormat="1" applyFont="1" applyFill="1" applyBorder="1" applyAlignment="1">
      <alignment horizontal="center" vertical="center"/>
    </xf>
    <xf numFmtId="9" fontId="1" fillId="4" borderId="30" xfId="0" applyNumberFormat="1" applyFont="1" applyFill="1" applyBorder="1" applyAlignment="1">
      <alignment horizontal="center" vertical="center"/>
    </xf>
    <xf numFmtId="9" fontId="1" fillId="4" borderId="31" xfId="0" applyNumberFormat="1" applyFont="1" applyFill="1" applyBorder="1" applyAlignment="1">
      <alignment horizontal="center" vertical="center"/>
    </xf>
    <xf numFmtId="9" fontId="0" fillId="7" borderId="29" xfId="0" applyNumberFormat="1" applyFill="1" applyBorder="1" applyAlignment="1">
      <alignment horizontal="center" vertical="center"/>
    </xf>
    <xf numFmtId="9" fontId="0" fillId="7" borderId="32" xfId="0" applyNumberFormat="1" applyFill="1" applyBorder="1" applyAlignment="1">
      <alignment horizontal="center" vertical="center"/>
    </xf>
    <xf numFmtId="0" fontId="22" fillId="11" borderId="0" xfId="2" applyNumberFormat="1" applyFont="1" applyFill="1" applyBorder="1" applyAlignment="1">
      <alignment horizontal="center" vertical="center" textRotation="90"/>
    </xf>
    <xf numFmtId="0" fontId="20" fillId="9" borderId="0" xfId="0" applyFont="1" applyFill="1" applyAlignment="1">
      <alignment horizontal="center" vertical="center"/>
    </xf>
    <xf numFmtId="44" fontId="22" fillId="11" borderId="0" xfId="2" applyFont="1" applyFill="1" applyBorder="1" applyAlignment="1">
      <alignment horizontal="left" vertical="center" textRotation="90"/>
    </xf>
    <xf numFmtId="0" fontId="0" fillId="10" borderId="0" xfId="0" applyFill="1" applyAlignment="1">
      <alignment horizontal="center"/>
    </xf>
    <xf numFmtId="0" fontId="19" fillId="1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37" xfId="0" applyFont="1" applyFill="1" applyBorder="1" applyAlignment="1">
      <alignment horizontal="center" vertical="center"/>
    </xf>
    <xf numFmtId="0" fontId="23" fillId="11" borderId="0" xfId="0" applyFont="1" applyFill="1"/>
    <xf numFmtId="170" fontId="22" fillId="11" borderId="0" xfId="2" applyNumberFormat="1" applyFont="1" applyFill="1" applyBorder="1" applyAlignment="1">
      <alignment horizontal="center" vertical="center" textRotation="90"/>
    </xf>
    <xf numFmtId="1" fontId="0" fillId="7" borderId="55" xfId="0" applyNumberFormat="1" applyFill="1" applyBorder="1" applyAlignment="1">
      <alignment horizontal="center"/>
    </xf>
    <xf numFmtId="1" fontId="0" fillId="7" borderId="56" xfId="0" applyNumberFormat="1" applyFill="1" applyBorder="1" applyAlignment="1">
      <alignment horizontal="center" vertical="center"/>
    </xf>
    <xf numFmtId="0" fontId="17" fillId="7" borderId="55" xfId="0" applyFont="1" applyFill="1" applyBorder="1" applyAlignment="1">
      <alignment horizontal="center" vertical="center"/>
    </xf>
    <xf numFmtId="0" fontId="17" fillId="7" borderId="56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Normal 2" xfId="1" xr:uid="{BD46876C-F8F9-447A-ACDD-D25D9A6E1EE3}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971428571428571"/>
          <c:y val="5.46875E-2"/>
          <c:w val="0.85371428571428576"/>
          <c:h val="0.791015625"/>
        </c:manualLayout>
      </c:layout>
      <c:scatterChart>
        <c:scatterStyle val="lineMarker"/>
        <c:varyColors val="0"/>
        <c:ser>
          <c:idx val="0"/>
          <c:order val="0"/>
          <c:marker>
            <c:spPr>
              <a:ln w="28575">
                <a:solidFill>
                  <a:schemeClr val="accent6"/>
                </a:solidFill>
              </a:ln>
            </c:spPr>
          </c:marker>
          <c:xVal>
            <c:numRef>
              <c:f>CG!$C$20:$C$26</c:f>
              <c:numCache>
                <c:formatCode>General</c:formatCode>
                <c:ptCount val="7"/>
                <c:pt idx="0">
                  <c:v>0.245</c:v>
                </c:pt>
                <c:pt idx="1">
                  <c:v>0.3</c:v>
                </c:pt>
                <c:pt idx="2">
                  <c:v>0.37</c:v>
                </c:pt>
                <c:pt idx="3">
                  <c:v>0.4</c:v>
                </c:pt>
                <c:pt idx="4">
                  <c:v>0.4</c:v>
                </c:pt>
                <c:pt idx="5">
                  <c:v>0.37</c:v>
                </c:pt>
                <c:pt idx="6">
                  <c:v>0.245</c:v>
                </c:pt>
              </c:numCache>
            </c:numRef>
          </c:xVal>
          <c:yVal>
            <c:numRef>
              <c:f>CG!$B$20:$B$26</c:f>
              <c:numCache>
                <c:formatCode>General</c:formatCode>
                <c:ptCount val="7"/>
                <c:pt idx="0">
                  <c:v>364.3</c:v>
                </c:pt>
                <c:pt idx="1">
                  <c:v>364.3</c:v>
                </c:pt>
                <c:pt idx="2">
                  <c:v>402</c:v>
                </c:pt>
                <c:pt idx="3">
                  <c:v>455</c:v>
                </c:pt>
                <c:pt idx="4">
                  <c:v>600</c:v>
                </c:pt>
                <c:pt idx="5">
                  <c:v>600</c:v>
                </c:pt>
                <c:pt idx="6">
                  <c:v>364.3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504-48CE-83FF-42BD873A16C2}"/>
            </c:ext>
          </c:extLst>
        </c:ser>
        <c:ser>
          <c:idx val="1"/>
          <c:order val="1"/>
          <c:tx>
            <c:v>Centrage</c:v>
          </c:tx>
          <c:marker>
            <c:symbol val="square"/>
            <c:size val="5"/>
          </c:marker>
          <c:dLbls>
            <c:spPr>
              <a:noFill/>
              <a:ln w="25400">
                <a:noFill/>
              </a:ln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(CG!$D$15,CG!$D$16)</c:f>
              <c:numCache>
                <c:formatCode>[&gt;0]0.000;""</c:formatCode>
                <c:ptCount val="2"/>
                <c:pt idx="0">
                  <c:v>0.34082226073560562</c:v>
                </c:pt>
                <c:pt idx="1">
                  <c:v>0.38412397110700486</c:v>
                </c:pt>
              </c:numCache>
            </c:numRef>
          </c:xVal>
          <c:yVal>
            <c:numRef>
              <c:f>(CG!$C$15,CG!$C$16)</c:f>
              <c:numCache>
                <c:formatCode>[&gt;0]0;"";</c:formatCode>
                <c:ptCount val="2"/>
                <c:pt idx="0">
                  <c:v>519.29999999999995</c:v>
                </c:pt>
                <c:pt idx="1">
                  <c:v>595.29999999999995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504-48CE-83FF-42BD873A1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393583"/>
        <c:axId val="1"/>
      </c:scatterChart>
      <c:valAx>
        <c:axId val="90393583"/>
        <c:scaling>
          <c:orientation val="minMax"/>
          <c:max val="0.44000000000000006"/>
          <c:min val="0.22000000000000003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Moment (m)</a:t>
                </a:r>
              </a:p>
            </c:rich>
          </c:tx>
          <c:overlay val="0"/>
        </c:title>
        <c:numFmt formatCode="General" sourceLinked="1"/>
        <c:majorTickMark val="out"/>
        <c:minorTickMark val="out"/>
        <c:tickLblPos val="low"/>
        <c:spPr>
          <a:ln w="3175">
            <a:solidFill>
              <a:schemeClr val="tx1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At val="500"/>
        <c:crossBetween val="midCat"/>
      </c:valAx>
      <c:valAx>
        <c:axId val="1"/>
        <c:scaling>
          <c:orientation val="minMax"/>
          <c:max val="620"/>
          <c:min val="34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Masse (kg)</a:t>
                </a:r>
              </a:p>
            </c:rich>
          </c:tx>
          <c:overlay val="0"/>
        </c:title>
        <c:numFmt formatCode="General" sourceLinked="1"/>
        <c:majorTickMark val="out"/>
        <c:minorTickMark val="out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393583"/>
        <c:crossesAt val="0.15"/>
        <c:crossBetween val="midCat"/>
        <c:minorUnit val="25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389714</xdr:colOff>
      <xdr:row>5</xdr:row>
      <xdr:rowOff>12979</xdr:rowOff>
    </xdr:from>
    <xdr:to>
      <xdr:col>15</xdr:col>
      <xdr:colOff>726649</xdr:colOff>
      <xdr:row>30</xdr:row>
      <xdr:rowOff>68738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E4380D-FBCD-4261-81D3-2DEE921D89B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AppData\Local\Temp\Rar$DIa18516.19820\Calculs%20Vo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oute"/>
      <sheetName val="Centrage"/>
      <sheetName val="Fiche Nav"/>
      <sheetName val="Fiche AD"/>
      <sheetName val="Fiche vol"/>
      <sheetName val="Reports"/>
      <sheetName val="Aéroport"/>
      <sheetName val="VOR"/>
      <sheetName val="NDB"/>
      <sheetName val="Point VFR"/>
      <sheetName val="Conversions"/>
      <sheetName val="Avions"/>
      <sheetName val="Déviation"/>
      <sheetName val="Morse"/>
      <sheetName val="QNH"/>
      <sheetName val="Vent"/>
      <sheetName val="VP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C314B-1418-4F0E-AAFE-51D551A4093B}">
  <sheetPr>
    <pageSetUpPr fitToPage="1"/>
  </sheetPr>
  <dimension ref="B2:R28"/>
  <sheetViews>
    <sheetView zoomScale="97" zoomScaleNormal="97" zoomScaleSheetLayoutView="75" workbookViewId="0">
      <selection activeCell="F36" sqref="F36"/>
    </sheetView>
  </sheetViews>
  <sheetFormatPr baseColWidth="10" defaultColWidth="11.42578125" defaultRowHeight="12.75" x14ac:dyDescent="0.2"/>
  <cols>
    <col min="1" max="1" width="3.5703125" style="9" customWidth="1"/>
    <col min="2" max="2" width="18.28515625" style="9" bestFit="1" customWidth="1"/>
    <col min="3" max="3" width="15.85546875" style="10" customWidth="1"/>
    <col min="4" max="4" width="19" style="10" customWidth="1"/>
    <col min="5" max="5" width="16.5703125" style="10" customWidth="1"/>
    <col min="6" max="6" width="9.5703125" style="9" customWidth="1"/>
    <col min="7" max="7" width="9.7109375" style="9" customWidth="1"/>
    <col min="8" max="8" width="8.85546875" style="9" bestFit="1" customWidth="1"/>
    <col min="9" max="10" width="11.42578125" style="9"/>
    <col min="11" max="11" width="7" style="9" customWidth="1"/>
    <col min="12" max="12" width="15" style="9" customWidth="1"/>
    <col min="13" max="13" width="15.5703125" style="9" bestFit="1" customWidth="1"/>
    <col min="14" max="256" width="11.42578125" style="9"/>
    <col min="257" max="257" width="3.5703125" style="9" customWidth="1"/>
    <col min="258" max="258" width="13.42578125" style="9" bestFit="1" customWidth="1"/>
    <col min="259" max="259" width="9" style="9" customWidth="1"/>
    <col min="260" max="260" width="11.28515625" style="9" customWidth="1"/>
    <col min="261" max="261" width="13.42578125" style="9" bestFit="1" customWidth="1"/>
    <col min="262" max="262" width="9.5703125" style="9" customWidth="1"/>
    <col min="263" max="263" width="9.7109375" style="9" customWidth="1"/>
    <col min="264" max="264" width="8.85546875" style="9" bestFit="1" customWidth="1"/>
    <col min="265" max="266" width="11.42578125" style="9"/>
    <col min="267" max="267" width="7" style="9" customWidth="1"/>
    <col min="268" max="268" width="8.85546875" style="9" customWidth="1"/>
    <col min="269" max="512" width="11.42578125" style="9"/>
    <col min="513" max="513" width="3.5703125" style="9" customWidth="1"/>
    <col min="514" max="514" width="13.42578125" style="9" bestFit="1" customWidth="1"/>
    <col min="515" max="515" width="9" style="9" customWidth="1"/>
    <col min="516" max="516" width="11.28515625" style="9" customWidth="1"/>
    <col min="517" max="517" width="13.42578125" style="9" bestFit="1" customWidth="1"/>
    <col min="518" max="518" width="9.5703125" style="9" customWidth="1"/>
    <col min="519" max="519" width="9.7109375" style="9" customWidth="1"/>
    <col min="520" max="520" width="8.85546875" style="9" bestFit="1" customWidth="1"/>
    <col min="521" max="522" width="11.42578125" style="9"/>
    <col min="523" max="523" width="7" style="9" customWidth="1"/>
    <col min="524" max="524" width="8.85546875" style="9" customWidth="1"/>
    <col min="525" max="768" width="11.42578125" style="9"/>
    <col min="769" max="769" width="3.5703125" style="9" customWidth="1"/>
    <col min="770" max="770" width="13.42578125" style="9" bestFit="1" customWidth="1"/>
    <col min="771" max="771" width="9" style="9" customWidth="1"/>
    <col min="772" max="772" width="11.28515625" style="9" customWidth="1"/>
    <col min="773" max="773" width="13.42578125" style="9" bestFit="1" customWidth="1"/>
    <col min="774" max="774" width="9.5703125" style="9" customWidth="1"/>
    <col min="775" max="775" width="9.7109375" style="9" customWidth="1"/>
    <col min="776" max="776" width="8.85546875" style="9" bestFit="1" customWidth="1"/>
    <col min="777" max="778" width="11.42578125" style="9"/>
    <col min="779" max="779" width="7" style="9" customWidth="1"/>
    <col min="780" max="780" width="8.85546875" style="9" customWidth="1"/>
    <col min="781" max="1024" width="11.42578125" style="9"/>
    <col min="1025" max="1025" width="3.5703125" style="9" customWidth="1"/>
    <col min="1026" max="1026" width="13.42578125" style="9" bestFit="1" customWidth="1"/>
    <col min="1027" max="1027" width="9" style="9" customWidth="1"/>
    <col min="1028" max="1028" width="11.28515625" style="9" customWidth="1"/>
    <col min="1029" max="1029" width="13.42578125" style="9" bestFit="1" customWidth="1"/>
    <col min="1030" max="1030" width="9.5703125" style="9" customWidth="1"/>
    <col min="1031" max="1031" width="9.7109375" style="9" customWidth="1"/>
    <col min="1032" max="1032" width="8.85546875" style="9" bestFit="1" customWidth="1"/>
    <col min="1033" max="1034" width="11.42578125" style="9"/>
    <col min="1035" max="1035" width="7" style="9" customWidth="1"/>
    <col min="1036" max="1036" width="8.85546875" style="9" customWidth="1"/>
    <col min="1037" max="1280" width="11.42578125" style="9"/>
    <col min="1281" max="1281" width="3.5703125" style="9" customWidth="1"/>
    <col min="1282" max="1282" width="13.42578125" style="9" bestFit="1" customWidth="1"/>
    <col min="1283" max="1283" width="9" style="9" customWidth="1"/>
    <col min="1284" max="1284" width="11.28515625" style="9" customWidth="1"/>
    <col min="1285" max="1285" width="13.42578125" style="9" bestFit="1" customWidth="1"/>
    <col min="1286" max="1286" width="9.5703125" style="9" customWidth="1"/>
    <col min="1287" max="1287" width="9.7109375" style="9" customWidth="1"/>
    <col min="1288" max="1288" width="8.85546875" style="9" bestFit="1" customWidth="1"/>
    <col min="1289" max="1290" width="11.42578125" style="9"/>
    <col min="1291" max="1291" width="7" style="9" customWidth="1"/>
    <col min="1292" max="1292" width="8.85546875" style="9" customWidth="1"/>
    <col min="1293" max="1536" width="11.42578125" style="9"/>
    <col min="1537" max="1537" width="3.5703125" style="9" customWidth="1"/>
    <col min="1538" max="1538" width="13.42578125" style="9" bestFit="1" customWidth="1"/>
    <col min="1539" max="1539" width="9" style="9" customWidth="1"/>
    <col min="1540" max="1540" width="11.28515625" style="9" customWidth="1"/>
    <col min="1541" max="1541" width="13.42578125" style="9" bestFit="1" customWidth="1"/>
    <col min="1542" max="1542" width="9.5703125" style="9" customWidth="1"/>
    <col min="1543" max="1543" width="9.7109375" style="9" customWidth="1"/>
    <col min="1544" max="1544" width="8.85546875" style="9" bestFit="1" customWidth="1"/>
    <col min="1545" max="1546" width="11.42578125" style="9"/>
    <col min="1547" max="1547" width="7" style="9" customWidth="1"/>
    <col min="1548" max="1548" width="8.85546875" style="9" customWidth="1"/>
    <col min="1549" max="1792" width="11.42578125" style="9"/>
    <col min="1793" max="1793" width="3.5703125" style="9" customWidth="1"/>
    <col min="1794" max="1794" width="13.42578125" style="9" bestFit="1" customWidth="1"/>
    <col min="1795" max="1795" width="9" style="9" customWidth="1"/>
    <col min="1796" max="1796" width="11.28515625" style="9" customWidth="1"/>
    <col min="1797" max="1797" width="13.42578125" style="9" bestFit="1" customWidth="1"/>
    <col min="1798" max="1798" width="9.5703125" style="9" customWidth="1"/>
    <col min="1799" max="1799" width="9.7109375" style="9" customWidth="1"/>
    <col min="1800" max="1800" width="8.85546875" style="9" bestFit="1" customWidth="1"/>
    <col min="1801" max="1802" width="11.42578125" style="9"/>
    <col min="1803" max="1803" width="7" style="9" customWidth="1"/>
    <col min="1804" max="1804" width="8.85546875" style="9" customWidth="1"/>
    <col min="1805" max="2048" width="11.42578125" style="9"/>
    <col min="2049" max="2049" width="3.5703125" style="9" customWidth="1"/>
    <col min="2050" max="2050" width="13.42578125" style="9" bestFit="1" customWidth="1"/>
    <col min="2051" max="2051" width="9" style="9" customWidth="1"/>
    <col min="2052" max="2052" width="11.28515625" style="9" customWidth="1"/>
    <col min="2053" max="2053" width="13.42578125" style="9" bestFit="1" customWidth="1"/>
    <col min="2054" max="2054" width="9.5703125" style="9" customWidth="1"/>
    <col min="2055" max="2055" width="9.7109375" style="9" customWidth="1"/>
    <col min="2056" max="2056" width="8.85546875" style="9" bestFit="1" customWidth="1"/>
    <col min="2057" max="2058" width="11.42578125" style="9"/>
    <col min="2059" max="2059" width="7" style="9" customWidth="1"/>
    <col min="2060" max="2060" width="8.85546875" style="9" customWidth="1"/>
    <col min="2061" max="2304" width="11.42578125" style="9"/>
    <col min="2305" max="2305" width="3.5703125" style="9" customWidth="1"/>
    <col min="2306" max="2306" width="13.42578125" style="9" bestFit="1" customWidth="1"/>
    <col min="2307" max="2307" width="9" style="9" customWidth="1"/>
    <col min="2308" max="2308" width="11.28515625" style="9" customWidth="1"/>
    <col min="2309" max="2309" width="13.42578125" style="9" bestFit="1" customWidth="1"/>
    <col min="2310" max="2310" width="9.5703125" style="9" customWidth="1"/>
    <col min="2311" max="2311" width="9.7109375" style="9" customWidth="1"/>
    <col min="2312" max="2312" width="8.85546875" style="9" bestFit="1" customWidth="1"/>
    <col min="2313" max="2314" width="11.42578125" style="9"/>
    <col min="2315" max="2315" width="7" style="9" customWidth="1"/>
    <col min="2316" max="2316" width="8.85546875" style="9" customWidth="1"/>
    <col min="2317" max="2560" width="11.42578125" style="9"/>
    <col min="2561" max="2561" width="3.5703125" style="9" customWidth="1"/>
    <col min="2562" max="2562" width="13.42578125" style="9" bestFit="1" customWidth="1"/>
    <col min="2563" max="2563" width="9" style="9" customWidth="1"/>
    <col min="2564" max="2564" width="11.28515625" style="9" customWidth="1"/>
    <col min="2565" max="2565" width="13.42578125" style="9" bestFit="1" customWidth="1"/>
    <col min="2566" max="2566" width="9.5703125" style="9" customWidth="1"/>
    <col min="2567" max="2567" width="9.7109375" style="9" customWidth="1"/>
    <col min="2568" max="2568" width="8.85546875" style="9" bestFit="1" customWidth="1"/>
    <col min="2569" max="2570" width="11.42578125" style="9"/>
    <col min="2571" max="2571" width="7" style="9" customWidth="1"/>
    <col min="2572" max="2572" width="8.85546875" style="9" customWidth="1"/>
    <col min="2573" max="2816" width="11.42578125" style="9"/>
    <col min="2817" max="2817" width="3.5703125" style="9" customWidth="1"/>
    <col min="2818" max="2818" width="13.42578125" style="9" bestFit="1" customWidth="1"/>
    <col min="2819" max="2819" width="9" style="9" customWidth="1"/>
    <col min="2820" max="2820" width="11.28515625" style="9" customWidth="1"/>
    <col min="2821" max="2821" width="13.42578125" style="9" bestFit="1" customWidth="1"/>
    <col min="2822" max="2822" width="9.5703125" style="9" customWidth="1"/>
    <col min="2823" max="2823" width="9.7109375" style="9" customWidth="1"/>
    <col min="2824" max="2824" width="8.85546875" style="9" bestFit="1" customWidth="1"/>
    <col min="2825" max="2826" width="11.42578125" style="9"/>
    <col min="2827" max="2827" width="7" style="9" customWidth="1"/>
    <col min="2828" max="2828" width="8.85546875" style="9" customWidth="1"/>
    <col min="2829" max="3072" width="11.42578125" style="9"/>
    <col min="3073" max="3073" width="3.5703125" style="9" customWidth="1"/>
    <col min="3074" max="3074" width="13.42578125" style="9" bestFit="1" customWidth="1"/>
    <col min="3075" max="3075" width="9" style="9" customWidth="1"/>
    <col min="3076" max="3076" width="11.28515625" style="9" customWidth="1"/>
    <col min="3077" max="3077" width="13.42578125" style="9" bestFit="1" customWidth="1"/>
    <col min="3078" max="3078" width="9.5703125" style="9" customWidth="1"/>
    <col min="3079" max="3079" width="9.7109375" style="9" customWidth="1"/>
    <col min="3080" max="3080" width="8.85546875" style="9" bestFit="1" customWidth="1"/>
    <col min="3081" max="3082" width="11.42578125" style="9"/>
    <col min="3083" max="3083" width="7" style="9" customWidth="1"/>
    <col min="3084" max="3084" width="8.85546875" style="9" customWidth="1"/>
    <col min="3085" max="3328" width="11.42578125" style="9"/>
    <col min="3329" max="3329" width="3.5703125" style="9" customWidth="1"/>
    <col min="3330" max="3330" width="13.42578125" style="9" bestFit="1" customWidth="1"/>
    <col min="3331" max="3331" width="9" style="9" customWidth="1"/>
    <col min="3332" max="3332" width="11.28515625" style="9" customWidth="1"/>
    <col min="3333" max="3333" width="13.42578125" style="9" bestFit="1" customWidth="1"/>
    <col min="3334" max="3334" width="9.5703125" style="9" customWidth="1"/>
    <col min="3335" max="3335" width="9.7109375" style="9" customWidth="1"/>
    <col min="3336" max="3336" width="8.85546875" style="9" bestFit="1" customWidth="1"/>
    <col min="3337" max="3338" width="11.42578125" style="9"/>
    <col min="3339" max="3339" width="7" style="9" customWidth="1"/>
    <col min="3340" max="3340" width="8.85546875" style="9" customWidth="1"/>
    <col min="3341" max="3584" width="11.42578125" style="9"/>
    <col min="3585" max="3585" width="3.5703125" style="9" customWidth="1"/>
    <col min="3586" max="3586" width="13.42578125" style="9" bestFit="1" customWidth="1"/>
    <col min="3587" max="3587" width="9" style="9" customWidth="1"/>
    <col min="3588" max="3588" width="11.28515625" style="9" customWidth="1"/>
    <col min="3589" max="3589" width="13.42578125" style="9" bestFit="1" customWidth="1"/>
    <col min="3590" max="3590" width="9.5703125" style="9" customWidth="1"/>
    <col min="3591" max="3591" width="9.7109375" style="9" customWidth="1"/>
    <col min="3592" max="3592" width="8.85546875" style="9" bestFit="1" customWidth="1"/>
    <col min="3593" max="3594" width="11.42578125" style="9"/>
    <col min="3595" max="3595" width="7" style="9" customWidth="1"/>
    <col min="3596" max="3596" width="8.85546875" style="9" customWidth="1"/>
    <col min="3597" max="3840" width="11.42578125" style="9"/>
    <col min="3841" max="3841" width="3.5703125" style="9" customWidth="1"/>
    <col min="3842" max="3842" width="13.42578125" style="9" bestFit="1" customWidth="1"/>
    <col min="3843" max="3843" width="9" style="9" customWidth="1"/>
    <col min="3844" max="3844" width="11.28515625" style="9" customWidth="1"/>
    <col min="3845" max="3845" width="13.42578125" style="9" bestFit="1" customWidth="1"/>
    <col min="3846" max="3846" width="9.5703125" style="9" customWidth="1"/>
    <col min="3847" max="3847" width="9.7109375" style="9" customWidth="1"/>
    <col min="3848" max="3848" width="8.85546875" style="9" bestFit="1" customWidth="1"/>
    <col min="3849" max="3850" width="11.42578125" style="9"/>
    <col min="3851" max="3851" width="7" style="9" customWidth="1"/>
    <col min="3852" max="3852" width="8.85546875" style="9" customWidth="1"/>
    <col min="3853" max="4096" width="11.42578125" style="9"/>
    <col min="4097" max="4097" width="3.5703125" style="9" customWidth="1"/>
    <col min="4098" max="4098" width="13.42578125" style="9" bestFit="1" customWidth="1"/>
    <col min="4099" max="4099" width="9" style="9" customWidth="1"/>
    <col min="4100" max="4100" width="11.28515625" style="9" customWidth="1"/>
    <col min="4101" max="4101" width="13.42578125" style="9" bestFit="1" customWidth="1"/>
    <col min="4102" max="4102" width="9.5703125" style="9" customWidth="1"/>
    <col min="4103" max="4103" width="9.7109375" style="9" customWidth="1"/>
    <col min="4104" max="4104" width="8.85546875" style="9" bestFit="1" customWidth="1"/>
    <col min="4105" max="4106" width="11.42578125" style="9"/>
    <col min="4107" max="4107" width="7" style="9" customWidth="1"/>
    <col min="4108" max="4108" width="8.85546875" style="9" customWidth="1"/>
    <col min="4109" max="4352" width="11.42578125" style="9"/>
    <col min="4353" max="4353" width="3.5703125" style="9" customWidth="1"/>
    <col min="4354" max="4354" width="13.42578125" style="9" bestFit="1" customWidth="1"/>
    <col min="4355" max="4355" width="9" style="9" customWidth="1"/>
    <col min="4356" max="4356" width="11.28515625" style="9" customWidth="1"/>
    <col min="4357" max="4357" width="13.42578125" style="9" bestFit="1" customWidth="1"/>
    <col min="4358" max="4358" width="9.5703125" style="9" customWidth="1"/>
    <col min="4359" max="4359" width="9.7109375" style="9" customWidth="1"/>
    <col min="4360" max="4360" width="8.85546875" style="9" bestFit="1" customWidth="1"/>
    <col min="4361" max="4362" width="11.42578125" style="9"/>
    <col min="4363" max="4363" width="7" style="9" customWidth="1"/>
    <col min="4364" max="4364" width="8.85546875" style="9" customWidth="1"/>
    <col min="4365" max="4608" width="11.42578125" style="9"/>
    <col min="4609" max="4609" width="3.5703125" style="9" customWidth="1"/>
    <col min="4610" max="4610" width="13.42578125" style="9" bestFit="1" customWidth="1"/>
    <col min="4611" max="4611" width="9" style="9" customWidth="1"/>
    <col min="4612" max="4612" width="11.28515625" style="9" customWidth="1"/>
    <col min="4613" max="4613" width="13.42578125" style="9" bestFit="1" customWidth="1"/>
    <col min="4614" max="4614" width="9.5703125" style="9" customWidth="1"/>
    <col min="4615" max="4615" width="9.7109375" style="9" customWidth="1"/>
    <col min="4616" max="4616" width="8.85546875" style="9" bestFit="1" customWidth="1"/>
    <col min="4617" max="4618" width="11.42578125" style="9"/>
    <col min="4619" max="4619" width="7" style="9" customWidth="1"/>
    <col min="4620" max="4620" width="8.85546875" style="9" customWidth="1"/>
    <col min="4621" max="4864" width="11.42578125" style="9"/>
    <col min="4865" max="4865" width="3.5703125" style="9" customWidth="1"/>
    <col min="4866" max="4866" width="13.42578125" style="9" bestFit="1" customWidth="1"/>
    <col min="4867" max="4867" width="9" style="9" customWidth="1"/>
    <col min="4868" max="4868" width="11.28515625" style="9" customWidth="1"/>
    <col min="4869" max="4869" width="13.42578125" style="9" bestFit="1" customWidth="1"/>
    <col min="4870" max="4870" width="9.5703125" style="9" customWidth="1"/>
    <col min="4871" max="4871" width="9.7109375" style="9" customWidth="1"/>
    <col min="4872" max="4872" width="8.85546875" style="9" bestFit="1" customWidth="1"/>
    <col min="4873" max="4874" width="11.42578125" style="9"/>
    <col min="4875" max="4875" width="7" style="9" customWidth="1"/>
    <col min="4876" max="4876" width="8.85546875" style="9" customWidth="1"/>
    <col min="4877" max="5120" width="11.42578125" style="9"/>
    <col min="5121" max="5121" width="3.5703125" style="9" customWidth="1"/>
    <col min="5122" max="5122" width="13.42578125" style="9" bestFit="1" customWidth="1"/>
    <col min="5123" max="5123" width="9" style="9" customWidth="1"/>
    <col min="5124" max="5124" width="11.28515625" style="9" customWidth="1"/>
    <col min="5125" max="5125" width="13.42578125" style="9" bestFit="1" customWidth="1"/>
    <col min="5126" max="5126" width="9.5703125" style="9" customWidth="1"/>
    <col min="5127" max="5127" width="9.7109375" style="9" customWidth="1"/>
    <col min="5128" max="5128" width="8.85546875" style="9" bestFit="1" customWidth="1"/>
    <col min="5129" max="5130" width="11.42578125" style="9"/>
    <col min="5131" max="5131" width="7" style="9" customWidth="1"/>
    <col min="5132" max="5132" width="8.85546875" style="9" customWidth="1"/>
    <col min="5133" max="5376" width="11.42578125" style="9"/>
    <col min="5377" max="5377" width="3.5703125" style="9" customWidth="1"/>
    <col min="5378" max="5378" width="13.42578125" style="9" bestFit="1" customWidth="1"/>
    <col min="5379" max="5379" width="9" style="9" customWidth="1"/>
    <col min="5380" max="5380" width="11.28515625" style="9" customWidth="1"/>
    <col min="5381" max="5381" width="13.42578125" style="9" bestFit="1" customWidth="1"/>
    <col min="5382" max="5382" width="9.5703125" style="9" customWidth="1"/>
    <col min="5383" max="5383" width="9.7109375" style="9" customWidth="1"/>
    <col min="5384" max="5384" width="8.85546875" style="9" bestFit="1" customWidth="1"/>
    <col min="5385" max="5386" width="11.42578125" style="9"/>
    <col min="5387" max="5387" width="7" style="9" customWidth="1"/>
    <col min="5388" max="5388" width="8.85546875" style="9" customWidth="1"/>
    <col min="5389" max="5632" width="11.42578125" style="9"/>
    <col min="5633" max="5633" width="3.5703125" style="9" customWidth="1"/>
    <col min="5634" max="5634" width="13.42578125" style="9" bestFit="1" customWidth="1"/>
    <col min="5635" max="5635" width="9" style="9" customWidth="1"/>
    <col min="5636" max="5636" width="11.28515625" style="9" customWidth="1"/>
    <col min="5637" max="5637" width="13.42578125" style="9" bestFit="1" customWidth="1"/>
    <col min="5638" max="5638" width="9.5703125" style="9" customWidth="1"/>
    <col min="5639" max="5639" width="9.7109375" style="9" customWidth="1"/>
    <col min="5640" max="5640" width="8.85546875" style="9" bestFit="1" customWidth="1"/>
    <col min="5641" max="5642" width="11.42578125" style="9"/>
    <col min="5643" max="5643" width="7" style="9" customWidth="1"/>
    <col min="5644" max="5644" width="8.85546875" style="9" customWidth="1"/>
    <col min="5645" max="5888" width="11.42578125" style="9"/>
    <col min="5889" max="5889" width="3.5703125" style="9" customWidth="1"/>
    <col min="5890" max="5890" width="13.42578125" style="9" bestFit="1" customWidth="1"/>
    <col min="5891" max="5891" width="9" style="9" customWidth="1"/>
    <col min="5892" max="5892" width="11.28515625" style="9" customWidth="1"/>
    <col min="5893" max="5893" width="13.42578125" style="9" bestFit="1" customWidth="1"/>
    <col min="5894" max="5894" width="9.5703125" style="9" customWidth="1"/>
    <col min="5895" max="5895" width="9.7109375" style="9" customWidth="1"/>
    <col min="5896" max="5896" width="8.85546875" style="9" bestFit="1" customWidth="1"/>
    <col min="5897" max="5898" width="11.42578125" style="9"/>
    <col min="5899" max="5899" width="7" style="9" customWidth="1"/>
    <col min="5900" max="5900" width="8.85546875" style="9" customWidth="1"/>
    <col min="5901" max="6144" width="11.42578125" style="9"/>
    <col min="6145" max="6145" width="3.5703125" style="9" customWidth="1"/>
    <col min="6146" max="6146" width="13.42578125" style="9" bestFit="1" customWidth="1"/>
    <col min="6147" max="6147" width="9" style="9" customWidth="1"/>
    <col min="6148" max="6148" width="11.28515625" style="9" customWidth="1"/>
    <col min="6149" max="6149" width="13.42578125" style="9" bestFit="1" customWidth="1"/>
    <col min="6150" max="6150" width="9.5703125" style="9" customWidth="1"/>
    <col min="6151" max="6151" width="9.7109375" style="9" customWidth="1"/>
    <col min="6152" max="6152" width="8.85546875" style="9" bestFit="1" customWidth="1"/>
    <col min="6153" max="6154" width="11.42578125" style="9"/>
    <col min="6155" max="6155" width="7" style="9" customWidth="1"/>
    <col min="6156" max="6156" width="8.85546875" style="9" customWidth="1"/>
    <col min="6157" max="6400" width="11.42578125" style="9"/>
    <col min="6401" max="6401" width="3.5703125" style="9" customWidth="1"/>
    <col min="6402" max="6402" width="13.42578125" style="9" bestFit="1" customWidth="1"/>
    <col min="6403" max="6403" width="9" style="9" customWidth="1"/>
    <col min="6404" max="6404" width="11.28515625" style="9" customWidth="1"/>
    <col min="6405" max="6405" width="13.42578125" style="9" bestFit="1" customWidth="1"/>
    <col min="6406" max="6406" width="9.5703125" style="9" customWidth="1"/>
    <col min="6407" max="6407" width="9.7109375" style="9" customWidth="1"/>
    <col min="6408" max="6408" width="8.85546875" style="9" bestFit="1" customWidth="1"/>
    <col min="6409" max="6410" width="11.42578125" style="9"/>
    <col min="6411" max="6411" width="7" style="9" customWidth="1"/>
    <col min="6412" max="6412" width="8.85546875" style="9" customWidth="1"/>
    <col min="6413" max="6656" width="11.42578125" style="9"/>
    <col min="6657" max="6657" width="3.5703125" style="9" customWidth="1"/>
    <col min="6658" max="6658" width="13.42578125" style="9" bestFit="1" customWidth="1"/>
    <col min="6659" max="6659" width="9" style="9" customWidth="1"/>
    <col min="6660" max="6660" width="11.28515625" style="9" customWidth="1"/>
    <col min="6661" max="6661" width="13.42578125" style="9" bestFit="1" customWidth="1"/>
    <col min="6662" max="6662" width="9.5703125" style="9" customWidth="1"/>
    <col min="6663" max="6663" width="9.7109375" style="9" customWidth="1"/>
    <col min="6664" max="6664" width="8.85546875" style="9" bestFit="1" customWidth="1"/>
    <col min="6665" max="6666" width="11.42578125" style="9"/>
    <col min="6667" max="6667" width="7" style="9" customWidth="1"/>
    <col min="6668" max="6668" width="8.85546875" style="9" customWidth="1"/>
    <col min="6669" max="6912" width="11.42578125" style="9"/>
    <col min="6913" max="6913" width="3.5703125" style="9" customWidth="1"/>
    <col min="6914" max="6914" width="13.42578125" style="9" bestFit="1" customWidth="1"/>
    <col min="6915" max="6915" width="9" style="9" customWidth="1"/>
    <col min="6916" max="6916" width="11.28515625" style="9" customWidth="1"/>
    <col min="6917" max="6917" width="13.42578125" style="9" bestFit="1" customWidth="1"/>
    <col min="6918" max="6918" width="9.5703125" style="9" customWidth="1"/>
    <col min="6919" max="6919" width="9.7109375" style="9" customWidth="1"/>
    <col min="6920" max="6920" width="8.85546875" style="9" bestFit="1" customWidth="1"/>
    <col min="6921" max="6922" width="11.42578125" style="9"/>
    <col min="6923" max="6923" width="7" style="9" customWidth="1"/>
    <col min="6924" max="6924" width="8.85546875" style="9" customWidth="1"/>
    <col min="6925" max="7168" width="11.42578125" style="9"/>
    <col min="7169" max="7169" width="3.5703125" style="9" customWidth="1"/>
    <col min="7170" max="7170" width="13.42578125" style="9" bestFit="1" customWidth="1"/>
    <col min="7171" max="7171" width="9" style="9" customWidth="1"/>
    <col min="7172" max="7172" width="11.28515625" style="9" customWidth="1"/>
    <col min="7173" max="7173" width="13.42578125" style="9" bestFit="1" customWidth="1"/>
    <col min="7174" max="7174" width="9.5703125" style="9" customWidth="1"/>
    <col min="7175" max="7175" width="9.7109375" style="9" customWidth="1"/>
    <col min="7176" max="7176" width="8.85546875" style="9" bestFit="1" customWidth="1"/>
    <col min="7177" max="7178" width="11.42578125" style="9"/>
    <col min="7179" max="7179" width="7" style="9" customWidth="1"/>
    <col min="7180" max="7180" width="8.85546875" style="9" customWidth="1"/>
    <col min="7181" max="7424" width="11.42578125" style="9"/>
    <col min="7425" max="7425" width="3.5703125" style="9" customWidth="1"/>
    <col min="7426" max="7426" width="13.42578125" style="9" bestFit="1" customWidth="1"/>
    <col min="7427" max="7427" width="9" style="9" customWidth="1"/>
    <col min="7428" max="7428" width="11.28515625" style="9" customWidth="1"/>
    <col min="7429" max="7429" width="13.42578125" style="9" bestFit="1" customWidth="1"/>
    <col min="7430" max="7430" width="9.5703125" style="9" customWidth="1"/>
    <col min="7431" max="7431" width="9.7109375" style="9" customWidth="1"/>
    <col min="7432" max="7432" width="8.85546875" style="9" bestFit="1" customWidth="1"/>
    <col min="7433" max="7434" width="11.42578125" style="9"/>
    <col min="7435" max="7435" width="7" style="9" customWidth="1"/>
    <col min="7436" max="7436" width="8.85546875" style="9" customWidth="1"/>
    <col min="7437" max="7680" width="11.42578125" style="9"/>
    <col min="7681" max="7681" width="3.5703125" style="9" customWidth="1"/>
    <col min="7682" max="7682" width="13.42578125" style="9" bestFit="1" customWidth="1"/>
    <col min="7683" max="7683" width="9" style="9" customWidth="1"/>
    <col min="7684" max="7684" width="11.28515625" style="9" customWidth="1"/>
    <col min="7685" max="7685" width="13.42578125" style="9" bestFit="1" customWidth="1"/>
    <col min="7686" max="7686" width="9.5703125" style="9" customWidth="1"/>
    <col min="7687" max="7687" width="9.7109375" style="9" customWidth="1"/>
    <col min="7688" max="7688" width="8.85546875" style="9" bestFit="1" customWidth="1"/>
    <col min="7689" max="7690" width="11.42578125" style="9"/>
    <col min="7691" max="7691" width="7" style="9" customWidth="1"/>
    <col min="7692" max="7692" width="8.85546875" style="9" customWidth="1"/>
    <col min="7693" max="7936" width="11.42578125" style="9"/>
    <col min="7937" max="7937" width="3.5703125" style="9" customWidth="1"/>
    <col min="7938" max="7938" width="13.42578125" style="9" bestFit="1" customWidth="1"/>
    <col min="7939" max="7939" width="9" style="9" customWidth="1"/>
    <col min="7940" max="7940" width="11.28515625" style="9" customWidth="1"/>
    <col min="7941" max="7941" width="13.42578125" style="9" bestFit="1" customWidth="1"/>
    <col min="7942" max="7942" width="9.5703125" style="9" customWidth="1"/>
    <col min="7943" max="7943" width="9.7109375" style="9" customWidth="1"/>
    <col min="7944" max="7944" width="8.85546875" style="9" bestFit="1" customWidth="1"/>
    <col min="7945" max="7946" width="11.42578125" style="9"/>
    <col min="7947" max="7947" width="7" style="9" customWidth="1"/>
    <col min="7948" max="7948" width="8.85546875" style="9" customWidth="1"/>
    <col min="7949" max="8192" width="11.42578125" style="9"/>
    <col min="8193" max="8193" width="3.5703125" style="9" customWidth="1"/>
    <col min="8194" max="8194" width="13.42578125" style="9" bestFit="1" customWidth="1"/>
    <col min="8195" max="8195" width="9" style="9" customWidth="1"/>
    <col min="8196" max="8196" width="11.28515625" style="9" customWidth="1"/>
    <col min="8197" max="8197" width="13.42578125" style="9" bestFit="1" customWidth="1"/>
    <col min="8198" max="8198" width="9.5703125" style="9" customWidth="1"/>
    <col min="8199" max="8199" width="9.7109375" style="9" customWidth="1"/>
    <col min="8200" max="8200" width="8.85546875" style="9" bestFit="1" customWidth="1"/>
    <col min="8201" max="8202" width="11.42578125" style="9"/>
    <col min="8203" max="8203" width="7" style="9" customWidth="1"/>
    <col min="8204" max="8204" width="8.85546875" style="9" customWidth="1"/>
    <col min="8205" max="8448" width="11.42578125" style="9"/>
    <col min="8449" max="8449" width="3.5703125" style="9" customWidth="1"/>
    <col min="8450" max="8450" width="13.42578125" style="9" bestFit="1" customWidth="1"/>
    <col min="8451" max="8451" width="9" style="9" customWidth="1"/>
    <col min="8452" max="8452" width="11.28515625" style="9" customWidth="1"/>
    <col min="8453" max="8453" width="13.42578125" style="9" bestFit="1" customWidth="1"/>
    <col min="8454" max="8454" width="9.5703125" style="9" customWidth="1"/>
    <col min="8455" max="8455" width="9.7109375" style="9" customWidth="1"/>
    <col min="8456" max="8456" width="8.85546875" style="9" bestFit="1" customWidth="1"/>
    <col min="8457" max="8458" width="11.42578125" style="9"/>
    <col min="8459" max="8459" width="7" style="9" customWidth="1"/>
    <col min="8460" max="8460" width="8.85546875" style="9" customWidth="1"/>
    <col min="8461" max="8704" width="11.42578125" style="9"/>
    <col min="8705" max="8705" width="3.5703125" style="9" customWidth="1"/>
    <col min="8706" max="8706" width="13.42578125" style="9" bestFit="1" customWidth="1"/>
    <col min="8707" max="8707" width="9" style="9" customWidth="1"/>
    <col min="8708" max="8708" width="11.28515625" style="9" customWidth="1"/>
    <col min="8709" max="8709" width="13.42578125" style="9" bestFit="1" customWidth="1"/>
    <col min="8710" max="8710" width="9.5703125" style="9" customWidth="1"/>
    <col min="8711" max="8711" width="9.7109375" style="9" customWidth="1"/>
    <col min="8712" max="8712" width="8.85546875" style="9" bestFit="1" customWidth="1"/>
    <col min="8713" max="8714" width="11.42578125" style="9"/>
    <col min="8715" max="8715" width="7" style="9" customWidth="1"/>
    <col min="8716" max="8716" width="8.85546875" style="9" customWidth="1"/>
    <col min="8717" max="8960" width="11.42578125" style="9"/>
    <col min="8961" max="8961" width="3.5703125" style="9" customWidth="1"/>
    <col min="8962" max="8962" width="13.42578125" style="9" bestFit="1" customWidth="1"/>
    <col min="8963" max="8963" width="9" style="9" customWidth="1"/>
    <col min="8964" max="8964" width="11.28515625" style="9" customWidth="1"/>
    <col min="8965" max="8965" width="13.42578125" style="9" bestFit="1" customWidth="1"/>
    <col min="8966" max="8966" width="9.5703125" style="9" customWidth="1"/>
    <col min="8967" max="8967" width="9.7109375" style="9" customWidth="1"/>
    <col min="8968" max="8968" width="8.85546875" style="9" bestFit="1" customWidth="1"/>
    <col min="8969" max="8970" width="11.42578125" style="9"/>
    <col min="8971" max="8971" width="7" style="9" customWidth="1"/>
    <col min="8972" max="8972" width="8.85546875" style="9" customWidth="1"/>
    <col min="8973" max="9216" width="11.42578125" style="9"/>
    <col min="9217" max="9217" width="3.5703125" style="9" customWidth="1"/>
    <col min="9218" max="9218" width="13.42578125" style="9" bestFit="1" customWidth="1"/>
    <col min="9219" max="9219" width="9" style="9" customWidth="1"/>
    <col min="9220" max="9220" width="11.28515625" style="9" customWidth="1"/>
    <col min="9221" max="9221" width="13.42578125" style="9" bestFit="1" customWidth="1"/>
    <col min="9222" max="9222" width="9.5703125" style="9" customWidth="1"/>
    <col min="9223" max="9223" width="9.7109375" style="9" customWidth="1"/>
    <col min="9224" max="9224" width="8.85546875" style="9" bestFit="1" customWidth="1"/>
    <col min="9225" max="9226" width="11.42578125" style="9"/>
    <col min="9227" max="9227" width="7" style="9" customWidth="1"/>
    <col min="9228" max="9228" width="8.85546875" style="9" customWidth="1"/>
    <col min="9229" max="9472" width="11.42578125" style="9"/>
    <col min="9473" max="9473" width="3.5703125" style="9" customWidth="1"/>
    <col min="9474" max="9474" width="13.42578125" style="9" bestFit="1" customWidth="1"/>
    <col min="9475" max="9475" width="9" style="9" customWidth="1"/>
    <col min="9476" max="9476" width="11.28515625" style="9" customWidth="1"/>
    <col min="9477" max="9477" width="13.42578125" style="9" bestFit="1" customWidth="1"/>
    <col min="9478" max="9478" width="9.5703125" style="9" customWidth="1"/>
    <col min="9479" max="9479" width="9.7109375" style="9" customWidth="1"/>
    <col min="9480" max="9480" width="8.85546875" style="9" bestFit="1" customWidth="1"/>
    <col min="9481" max="9482" width="11.42578125" style="9"/>
    <col min="9483" max="9483" width="7" style="9" customWidth="1"/>
    <col min="9484" max="9484" width="8.85546875" style="9" customWidth="1"/>
    <col min="9485" max="9728" width="11.42578125" style="9"/>
    <col min="9729" max="9729" width="3.5703125" style="9" customWidth="1"/>
    <col min="9730" max="9730" width="13.42578125" style="9" bestFit="1" customWidth="1"/>
    <col min="9731" max="9731" width="9" style="9" customWidth="1"/>
    <col min="9732" max="9732" width="11.28515625" style="9" customWidth="1"/>
    <col min="9733" max="9733" width="13.42578125" style="9" bestFit="1" customWidth="1"/>
    <col min="9734" max="9734" width="9.5703125" style="9" customWidth="1"/>
    <col min="9735" max="9735" width="9.7109375" style="9" customWidth="1"/>
    <col min="9736" max="9736" width="8.85546875" style="9" bestFit="1" customWidth="1"/>
    <col min="9737" max="9738" width="11.42578125" style="9"/>
    <col min="9739" max="9739" width="7" style="9" customWidth="1"/>
    <col min="9740" max="9740" width="8.85546875" style="9" customWidth="1"/>
    <col min="9741" max="9984" width="11.42578125" style="9"/>
    <col min="9985" max="9985" width="3.5703125" style="9" customWidth="1"/>
    <col min="9986" max="9986" width="13.42578125" style="9" bestFit="1" customWidth="1"/>
    <col min="9987" max="9987" width="9" style="9" customWidth="1"/>
    <col min="9988" max="9988" width="11.28515625" style="9" customWidth="1"/>
    <col min="9989" max="9989" width="13.42578125" style="9" bestFit="1" customWidth="1"/>
    <col min="9990" max="9990" width="9.5703125" style="9" customWidth="1"/>
    <col min="9991" max="9991" width="9.7109375" style="9" customWidth="1"/>
    <col min="9992" max="9992" width="8.85546875" style="9" bestFit="1" customWidth="1"/>
    <col min="9993" max="9994" width="11.42578125" style="9"/>
    <col min="9995" max="9995" width="7" style="9" customWidth="1"/>
    <col min="9996" max="9996" width="8.85546875" style="9" customWidth="1"/>
    <col min="9997" max="10240" width="11.42578125" style="9"/>
    <col min="10241" max="10241" width="3.5703125" style="9" customWidth="1"/>
    <col min="10242" max="10242" width="13.42578125" style="9" bestFit="1" customWidth="1"/>
    <col min="10243" max="10243" width="9" style="9" customWidth="1"/>
    <col min="10244" max="10244" width="11.28515625" style="9" customWidth="1"/>
    <col min="10245" max="10245" width="13.42578125" style="9" bestFit="1" customWidth="1"/>
    <col min="10246" max="10246" width="9.5703125" style="9" customWidth="1"/>
    <col min="10247" max="10247" width="9.7109375" style="9" customWidth="1"/>
    <col min="10248" max="10248" width="8.85546875" style="9" bestFit="1" customWidth="1"/>
    <col min="10249" max="10250" width="11.42578125" style="9"/>
    <col min="10251" max="10251" width="7" style="9" customWidth="1"/>
    <col min="10252" max="10252" width="8.85546875" style="9" customWidth="1"/>
    <col min="10253" max="10496" width="11.42578125" style="9"/>
    <col min="10497" max="10497" width="3.5703125" style="9" customWidth="1"/>
    <col min="10498" max="10498" width="13.42578125" style="9" bestFit="1" customWidth="1"/>
    <col min="10499" max="10499" width="9" style="9" customWidth="1"/>
    <col min="10500" max="10500" width="11.28515625" style="9" customWidth="1"/>
    <col min="10501" max="10501" width="13.42578125" style="9" bestFit="1" customWidth="1"/>
    <col min="10502" max="10502" width="9.5703125" style="9" customWidth="1"/>
    <col min="10503" max="10503" width="9.7109375" style="9" customWidth="1"/>
    <col min="10504" max="10504" width="8.85546875" style="9" bestFit="1" customWidth="1"/>
    <col min="10505" max="10506" width="11.42578125" style="9"/>
    <col min="10507" max="10507" width="7" style="9" customWidth="1"/>
    <col min="10508" max="10508" width="8.85546875" style="9" customWidth="1"/>
    <col min="10509" max="10752" width="11.42578125" style="9"/>
    <col min="10753" max="10753" width="3.5703125" style="9" customWidth="1"/>
    <col min="10754" max="10754" width="13.42578125" style="9" bestFit="1" customWidth="1"/>
    <col min="10755" max="10755" width="9" style="9" customWidth="1"/>
    <col min="10756" max="10756" width="11.28515625" style="9" customWidth="1"/>
    <col min="10757" max="10757" width="13.42578125" style="9" bestFit="1" customWidth="1"/>
    <col min="10758" max="10758" width="9.5703125" style="9" customWidth="1"/>
    <col min="10759" max="10759" width="9.7109375" style="9" customWidth="1"/>
    <col min="10760" max="10760" width="8.85546875" style="9" bestFit="1" customWidth="1"/>
    <col min="10761" max="10762" width="11.42578125" style="9"/>
    <col min="10763" max="10763" width="7" style="9" customWidth="1"/>
    <col min="10764" max="10764" width="8.85546875" style="9" customWidth="1"/>
    <col min="10765" max="11008" width="11.42578125" style="9"/>
    <col min="11009" max="11009" width="3.5703125" style="9" customWidth="1"/>
    <col min="11010" max="11010" width="13.42578125" style="9" bestFit="1" customWidth="1"/>
    <col min="11011" max="11011" width="9" style="9" customWidth="1"/>
    <col min="11012" max="11012" width="11.28515625" style="9" customWidth="1"/>
    <col min="11013" max="11013" width="13.42578125" style="9" bestFit="1" customWidth="1"/>
    <col min="11014" max="11014" width="9.5703125" style="9" customWidth="1"/>
    <col min="11015" max="11015" width="9.7109375" style="9" customWidth="1"/>
    <col min="11016" max="11016" width="8.85546875" style="9" bestFit="1" customWidth="1"/>
    <col min="11017" max="11018" width="11.42578125" style="9"/>
    <col min="11019" max="11019" width="7" style="9" customWidth="1"/>
    <col min="11020" max="11020" width="8.85546875" style="9" customWidth="1"/>
    <col min="11021" max="11264" width="11.42578125" style="9"/>
    <col min="11265" max="11265" width="3.5703125" style="9" customWidth="1"/>
    <col min="11266" max="11266" width="13.42578125" style="9" bestFit="1" customWidth="1"/>
    <col min="11267" max="11267" width="9" style="9" customWidth="1"/>
    <col min="11268" max="11268" width="11.28515625" style="9" customWidth="1"/>
    <col min="11269" max="11269" width="13.42578125" style="9" bestFit="1" customWidth="1"/>
    <col min="11270" max="11270" width="9.5703125" style="9" customWidth="1"/>
    <col min="11271" max="11271" width="9.7109375" style="9" customWidth="1"/>
    <col min="11272" max="11272" width="8.85546875" style="9" bestFit="1" customWidth="1"/>
    <col min="11273" max="11274" width="11.42578125" style="9"/>
    <col min="11275" max="11275" width="7" style="9" customWidth="1"/>
    <col min="11276" max="11276" width="8.85546875" style="9" customWidth="1"/>
    <col min="11277" max="11520" width="11.42578125" style="9"/>
    <col min="11521" max="11521" width="3.5703125" style="9" customWidth="1"/>
    <col min="11522" max="11522" width="13.42578125" style="9" bestFit="1" customWidth="1"/>
    <col min="11523" max="11523" width="9" style="9" customWidth="1"/>
    <col min="11524" max="11524" width="11.28515625" style="9" customWidth="1"/>
    <col min="11525" max="11525" width="13.42578125" style="9" bestFit="1" customWidth="1"/>
    <col min="11526" max="11526" width="9.5703125" style="9" customWidth="1"/>
    <col min="11527" max="11527" width="9.7109375" style="9" customWidth="1"/>
    <col min="11528" max="11528" width="8.85546875" style="9" bestFit="1" customWidth="1"/>
    <col min="11529" max="11530" width="11.42578125" style="9"/>
    <col min="11531" max="11531" width="7" style="9" customWidth="1"/>
    <col min="11532" max="11532" width="8.85546875" style="9" customWidth="1"/>
    <col min="11533" max="11776" width="11.42578125" style="9"/>
    <col min="11777" max="11777" width="3.5703125" style="9" customWidth="1"/>
    <col min="11778" max="11778" width="13.42578125" style="9" bestFit="1" customWidth="1"/>
    <col min="11779" max="11779" width="9" style="9" customWidth="1"/>
    <col min="11780" max="11780" width="11.28515625" style="9" customWidth="1"/>
    <col min="11781" max="11781" width="13.42578125" style="9" bestFit="1" customWidth="1"/>
    <col min="11782" max="11782" width="9.5703125" style="9" customWidth="1"/>
    <col min="11783" max="11783" width="9.7109375" style="9" customWidth="1"/>
    <col min="11784" max="11784" width="8.85546875" style="9" bestFit="1" customWidth="1"/>
    <col min="11785" max="11786" width="11.42578125" style="9"/>
    <col min="11787" max="11787" width="7" style="9" customWidth="1"/>
    <col min="11788" max="11788" width="8.85546875" style="9" customWidth="1"/>
    <col min="11789" max="12032" width="11.42578125" style="9"/>
    <col min="12033" max="12033" width="3.5703125" style="9" customWidth="1"/>
    <col min="12034" max="12034" width="13.42578125" style="9" bestFit="1" customWidth="1"/>
    <col min="12035" max="12035" width="9" style="9" customWidth="1"/>
    <col min="12036" max="12036" width="11.28515625" style="9" customWidth="1"/>
    <col min="12037" max="12037" width="13.42578125" style="9" bestFit="1" customWidth="1"/>
    <col min="12038" max="12038" width="9.5703125" style="9" customWidth="1"/>
    <col min="12039" max="12039" width="9.7109375" style="9" customWidth="1"/>
    <col min="12040" max="12040" width="8.85546875" style="9" bestFit="1" customWidth="1"/>
    <col min="12041" max="12042" width="11.42578125" style="9"/>
    <col min="12043" max="12043" width="7" style="9" customWidth="1"/>
    <col min="12044" max="12044" width="8.85546875" style="9" customWidth="1"/>
    <col min="12045" max="12288" width="11.42578125" style="9"/>
    <col min="12289" max="12289" width="3.5703125" style="9" customWidth="1"/>
    <col min="12290" max="12290" width="13.42578125" style="9" bestFit="1" customWidth="1"/>
    <col min="12291" max="12291" width="9" style="9" customWidth="1"/>
    <col min="12292" max="12292" width="11.28515625" style="9" customWidth="1"/>
    <col min="12293" max="12293" width="13.42578125" style="9" bestFit="1" customWidth="1"/>
    <col min="12294" max="12294" width="9.5703125" style="9" customWidth="1"/>
    <col min="12295" max="12295" width="9.7109375" style="9" customWidth="1"/>
    <col min="12296" max="12296" width="8.85546875" style="9" bestFit="1" customWidth="1"/>
    <col min="12297" max="12298" width="11.42578125" style="9"/>
    <col min="12299" max="12299" width="7" style="9" customWidth="1"/>
    <col min="12300" max="12300" width="8.85546875" style="9" customWidth="1"/>
    <col min="12301" max="12544" width="11.42578125" style="9"/>
    <col min="12545" max="12545" width="3.5703125" style="9" customWidth="1"/>
    <col min="12546" max="12546" width="13.42578125" style="9" bestFit="1" customWidth="1"/>
    <col min="12547" max="12547" width="9" style="9" customWidth="1"/>
    <col min="12548" max="12548" width="11.28515625" style="9" customWidth="1"/>
    <col min="12549" max="12549" width="13.42578125" style="9" bestFit="1" customWidth="1"/>
    <col min="12550" max="12550" width="9.5703125" style="9" customWidth="1"/>
    <col min="12551" max="12551" width="9.7109375" style="9" customWidth="1"/>
    <col min="12552" max="12552" width="8.85546875" style="9" bestFit="1" customWidth="1"/>
    <col min="12553" max="12554" width="11.42578125" style="9"/>
    <col min="12555" max="12555" width="7" style="9" customWidth="1"/>
    <col min="12556" max="12556" width="8.85546875" style="9" customWidth="1"/>
    <col min="12557" max="12800" width="11.42578125" style="9"/>
    <col min="12801" max="12801" width="3.5703125" style="9" customWidth="1"/>
    <col min="12802" max="12802" width="13.42578125" style="9" bestFit="1" customWidth="1"/>
    <col min="12803" max="12803" width="9" style="9" customWidth="1"/>
    <col min="12804" max="12804" width="11.28515625" style="9" customWidth="1"/>
    <col min="12805" max="12805" width="13.42578125" style="9" bestFit="1" customWidth="1"/>
    <col min="12806" max="12806" width="9.5703125" style="9" customWidth="1"/>
    <col min="12807" max="12807" width="9.7109375" style="9" customWidth="1"/>
    <col min="12808" max="12808" width="8.85546875" style="9" bestFit="1" customWidth="1"/>
    <col min="12809" max="12810" width="11.42578125" style="9"/>
    <col min="12811" max="12811" width="7" style="9" customWidth="1"/>
    <col min="12812" max="12812" width="8.85546875" style="9" customWidth="1"/>
    <col min="12813" max="13056" width="11.42578125" style="9"/>
    <col min="13057" max="13057" width="3.5703125" style="9" customWidth="1"/>
    <col min="13058" max="13058" width="13.42578125" style="9" bestFit="1" customWidth="1"/>
    <col min="13059" max="13059" width="9" style="9" customWidth="1"/>
    <col min="13060" max="13060" width="11.28515625" style="9" customWidth="1"/>
    <col min="13061" max="13061" width="13.42578125" style="9" bestFit="1" customWidth="1"/>
    <col min="13062" max="13062" width="9.5703125" style="9" customWidth="1"/>
    <col min="13063" max="13063" width="9.7109375" style="9" customWidth="1"/>
    <col min="13064" max="13064" width="8.85546875" style="9" bestFit="1" customWidth="1"/>
    <col min="13065" max="13066" width="11.42578125" style="9"/>
    <col min="13067" max="13067" width="7" style="9" customWidth="1"/>
    <col min="13068" max="13068" width="8.85546875" style="9" customWidth="1"/>
    <col min="13069" max="13312" width="11.42578125" style="9"/>
    <col min="13313" max="13313" width="3.5703125" style="9" customWidth="1"/>
    <col min="13314" max="13314" width="13.42578125" style="9" bestFit="1" customWidth="1"/>
    <col min="13315" max="13315" width="9" style="9" customWidth="1"/>
    <col min="13316" max="13316" width="11.28515625" style="9" customWidth="1"/>
    <col min="13317" max="13317" width="13.42578125" style="9" bestFit="1" customWidth="1"/>
    <col min="13318" max="13318" width="9.5703125" style="9" customWidth="1"/>
    <col min="13319" max="13319" width="9.7109375" style="9" customWidth="1"/>
    <col min="13320" max="13320" width="8.85546875" style="9" bestFit="1" customWidth="1"/>
    <col min="13321" max="13322" width="11.42578125" style="9"/>
    <col min="13323" max="13323" width="7" style="9" customWidth="1"/>
    <col min="13324" max="13324" width="8.85546875" style="9" customWidth="1"/>
    <col min="13325" max="13568" width="11.42578125" style="9"/>
    <col min="13569" max="13569" width="3.5703125" style="9" customWidth="1"/>
    <col min="13570" max="13570" width="13.42578125" style="9" bestFit="1" customWidth="1"/>
    <col min="13571" max="13571" width="9" style="9" customWidth="1"/>
    <col min="13572" max="13572" width="11.28515625" style="9" customWidth="1"/>
    <col min="13573" max="13573" width="13.42578125" style="9" bestFit="1" customWidth="1"/>
    <col min="13574" max="13574" width="9.5703125" style="9" customWidth="1"/>
    <col min="13575" max="13575" width="9.7109375" style="9" customWidth="1"/>
    <col min="13576" max="13576" width="8.85546875" style="9" bestFit="1" customWidth="1"/>
    <col min="13577" max="13578" width="11.42578125" style="9"/>
    <col min="13579" max="13579" width="7" style="9" customWidth="1"/>
    <col min="13580" max="13580" width="8.85546875" style="9" customWidth="1"/>
    <col min="13581" max="13824" width="11.42578125" style="9"/>
    <col min="13825" max="13825" width="3.5703125" style="9" customWidth="1"/>
    <col min="13826" max="13826" width="13.42578125" style="9" bestFit="1" customWidth="1"/>
    <col min="13827" max="13827" width="9" style="9" customWidth="1"/>
    <col min="13828" max="13828" width="11.28515625" style="9" customWidth="1"/>
    <col min="13829" max="13829" width="13.42578125" style="9" bestFit="1" customWidth="1"/>
    <col min="13830" max="13830" width="9.5703125" style="9" customWidth="1"/>
    <col min="13831" max="13831" width="9.7109375" style="9" customWidth="1"/>
    <col min="13832" max="13832" width="8.85546875" style="9" bestFit="1" customWidth="1"/>
    <col min="13833" max="13834" width="11.42578125" style="9"/>
    <col min="13835" max="13835" width="7" style="9" customWidth="1"/>
    <col min="13836" max="13836" width="8.85546875" style="9" customWidth="1"/>
    <col min="13837" max="14080" width="11.42578125" style="9"/>
    <col min="14081" max="14081" width="3.5703125" style="9" customWidth="1"/>
    <col min="14082" max="14082" width="13.42578125" style="9" bestFit="1" customWidth="1"/>
    <col min="14083" max="14083" width="9" style="9" customWidth="1"/>
    <col min="14084" max="14084" width="11.28515625" style="9" customWidth="1"/>
    <col min="14085" max="14085" width="13.42578125" style="9" bestFit="1" customWidth="1"/>
    <col min="14086" max="14086" width="9.5703125" style="9" customWidth="1"/>
    <col min="14087" max="14087" width="9.7109375" style="9" customWidth="1"/>
    <col min="14088" max="14088" width="8.85546875" style="9" bestFit="1" customWidth="1"/>
    <col min="14089" max="14090" width="11.42578125" style="9"/>
    <col min="14091" max="14091" width="7" style="9" customWidth="1"/>
    <col min="14092" max="14092" width="8.85546875" style="9" customWidth="1"/>
    <col min="14093" max="14336" width="11.42578125" style="9"/>
    <col min="14337" max="14337" width="3.5703125" style="9" customWidth="1"/>
    <col min="14338" max="14338" width="13.42578125" style="9" bestFit="1" customWidth="1"/>
    <col min="14339" max="14339" width="9" style="9" customWidth="1"/>
    <col min="14340" max="14340" width="11.28515625" style="9" customWidth="1"/>
    <col min="14341" max="14341" width="13.42578125" style="9" bestFit="1" customWidth="1"/>
    <col min="14342" max="14342" width="9.5703125" style="9" customWidth="1"/>
    <col min="14343" max="14343" width="9.7109375" style="9" customWidth="1"/>
    <col min="14344" max="14344" width="8.85546875" style="9" bestFit="1" customWidth="1"/>
    <col min="14345" max="14346" width="11.42578125" style="9"/>
    <col min="14347" max="14347" width="7" style="9" customWidth="1"/>
    <col min="14348" max="14348" width="8.85546875" style="9" customWidth="1"/>
    <col min="14349" max="14592" width="11.42578125" style="9"/>
    <col min="14593" max="14593" width="3.5703125" style="9" customWidth="1"/>
    <col min="14594" max="14594" width="13.42578125" style="9" bestFit="1" customWidth="1"/>
    <col min="14595" max="14595" width="9" style="9" customWidth="1"/>
    <col min="14596" max="14596" width="11.28515625" style="9" customWidth="1"/>
    <col min="14597" max="14597" width="13.42578125" style="9" bestFit="1" customWidth="1"/>
    <col min="14598" max="14598" width="9.5703125" style="9" customWidth="1"/>
    <col min="14599" max="14599" width="9.7109375" style="9" customWidth="1"/>
    <col min="14600" max="14600" width="8.85546875" style="9" bestFit="1" customWidth="1"/>
    <col min="14601" max="14602" width="11.42578125" style="9"/>
    <col min="14603" max="14603" width="7" style="9" customWidth="1"/>
    <col min="14604" max="14604" width="8.85546875" style="9" customWidth="1"/>
    <col min="14605" max="14848" width="11.42578125" style="9"/>
    <col min="14849" max="14849" width="3.5703125" style="9" customWidth="1"/>
    <col min="14850" max="14850" width="13.42578125" style="9" bestFit="1" customWidth="1"/>
    <col min="14851" max="14851" width="9" style="9" customWidth="1"/>
    <col min="14852" max="14852" width="11.28515625" style="9" customWidth="1"/>
    <col min="14853" max="14853" width="13.42578125" style="9" bestFit="1" customWidth="1"/>
    <col min="14854" max="14854" width="9.5703125" style="9" customWidth="1"/>
    <col min="14855" max="14855" width="9.7109375" style="9" customWidth="1"/>
    <col min="14856" max="14856" width="8.85546875" style="9" bestFit="1" customWidth="1"/>
    <col min="14857" max="14858" width="11.42578125" style="9"/>
    <col min="14859" max="14859" width="7" style="9" customWidth="1"/>
    <col min="14860" max="14860" width="8.85546875" style="9" customWidth="1"/>
    <col min="14861" max="15104" width="11.42578125" style="9"/>
    <col min="15105" max="15105" width="3.5703125" style="9" customWidth="1"/>
    <col min="15106" max="15106" width="13.42578125" style="9" bestFit="1" customWidth="1"/>
    <col min="15107" max="15107" width="9" style="9" customWidth="1"/>
    <col min="15108" max="15108" width="11.28515625" style="9" customWidth="1"/>
    <col min="15109" max="15109" width="13.42578125" style="9" bestFit="1" customWidth="1"/>
    <col min="15110" max="15110" width="9.5703125" style="9" customWidth="1"/>
    <col min="15111" max="15111" width="9.7109375" style="9" customWidth="1"/>
    <col min="15112" max="15112" width="8.85546875" style="9" bestFit="1" customWidth="1"/>
    <col min="15113" max="15114" width="11.42578125" style="9"/>
    <col min="15115" max="15115" width="7" style="9" customWidth="1"/>
    <col min="15116" max="15116" width="8.85546875" style="9" customWidth="1"/>
    <col min="15117" max="15360" width="11.42578125" style="9"/>
    <col min="15361" max="15361" width="3.5703125" style="9" customWidth="1"/>
    <col min="15362" max="15362" width="13.42578125" style="9" bestFit="1" customWidth="1"/>
    <col min="15363" max="15363" width="9" style="9" customWidth="1"/>
    <col min="15364" max="15364" width="11.28515625" style="9" customWidth="1"/>
    <col min="15365" max="15365" width="13.42578125" style="9" bestFit="1" customWidth="1"/>
    <col min="15366" max="15366" width="9.5703125" style="9" customWidth="1"/>
    <col min="15367" max="15367" width="9.7109375" style="9" customWidth="1"/>
    <col min="15368" max="15368" width="8.85546875" style="9" bestFit="1" customWidth="1"/>
    <col min="15369" max="15370" width="11.42578125" style="9"/>
    <col min="15371" max="15371" width="7" style="9" customWidth="1"/>
    <col min="15372" max="15372" width="8.85546875" style="9" customWidth="1"/>
    <col min="15373" max="15616" width="11.42578125" style="9"/>
    <col min="15617" max="15617" width="3.5703125" style="9" customWidth="1"/>
    <col min="15618" max="15618" width="13.42578125" style="9" bestFit="1" customWidth="1"/>
    <col min="15619" max="15619" width="9" style="9" customWidth="1"/>
    <col min="15620" max="15620" width="11.28515625" style="9" customWidth="1"/>
    <col min="15621" max="15621" width="13.42578125" style="9" bestFit="1" customWidth="1"/>
    <col min="15622" max="15622" width="9.5703125" style="9" customWidth="1"/>
    <col min="15623" max="15623" width="9.7109375" style="9" customWidth="1"/>
    <col min="15624" max="15624" width="8.85546875" style="9" bestFit="1" customWidth="1"/>
    <col min="15625" max="15626" width="11.42578125" style="9"/>
    <col min="15627" max="15627" width="7" style="9" customWidth="1"/>
    <col min="15628" max="15628" width="8.85546875" style="9" customWidth="1"/>
    <col min="15629" max="15872" width="11.42578125" style="9"/>
    <col min="15873" max="15873" width="3.5703125" style="9" customWidth="1"/>
    <col min="15874" max="15874" width="13.42578125" style="9" bestFit="1" customWidth="1"/>
    <col min="15875" max="15875" width="9" style="9" customWidth="1"/>
    <col min="15876" max="15876" width="11.28515625" style="9" customWidth="1"/>
    <col min="15877" max="15877" width="13.42578125" style="9" bestFit="1" customWidth="1"/>
    <col min="15878" max="15878" width="9.5703125" style="9" customWidth="1"/>
    <col min="15879" max="15879" width="9.7109375" style="9" customWidth="1"/>
    <col min="15880" max="15880" width="8.85546875" style="9" bestFit="1" customWidth="1"/>
    <col min="15881" max="15882" width="11.42578125" style="9"/>
    <col min="15883" max="15883" width="7" style="9" customWidth="1"/>
    <col min="15884" max="15884" width="8.85546875" style="9" customWidth="1"/>
    <col min="15885" max="16128" width="11.42578125" style="9"/>
    <col min="16129" max="16129" width="3.5703125" style="9" customWidth="1"/>
    <col min="16130" max="16130" width="13.42578125" style="9" bestFit="1" customWidth="1"/>
    <col min="16131" max="16131" width="9" style="9" customWidth="1"/>
    <col min="16132" max="16132" width="11.28515625" style="9" customWidth="1"/>
    <col min="16133" max="16133" width="13.42578125" style="9" bestFit="1" customWidth="1"/>
    <col min="16134" max="16134" width="9.5703125" style="9" customWidth="1"/>
    <col min="16135" max="16135" width="9.7109375" style="9" customWidth="1"/>
    <col min="16136" max="16136" width="8.85546875" style="9" bestFit="1" customWidth="1"/>
    <col min="16137" max="16138" width="11.42578125" style="9"/>
    <col min="16139" max="16139" width="7" style="9" customWidth="1"/>
    <col min="16140" max="16140" width="8.85546875" style="9" customWidth="1"/>
    <col min="16141" max="16384" width="11.42578125" style="9"/>
  </cols>
  <sheetData>
    <row r="2" spans="2:18" ht="15" customHeight="1" x14ac:dyDescent="0.2">
      <c r="B2" s="121" t="s">
        <v>0</v>
      </c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</row>
    <row r="3" spans="2:18" x14ac:dyDescent="0.2"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</row>
    <row r="4" spans="2:18" x14ac:dyDescent="0.2">
      <c r="B4" s="121"/>
      <c r="C4" s="121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</row>
    <row r="5" spans="2:18" ht="13.5" customHeight="1" x14ac:dyDescent="0.2"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</row>
    <row r="6" spans="2:18" ht="13.5" customHeight="1" x14ac:dyDescent="0.2">
      <c r="B6" s="122" t="s">
        <v>1</v>
      </c>
      <c r="C6" s="122"/>
      <c r="D6" s="3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2:18" ht="13.5" customHeight="1" x14ac:dyDescent="0.2">
      <c r="B7" s="35" t="s">
        <v>2</v>
      </c>
      <c r="C7" s="37">
        <v>100</v>
      </c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</row>
    <row r="8" spans="2:18" ht="14.25" customHeight="1" x14ac:dyDescent="0.2">
      <c r="B8" s="35" t="s">
        <v>3</v>
      </c>
      <c r="C8" s="42">
        <f>0.76*C7</f>
        <v>76</v>
      </c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</row>
    <row r="9" spans="2:18" ht="14.25" customHeight="1" x14ac:dyDescent="0.2"/>
    <row r="10" spans="2:18" ht="15" x14ac:dyDescent="0.2">
      <c r="B10" s="11"/>
      <c r="C10" s="14" t="s">
        <v>4</v>
      </c>
      <c r="D10" s="14" t="s">
        <v>5</v>
      </c>
      <c r="E10" s="14" t="s">
        <v>6</v>
      </c>
      <c r="L10" s="21"/>
      <c r="M10" s="21"/>
    </row>
    <row r="11" spans="2:18" ht="15.75" customHeight="1" x14ac:dyDescent="0.25">
      <c r="B11" s="2" t="s">
        <v>7</v>
      </c>
      <c r="C11" s="41">
        <v>364.3</v>
      </c>
      <c r="D11" s="39">
        <v>0.23</v>
      </c>
      <c r="E11" s="40">
        <f>C11*D11</f>
        <v>83.789000000000001</v>
      </c>
      <c r="I11"/>
      <c r="J11"/>
      <c r="L11" s="22"/>
      <c r="M11" s="22"/>
    </row>
    <row r="12" spans="2:18" ht="15.75" customHeight="1" x14ac:dyDescent="0.25">
      <c r="B12" s="2" t="s">
        <v>8</v>
      </c>
      <c r="C12" s="36">
        <v>140</v>
      </c>
      <c r="D12" s="39">
        <v>0.55000000000000004</v>
      </c>
      <c r="E12" s="40">
        <f>C12*D12</f>
        <v>77</v>
      </c>
      <c r="I12" s="1"/>
      <c r="J12" s="1"/>
      <c r="L12" s="22"/>
      <c r="M12" s="22"/>
    </row>
    <row r="13" spans="2:18" ht="15.75" customHeight="1" x14ac:dyDescent="0.25">
      <c r="B13" s="2" t="s">
        <v>9</v>
      </c>
      <c r="C13" s="36">
        <v>15</v>
      </c>
      <c r="D13" s="39">
        <v>1.08</v>
      </c>
      <c r="E13" s="40">
        <f>C13*D13</f>
        <v>16.200000000000003</v>
      </c>
      <c r="I13" s="1"/>
      <c r="J13" s="1"/>
      <c r="L13" s="22"/>
      <c r="M13" s="22"/>
    </row>
    <row r="14" spans="2:18" ht="15.75" customHeight="1" x14ac:dyDescent="0.25">
      <c r="B14" s="2" t="s">
        <v>10</v>
      </c>
      <c r="C14" s="41">
        <f>C8</f>
        <v>76</v>
      </c>
      <c r="D14" s="39">
        <v>0.68</v>
      </c>
      <c r="E14" s="40">
        <f>C14*D14</f>
        <v>51.680000000000007</v>
      </c>
      <c r="I14"/>
      <c r="J14"/>
      <c r="L14" s="22"/>
      <c r="M14" s="22"/>
    </row>
    <row r="15" spans="2:18" ht="15.75" customHeight="1" x14ac:dyDescent="0.25">
      <c r="B15" s="12" t="s">
        <v>11</v>
      </c>
      <c r="C15" s="41">
        <f>SUM(C11:C13)</f>
        <v>519.29999999999995</v>
      </c>
      <c r="D15" s="39">
        <f>IF(C15&gt;0,E15/C15,0)</f>
        <v>0.34082226073560562</v>
      </c>
      <c r="E15" s="40">
        <f>SUM(E11:E13)</f>
        <v>176.98899999999998</v>
      </c>
      <c r="I15"/>
      <c r="J15"/>
      <c r="L15" s="22"/>
      <c r="M15" s="22"/>
    </row>
    <row r="16" spans="2:18" ht="15" x14ac:dyDescent="0.25">
      <c r="B16" s="13" t="s">
        <v>12</v>
      </c>
      <c r="C16" s="41">
        <f>SUM(C11:C14)</f>
        <v>595.29999999999995</v>
      </c>
      <c r="D16" s="39">
        <f>IF(C16&gt;0,E16/C16,0)</f>
        <v>0.38412397110700486</v>
      </c>
      <c r="E16" s="40">
        <f>SUM(E11:E14)</f>
        <v>228.66899999999998</v>
      </c>
      <c r="I16"/>
      <c r="J16"/>
      <c r="L16" s="22"/>
      <c r="M16" s="22"/>
    </row>
    <row r="17" spans="2:13" ht="15" x14ac:dyDescent="0.2">
      <c r="B17" s="19"/>
      <c r="C17" s="19"/>
      <c r="D17" s="19"/>
      <c r="E17" s="19"/>
      <c r="L17" s="23"/>
      <c r="M17" s="23"/>
    </row>
    <row r="18" spans="2:13" x14ac:dyDescent="0.2">
      <c r="B18" s="20"/>
      <c r="C18" s="20"/>
      <c r="D18" s="20"/>
      <c r="E18" s="20"/>
    </row>
    <row r="19" spans="2:13" ht="12" customHeight="1" x14ac:dyDescent="0.2">
      <c r="B19" s="14" t="s">
        <v>13</v>
      </c>
      <c r="C19" s="14" t="s">
        <v>14</v>
      </c>
    </row>
    <row r="20" spans="2:13" ht="15" x14ac:dyDescent="0.2">
      <c r="B20" s="38">
        <v>364.3</v>
      </c>
      <c r="C20" s="38">
        <v>0.245</v>
      </c>
    </row>
    <row r="21" spans="2:13" ht="15" x14ac:dyDescent="0.2">
      <c r="B21" s="38">
        <v>364.3</v>
      </c>
      <c r="C21" s="38">
        <v>0.3</v>
      </c>
    </row>
    <row r="22" spans="2:13" ht="15" x14ac:dyDescent="0.2">
      <c r="B22" s="38">
        <v>402</v>
      </c>
      <c r="C22" s="38">
        <v>0.37</v>
      </c>
      <c r="D22" s="15"/>
      <c r="E22" s="15"/>
    </row>
    <row r="23" spans="2:13" ht="15" x14ac:dyDescent="0.2">
      <c r="B23" s="38">
        <v>455</v>
      </c>
      <c r="C23" s="38">
        <v>0.4</v>
      </c>
      <c r="D23" s="5"/>
      <c r="E23" s="16"/>
    </row>
    <row r="24" spans="2:13" ht="15" x14ac:dyDescent="0.2">
      <c r="B24" s="38">
        <v>600</v>
      </c>
      <c r="C24" s="38">
        <v>0.4</v>
      </c>
      <c r="D24" s="5"/>
      <c r="E24" s="16"/>
    </row>
    <row r="25" spans="2:13" ht="15" x14ac:dyDescent="0.2">
      <c r="B25" s="38">
        <v>600</v>
      </c>
      <c r="C25" s="38">
        <v>0.37</v>
      </c>
      <c r="D25" s="5"/>
      <c r="E25" s="16"/>
    </row>
    <row r="26" spans="2:13" ht="15" x14ac:dyDescent="0.2">
      <c r="B26" s="38">
        <v>364.3</v>
      </c>
      <c r="C26" s="38">
        <v>0.245</v>
      </c>
      <c r="D26" s="5"/>
      <c r="E26" s="16"/>
    </row>
    <row r="27" spans="2:13" ht="15" x14ac:dyDescent="0.25">
      <c r="B27" s="15"/>
      <c r="C27" s="17"/>
      <c r="D27" s="17"/>
      <c r="E27" s="18"/>
    </row>
    <row r="28" spans="2:13" ht="15" x14ac:dyDescent="0.25">
      <c r="B28" s="15"/>
      <c r="C28" s="17"/>
      <c r="D28" s="17"/>
      <c r="E28" s="18"/>
    </row>
  </sheetData>
  <mergeCells count="2">
    <mergeCell ref="B2:R4"/>
    <mergeCell ref="B6:C6"/>
  </mergeCells>
  <printOptions horizontalCentered="1"/>
  <pageMargins left="0.24" right="0.3" top="0.15748031496062992" bottom="0.19685039370078741" header="0.11811023622047245" footer="0.15748031496062992"/>
  <pageSetup paperSize="9" scale="8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7053A-6A8A-4EBF-AF7C-57E4AA7C1612}">
  <dimension ref="B1:T63"/>
  <sheetViews>
    <sheetView zoomScaleNormal="100" workbookViewId="0">
      <selection activeCell="T16" sqref="T16"/>
    </sheetView>
  </sheetViews>
  <sheetFormatPr baseColWidth="10" defaultColWidth="11.42578125" defaultRowHeight="15" x14ac:dyDescent="0.25"/>
  <cols>
    <col min="1" max="1" width="14" customWidth="1"/>
    <col min="2" max="2" width="23.28515625" bestFit="1" customWidth="1"/>
    <col min="3" max="3" width="5.5703125" bestFit="1" customWidth="1"/>
    <col min="4" max="14" width="5.7109375" bestFit="1" customWidth="1"/>
    <col min="15" max="15" width="5.140625" bestFit="1" customWidth="1"/>
  </cols>
  <sheetData>
    <row r="1" spans="2:15" ht="18" customHeight="1" x14ac:dyDescent="0.25"/>
    <row r="3" spans="2:15" x14ac:dyDescent="0.25">
      <c r="B3" s="123" t="s">
        <v>15</v>
      </c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</row>
    <row r="4" spans="2:15" x14ac:dyDescent="0.25"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</row>
    <row r="5" spans="2:15" x14ac:dyDescent="0.25">
      <c r="B5" s="123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</row>
    <row r="6" spans="2:15" x14ac:dyDescent="0.25">
      <c r="B6" s="28"/>
    </row>
    <row r="7" spans="2:15" x14ac:dyDescent="0.25">
      <c r="B7" s="124" t="s">
        <v>16</v>
      </c>
      <c r="C7" s="124" t="s">
        <v>3</v>
      </c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</row>
    <row r="8" spans="2:15" x14ac:dyDescent="0.25">
      <c r="B8" s="124"/>
      <c r="C8" s="2">
        <v>364</v>
      </c>
      <c r="D8" s="2">
        <v>380</v>
      </c>
      <c r="E8" s="2">
        <v>400</v>
      </c>
      <c r="F8" s="2">
        <v>420</v>
      </c>
      <c r="G8" s="2">
        <v>440</v>
      </c>
      <c r="H8" s="2">
        <v>460</v>
      </c>
      <c r="I8" s="2">
        <v>480</v>
      </c>
      <c r="J8" s="2">
        <v>500</v>
      </c>
      <c r="K8" s="2">
        <v>520</v>
      </c>
      <c r="L8" s="2">
        <v>540</v>
      </c>
      <c r="M8" s="2">
        <v>560</v>
      </c>
      <c r="N8" s="2">
        <v>580</v>
      </c>
      <c r="O8" s="2">
        <v>600</v>
      </c>
    </row>
    <row r="9" spans="2:15" x14ac:dyDescent="0.25">
      <c r="B9" s="2" t="s">
        <v>17</v>
      </c>
      <c r="C9" s="3">
        <f t="shared" ref="C9:N16" si="0">$O9*C$20</f>
        <v>33.492188143904045</v>
      </c>
      <c r="D9" s="3">
        <f t="shared" si="0"/>
        <v>34.220364307431524</v>
      </c>
      <c r="E9" s="3">
        <f t="shared" si="0"/>
        <v>35.109352979892222</v>
      </c>
      <c r="F9" s="3">
        <f t="shared" si="0"/>
        <v>35.976381140965252</v>
      </c>
      <c r="G9" s="3">
        <f t="shared" si="0"/>
        <v>36.823000058840037</v>
      </c>
      <c r="H9" s="3">
        <f t="shared" si="0"/>
        <v>37.650586538149263</v>
      </c>
      <c r="I9" s="3">
        <f t="shared" si="0"/>
        <v>38.460369212996383</v>
      </c>
      <c r="J9" s="3">
        <f t="shared" si="0"/>
        <v>39.253449954536904</v>
      </c>
      <c r="K9" s="3">
        <f t="shared" si="0"/>
        <v>40.030821458804304</v>
      </c>
      <c r="L9" s="3">
        <f t="shared" si="0"/>
        <v>40.793381816172094</v>
      </c>
      <c r="M9" s="3">
        <f t="shared" si="0"/>
        <v>41.541946672409722</v>
      </c>
      <c r="N9" s="3">
        <f t="shared" si="0"/>
        <v>42.277259450757533</v>
      </c>
      <c r="O9" s="32">
        <v>43</v>
      </c>
    </row>
    <row r="10" spans="2:15" x14ac:dyDescent="0.25">
      <c r="B10" s="2" t="s">
        <v>18</v>
      </c>
      <c r="C10" s="3">
        <f t="shared" si="0"/>
        <v>52.185502456780725</v>
      </c>
      <c r="D10" s="3">
        <f t="shared" si="0"/>
        <v>53.320102525532839</v>
      </c>
      <c r="E10" s="3">
        <f t="shared" si="0"/>
        <v>54.705270922157645</v>
      </c>
      <c r="F10" s="3">
        <f t="shared" si="0"/>
        <v>56.056221777783065</v>
      </c>
      <c r="G10" s="3">
        <f t="shared" si="0"/>
        <v>57.375372184704247</v>
      </c>
      <c r="H10" s="3">
        <f t="shared" si="0"/>
        <v>58.664867396651182</v>
      </c>
      <c r="I10" s="3">
        <f t="shared" si="0"/>
        <v>59.926621796994361</v>
      </c>
      <c r="J10" s="3">
        <f t="shared" si="0"/>
        <v>61.162352254743553</v>
      </c>
      <c r="K10" s="3">
        <f t="shared" si="0"/>
        <v>62.373605528834609</v>
      </c>
      <c r="L10" s="3">
        <f t="shared" si="0"/>
        <v>63.561780969384422</v>
      </c>
      <c r="M10" s="3">
        <f t="shared" si="0"/>
        <v>64.728149466312829</v>
      </c>
      <c r="N10" s="3">
        <f t="shared" si="0"/>
        <v>65.873869376761732</v>
      </c>
      <c r="O10" s="32">
        <v>67</v>
      </c>
    </row>
    <row r="11" spans="2:15" x14ac:dyDescent="0.25">
      <c r="B11" s="2" t="s">
        <v>19</v>
      </c>
      <c r="C11" s="3">
        <f t="shared" si="0"/>
        <v>38.944404818493076</v>
      </c>
      <c r="D11" s="3">
        <f t="shared" si="0"/>
        <v>39.791121287711071</v>
      </c>
      <c r="E11" s="3">
        <f t="shared" si="0"/>
        <v>40.824829046386299</v>
      </c>
      <c r="F11" s="3">
        <f t="shared" si="0"/>
        <v>41.83300132670378</v>
      </c>
      <c r="G11" s="3">
        <f t="shared" si="0"/>
        <v>42.817441928883767</v>
      </c>
      <c r="H11" s="3">
        <f t="shared" si="0"/>
        <v>43.77975178854566</v>
      </c>
      <c r="I11" s="3">
        <f t="shared" si="0"/>
        <v>44.721359549995796</v>
      </c>
      <c r="J11" s="3">
        <f t="shared" si="0"/>
        <v>45.643546458763844</v>
      </c>
      <c r="K11" s="3">
        <f t="shared" si="0"/>
        <v>46.547466812563144</v>
      </c>
      <c r="L11" s="3">
        <f t="shared" si="0"/>
        <v>47.434164902525687</v>
      </c>
      <c r="M11" s="3">
        <f t="shared" si="0"/>
        <v>48.304589153964791</v>
      </c>
      <c r="N11" s="3">
        <f t="shared" si="0"/>
        <v>49.159604012508758</v>
      </c>
      <c r="O11" s="32">
        <v>50</v>
      </c>
    </row>
    <row r="12" spans="2:15" x14ac:dyDescent="0.25">
      <c r="B12" s="2" t="s">
        <v>20</v>
      </c>
      <c r="C12" s="3">
        <f t="shared" si="0"/>
        <v>30.376635758424602</v>
      </c>
      <c r="D12" s="3">
        <f t="shared" si="0"/>
        <v>31.037074604414638</v>
      </c>
      <c r="E12" s="3">
        <f t="shared" si="0"/>
        <v>31.843366656181317</v>
      </c>
      <c r="F12" s="3">
        <f t="shared" si="0"/>
        <v>32.629741034828946</v>
      </c>
      <c r="G12" s="3">
        <f t="shared" si="0"/>
        <v>33.397604704529336</v>
      </c>
      <c r="H12" s="3">
        <f t="shared" si="0"/>
        <v>34.148206395065614</v>
      </c>
      <c r="I12" s="3">
        <f t="shared" si="0"/>
        <v>34.882660448996717</v>
      </c>
      <c r="J12" s="3">
        <f t="shared" si="0"/>
        <v>35.601966237835796</v>
      </c>
      <c r="K12" s="3">
        <f t="shared" si="0"/>
        <v>36.307024113799251</v>
      </c>
      <c r="L12" s="3">
        <f t="shared" si="0"/>
        <v>36.998648623970034</v>
      </c>
      <c r="M12" s="3">
        <f t="shared" si="0"/>
        <v>37.677579540092538</v>
      </c>
      <c r="N12" s="3">
        <f t="shared" si="0"/>
        <v>38.344491129756832</v>
      </c>
      <c r="O12" s="32">
        <v>39</v>
      </c>
    </row>
    <row r="13" spans="2:15" x14ac:dyDescent="0.25">
      <c r="B13" s="2" t="s">
        <v>21</v>
      </c>
      <c r="C13" s="3">
        <f t="shared" si="0"/>
        <v>32.713300047534183</v>
      </c>
      <c r="D13" s="3">
        <f t="shared" si="0"/>
        <v>33.4245418816773</v>
      </c>
      <c r="E13" s="3">
        <f t="shared" si="0"/>
        <v>34.292856398964496</v>
      </c>
      <c r="F13" s="3">
        <f t="shared" si="0"/>
        <v>35.139721114431175</v>
      </c>
      <c r="G13" s="3">
        <f t="shared" si="0"/>
        <v>35.966651220262364</v>
      </c>
      <c r="H13" s="3">
        <f t="shared" si="0"/>
        <v>36.774991502378349</v>
      </c>
      <c r="I13" s="3">
        <f t="shared" si="0"/>
        <v>37.565942021996463</v>
      </c>
      <c r="J13" s="3">
        <f t="shared" si="0"/>
        <v>38.340579025361627</v>
      </c>
      <c r="K13" s="3">
        <f t="shared" si="0"/>
        <v>39.099872122553037</v>
      </c>
      <c r="L13" s="3">
        <f t="shared" si="0"/>
        <v>39.844698518121575</v>
      </c>
      <c r="M13" s="3">
        <f t="shared" si="0"/>
        <v>40.575854889330429</v>
      </c>
      <c r="N13" s="3">
        <f t="shared" si="0"/>
        <v>41.294067370507356</v>
      </c>
      <c r="O13" s="32">
        <v>42</v>
      </c>
    </row>
    <row r="14" spans="2:15" x14ac:dyDescent="0.25">
      <c r="B14" s="2" t="s">
        <v>22</v>
      </c>
      <c r="C14" s="3">
        <f t="shared" si="0"/>
        <v>70.099928673287536</v>
      </c>
      <c r="D14" s="3">
        <f t="shared" si="0"/>
        <v>71.62401831787993</v>
      </c>
      <c r="E14" s="3">
        <f t="shared" si="0"/>
        <v>73.484692283495349</v>
      </c>
      <c r="F14" s="3">
        <f t="shared" si="0"/>
        <v>75.299402388066795</v>
      </c>
      <c r="G14" s="3">
        <f t="shared" si="0"/>
        <v>77.071395471990783</v>
      </c>
      <c r="H14" s="3">
        <f t="shared" si="0"/>
        <v>78.803553219382181</v>
      </c>
      <c r="I14" s="3">
        <f t="shared" si="0"/>
        <v>80.498447189992433</v>
      </c>
      <c r="J14" s="3">
        <f t="shared" si="0"/>
        <v>82.158383625774917</v>
      </c>
      <c r="K14" s="3">
        <f t="shared" si="0"/>
        <v>83.785440262613662</v>
      </c>
      <c r="L14" s="3">
        <f t="shared" si="0"/>
        <v>85.381496824546232</v>
      </c>
      <c r="M14" s="3">
        <f t="shared" si="0"/>
        <v>86.948260477136628</v>
      </c>
      <c r="N14" s="3">
        <f t="shared" si="0"/>
        <v>88.487287222515761</v>
      </c>
      <c r="O14" s="32">
        <v>90</v>
      </c>
    </row>
    <row r="15" spans="2:15" x14ac:dyDescent="0.25">
      <c r="B15" s="2" t="s">
        <v>23</v>
      </c>
      <c r="C15" s="3">
        <f t="shared" si="0"/>
        <v>55.301054842260172</v>
      </c>
      <c r="D15" s="3">
        <f t="shared" si="0"/>
        <v>56.503392228549721</v>
      </c>
      <c r="E15" s="3">
        <f t="shared" si="0"/>
        <v>57.97125724586855</v>
      </c>
      <c r="F15" s="3">
        <f t="shared" si="0"/>
        <v>59.402861883919364</v>
      </c>
      <c r="G15" s="3">
        <f t="shared" si="0"/>
        <v>60.800767539014949</v>
      </c>
      <c r="H15" s="3">
        <f t="shared" si="0"/>
        <v>62.167247539734831</v>
      </c>
      <c r="I15" s="3">
        <f t="shared" si="0"/>
        <v>63.504330560994028</v>
      </c>
      <c r="J15" s="3">
        <f t="shared" si="0"/>
        <v>64.813835971444661</v>
      </c>
      <c r="K15" s="3">
        <f t="shared" si="0"/>
        <v>66.09740287383967</v>
      </c>
      <c r="L15" s="3">
        <f t="shared" si="0"/>
        <v>67.356514161586475</v>
      </c>
      <c r="M15" s="3">
        <f t="shared" si="0"/>
        <v>68.592516598630013</v>
      </c>
      <c r="N15" s="3">
        <f t="shared" si="0"/>
        <v>69.80663769776244</v>
      </c>
      <c r="O15" s="32">
        <v>71</v>
      </c>
    </row>
    <row r="16" spans="2:15" x14ac:dyDescent="0.25">
      <c r="B16" s="2" t="s">
        <v>24</v>
      </c>
      <c r="C16" s="3">
        <f t="shared" si="0"/>
        <v>39.723292914862938</v>
      </c>
      <c r="D16" s="3">
        <f t="shared" si="0"/>
        <v>40.586943713465296</v>
      </c>
      <c r="E16" s="3">
        <f t="shared" si="0"/>
        <v>41.641325627314025</v>
      </c>
      <c r="F16" s="3">
        <f t="shared" si="0"/>
        <v>42.669661353237856</v>
      </c>
      <c r="G16" s="3">
        <f t="shared" si="0"/>
        <v>43.673790767461441</v>
      </c>
      <c r="H16" s="3">
        <f t="shared" si="0"/>
        <v>44.655346824316567</v>
      </c>
      <c r="I16" s="3">
        <f t="shared" si="0"/>
        <v>45.615786740995709</v>
      </c>
      <c r="J16" s="3">
        <f t="shared" si="0"/>
        <v>46.556417387939121</v>
      </c>
      <c r="K16" s="3">
        <f t="shared" si="0"/>
        <v>47.478416148814404</v>
      </c>
      <c r="L16" s="3">
        <f t="shared" si="0"/>
        <v>48.382848200576205</v>
      </c>
      <c r="M16" s="3">
        <f t="shared" si="0"/>
        <v>49.270680937044091</v>
      </c>
      <c r="N16" s="3">
        <f t="shared" si="0"/>
        <v>50.142796092758928</v>
      </c>
      <c r="O16" s="32">
        <v>51</v>
      </c>
    </row>
    <row r="17" spans="2:15" x14ac:dyDescent="0.25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2:15" x14ac:dyDescent="0.2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2:15" x14ac:dyDescent="0.25">
      <c r="B19" s="4" t="s">
        <v>25</v>
      </c>
      <c r="C19" s="7">
        <f t="shared" ref="C19:O19" si="1">C8*2.205</f>
        <v>802.62</v>
      </c>
      <c r="D19" s="7">
        <f t="shared" si="1"/>
        <v>837.9</v>
      </c>
      <c r="E19" s="7">
        <f t="shared" si="1"/>
        <v>882</v>
      </c>
      <c r="F19" s="7">
        <f t="shared" si="1"/>
        <v>926.1</v>
      </c>
      <c r="G19" s="7">
        <f t="shared" si="1"/>
        <v>970.2</v>
      </c>
      <c r="H19" s="7">
        <f t="shared" si="1"/>
        <v>1014.3000000000001</v>
      </c>
      <c r="I19" s="7">
        <f t="shared" si="1"/>
        <v>1058.4000000000001</v>
      </c>
      <c r="J19" s="7">
        <f t="shared" si="1"/>
        <v>1102.5</v>
      </c>
      <c r="K19" s="7">
        <f t="shared" si="1"/>
        <v>1146.6000000000001</v>
      </c>
      <c r="L19" s="7">
        <f t="shared" si="1"/>
        <v>1190.7</v>
      </c>
      <c r="M19" s="7">
        <f t="shared" si="1"/>
        <v>1234.8</v>
      </c>
      <c r="N19" s="7">
        <f t="shared" si="1"/>
        <v>1278.9000000000001</v>
      </c>
      <c r="O19" s="7">
        <f t="shared" si="1"/>
        <v>1323</v>
      </c>
    </row>
    <row r="20" spans="2:15" x14ac:dyDescent="0.25">
      <c r="B20" s="4" t="s">
        <v>26</v>
      </c>
      <c r="C20" s="25">
        <f t="shared" ref="C20:L20" si="2">SQRT(C19/$O19)</f>
        <v>0.77888809636986156</v>
      </c>
      <c r="D20" s="25">
        <f t="shared" si="2"/>
        <v>0.79582242575422146</v>
      </c>
      <c r="E20" s="25">
        <f t="shared" si="2"/>
        <v>0.81649658092772603</v>
      </c>
      <c r="F20" s="25">
        <f t="shared" si="2"/>
        <v>0.83666002653407556</v>
      </c>
      <c r="G20" s="25">
        <f t="shared" si="2"/>
        <v>0.8563488385776753</v>
      </c>
      <c r="H20" s="25">
        <f t="shared" si="2"/>
        <v>0.87559503577091313</v>
      </c>
      <c r="I20" s="25">
        <f t="shared" si="2"/>
        <v>0.89442719099991586</v>
      </c>
      <c r="J20" s="25">
        <f t="shared" si="2"/>
        <v>0.9128709291752769</v>
      </c>
      <c r="K20" s="25">
        <f t="shared" si="2"/>
        <v>0.93094933625126286</v>
      </c>
      <c r="L20" s="25">
        <f t="shared" si="2"/>
        <v>0.94868329805051377</v>
      </c>
      <c r="M20" s="25">
        <f>SQRT(M19/$O19)</f>
        <v>0.96609178307929588</v>
      </c>
      <c r="N20" s="25">
        <f>SQRT(N19/$O19)</f>
        <v>0.98319208025017513</v>
      </c>
      <c r="O20" s="7">
        <f>SQRT(O19/$O19)</f>
        <v>1</v>
      </c>
    </row>
    <row r="21" spans="2:15" x14ac:dyDescent="0.25">
      <c r="B21" s="5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2"/>
    </row>
    <row r="23" spans="2:15" x14ac:dyDescent="0.25">
      <c r="B23" s="125" t="s">
        <v>27</v>
      </c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</row>
    <row r="24" spans="2:15" x14ac:dyDescent="0.25"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</row>
    <row r="25" spans="2:15" x14ac:dyDescent="0.25"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</row>
    <row r="26" spans="2:15" x14ac:dyDescent="0.25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2:15" x14ac:dyDescent="0.25">
      <c r="B27" s="124" t="s">
        <v>28</v>
      </c>
      <c r="C27" s="124" t="s">
        <v>3</v>
      </c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</row>
    <row r="28" spans="2:15" x14ac:dyDescent="0.25">
      <c r="B28" s="124"/>
      <c r="C28" s="2">
        <v>360</v>
      </c>
      <c r="D28" s="2">
        <v>380</v>
      </c>
      <c r="E28" s="2">
        <v>400</v>
      </c>
      <c r="F28" s="2">
        <v>420</v>
      </c>
      <c r="G28" s="2">
        <v>440</v>
      </c>
      <c r="H28" s="2">
        <v>460</v>
      </c>
      <c r="I28" s="2">
        <v>480</v>
      </c>
      <c r="J28" s="2">
        <v>500</v>
      </c>
      <c r="K28" s="2">
        <v>520</v>
      </c>
      <c r="L28" s="2">
        <v>540</v>
      </c>
      <c r="M28" s="2">
        <v>560</v>
      </c>
      <c r="N28" s="2">
        <v>580</v>
      </c>
      <c r="O28" s="2">
        <v>600</v>
      </c>
    </row>
    <row r="29" spans="2:15" x14ac:dyDescent="0.25">
      <c r="B29" s="2">
        <v>0</v>
      </c>
      <c r="C29" s="3">
        <f t="shared" ref="C29:N39" si="3">$O29*C$43</f>
        <v>51.897976839179385</v>
      </c>
      <c r="D29" s="3">
        <f t="shared" si="3"/>
        <v>53.320102525532839</v>
      </c>
      <c r="E29" s="3">
        <f t="shared" si="3"/>
        <v>54.705270922157645</v>
      </c>
      <c r="F29" s="3">
        <f t="shared" si="3"/>
        <v>56.056221777783065</v>
      </c>
      <c r="G29" s="3">
        <f t="shared" si="3"/>
        <v>57.375372184704247</v>
      </c>
      <c r="H29" s="3">
        <f t="shared" si="3"/>
        <v>58.664867396651182</v>
      </c>
      <c r="I29" s="3">
        <f t="shared" si="3"/>
        <v>59.926621796994361</v>
      </c>
      <c r="J29" s="3">
        <f t="shared" si="3"/>
        <v>61.162352254743553</v>
      </c>
      <c r="K29" s="3">
        <f t="shared" si="3"/>
        <v>62.373605528834609</v>
      </c>
      <c r="L29" s="3">
        <f t="shared" si="3"/>
        <v>63.561780969384422</v>
      </c>
      <c r="M29" s="3">
        <f t="shared" si="3"/>
        <v>64.728149466312829</v>
      </c>
      <c r="N29" s="3">
        <f>$O29*N$43</f>
        <v>65.873869376761732</v>
      </c>
      <c r="O29" s="31">
        <v>67</v>
      </c>
    </row>
    <row r="30" spans="2:15" x14ac:dyDescent="0.25">
      <c r="B30" s="2">
        <v>1000</v>
      </c>
      <c r="C30" s="3">
        <f t="shared" si="3"/>
        <v>51.123380169937903</v>
      </c>
      <c r="D30" s="3">
        <f t="shared" si="3"/>
        <v>52.524280099778615</v>
      </c>
      <c r="E30" s="3">
        <f t="shared" si="3"/>
        <v>53.888774341229919</v>
      </c>
      <c r="F30" s="3">
        <f t="shared" si="3"/>
        <v>55.219561751248989</v>
      </c>
      <c r="G30" s="3">
        <f t="shared" si="3"/>
        <v>56.519023346126566</v>
      </c>
      <c r="H30" s="3">
        <f t="shared" si="3"/>
        <v>57.789272360880268</v>
      </c>
      <c r="I30" s="3">
        <f t="shared" si="3"/>
        <v>59.032194605994448</v>
      </c>
      <c r="J30" s="3">
        <f t="shared" si="3"/>
        <v>60.249481325568276</v>
      </c>
      <c r="K30" s="3">
        <f t="shared" si="3"/>
        <v>61.44265619258335</v>
      </c>
      <c r="L30" s="3">
        <f t="shared" si="3"/>
        <v>62.613097671333911</v>
      </c>
      <c r="M30" s="3">
        <f t="shared" si="3"/>
        <v>63.762057683233529</v>
      </c>
      <c r="N30" s="3">
        <f t="shared" si="3"/>
        <v>64.890677296511555</v>
      </c>
      <c r="O30" s="31">
        <v>66</v>
      </c>
    </row>
    <row r="31" spans="2:15" x14ac:dyDescent="0.25">
      <c r="B31" s="2">
        <v>2000</v>
      </c>
      <c r="C31" s="3">
        <f t="shared" si="3"/>
        <v>50.34878350069642</v>
      </c>
      <c r="D31" s="3">
        <f t="shared" si="3"/>
        <v>51.728457674024398</v>
      </c>
      <c r="E31" s="3">
        <f t="shared" si="3"/>
        <v>53.072277760302192</v>
      </c>
      <c r="F31" s="3">
        <f t="shared" si="3"/>
        <v>54.382901724714912</v>
      </c>
      <c r="G31" s="3">
        <f t="shared" si="3"/>
        <v>55.662674507548893</v>
      </c>
      <c r="H31" s="3">
        <f t="shared" si="3"/>
        <v>56.913677325109354</v>
      </c>
      <c r="I31" s="3">
        <f t="shared" si="3"/>
        <v>58.137767414994528</v>
      </c>
      <c r="J31" s="3">
        <f t="shared" si="3"/>
        <v>59.336610396392999</v>
      </c>
      <c r="K31" s="3">
        <f t="shared" si="3"/>
        <v>60.511706856332083</v>
      </c>
      <c r="L31" s="3">
        <f t="shared" si="3"/>
        <v>61.664414373283392</v>
      </c>
      <c r="M31" s="3">
        <f t="shared" si="3"/>
        <v>62.795965900154229</v>
      </c>
      <c r="N31" s="3">
        <f t="shared" si="3"/>
        <v>63.907485216261385</v>
      </c>
      <c r="O31" s="31">
        <v>65</v>
      </c>
    </row>
    <row r="32" spans="2:15" x14ac:dyDescent="0.25">
      <c r="B32" s="2">
        <v>3000</v>
      </c>
      <c r="C32" s="3">
        <f t="shared" si="3"/>
        <v>50.34878350069642</v>
      </c>
      <c r="D32" s="3">
        <f t="shared" si="3"/>
        <v>51.728457674024398</v>
      </c>
      <c r="E32" s="3">
        <f t="shared" si="3"/>
        <v>53.072277760302192</v>
      </c>
      <c r="F32" s="3">
        <f t="shared" si="3"/>
        <v>54.382901724714912</v>
      </c>
      <c r="G32" s="3">
        <f t="shared" si="3"/>
        <v>55.662674507548893</v>
      </c>
      <c r="H32" s="3">
        <f t="shared" si="3"/>
        <v>56.913677325109354</v>
      </c>
      <c r="I32" s="3">
        <f t="shared" si="3"/>
        <v>58.137767414994528</v>
      </c>
      <c r="J32" s="3">
        <f t="shared" si="3"/>
        <v>59.336610396392999</v>
      </c>
      <c r="K32" s="3">
        <f t="shared" si="3"/>
        <v>60.511706856332083</v>
      </c>
      <c r="L32" s="3">
        <f t="shared" si="3"/>
        <v>61.664414373283392</v>
      </c>
      <c r="M32" s="3">
        <f t="shared" si="3"/>
        <v>62.795965900154229</v>
      </c>
      <c r="N32" s="3">
        <f t="shared" si="3"/>
        <v>63.907485216261385</v>
      </c>
      <c r="O32" s="31">
        <v>65</v>
      </c>
    </row>
    <row r="33" spans="2:20" x14ac:dyDescent="0.25">
      <c r="B33" s="2">
        <v>4000</v>
      </c>
      <c r="C33" s="3">
        <f t="shared" si="3"/>
        <v>49.574186831454938</v>
      </c>
      <c r="D33" s="3">
        <f t="shared" si="3"/>
        <v>50.932635248270174</v>
      </c>
      <c r="E33" s="3">
        <f t="shared" si="3"/>
        <v>52.255781179374466</v>
      </c>
      <c r="F33" s="3">
        <f t="shared" si="3"/>
        <v>53.546241698180836</v>
      </c>
      <c r="G33" s="3">
        <f t="shared" si="3"/>
        <v>54.806325668971219</v>
      </c>
      <c r="H33" s="3">
        <f t="shared" si="3"/>
        <v>56.03808228933844</v>
      </c>
      <c r="I33" s="3">
        <f t="shared" si="3"/>
        <v>57.243340223994615</v>
      </c>
      <c r="J33" s="3">
        <f t="shared" si="3"/>
        <v>58.423739467217722</v>
      </c>
      <c r="K33" s="3">
        <f t="shared" si="3"/>
        <v>59.580757520080823</v>
      </c>
      <c r="L33" s="3">
        <f t="shared" si="3"/>
        <v>60.715731075232881</v>
      </c>
      <c r="M33" s="3">
        <f t="shared" si="3"/>
        <v>61.829874117074937</v>
      </c>
      <c r="N33" s="3">
        <f t="shared" si="3"/>
        <v>62.924293136011208</v>
      </c>
      <c r="O33" s="31">
        <v>64</v>
      </c>
    </row>
    <row r="34" spans="2:20" x14ac:dyDescent="0.25">
      <c r="B34" s="2">
        <v>5000</v>
      </c>
      <c r="C34" s="3">
        <f t="shared" si="3"/>
        <v>49.574186831454938</v>
      </c>
      <c r="D34" s="3">
        <f t="shared" si="3"/>
        <v>50.932635248270174</v>
      </c>
      <c r="E34" s="3">
        <f t="shared" si="3"/>
        <v>52.255781179374466</v>
      </c>
      <c r="F34" s="3">
        <f t="shared" si="3"/>
        <v>53.546241698180836</v>
      </c>
      <c r="G34" s="3">
        <f t="shared" si="3"/>
        <v>54.806325668971219</v>
      </c>
      <c r="H34" s="3">
        <f t="shared" si="3"/>
        <v>56.03808228933844</v>
      </c>
      <c r="I34" s="3">
        <f t="shared" si="3"/>
        <v>57.243340223994615</v>
      </c>
      <c r="J34" s="3">
        <f t="shared" si="3"/>
        <v>58.423739467217722</v>
      </c>
      <c r="K34" s="3">
        <f t="shared" si="3"/>
        <v>59.580757520080823</v>
      </c>
      <c r="L34" s="3">
        <f t="shared" si="3"/>
        <v>60.715731075232881</v>
      </c>
      <c r="M34" s="3">
        <f t="shared" si="3"/>
        <v>61.829874117074937</v>
      </c>
      <c r="N34" s="3">
        <f t="shared" si="3"/>
        <v>62.924293136011208</v>
      </c>
      <c r="O34" s="31">
        <v>64</v>
      </c>
    </row>
    <row r="35" spans="2:20" x14ac:dyDescent="0.25">
      <c r="B35" s="2">
        <v>6000</v>
      </c>
      <c r="C35" s="3">
        <f t="shared" si="3"/>
        <v>48.799590162213455</v>
      </c>
      <c r="D35" s="3">
        <f t="shared" si="3"/>
        <v>50.13681282251595</v>
      </c>
      <c r="E35" s="3">
        <f t="shared" si="3"/>
        <v>51.43928459844674</v>
      </c>
      <c r="F35" s="3">
        <f t="shared" si="3"/>
        <v>52.70958167164676</v>
      </c>
      <c r="G35" s="3">
        <f t="shared" si="3"/>
        <v>53.949976830393545</v>
      </c>
      <c r="H35" s="3">
        <f t="shared" si="3"/>
        <v>55.162487253567527</v>
      </c>
      <c r="I35" s="3">
        <f t="shared" si="3"/>
        <v>56.348913032994702</v>
      </c>
      <c r="J35" s="3">
        <f t="shared" si="3"/>
        <v>57.510868538042445</v>
      </c>
      <c r="K35" s="3">
        <f t="shared" si="3"/>
        <v>58.649808183829563</v>
      </c>
      <c r="L35" s="3">
        <f t="shared" si="3"/>
        <v>59.76704777718237</v>
      </c>
      <c r="M35" s="3">
        <f t="shared" si="3"/>
        <v>60.863782333995644</v>
      </c>
      <c r="N35" s="3">
        <f t="shared" si="3"/>
        <v>61.941101055761031</v>
      </c>
      <c r="O35" s="31">
        <v>63</v>
      </c>
    </row>
    <row r="36" spans="2:20" x14ac:dyDescent="0.25">
      <c r="B36" s="2">
        <v>7000</v>
      </c>
      <c r="C36" s="3">
        <f t="shared" si="3"/>
        <v>48.799590162213455</v>
      </c>
      <c r="D36" s="3">
        <f t="shared" si="3"/>
        <v>50.13681282251595</v>
      </c>
      <c r="E36" s="3">
        <f t="shared" si="3"/>
        <v>51.43928459844674</v>
      </c>
      <c r="F36" s="3">
        <f t="shared" si="3"/>
        <v>52.70958167164676</v>
      </c>
      <c r="G36" s="3">
        <f t="shared" si="3"/>
        <v>53.949976830393545</v>
      </c>
      <c r="H36" s="3">
        <f t="shared" si="3"/>
        <v>55.162487253567527</v>
      </c>
      <c r="I36" s="3">
        <f t="shared" si="3"/>
        <v>56.348913032994702</v>
      </c>
      <c r="J36" s="3">
        <f t="shared" si="3"/>
        <v>57.510868538042445</v>
      </c>
      <c r="K36" s="3">
        <f t="shared" si="3"/>
        <v>58.649808183829563</v>
      </c>
      <c r="L36" s="3">
        <f t="shared" si="3"/>
        <v>59.76704777718237</v>
      </c>
      <c r="M36" s="3">
        <f t="shared" si="3"/>
        <v>60.863782333995644</v>
      </c>
      <c r="N36" s="3">
        <f t="shared" si="3"/>
        <v>61.941101055761031</v>
      </c>
      <c r="O36" s="31">
        <v>63</v>
      </c>
    </row>
    <row r="37" spans="2:20" x14ac:dyDescent="0.25">
      <c r="B37" s="2">
        <v>8000</v>
      </c>
      <c r="C37" s="3">
        <f t="shared" si="3"/>
        <v>48.024993492971973</v>
      </c>
      <c r="D37" s="3">
        <f t="shared" si="3"/>
        <v>49.340990396761732</v>
      </c>
      <c r="E37" s="3">
        <f t="shared" si="3"/>
        <v>50.622788017519014</v>
      </c>
      <c r="F37" s="3">
        <f t="shared" si="3"/>
        <v>51.872921645112683</v>
      </c>
      <c r="G37" s="3">
        <f t="shared" si="3"/>
        <v>53.093627991815872</v>
      </c>
      <c r="H37" s="3">
        <f t="shared" si="3"/>
        <v>54.286892217796613</v>
      </c>
      <c r="I37" s="3">
        <f t="shared" si="3"/>
        <v>55.454485841994781</v>
      </c>
      <c r="J37" s="3">
        <f t="shared" si="3"/>
        <v>56.597997608867168</v>
      </c>
      <c r="K37" s="3">
        <f t="shared" si="3"/>
        <v>57.718858847578296</v>
      </c>
      <c r="L37" s="3">
        <f t="shared" si="3"/>
        <v>58.818364479131851</v>
      </c>
      <c r="M37" s="3">
        <f t="shared" si="3"/>
        <v>59.897690550916344</v>
      </c>
      <c r="N37" s="3">
        <f t="shared" si="3"/>
        <v>60.957908975510861</v>
      </c>
      <c r="O37" s="31">
        <v>62</v>
      </c>
    </row>
    <row r="38" spans="2:20" x14ac:dyDescent="0.25">
      <c r="B38" s="2">
        <v>9000</v>
      </c>
      <c r="C38" s="3">
        <f t="shared" si="3"/>
        <v>48.024993492971973</v>
      </c>
      <c r="D38" s="3">
        <f t="shared" si="3"/>
        <v>49.340990396761732</v>
      </c>
      <c r="E38" s="3">
        <f t="shared" si="3"/>
        <v>50.622788017519014</v>
      </c>
      <c r="F38" s="3">
        <f t="shared" si="3"/>
        <v>51.872921645112683</v>
      </c>
      <c r="G38" s="3">
        <f t="shared" si="3"/>
        <v>53.093627991815872</v>
      </c>
      <c r="H38" s="3">
        <f t="shared" si="3"/>
        <v>54.286892217796613</v>
      </c>
      <c r="I38" s="3">
        <f t="shared" si="3"/>
        <v>55.454485841994781</v>
      </c>
      <c r="J38" s="3">
        <f t="shared" si="3"/>
        <v>56.597997608867168</v>
      </c>
      <c r="K38" s="3">
        <f t="shared" si="3"/>
        <v>57.718858847578296</v>
      </c>
      <c r="L38" s="3">
        <f t="shared" si="3"/>
        <v>58.818364479131851</v>
      </c>
      <c r="M38" s="3">
        <f t="shared" si="3"/>
        <v>59.897690550916344</v>
      </c>
      <c r="N38" s="3">
        <f t="shared" si="3"/>
        <v>60.957908975510861</v>
      </c>
      <c r="O38" s="31">
        <v>62</v>
      </c>
    </row>
    <row r="39" spans="2:20" x14ac:dyDescent="0.25">
      <c r="B39" s="2">
        <v>10000</v>
      </c>
      <c r="C39" s="3">
        <f t="shared" si="3"/>
        <v>47.25039682373049</v>
      </c>
      <c r="D39" s="3">
        <f t="shared" si="3"/>
        <v>48.545167971007508</v>
      </c>
      <c r="E39" s="3">
        <f t="shared" si="3"/>
        <v>49.806291436591287</v>
      </c>
      <c r="F39" s="3">
        <f t="shared" si="3"/>
        <v>51.036261618578607</v>
      </c>
      <c r="G39" s="3">
        <f t="shared" si="3"/>
        <v>52.237279153238191</v>
      </c>
      <c r="H39" s="3">
        <f t="shared" si="3"/>
        <v>53.411297182025699</v>
      </c>
      <c r="I39" s="3">
        <f t="shared" si="3"/>
        <v>54.560058650994868</v>
      </c>
      <c r="J39" s="3">
        <f t="shared" si="3"/>
        <v>55.685126679691891</v>
      </c>
      <c r="K39" s="3">
        <f t="shared" si="3"/>
        <v>56.787909511327037</v>
      </c>
      <c r="L39" s="3">
        <f t="shared" si="3"/>
        <v>57.86968118108134</v>
      </c>
      <c r="M39" s="3">
        <f t="shared" si="3"/>
        <v>58.931598767837052</v>
      </c>
      <c r="N39" s="3">
        <f t="shared" si="3"/>
        <v>59.974716895260684</v>
      </c>
      <c r="O39" s="31">
        <v>61</v>
      </c>
    </row>
    <row r="41" spans="2:20" x14ac:dyDescent="0.25">
      <c r="B41" s="2" t="s">
        <v>3</v>
      </c>
      <c r="C41" s="7">
        <v>360</v>
      </c>
      <c r="D41" s="7">
        <v>380</v>
      </c>
      <c r="E41" s="7">
        <v>400</v>
      </c>
      <c r="F41" s="7">
        <v>420</v>
      </c>
      <c r="G41" s="7">
        <v>440</v>
      </c>
      <c r="H41" s="7">
        <v>460</v>
      </c>
      <c r="I41" s="7">
        <v>480</v>
      </c>
      <c r="J41" s="7">
        <v>500</v>
      </c>
      <c r="K41" s="7">
        <v>520</v>
      </c>
      <c r="L41" s="7">
        <v>540</v>
      </c>
      <c r="M41" s="7">
        <v>560</v>
      </c>
      <c r="N41" s="7">
        <v>580</v>
      </c>
      <c r="O41" s="7">
        <v>600</v>
      </c>
    </row>
    <row r="42" spans="2:20" x14ac:dyDescent="0.25">
      <c r="B42" s="2" t="s">
        <v>25</v>
      </c>
      <c r="C42" s="7">
        <f t="shared" ref="C42:N42" si="4">C41*2.205</f>
        <v>793.80000000000007</v>
      </c>
      <c r="D42" s="7">
        <f t="shared" si="4"/>
        <v>837.9</v>
      </c>
      <c r="E42" s="7">
        <f t="shared" si="4"/>
        <v>882</v>
      </c>
      <c r="F42" s="7">
        <f t="shared" si="4"/>
        <v>926.1</v>
      </c>
      <c r="G42" s="7">
        <f t="shared" si="4"/>
        <v>970.2</v>
      </c>
      <c r="H42" s="7">
        <f t="shared" si="4"/>
        <v>1014.3000000000001</v>
      </c>
      <c r="I42" s="7">
        <f t="shared" si="4"/>
        <v>1058.4000000000001</v>
      </c>
      <c r="J42" s="7">
        <f t="shared" si="4"/>
        <v>1102.5</v>
      </c>
      <c r="K42" s="7">
        <f t="shared" si="4"/>
        <v>1146.6000000000001</v>
      </c>
      <c r="L42" s="7">
        <f t="shared" si="4"/>
        <v>1190.7</v>
      </c>
      <c r="M42" s="7">
        <f t="shared" si="4"/>
        <v>1234.8</v>
      </c>
      <c r="N42" s="7">
        <f t="shared" si="4"/>
        <v>1278.9000000000001</v>
      </c>
      <c r="O42" s="7">
        <f>O41*2.205</f>
        <v>1323</v>
      </c>
    </row>
    <row r="43" spans="2:20" x14ac:dyDescent="0.25">
      <c r="B43" s="2" t="s">
        <v>26</v>
      </c>
      <c r="C43" s="25">
        <f t="shared" ref="C43:N43" si="5">SQRT(C42/$O42)</f>
        <v>0.7745966692414834</v>
      </c>
      <c r="D43" s="25">
        <f t="shared" si="5"/>
        <v>0.79582242575422146</v>
      </c>
      <c r="E43" s="25">
        <f t="shared" si="5"/>
        <v>0.81649658092772603</v>
      </c>
      <c r="F43" s="25">
        <f t="shared" si="5"/>
        <v>0.83666002653407556</v>
      </c>
      <c r="G43" s="25">
        <f t="shared" si="5"/>
        <v>0.8563488385776753</v>
      </c>
      <c r="H43" s="25">
        <f t="shared" si="5"/>
        <v>0.87559503577091313</v>
      </c>
      <c r="I43" s="25">
        <f t="shared" si="5"/>
        <v>0.89442719099991586</v>
      </c>
      <c r="J43" s="25">
        <f t="shared" si="5"/>
        <v>0.9128709291752769</v>
      </c>
      <c r="K43" s="25">
        <f t="shared" si="5"/>
        <v>0.93094933625126286</v>
      </c>
      <c r="L43" s="25">
        <f t="shared" si="5"/>
        <v>0.94868329805051377</v>
      </c>
      <c r="M43" s="25">
        <f t="shared" si="5"/>
        <v>0.96609178307929588</v>
      </c>
      <c r="N43" s="25">
        <f t="shared" si="5"/>
        <v>0.98319208025017513</v>
      </c>
      <c r="O43" s="7">
        <f>SQRT(O42/$O42)</f>
        <v>1</v>
      </c>
    </row>
    <row r="46" spans="2:20" ht="15" customHeight="1" x14ac:dyDescent="0.25"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</row>
    <row r="47" spans="2:20" ht="15" customHeight="1" x14ac:dyDescent="0.25"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</row>
    <row r="48" spans="2:20" ht="15" customHeight="1" x14ac:dyDescent="0.25">
      <c r="B48" s="6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</row>
    <row r="49" spans="2:20" ht="15" customHeight="1" x14ac:dyDescent="0.25">
      <c r="B49" s="6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</row>
    <row r="50" spans="2:20" ht="15" customHeight="1" x14ac:dyDescent="0.25"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</row>
    <row r="51" spans="2:20" ht="15" customHeight="1" x14ac:dyDescent="0.25"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</row>
    <row r="52" spans="2:20" ht="15" customHeight="1" x14ac:dyDescent="0.25"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</row>
    <row r="53" spans="2:20" ht="15" customHeight="1" x14ac:dyDescent="0.25"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</row>
    <row r="54" spans="2:20" ht="15" customHeight="1" x14ac:dyDescent="0.25"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</row>
    <row r="55" spans="2:20" ht="15" customHeight="1" x14ac:dyDescent="0.25"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</row>
    <row r="56" spans="2:20" ht="15" customHeight="1" x14ac:dyDescent="0.25"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</row>
    <row r="57" spans="2:20" ht="15" customHeight="1" x14ac:dyDescent="0.25"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</row>
    <row r="58" spans="2:20" ht="15" customHeight="1" x14ac:dyDescent="0.25"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</row>
    <row r="59" spans="2:20" ht="15" customHeight="1" x14ac:dyDescent="0.25"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</row>
    <row r="60" spans="2:20" ht="15" customHeight="1" x14ac:dyDescent="0.25"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</row>
    <row r="61" spans="2:20" ht="15" customHeight="1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</row>
    <row r="62" spans="2:20" ht="15" customHeight="1" x14ac:dyDescent="0.25"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</row>
    <row r="63" spans="2:20" ht="15" customHeight="1" x14ac:dyDescent="0.25"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</row>
  </sheetData>
  <mergeCells count="6">
    <mergeCell ref="B3:O5"/>
    <mergeCell ref="C7:O7"/>
    <mergeCell ref="B7:B8"/>
    <mergeCell ref="B23:O25"/>
    <mergeCell ref="B27:B28"/>
    <mergeCell ref="C27:O27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074CE-5A82-477D-ABD7-7063634FBD07}">
  <dimension ref="B2:R63"/>
  <sheetViews>
    <sheetView zoomScale="101" workbookViewId="0">
      <selection activeCell="L9" sqref="L9"/>
    </sheetView>
  </sheetViews>
  <sheetFormatPr baseColWidth="10" defaultColWidth="11.42578125" defaultRowHeight="15" x14ac:dyDescent="0.25"/>
  <cols>
    <col min="2" max="2" width="12.42578125" bestFit="1" customWidth="1"/>
    <col min="3" max="3" width="9.85546875" bestFit="1" customWidth="1"/>
    <col min="8" max="8" width="11.42578125" customWidth="1"/>
    <col min="9" max="9" width="12.42578125" bestFit="1" customWidth="1"/>
    <col min="10" max="10" width="12.5703125" bestFit="1" customWidth="1"/>
  </cols>
  <sheetData>
    <row r="2" spans="2:18" ht="15" customHeight="1" x14ac:dyDescent="0.25">
      <c r="B2" s="140" t="s">
        <v>29</v>
      </c>
      <c r="C2" s="140"/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  <c r="O2" s="140"/>
    </row>
    <row r="3" spans="2:18" ht="15" customHeight="1" x14ac:dyDescent="0.25"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R3" s="5"/>
    </row>
    <row r="4" spans="2:18" ht="15" customHeight="1" x14ac:dyDescent="0.25"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R4" s="5"/>
    </row>
    <row r="5" spans="2:18" x14ac:dyDescent="0.25">
      <c r="C5" s="28"/>
      <c r="D5" s="28"/>
      <c r="E5" s="28"/>
      <c r="F5" s="28"/>
      <c r="G5" s="28"/>
      <c r="H5" s="28"/>
      <c r="I5" s="28"/>
      <c r="J5" s="28"/>
      <c r="K5" s="28"/>
      <c r="L5" s="28"/>
      <c r="R5" s="5"/>
    </row>
    <row r="6" spans="2:18" x14ac:dyDescent="0.25">
      <c r="B6" s="124" t="s">
        <v>30</v>
      </c>
      <c r="C6" s="124" t="s">
        <v>31</v>
      </c>
      <c r="D6" s="124"/>
      <c r="E6" s="124"/>
      <c r="F6" s="124"/>
      <c r="G6" s="124"/>
      <c r="H6" s="124" t="s">
        <v>32</v>
      </c>
      <c r="I6" s="124"/>
      <c r="J6" s="124"/>
      <c r="K6" s="124"/>
      <c r="L6" s="124"/>
      <c r="M6" s="124"/>
      <c r="N6" s="124"/>
      <c r="O6" s="124"/>
      <c r="R6" s="5"/>
    </row>
    <row r="7" spans="2:18" x14ac:dyDescent="0.25">
      <c r="B7" s="124"/>
      <c r="C7" s="79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5"/>
      <c r="R7" s="5"/>
    </row>
    <row r="8" spans="2:18" x14ac:dyDescent="0.25">
      <c r="B8" s="2">
        <v>1</v>
      </c>
      <c r="C8" s="31">
        <v>0</v>
      </c>
      <c r="D8" s="31">
        <v>25</v>
      </c>
      <c r="E8" s="32">
        <v>250</v>
      </c>
      <c r="F8" s="32">
        <v>5</v>
      </c>
      <c r="G8" s="32">
        <v>240</v>
      </c>
      <c r="H8" s="78" cm="1">
        <f t="array" ref="H8">_xlfn.IFS(AND($D$25=55%,MROUND(C8,2000)=0),$C$36,AND($D$25=55%,MROUND(C8,2000)=2000),$C$37,AND($D$25=55%,MROUND(C8,2000)=4000),$C$38,AND($D$25=55%,MROUND(C8,2000)=6000),$C$39,AND($D$25=55%,MROUND(C8,2000)=8000),$C$40,AND($D$25=55%,MROUND(C8,2000)=10000),$C$41,AND($D$25=65%,MROUND(C8,2000)=0),$D$36,AND($D$25=65%,MROUND(C8,2000)=2000),$D$37,AND($D$25=65%,MROUND(C8,2000)=4000),$D$38,AND($D$25=65%,MROUND(C8,2000)=6000),$D$39,AND($D$25=65%,MROUND(C8,2000)=8000),$D$40,AND($D$25=65%,MROUND(C8,2000)=10000),$D$41,AND($D$25=75%,MROUND(C8,2000)=0),$E$36,AND($D$25=75%,MROUND(C8,2000)=2000),$E$37,AND($D$25=75%,MROUND(C8,2000)=4000),$E$38,AND($D$25=75%,MROUND(C8,2000)=6000),$E$39,AND($D$25=75%,MROUND(C8,2000)=8000),$E$40,AND($D$25=75%,MROUND(C8,2000)=10000),$E$41)</f>
        <v>80</v>
      </c>
      <c r="I8" s="3">
        <f t="shared" ref="I8:I22" si="0">(60/H8)*D8</f>
        <v>18.75</v>
      </c>
      <c r="J8" s="29">
        <f t="shared" ref="J8:J22" si="1">(60/H8)*F8</f>
        <v>3.75</v>
      </c>
      <c r="K8" s="30">
        <f t="shared" ref="K8:K22" si="2">J8*SIN(RADIANS(ABS(E8-G8)))</f>
        <v>0.65118066625098869</v>
      </c>
      <c r="L8" s="29">
        <f>F8*COS(RADIANS(ABS(E8-G8)))</f>
        <v>4.9240387650610398</v>
      </c>
      <c r="M8" s="3">
        <f t="shared" ref="M8:M22" si="3">H8+L8</f>
        <v>84.924038765061042</v>
      </c>
      <c r="N8" s="82">
        <f t="shared" ref="N8:N22" si="4">E8-K8</f>
        <v>249.34881933374902</v>
      </c>
      <c r="O8" s="82">
        <f t="shared" ref="O8:O22" si="5">60/M8*D8</f>
        <v>17.662843428227546</v>
      </c>
      <c r="P8" s="5"/>
      <c r="R8" s="5"/>
    </row>
    <row r="9" spans="2:18" x14ac:dyDescent="0.25">
      <c r="B9" s="2">
        <v>2</v>
      </c>
      <c r="C9" s="31">
        <v>2000</v>
      </c>
      <c r="D9" s="31">
        <v>25</v>
      </c>
      <c r="E9" s="32">
        <v>250</v>
      </c>
      <c r="F9" s="32">
        <v>5</v>
      </c>
      <c r="G9" s="32">
        <v>200</v>
      </c>
      <c r="H9" s="78" cm="1">
        <f t="array" ref="H9">_xlfn.IFS(AND($D$25=55%,MROUND(C9,2000)=0),$C$36,AND($D$25=55%,MROUND(C9,2000)=2000),$C$37,AND($D$25=55%,MROUND(C9,2000)=4000),$C$38,AND($D$25=55%,MROUND(C9,2000)=6000),$C$39,AND($D$25=55%,MROUND(C9,2000)=8000),$C$40,AND($D$25=55%,MROUND(C9,2000)=10000),$C$41,AND($D$25=65%,MROUND(C9,2000)=0),$D$36,AND($D$25=65%,MROUND(C9,2000)=2000),$D$37,AND($D$25=65%,MROUND(C9,2000)=4000),$D$38,AND($D$25=65%,MROUND(C9,2000)=6000),$D$39,AND($D$25=65%,MROUND(C9,2000)=8000),$D$40,AND($D$25=65%,MROUND(C9,2000)=10000),$D$41,AND($D$25=75%,MROUND(C9,2000)=0),$E$36,AND($D$25=75%,MROUND(C9,2000)=2000),$E$37,AND($D$25=75%,MROUND(C9,2000)=4000),$E$38,AND($D$25=75%,MROUND(C9,2000)=6000),$E$39,AND($D$25=75%,MROUND(C9,2000)=8000),$E$40,AND($D$25=75%,MROUND(C9,2000)=10000),$E$41)</f>
        <v>76</v>
      </c>
      <c r="I9" s="3">
        <f t="shared" si="0"/>
        <v>19.736842105263158</v>
      </c>
      <c r="J9" s="29">
        <f t="shared" si="1"/>
        <v>3.9473684210526319</v>
      </c>
      <c r="K9" s="30">
        <f t="shared" si="2"/>
        <v>3.0238596438907028</v>
      </c>
      <c r="L9" s="29">
        <f t="shared" ref="L9:L22" si="6">F9*COS(RADIANS(ABS(E9-G9)))</f>
        <v>3.2139380484326967</v>
      </c>
      <c r="M9" s="3">
        <f t="shared" si="3"/>
        <v>79.213938048432695</v>
      </c>
      <c r="N9" s="82">
        <f t="shared" si="4"/>
        <v>246.97614035610928</v>
      </c>
      <c r="O9" s="82">
        <f t="shared" si="5"/>
        <v>18.936061467905756</v>
      </c>
      <c r="P9" s="5"/>
      <c r="R9" s="5"/>
    </row>
    <row r="10" spans="2:18" x14ac:dyDescent="0.25">
      <c r="B10" s="2">
        <v>3</v>
      </c>
      <c r="C10" s="31">
        <v>0</v>
      </c>
      <c r="D10" s="31">
        <v>25</v>
      </c>
      <c r="E10" s="32">
        <v>250</v>
      </c>
      <c r="F10" s="32">
        <v>5</v>
      </c>
      <c r="G10" s="32">
        <v>200</v>
      </c>
      <c r="H10" s="78" cm="1">
        <f t="array" ref="H10">_xlfn.IFS(AND($D$25=55%,MROUND(C10,2000)=0),$C$36,AND($D$25=55%,MROUND(C10,2000)=2000),$C$37,AND($D$25=55%,MROUND(C10,2000)=4000),$C$38,AND($D$25=55%,MROUND(C10,2000)=6000),$C$39,AND($D$25=55%,MROUND(C10,2000)=8000),$C$40,AND($D$25=55%,MROUND(C10,2000)=10000),$C$41,AND($D$25=65%,MROUND(C10,2000)=0),$D$36,AND($D$25=65%,MROUND(C10,2000)=2000),$D$37,AND($D$25=65%,MROUND(C10,2000)=4000),$D$38,AND($D$25=65%,MROUND(C10,2000)=6000),$D$39,AND($D$25=65%,MROUND(C10,2000)=8000),$D$40,AND($D$25=65%,MROUND(C10,2000)=10000),$D$41,AND($D$25=75%,MROUND(C10,2000)=0),$E$36,AND($D$25=75%,MROUND(C10,2000)=2000),$E$37,AND($D$25=75%,MROUND(C10,2000)=4000),$E$38,AND($D$25=75%,MROUND(C10,2000)=6000),$E$39,AND($D$25=75%,MROUND(C10,2000)=8000),$E$40,AND($D$25=75%,MROUND(C10,2000)=10000),$E$41)</f>
        <v>80</v>
      </c>
      <c r="I10" s="3">
        <f t="shared" si="0"/>
        <v>18.75</v>
      </c>
      <c r="J10" s="29">
        <f t="shared" si="1"/>
        <v>3.75</v>
      </c>
      <c r="K10" s="30">
        <f t="shared" si="2"/>
        <v>2.8726666616961674</v>
      </c>
      <c r="L10" s="29">
        <f t="shared" si="6"/>
        <v>3.2139380484326967</v>
      </c>
      <c r="M10" s="3">
        <f t="shared" si="3"/>
        <v>83.213938048432695</v>
      </c>
      <c r="N10" s="82">
        <f t="shared" si="4"/>
        <v>247.12733333830383</v>
      </c>
      <c r="O10" s="82">
        <f t="shared" si="5"/>
        <v>18.025826384120418</v>
      </c>
      <c r="P10" s="5"/>
      <c r="R10" s="5"/>
    </row>
    <row r="11" spans="2:18" x14ac:dyDescent="0.25">
      <c r="B11" s="2">
        <v>4</v>
      </c>
      <c r="C11" s="31">
        <v>0</v>
      </c>
      <c r="D11" s="31">
        <v>25</v>
      </c>
      <c r="E11" s="32">
        <v>250</v>
      </c>
      <c r="F11" s="32">
        <v>5</v>
      </c>
      <c r="G11" s="32">
        <v>200</v>
      </c>
      <c r="H11" s="78" cm="1">
        <f t="array" ref="H11">_xlfn.IFS(AND($D$25=55%,MROUND(C11,2000)=0),$C$36,AND($D$25=55%,MROUND(C11,2000)=2000),$C$37,AND($D$25=55%,MROUND(C11,2000)=4000),$C$38,AND($D$25=55%,MROUND(C11,2000)=6000),$C$39,AND($D$25=55%,MROUND(C11,2000)=8000),$C$40,AND($D$25=55%,MROUND(C11,2000)=10000),$C$41,AND($D$25=65%,MROUND(C11,2000)=0),$D$36,AND($D$25=65%,MROUND(C11,2000)=2000),$D$37,AND($D$25=65%,MROUND(C11,2000)=4000),$D$38,AND($D$25=65%,MROUND(C11,2000)=6000),$D$39,AND($D$25=65%,MROUND(C11,2000)=8000),$D$40,AND($D$25=65%,MROUND(C11,2000)=10000),$D$41,AND($D$25=75%,MROUND(C11,2000)=0),$E$36,AND($D$25=75%,MROUND(C11,2000)=2000),$E$37,AND($D$25=75%,MROUND(C11,2000)=4000),$E$38,AND($D$25=75%,MROUND(C11,2000)=6000),$E$39,AND($D$25=75%,MROUND(C11,2000)=8000),$E$40,AND($D$25=75%,MROUND(C11,2000)=10000),$E$41)</f>
        <v>80</v>
      </c>
      <c r="I11" s="3">
        <f t="shared" si="0"/>
        <v>18.75</v>
      </c>
      <c r="J11" s="29">
        <f t="shared" si="1"/>
        <v>3.75</v>
      </c>
      <c r="K11" s="30">
        <f t="shared" si="2"/>
        <v>2.8726666616961674</v>
      </c>
      <c r="L11" s="29">
        <f t="shared" si="6"/>
        <v>3.2139380484326967</v>
      </c>
      <c r="M11" s="3">
        <f t="shared" si="3"/>
        <v>83.213938048432695</v>
      </c>
      <c r="N11" s="82">
        <f t="shared" si="4"/>
        <v>247.12733333830383</v>
      </c>
      <c r="O11" s="82">
        <f t="shared" si="5"/>
        <v>18.025826384120418</v>
      </c>
      <c r="P11" s="5"/>
      <c r="R11" s="5"/>
    </row>
    <row r="12" spans="2:18" x14ac:dyDescent="0.25">
      <c r="B12" s="2">
        <v>5</v>
      </c>
      <c r="C12" s="31">
        <v>0</v>
      </c>
      <c r="D12" s="31">
        <v>25</v>
      </c>
      <c r="E12" s="32">
        <v>250</v>
      </c>
      <c r="F12" s="32">
        <v>15</v>
      </c>
      <c r="G12" s="32">
        <v>320</v>
      </c>
      <c r="H12" s="78" cm="1">
        <f t="array" ref="H12">_xlfn.IFS(AND($D$25=55%,MROUND(C12,2000)=0),$C$36,AND($D$25=55%,MROUND(C12,2000)=2000),$C$37,AND($D$25=55%,MROUND(C12,2000)=4000),$C$38,AND($D$25=55%,MROUND(C12,2000)=6000),$C$39,AND($D$25=55%,MROUND(C12,2000)=8000),$C$40,AND($D$25=55%,MROUND(C12,2000)=10000),$C$41,AND($D$25=65%,MROUND(C12,2000)=0),$D$36,AND($D$25=65%,MROUND(C12,2000)=2000),$D$37,AND($D$25=65%,MROUND(C12,2000)=4000),$D$38,AND($D$25=65%,MROUND(C12,2000)=6000),$D$39,AND($D$25=65%,MROUND(C12,2000)=8000),$D$40,AND($D$25=65%,MROUND(C12,2000)=10000),$D$41,AND($D$25=75%,MROUND(C12,2000)=0),$E$36,AND($D$25=75%,MROUND(C12,2000)=2000),$E$37,AND($D$25=75%,MROUND(C12,2000)=4000),$E$38,AND($D$25=75%,MROUND(C12,2000)=6000),$E$39,AND($D$25=75%,MROUND(C12,2000)=8000),$E$40,AND($D$25=75%,MROUND(C12,2000)=10000),$E$41)</f>
        <v>80</v>
      </c>
      <c r="I12" s="3">
        <f t="shared" si="0"/>
        <v>18.75</v>
      </c>
      <c r="J12" s="29">
        <f t="shared" si="1"/>
        <v>11.25</v>
      </c>
      <c r="K12" s="30">
        <f t="shared" si="2"/>
        <v>10.571541983841469</v>
      </c>
      <c r="L12" s="29">
        <f t="shared" si="6"/>
        <v>5.1303021498850327</v>
      </c>
      <c r="M12" s="3">
        <f t="shared" si="3"/>
        <v>85.13030214988504</v>
      </c>
      <c r="N12" s="82">
        <f t="shared" si="4"/>
        <v>239.42845801615854</v>
      </c>
      <c r="O12" s="82">
        <f t="shared" si="5"/>
        <v>17.620047880941598</v>
      </c>
      <c r="P12" s="5"/>
      <c r="R12" s="5"/>
    </row>
    <row r="13" spans="2:18" x14ac:dyDescent="0.25">
      <c r="B13" s="2">
        <v>6</v>
      </c>
      <c r="C13" s="31">
        <v>0</v>
      </c>
      <c r="D13" s="31">
        <v>25</v>
      </c>
      <c r="E13" s="32">
        <v>250</v>
      </c>
      <c r="F13" s="32">
        <v>5</v>
      </c>
      <c r="G13" s="32">
        <v>200</v>
      </c>
      <c r="H13" s="78" cm="1">
        <f t="array" ref="H13">_xlfn.IFS(AND($D$25=55%,MROUND(C13,2000)=0),$C$36,AND($D$25=55%,MROUND(C13,2000)=2000),$C$37,AND($D$25=55%,MROUND(C13,2000)=4000),$C$38,AND($D$25=55%,MROUND(C13,2000)=6000),$C$39,AND($D$25=55%,MROUND(C13,2000)=8000),$C$40,AND($D$25=55%,MROUND(C13,2000)=10000),$C$41,AND($D$25=65%,MROUND(C13,2000)=0),$D$36,AND($D$25=65%,MROUND(C13,2000)=2000),$D$37,AND($D$25=65%,MROUND(C13,2000)=4000),$D$38,AND($D$25=65%,MROUND(C13,2000)=6000),$D$39,AND($D$25=65%,MROUND(C13,2000)=8000),$D$40,AND($D$25=65%,MROUND(C13,2000)=10000),$D$41,AND($D$25=75%,MROUND(C13,2000)=0),$E$36,AND($D$25=75%,MROUND(C13,2000)=2000),$E$37,AND($D$25=75%,MROUND(C13,2000)=4000),$E$38,AND($D$25=75%,MROUND(C13,2000)=6000),$E$39,AND($D$25=75%,MROUND(C13,2000)=8000),$E$40,AND($D$25=75%,MROUND(C13,2000)=10000),$E$41)</f>
        <v>80</v>
      </c>
      <c r="I13" s="3">
        <f t="shared" si="0"/>
        <v>18.75</v>
      </c>
      <c r="J13" s="29">
        <f t="shared" si="1"/>
        <v>3.75</v>
      </c>
      <c r="K13" s="30">
        <f t="shared" si="2"/>
        <v>2.8726666616961674</v>
      </c>
      <c r="L13" s="29">
        <f t="shared" si="6"/>
        <v>3.2139380484326967</v>
      </c>
      <c r="M13" s="3">
        <f t="shared" si="3"/>
        <v>83.213938048432695</v>
      </c>
      <c r="N13" s="82">
        <f t="shared" si="4"/>
        <v>247.12733333830383</v>
      </c>
      <c r="O13" s="82">
        <f t="shared" si="5"/>
        <v>18.025826384120418</v>
      </c>
      <c r="P13" s="5"/>
      <c r="R13" s="5"/>
    </row>
    <row r="14" spans="2:18" x14ac:dyDescent="0.25">
      <c r="B14" s="2">
        <v>7</v>
      </c>
      <c r="C14" s="31">
        <v>0</v>
      </c>
      <c r="D14" s="31">
        <v>25</v>
      </c>
      <c r="E14" s="32">
        <v>250</v>
      </c>
      <c r="F14" s="32">
        <v>5</v>
      </c>
      <c r="G14" s="32">
        <v>200</v>
      </c>
      <c r="H14" s="78" cm="1">
        <f t="array" ref="H14">_xlfn.IFS(AND($D$25=55%,MROUND(C14,2000)=0),$C$36,AND($D$25=55%,MROUND(C14,2000)=2000),$C$37,AND($D$25=55%,MROUND(C14,2000)=4000),$C$38,AND($D$25=55%,MROUND(C14,2000)=6000),$C$39,AND($D$25=55%,MROUND(C14,2000)=8000),$C$40,AND($D$25=55%,MROUND(C14,2000)=10000),$C$41,AND($D$25=65%,MROUND(C14,2000)=0),$D$36,AND($D$25=65%,MROUND(C14,2000)=2000),$D$37,AND($D$25=65%,MROUND(C14,2000)=4000),$D$38,AND($D$25=65%,MROUND(C14,2000)=6000),$D$39,AND($D$25=65%,MROUND(C14,2000)=8000),$D$40,AND($D$25=65%,MROUND(C14,2000)=10000),$D$41,AND($D$25=75%,MROUND(C14,2000)=0),$E$36,AND($D$25=75%,MROUND(C14,2000)=2000),$E$37,AND($D$25=75%,MROUND(C14,2000)=4000),$E$38,AND($D$25=75%,MROUND(C14,2000)=6000),$E$39,AND($D$25=75%,MROUND(C14,2000)=8000),$E$40,AND($D$25=75%,MROUND(C14,2000)=10000),$E$41)</f>
        <v>80</v>
      </c>
      <c r="I14" s="3">
        <f t="shared" si="0"/>
        <v>18.75</v>
      </c>
      <c r="J14" s="29">
        <f t="shared" si="1"/>
        <v>3.75</v>
      </c>
      <c r="K14" s="30">
        <f t="shared" si="2"/>
        <v>2.8726666616961674</v>
      </c>
      <c r="L14" s="29">
        <f t="shared" si="6"/>
        <v>3.2139380484326967</v>
      </c>
      <c r="M14" s="3">
        <f t="shared" si="3"/>
        <v>83.213938048432695</v>
      </c>
      <c r="N14" s="82">
        <f t="shared" si="4"/>
        <v>247.12733333830383</v>
      </c>
      <c r="O14" s="82">
        <f t="shared" si="5"/>
        <v>18.025826384120418</v>
      </c>
      <c r="P14" s="5"/>
      <c r="R14" s="5"/>
    </row>
    <row r="15" spans="2:18" x14ac:dyDescent="0.25">
      <c r="B15" s="2">
        <v>8</v>
      </c>
      <c r="C15" s="31">
        <v>0</v>
      </c>
      <c r="D15" s="31">
        <v>25</v>
      </c>
      <c r="E15" s="32">
        <v>250</v>
      </c>
      <c r="F15" s="32">
        <v>5</v>
      </c>
      <c r="G15" s="32">
        <v>200</v>
      </c>
      <c r="H15" s="78" cm="1">
        <f t="array" ref="H15">_xlfn.IFS(AND($D$25=55%,MROUND(C15,2000)=0),$C$36,AND($D$25=55%,MROUND(C15,2000)=2000),$C$37,AND($D$25=55%,MROUND(C15,2000)=4000),$C$38,AND($D$25=55%,MROUND(C15,2000)=6000),$C$39,AND($D$25=55%,MROUND(C15,2000)=8000),$C$40,AND($D$25=55%,MROUND(C15,2000)=10000),$C$41,AND($D$25=65%,MROUND(C15,2000)=0),$D$36,AND($D$25=65%,MROUND(C15,2000)=2000),$D$37,AND($D$25=65%,MROUND(C15,2000)=4000),$D$38,AND($D$25=65%,MROUND(C15,2000)=6000),$D$39,AND($D$25=65%,MROUND(C15,2000)=8000),$D$40,AND($D$25=65%,MROUND(C15,2000)=10000),$D$41,AND($D$25=75%,MROUND(C15,2000)=0),$E$36,AND($D$25=75%,MROUND(C15,2000)=2000),$E$37,AND($D$25=75%,MROUND(C15,2000)=4000),$E$38,AND($D$25=75%,MROUND(C15,2000)=6000),$E$39,AND($D$25=75%,MROUND(C15,2000)=8000),$E$40,AND($D$25=75%,MROUND(C15,2000)=10000),$E$41)</f>
        <v>80</v>
      </c>
      <c r="I15" s="3">
        <f t="shared" si="0"/>
        <v>18.75</v>
      </c>
      <c r="J15" s="29">
        <f t="shared" si="1"/>
        <v>3.75</v>
      </c>
      <c r="K15" s="30">
        <f t="shared" si="2"/>
        <v>2.8726666616961674</v>
      </c>
      <c r="L15" s="29">
        <f t="shared" si="6"/>
        <v>3.2139380484326967</v>
      </c>
      <c r="M15" s="3">
        <f t="shared" si="3"/>
        <v>83.213938048432695</v>
      </c>
      <c r="N15" s="82">
        <f t="shared" si="4"/>
        <v>247.12733333830383</v>
      </c>
      <c r="O15" s="82">
        <f t="shared" si="5"/>
        <v>18.025826384120418</v>
      </c>
      <c r="P15" s="5"/>
      <c r="R15" s="5"/>
    </row>
    <row r="16" spans="2:18" x14ac:dyDescent="0.25">
      <c r="B16" s="2">
        <v>9</v>
      </c>
      <c r="C16" s="31">
        <v>0</v>
      </c>
      <c r="D16" s="31">
        <v>25</v>
      </c>
      <c r="E16" s="32">
        <v>250</v>
      </c>
      <c r="F16" s="32">
        <v>5</v>
      </c>
      <c r="G16" s="32">
        <v>200</v>
      </c>
      <c r="H16" s="78" cm="1">
        <f t="array" ref="H16">_xlfn.IFS(AND($D$25=55%,MROUND(C16,2000)=0),$C$36,AND($D$25=55%,MROUND(C16,2000)=2000),$C$37,AND($D$25=55%,MROUND(C16,2000)=4000),$C$38,AND($D$25=55%,MROUND(C16,2000)=6000),$C$39,AND($D$25=55%,MROUND(C16,2000)=8000),$C$40,AND($D$25=55%,MROUND(C16,2000)=10000),$C$41,AND($D$25=65%,MROUND(C16,2000)=0),$D$36,AND($D$25=65%,MROUND(C16,2000)=2000),$D$37,AND($D$25=65%,MROUND(C16,2000)=4000),$D$38,AND($D$25=65%,MROUND(C16,2000)=6000),$D$39,AND($D$25=65%,MROUND(C16,2000)=8000),$D$40,AND($D$25=65%,MROUND(C16,2000)=10000),$D$41,AND($D$25=75%,MROUND(C16,2000)=0),$E$36,AND($D$25=75%,MROUND(C16,2000)=2000),$E$37,AND($D$25=75%,MROUND(C16,2000)=4000),$E$38,AND($D$25=75%,MROUND(C16,2000)=6000),$E$39,AND($D$25=75%,MROUND(C16,2000)=8000),$E$40,AND($D$25=75%,MROUND(C16,2000)=10000),$E$41)</f>
        <v>80</v>
      </c>
      <c r="I16" s="3">
        <f t="shared" si="0"/>
        <v>18.75</v>
      </c>
      <c r="J16" s="29">
        <f t="shared" si="1"/>
        <v>3.75</v>
      </c>
      <c r="K16" s="30">
        <f t="shared" si="2"/>
        <v>2.8726666616961674</v>
      </c>
      <c r="L16" s="29">
        <f t="shared" si="6"/>
        <v>3.2139380484326967</v>
      </c>
      <c r="M16" s="3">
        <f t="shared" si="3"/>
        <v>83.213938048432695</v>
      </c>
      <c r="N16" s="82">
        <f t="shared" si="4"/>
        <v>247.12733333830383</v>
      </c>
      <c r="O16" s="82">
        <f t="shared" si="5"/>
        <v>18.025826384120418</v>
      </c>
      <c r="P16" s="5"/>
      <c r="R16" s="5"/>
    </row>
    <row r="17" spans="2:18" x14ac:dyDescent="0.25">
      <c r="B17" s="2">
        <v>10</v>
      </c>
      <c r="C17" s="31">
        <v>0</v>
      </c>
      <c r="D17" s="31">
        <v>25</v>
      </c>
      <c r="E17" s="32">
        <v>250</v>
      </c>
      <c r="F17" s="32">
        <v>5</v>
      </c>
      <c r="G17" s="32">
        <v>200</v>
      </c>
      <c r="H17" s="78" cm="1">
        <f t="array" ref="H17">_xlfn.IFS(AND($D$25=55%,MROUND(C17,2000)=0),$C$36,AND($D$25=55%,MROUND(C17,2000)=2000),$C$37,AND($D$25=55%,MROUND(C17,2000)=4000),$C$38,AND($D$25=55%,MROUND(C17,2000)=6000),$C$39,AND($D$25=55%,MROUND(C17,2000)=8000),$C$40,AND($D$25=55%,MROUND(C17,2000)=10000),$C$41,AND($D$25=65%,MROUND(C17,2000)=0),$D$36,AND($D$25=65%,MROUND(C17,2000)=2000),$D$37,AND($D$25=65%,MROUND(C17,2000)=4000),$D$38,AND($D$25=65%,MROUND(C17,2000)=6000),$D$39,AND($D$25=65%,MROUND(C17,2000)=8000),$D$40,AND($D$25=65%,MROUND(C17,2000)=10000),$D$41,AND($D$25=75%,MROUND(C17,2000)=0),$E$36,AND($D$25=75%,MROUND(C17,2000)=2000),$E$37,AND($D$25=75%,MROUND(C17,2000)=4000),$E$38,AND($D$25=75%,MROUND(C17,2000)=6000),$E$39,AND($D$25=75%,MROUND(C17,2000)=8000),$E$40,AND($D$25=75%,MROUND(C17,2000)=10000),$E$41)</f>
        <v>80</v>
      </c>
      <c r="I17" s="3">
        <f t="shared" si="0"/>
        <v>18.75</v>
      </c>
      <c r="J17" s="29">
        <f t="shared" si="1"/>
        <v>3.75</v>
      </c>
      <c r="K17" s="30">
        <f t="shared" si="2"/>
        <v>2.8726666616961674</v>
      </c>
      <c r="L17" s="29">
        <f t="shared" si="6"/>
        <v>3.2139380484326967</v>
      </c>
      <c r="M17" s="3">
        <f t="shared" si="3"/>
        <v>83.213938048432695</v>
      </c>
      <c r="N17" s="82">
        <f t="shared" si="4"/>
        <v>247.12733333830383</v>
      </c>
      <c r="O17" s="82">
        <f t="shared" si="5"/>
        <v>18.025826384120418</v>
      </c>
      <c r="P17" s="5"/>
      <c r="R17" s="5"/>
    </row>
    <row r="18" spans="2:18" x14ac:dyDescent="0.25">
      <c r="B18" s="2">
        <v>11</v>
      </c>
      <c r="C18" s="31">
        <v>0</v>
      </c>
      <c r="D18" s="31">
        <v>25</v>
      </c>
      <c r="E18" s="32">
        <v>250</v>
      </c>
      <c r="F18" s="32">
        <v>5</v>
      </c>
      <c r="G18" s="32">
        <v>200</v>
      </c>
      <c r="H18" s="78" cm="1">
        <f t="array" ref="H18">_xlfn.IFS(AND($D$25=55%,MROUND(C18,2000)=0),$C$36,AND($D$25=55%,MROUND(C18,2000)=2000),$C$37,AND($D$25=55%,MROUND(C18,2000)=4000),$C$38,AND($D$25=55%,MROUND(C18,2000)=6000),$C$39,AND($D$25=55%,MROUND(C18,2000)=8000),$C$40,AND($D$25=55%,MROUND(C18,2000)=10000),$C$41,AND($D$25=65%,MROUND(C18,2000)=0),$D$36,AND($D$25=65%,MROUND(C18,2000)=2000),$D$37,AND($D$25=65%,MROUND(C18,2000)=4000),$D$38,AND($D$25=65%,MROUND(C18,2000)=6000),$D$39,AND($D$25=65%,MROUND(C18,2000)=8000),$D$40,AND($D$25=65%,MROUND(C18,2000)=10000),$D$41,AND($D$25=75%,MROUND(C18,2000)=0),$E$36,AND($D$25=75%,MROUND(C18,2000)=2000),$E$37,AND($D$25=75%,MROUND(C18,2000)=4000),$E$38,AND($D$25=75%,MROUND(C18,2000)=6000),$E$39,AND($D$25=75%,MROUND(C18,2000)=8000),$E$40,AND($D$25=75%,MROUND(C18,2000)=10000),$E$41)</f>
        <v>80</v>
      </c>
      <c r="I18" s="3">
        <f t="shared" si="0"/>
        <v>18.75</v>
      </c>
      <c r="J18" s="29">
        <f t="shared" si="1"/>
        <v>3.75</v>
      </c>
      <c r="K18" s="30">
        <f t="shared" si="2"/>
        <v>2.8726666616961674</v>
      </c>
      <c r="L18" s="29">
        <f t="shared" si="6"/>
        <v>3.2139380484326967</v>
      </c>
      <c r="M18" s="3">
        <f t="shared" si="3"/>
        <v>83.213938048432695</v>
      </c>
      <c r="N18" s="82">
        <f t="shared" si="4"/>
        <v>247.12733333830383</v>
      </c>
      <c r="O18" s="82">
        <f t="shared" si="5"/>
        <v>18.025826384120418</v>
      </c>
      <c r="P18" s="5"/>
      <c r="R18" s="5"/>
    </row>
    <row r="19" spans="2:18" x14ac:dyDescent="0.25">
      <c r="B19" s="2">
        <v>12</v>
      </c>
      <c r="C19" s="31">
        <v>0</v>
      </c>
      <c r="D19" s="31">
        <v>25</v>
      </c>
      <c r="E19" s="32">
        <v>250</v>
      </c>
      <c r="F19" s="32">
        <v>5</v>
      </c>
      <c r="G19" s="32">
        <v>200</v>
      </c>
      <c r="H19" s="78" cm="1">
        <f t="array" ref="H19">_xlfn.IFS(AND($D$25=55%,MROUND(C19,2000)=0),$C$36,AND($D$25=55%,MROUND(C19,2000)=2000),$C$37,AND($D$25=55%,MROUND(C19,2000)=4000),$C$38,AND($D$25=55%,MROUND(C19,2000)=6000),$C$39,AND($D$25=55%,MROUND(C19,2000)=8000),$C$40,AND($D$25=55%,MROUND(C19,2000)=10000),$C$41,AND($D$25=65%,MROUND(C19,2000)=0),$D$36,AND($D$25=65%,MROUND(C19,2000)=2000),$D$37,AND($D$25=65%,MROUND(C19,2000)=4000),$D$38,AND($D$25=65%,MROUND(C19,2000)=6000),$D$39,AND($D$25=65%,MROUND(C19,2000)=8000),$D$40,AND($D$25=65%,MROUND(C19,2000)=10000),$D$41,AND($D$25=75%,MROUND(C19,2000)=0),$E$36,AND($D$25=75%,MROUND(C19,2000)=2000),$E$37,AND($D$25=75%,MROUND(C19,2000)=4000),$E$38,AND($D$25=75%,MROUND(C19,2000)=6000),$E$39,AND($D$25=75%,MROUND(C19,2000)=8000),$E$40,AND($D$25=75%,MROUND(C19,2000)=10000),$E$41)</f>
        <v>80</v>
      </c>
      <c r="I19" s="3">
        <f t="shared" si="0"/>
        <v>18.75</v>
      </c>
      <c r="J19" s="29">
        <f t="shared" si="1"/>
        <v>3.75</v>
      </c>
      <c r="K19" s="30">
        <f t="shared" si="2"/>
        <v>2.8726666616961674</v>
      </c>
      <c r="L19" s="29">
        <f t="shared" si="6"/>
        <v>3.2139380484326967</v>
      </c>
      <c r="M19" s="3">
        <f t="shared" si="3"/>
        <v>83.213938048432695</v>
      </c>
      <c r="N19" s="82">
        <f t="shared" si="4"/>
        <v>247.12733333830383</v>
      </c>
      <c r="O19" s="82">
        <f t="shared" si="5"/>
        <v>18.025826384120418</v>
      </c>
      <c r="P19" s="5"/>
      <c r="R19" s="5"/>
    </row>
    <row r="20" spans="2:18" x14ac:dyDescent="0.25">
      <c r="B20" s="2">
        <v>13</v>
      </c>
      <c r="C20" s="31">
        <v>0</v>
      </c>
      <c r="D20" s="31">
        <v>25</v>
      </c>
      <c r="E20" s="32">
        <v>250</v>
      </c>
      <c r="F20" s="32">
        <v>5</v>
      </c>
      <c r="G20" s="32">
        <v>200</v>
      </c>
      <c r="H20" s="78" cm="1">
        <f t="array" ref="H20">_xlfn.IFS(AND($D$25=55%,MROUND(C20,2000)=0),$C$36,AND($D$25=55%,MROUND(C20,2000)=2000),$C$37,AND($D$25=55%,MROUND(C20,2000)=4000),$C$38,AND($D$25=55%,MROUND(C20,2000)=6000),$C$39,AND($D$25=55%,MROUND(C20,2000)=8000),$C$40,AND($D$25=55%,MROUND(C20,2000)=10000),$C$41,AND($D$25=65%,MROUND(C20,2000)=0),$D$36,AND($D$25=65%,MROUND(C20,2000)=2000),$D$37,AND($D$25=65%,MROUND(C20,2000)=4000),$D$38,AND($D$25=65%,MROUND(C20,2000)=6000),$D$39,AND($D$25=65%,MROUND(C20,2000)=8000),$D$40,AND($D$25=65%,MROUND(C20,2000)=10000),$D$41,AND($D$25=75%,MROUND(C20,2000)=0),$E$36,AND($D$25=75%,MROUND(C20,2000)=2000),$E$37,AND($D$25=75%,MROUND(C20,2000)=4000),$E$38,AND($D$25=75%,MROUND(C20,2000)=6000),$E$39,AND($D$25=75%,MROUND(C20,2000)=8000),$E$40,AND($D$25=75%,MROUND(C20,2000)=10000),$E$41)</f>
        <v>80</v>
      </c>
      <c r="I20" s="3">
        <f t="shared" si="0"/>
        <v>18.75</v>
      </c>
      <c r="J20" s="29">
        <f t="shared" si="1"/>
        <v>3.75</v>
      </c>
      <c r="K20" s="30">
        <f t="shared" si="2"/>
        <v>2.8726666616961674</v>
      </c>
      <c r="L20" s="29">
        <f t="shared" si="6"/>
        <v>3.2139380484326967</v>
      </c>
      <c r="M20" s="3">
        <f t="shared" si="3"/>
        <v>83.213938048432695</v>
      </c>
      <c r="N20" s="82">
        <f t="shared" si="4"/>
        <v>247.12733333830383</v>
      </c>
      <c r="O20" s="82">
        <f t="shared" si="5"/>
        <v>18.025826384120418</v>
      </c>
      <c r="P20" s="5"/>
      <c r="R20" s="5"/>
    </row>
    <row r="21" spans="2:18" x14ac:dyDescent="0.25">
      <c r="B21" s="2">
        <v>14</v>
      </c>
      <c r="C21" s="31">
        <v>0</v>
      </c>
      <c r="D21" s="31">
        <v>25</v>
      </c>
      <c r="E21" s="32">
        <v>250</v>
      </c>
      <c r="F21" s="32">
        <v>5</v>
      </c>
      <c r="G21" s="32">
        <v>200</v>
      </c>
      <c r="H21" s="78" cm="1">
        <f t="array" ref="H21">_xlfn.IFS(AND($D$25=55%,MROUND(C21,2000)=0),$C$36,AND($D$25=55%,MROUND(C21,2000)=2000),$C$37,AND($D$25=55%,MROUND(C21,2000)=4000),$C$38,AND($D$25=55%,MROUND(C21,2000)=6000),$C$39,AND($D$25=55%,MROUND(C21,2000)=8000),$C$40,AND($D$25=55%,MROUND(C21,2000)=10000),$C$41,AND($D$25=65%,MROUND(C21,2000)=0),$D$36,AND($D$25=65%,MROUND(C21,2000)=2000),$D$37,AND($D$25=65%,MROUND(C21,2000)=4000),$D$38,AND($D$25=65%,MROUND(C21,2000)=6000),$D$39,AND($D$25=65%,MROUND(C21,2000)=8000),$D$40,AND($D$25=65%,MROUND(C21,2000)=10000),$D$41,AND($D$25=75%,MROUND(C21,2000)=0),$E$36,AND($D$25=75%,MROUND(C21,2000)=2000),$E$37,AND($D$25=75%,MROUND(C21,2000)=4000),$E$38,AND($D$25=75%,MROUND(C21,2000)=6000),$E$39,AND($D$25=75%,MROUND(C21,2000)=8000),$E$40,AND($D$25=75%,MROUND(C21,2000)=10000),$E$41)</f>
        <v>80</v>
      </c>
      <c r="I21" s="3">
        <f t="shared" si="0"/>
        <v>18.75</v>
      </c>
      <c r="J21" s="29">
        <f t="shared" si="1"/>
        <v>3.75</v>
      </c>
      <c r="K21" s="30">
        <f t="shared" si="2"/>
        <v>2.8726666616961674</v>
      </c>
      <c r="L21" s="29">
        <f t="shared" si="6"/>
        <v>3.2139380484326967</v>
      </c>
      <c r="M21" s="3">
        <f t="shared" si="3"/>
        <v>83.213938048432695</v>
      </c>
      <c r="N21" s="82">
        <f t="shared" si="4"/>
        <v>247.12733333830383</v>
      </c>
      <c r="O21" s="82">
        <f t="shared" si="5"/>
        <v>18.025826384120418</v>
      </c>
      <c r="P21" s="5"/>
      <c r="R21" s="5"/>
    </row>
    <row r="22" spans="2:18" x14ac:dyDescent="0.25">
      <c r="B22" s="2">
        <v>15</v>
      </c>
      <c r="C22" s="31">
        <v>0</v>
      </c>
      <c r="D22" s="31">
        <v>25</v>
      </c>
      <c r="E22" s="32">
        <v>250</v>
      </c>
      <c r="F22" s="32">
        <v>5</v>
      </c>
      <c r="G22" s="32">
        <v>200</v>
      </c>
      <c r="H22" s="78" cm="1">
        <f t="array" ref="H22">_xlfn.IFS(AND($D$25=55%,MROUND(C22,2000)=0),$C$36,AND($D$25=55%,MROUND(C22,2000)=2000),$C$37,AND($D$25=55%,MROUND(C22,2000)=4000),$C$38,AND($D$25=55%,MROUND(C22,2000)=6000),$C$39,AND($D$25=55%,MROUND(C22,2000)=8000),$C$40,AND($D$25=55%,MROUND(C22,2000)=10000),$C$41,AND($D$25=65%,MROUND(C22,2000)=0),$D$36,AND($D$25=65%,MROUND(C22,2000)=2000),$D$37,AND($D$25=65%,MROUND(C22,2000)=4000),$D$38,AND($D$25=65%,MROUND(C22,2000)=6000),$D$39,AND($D$25=65%,MROUND(C22,2000)=8000),$D$40,AND($D$25=65%,MROUND(C22,2000)=10000),$D$41,AND($D$25=75%,MROUND(C22,2000)=0),$E$36,AND($D$25=75%,MROUND(C22,2000)=2000),$E$37,AND($D$25=75%,MROUND(C22,2000)=4000),$E$38,AND($D$25=75%,MROUND(C22,2000)=6000),$E$39,AND($D$25=75%,MROUND(C22,2000)=8000),$E$40,AND($D$25=75%,MROUND(C22,2000)=10000),$E$41)</f>
        <v>80</v>
      </c>
      <c r="I22" s="3">
        <f t="shared" si="0"/>
        <v>18.75</v>
      </c>
      <c r="J22" s="29">
        <f t="shared" si="1"/>
        <v>3.75</v>
      </c>
      <c r="K22" s="30">
        <f t="shared" si="2"/>
        <v>2.8726666616961674</v>
      </c>
      <c r="L22" s="29">
        <f t="shared" si="6"/>
        <v>3.2139380484326967</v>
      </c>
      <c r="M22" s="3">
        <f t="shared" si="3"/>
        <v>83.213938048432695</v>
      </c>
      <c r="N22" s="82">
        <f t="shared" si="4"/>
        <v>247.12733333830383</v>
      </c>
      <c r="O22" s="82">
        <f t="shared" si="5"/>
        <v>18.025826384120418</v>
      </c>
      <c r="P22" s="5"/>
      <c r="R22" s="5"/>
    </row>
    <row r="23" spans="2:18" x14ac:dyDescent="0.25">
      <c r="B23" s="2" t="s">
        <v>46</v>
      </c>
      <c r="C23" s="27"/>
      <c r="D23" s="82">
        <f>SUM(D8:D22)</f>
        <v>375</v>
      </c>
      <c r="E23" s="33"/>
      <c r="F23" s="33"/>
      <c r="G23" s="33"/>
      <c r="H23" s="27"/>
      <c r="I23" s="82">
        <f>SUM(I8:I22)</f>
        <v>282.23684210526312</v>
      </c>
      <c r="J23" s="33"/>
      <c r="K23" s="33"/>
      <c r="L23" s="33"/>
      <c r="M23" s="33"/>
      <c r="N23" s="73"/>
      <c r="O23" s="82">
        <f>SUM(O8:O22)</f>
        <v>270.52886938651994</v>
      </c>
      <c r="P23" s="5"/>
      <c r="Q23" s="5"/>
      <c r="R23" s="5"/>
    </row>
    <row r="24" spans="2:18" ht="15.75" thickBot="1" x14ac:dyDescent="0.3">
      <c r="P24" s="5"/>
      <c r="Q24" s="5"/>
      <c r="R24" s="5"/>
    </row>
    <row r="25" spans="2:18" x14ac:dyDescent="0.25">
      <c r="B25" s="145" t="s">
        <v>47</v>
      </c>
      <c r="C25" s="146"/>
      <c r="D25" s="149">
        <v>0.55000000000000004</v>
      </c>
      <c r="P25" s="5"/>
      <c r="Q25" s="5"/>
      <c r="R25" s="5"/>
    </row>
    <row r="26" spans="2:18" ht="15.75" thickBot="1" x14ac:dyDescent="0.3">
      <c r="B26" s="147"/>
      <c r="C26" s="148"/>
      <c r="D26" s="150"/>
      <c r="E26" s="5"/>
      <c r="F26" s="77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2:18" x14ac:dyDescent="0.25">
      <c r="C27" s="77"/>
    </row>
    <row r="29" spans="2:18" x14ac:dyDescent="0.25">
      <c r="B29" s="144" t="s">
        <v>48</v>
      </c>
      <c r="C29" s="144"/>
      <c r="D29" s="144"/>
      <c r="E29" s="144"/>
      <c r="F29" s="144"/>
      <c r="I29" s="132" t="s">
        <v>49</v>
      </c>
      <c r="J29" s="132"/>
      <c r="K29" s="132"/>
      <c r="L29" s="132"/>
      <c r="M29" s="132"/>
    </row>
    <row r="30" spans="2:18" x14ac:dyDescent="0.25">
      <c r="B30" s="144"/>
      <c r="C30" s="144"/>
      <c r="D30" s="144"/>
      <c r="E30" s="144"/>
      <c r="F30" s="144"/>
      <c r="I30" s="132"/>
      <c r="J30" s="132"/>
      <c r="K30" s="132"/>
      <c r="L30" s="132"/>
      <c r="M30" s="132"/>
    </row>
    <row r="31" spans="2:18" x14ac:dyDescent="0.25">
      <c r="B31" s="144"/>
      <c r="C31" s="144"/>
      <c r="D31" s="144"/>
      <c r="E31" s="144"/>
      <c r="F31" s="144"/>
      <c r="I31" s="132"/>
      <c r="J31" s="132"/>
      <c r="K31" s="132"/>
      <c r="L31" s="132"/>
      <c r="M31" s="132"/>
    </row>
    <row r="33" spans="2:13" x14ac:dyDescent="0.25">
      <c r="B33" s="124" t="s">
        <v>28</v>
      </c>
      <c r="C33" s="124" t="s">
        <v>47</v>
      </c>
      <c r="D33" s="124"/>
      <c r="E33" s="124"/>
      <c r="F33" s="80"/>
      <c r="I33" s="135" t="s">
        <v>50</v>
      </c>
      <c r="J33" s="135"/>
      <c r="K33" s="45">
        <f>AVERAGE(M8:M22)</f>
        <v>83.189035702971438</v>
      </c>
    </row>
    <row r="34" spans="2:13" x14ac:dyDescent="0.25">
      <c r="B34" s="124"/>
      <c r="C34" s="26">
        <v>0.55000000000000004</v>
      </c>
      <c r="D34" s="26">
        <v>0.65</v>
      </c>
      <c r="E34" s="26">
        <v>0.75</v>
      </c>
      <c r="F34" s="81"/>
      <c r="I34" s="135" t="s">
        <v>51</v>
      </c>
      <c r="J34" s="135"/>
      <c r="K34" s="45">
        <f>+D23</f>
        <v>375</v>
      </c>
    </row>
    <row r="35" spans="2:13" x14ac:dyDescent="0.25">
      <c r="B35" s="124"/>
      <c r="C35" s="2">
        <v>4300</v>
      </c>
      <c r="D35" s="2">
        <v>4800</v>
      </c>
      <c r="E35" s="2">
        <v>5000</v>
      </c>
      <c r="F35" s="15"/>
      <c r="I35" s="135" t="s">
        <v>52</v>
      </c>
      <c r="J35" s="135"/>
      <c r="K35" s="46">
        <f>O23/60</f>
        <v>4.5088144897753324</v>
      </c>
    </row>
    <row r="36" spans="2:13" x14ac:dyDescent="0.25">
      <c r="B36" s="2">
        <v>0</v>
      </c>
      <c r="C36" s="31">
        <v>80</v>
      </c>
      <c r="D36" s="31">
        <v>91</v>
      </c>
      <c r="E36" s="31">
        <v>96</v>
      </c>
      <c r="F36" s="5"/>
    </row>
    <row r="37" spans="2:13" x14ac:dyDescent="0.25">
      <c r="B37" s="2">
        <v>2000</v>
      </c>
      <c r="C37" s="31">
        <v>76</v>
      </c>
      <c r="D37" s="31">
        <v>87</v>
      </c>
      <c r="E37" s="31">
        <v>92</v>
      </c>
      <c r="F37" s="5"/>
    </row>
    <row r="38" spans="2:13" x14ac:dyDescent="0.25">
      <c r="B38" s="2">
        <v>4000</v>
      </c>
      <c r="C38" s="31">
        <v>73</v>
      </c>
      <c r="D38" s="31">
        <v>84</v>
      </c>
      <c r="E38" s="31">
        <v>89</v>
      </c>
      <c r="F38" s="5"/>
      <c r="I38" s="123" t="s">
        <v>53</v>
      </c>
      <c r="J38" s="123"/>
      <c r="K38" s="123"/>
      <c r="L38" s="123"/>
      <c r="M38" s="123"/>
    </row>
    <row r="39" spans="2:13" x14ac:dyDescent="0.25">
      <c r="B39" s="2">
        <v>6000</v>
      </c>
      <c r="C39" s="31">
        <v>69</v>
      </c>
      <c r="D39" s="31">
        <v>81</v>
      </c>
      <c r="E39" s="31">
        <v>85</v>
      </c>
      <c r="F39" s="5"/>
      <c r="I39" s="123"/>
      <c r="J39" s="123"/>
      <c r="K39" s="123"/>
      <c r="L39" s="123"/>
      <c r="M39" s="123"/>
    </row>
    <row r="40" spans="2:13" x14ac:dyDescent="0.25">
      <c r="B40" s="2">
        <v>8000</v>
      </c>
      <c r="C40" s="31">
        <v>65</v>
      </c>
      <c r="D40" s="31">
        <v>77</v>
      </c>
      <c r="E40" s="31">
        <v>82</v>
      </c>
      <c r="F40" s="5"/>
      <c r="I40" s="123"/>
      <c r="J40" s="123"/>
      <c r="K40" s="123"/>
      <c r="L40" s="123"/>
      <c r="M40" s="123"/>
    </row>
    <row r="41" spans="2:13" x14ac:dyDescent="0.25">
      <c r="B41" s="2">
        <v>10000</v>
      </c>
      <c r="C41" s="31">
        <v>61</v>
      </c>
      <c r="D41" s="31">
        <v>74</v>
      </c>
      <c r="E41" s="31">
        <v>78</v>
      </c>
      <c r="F41" s="5"/>
    </row>
    <row r="42" spans="2:13" x14ac:dyDescent="0.25">
      <c r="B42" s="15"/>
      <c r="C42" s="5"/>
      <c r="D42" s="5"/>
      <c r="E42" s="5"/>
      <c r="F42" s="5"/>
      <c r="I42" s="135" t="s">
        <v>54</v>
      </c>
      <c r="J42" s="135"/>
      <c r="K42" s="70">
        <v>17.399999999999999</v>
      </c>
    </row>
    <row r="44" spans="2:13" x14ac:dyDescent="0.25">
      <c r="B44" s="141" t="s">
        <v>55</v>
      </c>
      <c r="C44" s="129" t="s">
        <v>56</v>
      </c>
      <c r="D44" s="130"/>
      <c r="E44" s="130"/>
      <c r="F44" s="131"/>
      <c r="I44" s="136" t="s">
        <v>57</v>
      </c>
      <c r="J44" s="136"/>
      <c r="K44" s="43" t="s">
        <v>58</v>
      </c>
      <c r="L44" s="43" t="s">
        <v>59</v>
      </c>
    </row>
    <row r="45" spans="2:13" x14ac:dyDescent="0.25">
      <c r="B45" s="142"/>
      <c r="C45" s="137" t="s">
        <v>47</v>
      </c>
      <c r="D45" s="138"/>
      <c r="E45" s="138"/>
      <c r="F45" s="139"/>
      <c r="I45" s="136" t="s">
        <v>60</v>
      </c>
      <c r="J45" s="43" t="s">
        <v>61</v>
      </c>
      <c r="K45" s="68">
        <v>5</v>
      </c>
      <c r="L45" s="69">
        <f>K45/60*22.4</f>
        <v>1.8666666666666665</v>
      </c>
    </row>
    <row r="46" spans="2:13" x14ac:dyDescent="0.25">
      <c r="B46" s="142"/>
      <c r="C46" s="64">
        <v>0.55000000000000004</v>
      </c>
      <c r="D46" s="60">
        <v>0.65</v>
      </c>
      <c r="E46" s="60">
        <v>0.75</v>
      </c>
      <c r="F46" s="61" t="s">
        <v>62</v>
      </c>
      <c r="I46" s="136"/>
      <c r="J46" s="43" t="s">
        <v>57</v>
      </c>
      <c r="K46" s="45">
        <f>O23</f>
        <v>270.52886938651994</v>
      </c>
      <c r="L46" s="69">
        <f>K46/60*K42</f>
        <v>78.453372122090784</v>
      </c>
    </row>
    <row r="47" spans="2:13" x14ac:dyDescent="0.25">
      <c r="B47" s="142"/>
      <c r="C47" s="65" t="s">
        <v>63</v>
      </c>
      <c r="D47" s="43" t="s">
        <v>64</v>
      </c>
      <c r="E47" s="43" t="s">
        <v>65</v>
      </c>
      <c r="F47" s="61" t="s">
        <v>66</v>
      </c>
      <c r="I47" s="136"/>
      <c r="J47" s="43" t="s">
        <v>67</v>
      </c>
      <c r="K47" s="68">
        <v>5</v>
      </c>
      <c r="L47" s="69">
        <f>K47/60*16</f>
        <v>1.3333333333333333</v>
      </c>
    </row>
    <row r="48" spans="2:13" x14ac:dyDescent="0.25">
      <c r="B48" s="143"/>
      <c r="C48" s="66" t="s">
        <v>68</v>
      </c>
      <c r="D48" s="62" t="s">
        <v>69</v>
      </c>
      <c r="E48" s="62" t="s">
        <v>70</v>
      </c>
      <c r="F48" s="63" t="s">
        <v>71</v>
      </c>
      <c r="I48" s="136" t="s">
        <v>72</v>
      </c>
      <c r="J48" s="136"/>
      <c r="K48" s="67">
        <v>30</v>
      </c>
      <c r="L48" s="69">
        <f>K48/60*K42</f>
        <v>8.6999999999999993</v>
      </c>
    </row>
    <row r="49" spans="2:12" x14ac:dyDescent="0.25">
      <c r="B49" s="126">
        <v>118</v>
      </c>
      <c r="C49" s="55">
        <f>1393/1.852</f>
        <v>752.15982721382284</v>
      </c>
      <c r="D49" s="55">
        <f>1245/1.852</f>
        <v>672.24622030237583</v>
      </c>
      <c r="E49" s="55">
        <f>1180/1.852</f>
        <v>637.14902807775377</v>
      </c>
      <c r="F49" s="59">
        <f>1025/1.852</f>
        <v>553.45572354211663</v>
      </c>
      <c r="I49" s="136" t="s">
        <v>73</v>
      </c>
      <c r="J49" s="43" t="s">
        <v>57</v>
      </c>
      <c r="K49" s="68">
        <v>15</v>
      </c>
      <c r="L49" s="69">
        <f>K49/60*K42</f>
        <v>4.3499999999999996</v>
      </c>
    </row>
    <row r="50" spans="2:12" x14ac:dyDescent="0.25">
      <c r="B50" s="127"/>
      <c r="C50" s="44">
        <v>0.39583333333333331</v>
      </c>
      <c r="D50" s="44">
        <v>0.3125</v>
      </c>
      <c r="E50" s="44">
        <v>0.28333333333333333</v>
      </c>
      <c r="F50" s="49">
        <v>0.22083333333333333</v>
      </c>
      <c r="I50" s="136"/>
      <c r="J50" s="43" t="s">
        <v>67</v>
      </c>
      <c r="K50" s="68">
        <v>5</v>
      </c>
      <c r="L50" s="69">
        <f>K50/60*16</f>
        <v>1.3333333333333333</v>
      </c>
    </row>
    <row r="51" spans="2:12" x14ac:dyDescent="0.25">
      <c r="B51" s="134"/>
      <c r="C51" s="52">
        <v>9.5</v>
      </c>
      <c r="D51" s="52">
        <v>7.5</v>
      </c>
      <c r="E51" s="52">
        <v>6.8</v>
      </c>
      <c r="F51" s="56">
        <v>5.3</v>
      </c>
      <c r="I51" s="135" t="s">
        <v>74</v>
      </c>
      <c r="J51" s="135"/>
      <c r="K51" s="45">
        <f>SUM(K45:K50)</f>
        <v>330.52886938651994</v>
      </c>
      <c r="L51" s="45">
        <f>SUM(L45:L50)</f>
        <v>96.036705455424098</v>
      </c>
    </row>
    <row r="52" spans="2:12" x14ac:dyDescent="0.25">
      <c r="B52" s="133">
        <v>100</v>
      </c>
      <c r="C52" s="47">
        <f>1180/1.852</f>
        <v>637.14902807775377</v>
      </c>
      <c r="D52" s="47">
        <f>1055/1.852</f>
        <v>569.65442764578836</v>
      </c>
      <c r="E52" s="47">
        <f>1000/1.852</f>
        <v>539.9568034557235</v>
      </c>
      <c r="F52" s="48">
        <f>869/1.852</f>
        <v>469.22246220302372</v>
      </c>
      <c r="K52" s="5"/>
      <c r="L52" s="5"/>
    </row>
    <row r="53" spans="2:12" x14ac:dyDescent="0.25">
      <c r="B53" s="127"/>
      <c r="C53" s="44">
        <v>0.33750000000000002</v>
      </c>
      <c r="D53" s="44">
        <v>0.26250000000000001</v>
      </c>
      <c r="E53" s="44">
        <v>0.23749999999999999</v>
      </c>
      <c r="F53" s="49">
        <v>0.1875</v>
      </c>
      <c r="K53" s="5"/>
      <c r="L53" s="5"/>
    </row>
    <row r="54" spans="2:12" x14ac:dyDescent="0.25">
      <c r="B54" s="134"/>
      <c r="C54" s="57">
        <v>8.1</v>
      </c>
      <c r="D54" s="57">
        <v>6.3</v>
      </c>
      <c r="E54" s="57">
        <v>5.7</v>
      </c>
      <c r="F54" s="58">
        <v>4.5</v>
      </c>
      <c r="K54" s="5"/>
      <c r="L54" s="5"/>
    </row>
    <row r="55" spans="2:12" x14ac:dyDescent="0.25">
      <c r="B55" s="133">
        <v>80</v>
      </c>
      <c r="C55" s="47">
        <f>944/1.852</f>
        <v>509.71922246220299</v>
      </c>
      <c r="D55" s="47">
        <f>844/1.852</f>
        <v>455.72354211663065</v>
      </c>
      <c r="E55" s="47">
        <f>800/1.852</f>
        <v>431.96544276457882</v>
      </c>
      <c r="F55" s="48">
        <f>695/1.852</f>
        <v>375.26997840172783</v>
      </c>
    </row>
    <row r="56" spans="2:12" x14ac:dyDescent="0.25">
      <c r="B56" s="127"/>
      <c r="C56" s="44">
        <v>0.26666666666666666</v>
      </c>
      <c r="D56" s="44">
        <v>0.21249999999999999</v>
      </c>
      <c r="E56" s="44">
        <v>0.19166666666666668</v>
      </c>
      <c r="F56" s="49">
        <v>0.15</v>
      </c>
    </row>
    <row r="57" spans="2:12" x14ac:dyDescent="0.25">
      <c r="B57" s="134"/>
      <c r="C57" s="52">
        <v>6.4</v>
      </c>
      <c r="D57" s="52">
        <v>5.0999999999999996</v>
      </c>
      <c r="E57" s="52">
        <v>4.5999999999999996</v>
      </c>
      <c r="F57" s="56">
        <v>3.6</v>
      </c>
    </row>
    <row r="58" spans="2:12" x14ac:dyDescent="0.25">
      <c r="B58" s="133">
        <v>60</v>
      </c>
      <c r="C58" s="47">
        <f>708/1.852</f>
        <v>382.28941684665227</v>
      </c>
      <c r="D58" s="47">
        <f>633/1.852</f>
        <v>341.792656587473</v>
      </c>
      <c r="E58" s="47">
        <f>600/1.852</f>
        <v>323.97408207343409</v>
      </c>
      <c r="F58" s="48">
        <f>521/1.852</f>
        <v>281.31749460043193</v>
      </c>
    </row>
    <row r="59" spans="2:12" x14ac:dyDescent="0.25">
      <c r="B59" s="127"/>
      <c r="C59" s="44">
        <v>0.2</v>
      </c>
      <c r="D59" s="44">
        <v>0.15833333333333333</v>
      </c>
      <c r="E59" s="44">
        <v>0.14166666666666666</v>
      </c>
      <c r="F59" s="49">
        <v>0.1125</v>
      </c>
    </row>
    <row r="60" spans="2:12" x14ac:dyDescent="0.25">
      <c r="B60" s="128"/>
      <c r="C60" s="53">
        <v>4.8</v>
      </c>
      <c r="D60" s="53">
        <v>3.8</v>
      </c>
      <c r="E60" s="53">
        <v>3.4</v>
      </c>
      <c r="F60" s="54">
        <v>2.7</v>
      </c>
    </row>
    <row r="61" spans="2:12" x14ac:dyDescent="0.25">
      <c r="B61" s="126">
        <v>40</v>
      </c>
      <c r="C61" s="55">
        <f>472/1.852</f>
        <v>254.8596112311015</v>
      </c>
      <c r="D61" s="55">
        <f>422/1.852</f>
        <v>227.86177105831533</v>
      </c>
      <c r="E61" s="55">
        <f>400/1.852</f>
        <v>215.98272138228941</v>
      </c>
      <c r="F61" s="59">
        <f>348/1.852</f>
        <v>187.9049676025918</v>
      </c>
    </row>
    <row r="62" spans="2:12" x14ac:dyDescent="0.25">
      <c r="B62" s="127"/>
      <c r="C62" s="44">
        <v>0.13333333333333333</v>
      </c>
      <c r="D62" s="44">
        <v>0.10416666666666667</v>
      </c>
      <c r="E62" s="44">
        <v>9.583333333333334E-2</v>
      </c>
      <c r="F62" s="49">
        <v>7.4999999999999997E-2</v>
      </c>
    </row>
    <row r="63" spans="2:12" x14ac:dyDescent="0.25">
      <c r="B63" s="128"/>
      <c r="C63" s="50">
        <v>3.2</v>
      </c>
      <c r="D63" s="50">
        <v>2.5</v>
      </c>
      <c r="E63" s="50">
        <v>2.2999999999999998</v>
      </c>
      <c r="F63" s="51">
        <v>1.8</v>
      </c>
    </row>
  </sheetData>
  <mergeCells count="28">
    <mergeCell ref="B2:O4"/>
    <mergeCell ref="B44:B48"/>
    <mergeCell ref="I42:J42"/>
    <mergeCell ref="I45:I47"/>
    <mergeCell ref="C6:G6"/>
    <mergeCell ref="H6:O6"/>
    <mergeCell ref="B6:B7"/>
    <mergeCell ref="I35:J35"/>
    <mergeCell ref="B29:F31"/>
    <mergeCell ref="B33:B35"/>
    <mergeCell ref="B25:C26"/>
    <mergeCell ref="D25:D26"/>
    <mergeCell ref="B61:B63"/>
    <mergeCell ref="C44:F44"/>
    <mergeCell ref="I29:M31"/>
    <mergeCell ref="B52:B54"/>
    <mergeCell ref="I33:J33"/>
    <mergeCell ref="I34:J34"/>
    <mergeCell ref="B58:B60"/>
    <mergeCell ref="I51:J51"/>
    <mergeCell ref="C33:E33"/>
    <mergeCell ref="B49:B51"/>
    <mergeCell ref="B55:B57"/>
    <mergeCell ref="I38:M40"/>
    <mergeCell ref="I44:J44"/>
    <mergeCell ref="I49:I50"/>
    <mergeCell ref="I48:J48"/>
    <mergeCell ref="C45:F45"/>
  </mergeCells>
  <conditionalFormatting sqref="C49:F49 C52:F52 C55:F55 C58:F58 C61:F61">
    <cfRule type="expression" dxfId="5" priority="5">
      <formula>$K$34&gt;C49</formula>
    </cfRule>
    <cfRule type="expression" dxfId="4" priority="6">
      <formula>$K$34&lt;C49</formula>
    </cfRule>
  </conditionalFormatting>
  <conditionalFormatting sqref="C51:F51 C54:F54 C57:F57 C60:F60 C63:F63">
    <cfRule type="expression" dxfId="3" priority="1">
      <formula>C51&gt;$K$35</formula>
    </cfRule>
    <cfRule type="expression" dxfId="2" priority="2">
      <formula>C51&lt;$K$35</formula>
    </cfRule>
  </conditionalFormatting>
  <dataValidations count="1">
    <dataValidation type="list" allowBlank="1" showInputMessage="1" showErrorMessage="1" sqref="C27:C28" xr:uid="{822004AB-83DC-489D-9278-2C5400DA4F40}">
      <formula1>$C$25:$C$28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37FD8F-B2B2-4529-9E54-C86FF53B6153}">
          <x14:formula1>
            <xm:f>Options!$C$3:$C$5</xm:f>
          </x14:formula1>
          <xm:sqref>D25:D26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F3E8D-7D29-4CFD-9063-FA8ACD6785AA}">
  <dimension ref="A1:V35"/>
  <sheetViews>
    <sheetView tabSelected="1" zoomScale="94" workbookViewId="0">
      <selection activeCell="C12" sqref="C12"/>
    </sheetView>
  </sheetViews>
  <sheetFormatPr baseColWidth="10" defaultColWidth="9.140625" defaultRowHeight="15" x14ac:dyDescent="0.25"/>
  <cols>
    <col min="2" max="2" width="30" customWidth="1"/>
    <col min="5" max="5" width="27.140625" bestFit="1" customWidth="1"/>
    <col min="7" max="7" width="8.28515625" customWidth="1"/>
    <col min="8" max="8" width="5.42578125" customWidth="1"/>
    <col min="9" max="9" width="1.140625" customWidth="1"/>
    <col min="10" max="10" width="9.140625" customWidth="1"/>
    <col min="11" max="11" width="1.85546875" customWidth="1"/>
    <col min="13" max="13" width="1.42578125" customWidth="1"/>
    <col min="14" max="14" width="1.85546875" customWidth="1"/>
    <col min="15" max="15" width="2" customWidth="1"/>
    <col min="16" max="16" width="5.5703125" style="103" customWidth="1"/>
    <col min="17" max="17" width="4.42578125" customWidth="1"/>
    <col min="18" max="18" width="1.5703125" customWidth="1"/>
    <col min="19" max="19" width="2.140625" customWidth="1"/>
    <col min="20" max="20" width="6.28515625" customWidth="1"/>
  </cols>
  <sheetData>
    <row r="1" spans="1:22" x14ac:dyDescent="0.25">
      <c r="A1" s="104"/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6"/>
    </row>
    <row r="2" spans="1:22" ht="15" customHeight="1" x14ac:dyDescent="0.25">
      <c r="A2" s="107"/>
      <c r="B2" s="108"/>
      <c r="C2" s="108"/>
      <c r="D2" s="108"/>
      <c r="E2" s="108"/>
      <c r="F2" s="108"/>
      <c r="G2" s="108"/>
      <c r="H2" s="151" t="str">
        <f>"TODA : "&amp;C7&amp;" m"</f>
        <v>TODA : 700 m</v>
      </c>
      <c r="I2" s="108"/>
      <c r="J2" s="152">
        <f>IF(J29-18&gt;0,J29-18,J29+18)</f>
        <v>30</v>
      </c>
      <c r="K2" s="152"/>
      <c r="L2" s="152"/>
      <c r="M2" s="165">
        <v>31</v>
      </c>
      <c r="N2" s="119"/>
      <c r="O2" s="119"/>
      <c r="P2" s="166" t="s">
        <v>75</v>
      </c>
      <c r="Q2" s="108"/>
      <c r="R2" s="108"/>
      <c r="S2" s="108"/>
      <c r="T2" s="153" t="s">
        <v>76</v>
      </c>
      <c r="U2" s="108"/>
      <c r="V2" s="109"/>
    </row>
    <row r="3" spans="1:22" ht="15" customHeight="1" x14ac:dyDescent="0.25">
      <c r="A3" s="107"/>
      <c r="B3" s="96" t="s">
        <v>28</v>
      </c>
      <c r="C3" s="98">
        <v>371</v>
      </c>
      <c r="D3" s="108"/>
      <c r="E3" s="108"/>
      <c r="F3" s="108"/>
      <c r="G3" s="108"/>
      <c r="H3" s="151"/>
      <c r="I3" s="108"/>
      <c r="J3" s="152"/>
      <c r="K3" s="152"/>
      <c r="L3" s="152"/>
      <c r="M3" s="165">
        <v>30</v>
      </c>
      <c r="N3" s="119"/>
      <c r="O3" s="119"/>
      <c r="P3" s="166"/>
      <c r="Q3" s="108"/>
      <c r="R3" s="108"/>
      <c r="S3" s="108"/>
      <c r="T3" s="153"/>
      <c r="U3" s="108"/>
      <c r="V3" s="109"/>
    </row>
    <row r="4" spans="1:22" ht="15" customHeight="1" x14ac:dyDescent="0.25">
      <c r="A4" s="107"/>
      <c r="B4" s="97" t="s">
        <v>77</v>
      </c>
      <c r="C4" s="99">
        <v>10</v>
      </c>
      <c r="D4" s="108"/>
      <c r="E4" s="108"/>
      <c r="F4" s="108"/>
      <c r="G4" s="108"/>
      <c r="H4" s="151"/>
      <c r="I4" s="108"/>
      <c r="J4" s="152"/>
      <c r="K4" s="152"/>
      <c r="L4" s="152"/>
      <c r="M4" s="165">
        <v>29</v>
      </c>
      <c r="N4" s="119"/>
      <c r="O4" s="119"/>
      <c r="P4" s="166"/>
      <c r="Q4" s="108"/>
      <c r="R4" s="108"/>
      <c r="S4" s="108"/>
      <c r="T4" s="153"/>
      <c r="U4" s="108"/>
      <c r="V4" s="109"/>
    </row>
    <row r="5" spans="1:22" ht="15" customHeight="1" x14ac:dyDescent="0.25">
      <c r="A5" s="107"/>
      <c r="B5" s="97" t="s">
        <v>78</v>
      </c>
      <c r="C5" s="99" t="s">
        <v>79</v>
      </c>
      <c r="D5" s="108"/>
      <c r="E5" s="108"/>
      <c r="F5" s="108"/>
      <c r="G5" s="108"/>
      <c r="H5" s="151"/>
      <c r="I5" s="108"/>
      <c r="J5" s="152"/>
      <c r="K5" s="152"/>
      <c r="L5" s="152"/>
      <c r="M5" s="165">
        <v>28</v>
      </c>
      <c r="N5" s="119"/>
      <c r="O5" s="119"/>
      <c r="P5" s="166"/>
      <c r="Q5" s="108"/>
      <c r="R5" s="108"/>
      <c r="S5" s="108"/>
      <c r="T5" s="153"/>
      <c r="U5" s="108"/>
      <c r="V5" s="109"/>
    </row>
    <row r="6" spans="1:22" ht="15" customHeight="1" x14ac:dyDescent="0.25">
      <c r="A6" s="107"/>
      <c r="B6" s="97" t="s">
        <v>80</v>
      </c>
      <c r="C6" s="99">
        <v>119</v>
      </c>
      <c r="D6" s="108"/>
      <c r="E6" s="110"/>
      <c r="F6" s="108"/>
      <c r="G6" s="108"/>
      <c r="H6" s="151"/>
      <c r="I6" s="108"/>
      <c r="J6" s="111"/>
      <c r="K6" s="156"/>
      <c r="L6" s="111"/>
      <c r="M6" s="165">
        <v>27</v>
      </c>
      <c r="N6" s="119"/>
      <c r="O6" s="119"/>
      <c r="P6" s="166"/>
      <c r="Q6" s="108"/>
      <c r="R6" s="108"/>
      <c r="S6" s="108"/>
      <c r="T6" s="153"/>
      <c r="U6" s="108"/>
      <c r="V6" s="109"/>
    </row>
    <row r="7" spans="1:22" ht="15" customHeight="1" x14ac:dyDescent="0.25">
      <c r="A7" s="107"/>
      <c r="B7" s="97" t="s">
        <v>81</v>
      </c>
      <c r="C7" s="99">
        <v>700</v>
      </c>
      <c r="D7" s="108"/>
      <c r="E7" s="108"/>
      <c r="F7" s="108"/>
      <c r="G7" s="108"/>
      <c r="H7" s="151"/>
      <c r="I7" s="108"/>
      <c r="J7" s="111"/>
      <c r="K7" s="156"/>
      <c r="L7" s="111"/>
      <c r="M7" s="165">
        <v>26</v>
      </c>
      <c r="N7" s="119"/>
      <c r="O7" s="119"/>
      <c r="P7" s="166"/>
      <c r="Q7" s="108"/>
      <c r="R7" s="108"/>
      <c r="S7" s="108"/>
      <c r="T7" s="153"/>
      <c r="U7" s="108"/>
      <c r="V7" s="109"/>
    </row>
    <row r="8" spans="1:22" ht="15" customHeight="1" x14ac:dyDescent="0.25">
      <c r="A8" s="107"/>
      <c r="B8" s="97" t="s">
        <v>82</v>
      </c>
      <c r="C8" s="99">
        <v>7</v>
      </c>
      <c r="D8" s="108"/>
      <c r="E8" s="108"/>
      <c r="F8" s="108"/>
      <c r="G8" s="108"/>
      <c r="H8" s="151"/>
      <c r="I8" s="108"/>
      <c r="J8" s="111"/>
      <c r="K8" s="156"/>
      <c r="L8" s="111"/>
      <c r="M8" s="165">
        <v>25</v>
      </c>
      <c r="N8" s="119"/>
      <c r="O8" s="119"/>
      <c r="P8" s="166"/>
      <c r="Q8" s="108"/>
      <c r="R8" s="108"/>
      <c r="S8" s="108"/>
      <c r="T8" s="153"/>
      <c r="U8" s="108"/>
      <c r="V8" s="109"/>
    </row>
    <row r="9" spans="1:22" ht="15" customHeight="1" x14ac:dyDescent="0.25">
      <c r="A9" s="107"/>
      <c r="B9" s="97" t="s">
        <v>83</v>
      </c>
      <c r="C9" s="99">
        <v>180</v>
      </c>
      <c r="D9" s="108"/>
      <c r="E9" s="108"/>
      <c r="F9" s="108"/>
      <c r="G9" s="108"/>
      <c r="H9" s="151"/>
      <c r="I9" s="108"/>
      <c r="J9" s="111"/>
      <c r="K9" s="111"/>
      <c r="L9" s="111"/>
      <c r="M9" s="165">
        <v>24</v>
      </c>
      <c r="N9" s="119"/>
      <c r="O9" s="119"/>
      <c r="P9" s="166"/>
      <c r="Q9" s="108"/>
      <c r="R9" s="108"/>
      <c r="S9" s="108"/>
      <c r="T9" s="153"/>
      <c r="U9" s="108"/>
      <c r="V9" s="109"/>
    </row>
    <row r="10" spans="1:22" ht="15" customHeight="1" x14ac:dyDescent="0.25">
      <c r="A10" s="107"/>
      <c r="B10" s="97" t="s">
        <v>84</v>
      </c>
      <c r="C10" s="100" t="s">
        <v>85</v>
      </c>
      <c r="D10" s="108"/>
      <c r="E10" s="108"/>
      <c r="F10" s="108"/>
      <c r="G10" s="108"/>
      <c r="H10" s="151"/>
      <c r="I10" s="108"/>
      <c r="J10" s="111"/>
      <c r="K10" s="154"/>
      <c r="L10" s="111"/>
      <c r="M10" s="165">
        <v>23</v>
      </c>
      <c r="N10" s="119"/>
      <c r="O10" s="119"/>
      <c r="P10" s="166"/>
      <c r="Q10" s="108"/>
      <c r="R10" s="108"/>
      <c r="S10" s="108"/>
      <c r="T10" s="153"/>
      <c r="U10" s="108"/>
      <c r="V10" s="109"/>
    </row>
    <row r="11" spans="1:22" ht="15" customHeight="1" x14ac:dyDescent="0.25">
      <c r="A11" s="107"/>
      <c r="B11" s="97" t="s">
        <v>86</v>
      </c>
      <c r="C11" s="99">
        <v>0</v>
      </c>
      <c r="D11" s="108"/>
      <c r="E11" s="108"/>
      <c r="F11" s="108"/>
      <c r="G11" s="108"/>
      <c r="H11" s="151"/>
      <c r="I11" s="108"/>
      <c r="J11" s="111"/>
      <c r="K11" s="154"/>
      <c r="L11" s="111"/>
      <c r="M11" s="165">
        <v>22</v>
      </c>
      <c r="N11" s="119"/>
      <c r="O11" s="119"/>
      <c r="P11" s="166"/>
      <c r="Q11" s="108"/>
      <c r="R11" s="108"/>
      <c r="S11" s="108"/>
      <c r="T11" s="153"/>
      <c r="U11" s="108"/>
      <c r="V11" s="109"/>
    </row>
    <row r="12" spans="1:22" ht="15" customHeight="1" x14ac:dyDescent="0.25">
      <c r="A12" s="107"/>
      <c r="B12" s="101" t="s">
        <v>87</v>
      </c>
      <c r="C12" s="102">
        <f>C8*COS(RADIANS(ABS(C6-C9)))</f>
        <v>3.3936673417243597</v>
      </c>
      <c r="D12" s="108"/>
      <c r="E12" s="108"/>
      <c r="F12" s="108"/>
      <c r="G12" s="108"/>
      <c r="H12" s="151"/>
      <c r="I12" s="108"/>
      <c r="J12" s="111"/>
      <c r="K12" s="154"/>
      <c r="L12" s="111"/>
      <c r="M12" s="165">
        <v>21</v>
      </c>
      <c r="N12" s="119"/>
      <c r="O12" s="119"/>
      <c r="P12" s="166"/>
      <c r="Q12" s="108"/>
      <c r="R12" s="108"/>
      <c r="S12" s="108"/>
      <c r="T12" s="153"/>
      <c r="U12" s="108"/>
      <c r="V12" s="109"/>
    </row>
    <row r="13" spans="1:22" ht="15" customHeight="1" thickBot="1" x14ac:dyDescent="0.3">
      <c r="A13" s="107"/>
      <c r="B13" s="108"/>
      <c r="C13" s="108"/>
      <c r="D13" s="108"/>
      <c r="E13" s="108"/>
      <c r="F13" s="108"/>
      <c r="G13" s="108"/>
      <c r="H13" s="151"/>
      <c r="I13" s="108"/>
      <c r="J13" s="111"/>
      <c r="K13" s="111"/>
      <c r="L13" s="111"/>
      <c r="M13" s="165">
        <v>20</v>
      </c>
      <c r="N13" s="119"/>
      <c r="O13" s="119"/>
      <c r="P13" s="166"/>
      <c r="Q13" s="108"/>
      <c r="R13" s="108"/>
      <c r="S13" s="108"/>
      <c r="T13" s="153"/>
      <c r="U13" s="108"/>
      <c r="V13" s="109"/>
    </row>
    <row r="14" spans="1:22" ht="15" customHeight="1" x14ac:dyDescent="0.25">
      <c r="A14" s="107"/>
      <c r="B14" s="96" t="s">
        <v>88</v>
      </c>
      <c r="C14" s="169" cm="1">
        <f t="array" ref="C14">_xlfn.IFS(AND(C10="Dur",MROUND(C3,2000)=0,C4=0),Matrices!E5,AND(C10="Dur",MROUND(C3,2000)=2000,C4=0),Matrices!E6,AND(C10="Dur",MROUND(C3,2000)=4000,C4=0),Matrices!E7,AND(C10="Dur",MROUND(C3,2000)=6000,C4=0),Matrices!E8,AND(C10="Dur",MROUND(C3,2000)=8000,C4=0),Matrices!E9,AND(C10="Dur",MROUND(C3,2000)=10000,C4=0),Matrices!E10,AND(C10="Herbe",MROUND(C3,2000)=0,C4=0),Matrices!G5,AND(C10="Herbe",MROUND(C3,2000)=2000,C4=0),Matrices!G6,AND(C10="Herbe",MROUND(C3,2000)=4000,C4=0),Matrices!G7,AND(C10="Herbe", MROUND(C3,2000)=6000,C4=0),Matrices!G8,AND(C10="Herbe", MROUND(C3,2000)=8000,C4=0),Matrices!G9,AND(C10="Herbe", MROUND(C3,2000)=10000,C4=0),Matrices!G10,AND(C10="Dur",MROUND(C3,2000)=0,C4=10),Matrices!E15,AND(C10="Dur",MROUND(C3,2000)=2000,C4=10),Matrices!E16,AND(C10="Dur",MROUND(C3,2000)=4000,C4=10),Matrices!E17,AND(C10="Dur",MROUND(C3,2000)=6000,C4=10),Matrices!E18,AND(C10="Dur",MROUND(C3,2000)=8000,C4=10),Matrices!E19,AND(C10="Dur",MROUND(C3,2000)=10000,C4=10),Matrices!E20,AND(C10="Herbe",MROUND(C3,2000)=0,C4=10),Matrices!G15,AND(C10="Herbe",MROUND(C3,2000)=2000,C4=10),Matrices!G16,AND(C10="Herbe",MROUND(C3,2000)=4000,C4=10),Matrices!G17,AND(C10="Herbe", MROUND(C3,2000)=6000,C4=10),Matrices!G18,AND(C10="Herbe", MROUND(C3,2000)=8000,C4=10),Matrices!G19,AND(C10="Herbe", MROUND(C3,2000)=10000,C4=10),Matrices!G20,AND(C10="Dur",MROUND(C3,2000)=0,C4=20),Matrices!E25,AND(C10="Dur",MROUND(C3,2000)=2000,C4=20),Matrices!E26,AND(C10="Dur",MROUND(C3,2000)=4000,C4=20),Matrices!E27,AND(C10="Dur",MROUND(C3,2000)=6000,C4=20),Matrices!E28,AND(C10="Dur",MROUND(C3,2000)=8000,C4=20),Matrices!E29,AND(C10="Dur",MROUND(C3,2000)=10000,C4=20),Matrices!E30,AND(C10="Herbe",MROUND(C3,2000)=0,C4=20),Matrices!G25,AND(C10="Herbe",MROUND(C3,2000)=2000,C4=20),Matrices!G26,AND(C10="Herbe",MROUND(C3,2000)=4000,C4=20),Matrices!G27,AND(C10="Herbe", MROUND(C3,2000)=6000,C4=20),Matrices!G28,AND(C10="Herbe", MROUND(C3,2000)=8000,C4=20),Matrices!G29,AND(C10="Herbe", MROUND(C3,2000)=10000,C4=20),Matrices!G30,AND(C10="Dur",MROUND(C3,2000)=0,C4=-10),Matrices!E35,AND(C10="Dur",MROUND(C3,2000)=2000,C4=-10),Matrices!E36,AND(C10="Dur",MROUND(C3,2000)=4000,C4=-10),Matrices!E37,AND(C10="Dur",MROUND(C3,2000)=6000,C4=-10),Matrices!E38,AND(C10="Dur",MROUND(C3,2000)=8000,C4=-10),Matrices!E39,AND(C10="Dur",MROUND(C3,2000)=10000,C4=-10),Matrices!E40,AND(C10="Herbe",MROUND(C3,2000)=0,C4=-10),Matrices!G35,AND(C10="Herbe",MROUND(C3,2000)=2000,C4=-10),Matrices!G36,AND(C10="Herbe",MROUND(C3,2000)=4000,C4=-10),Matrices!G37,AND(C10="Herbe", MROUND(C3,2000)=6000,C4=-10),Matrices!G38,AND(C10="Herbe", MROUND(C3,2000)=8000,C4=-10),Matrices!G39,AND(C10="Herbe", MROUND(C3,2000)=10000,C4=-10),Matrices!G40,AND(C10="Dur",MROUND(C3,2000)=0,C4=-20),Matrices!E45,AND(C10="Dur",MROUND(C3,2000)=2000,C4=-20),Matrices!E46,AND(C10="Dur",MROUND(C3,2000)=4000,C4=-20),Matrices!E47,AND(C10="Dur",MROUND(C3,2000)=6000,C4=-20),Matrices!E48,AND(C10="Dur",MROUND(C3,2000)=8000,C4=-20),Matrices!E49,AND(C10="Dur",MROUND(C3,2000)=10000,C4=-20),Matrices!E50,AND(C10="Herbe",MROUND(C3,2000)=0,C4=-20),Matrices!G45,AND(C10="Herbe",MROUND(C3,2000)=2000,C4=-20),Matrices!G46,AND(C10="Herbe",MROUND(C3,2000)=4000,C4=-20),Matrices!G47,AND(C10="Herbe", MROUND(C3,2000)=6000,C4=-20),Matrices!G48,AND(C10="Herbe", MROUND(C3,2000)=8000,C4=-20),Matrices!G49,AND(C10="Herbe", MROUND(C3,2000)=10000,C4=-20),Matrices!G50)</f>
        <v>137</v>
      </c>
      <c r="D14" s="108"/>
      <c r="E14" s="108"/>
      <c r="F14" s="108"/>
      <c r="G14" s="108"/>
      <c r="H14" s="151"/>
      <c r="I14" s="108"/>
      <c r="J14" s="111"/>
      <c r="K14" s="154"/>
      <c r="L14" s="111"/>
      <c r="M14" s="165">
        <v>19</v>
      </c>
      <c r="N14" s="119"/>
      <c r="O14" s="119"/>
      <c r="P14" s="166"/>
      <c r="Q14" s="108"/>
      <c r="R14" s="108"/>
      <c r="S14" s="108"/>
      <c r="T14" s="153"/>
      <c r="U14" s="108"/>
      <c r="V14" s="109"/>
    </row>
    <row r="15" spans="1:22" ht="15" customHeight="1" thickBot="1" x14ac:dyDescent="0.3">
      <c r="A15" s="107"/>
      <c r="B15" s="171" t="s">
        <v>89</v>
      </c>
      <c r="C15" s="170" cm="1">
        <f t="array" ref="C15">_xlfn.IFS(AND(C10="Dur",MROUND(C3,2000)=0,C4=0),Matrices!F5,AND(C10="Dur",MROUND(C3,2000)=2000,C4=0),Matrices!F6,AND(C10="Dur",MROUND(C3,2000)=4000,C4=0),Matrices!F7,AND(C10="Dur",MROUND(C3,2000)=6000,C4=0),Matrices!F8,AND(C10="Dur",MROUND(C3,2000)=8000,C4=0),Matrices!F9,AND(C10="Dur",MROUND(C3,2000)=10000,C4=0),Matrices!F10,AND(C10="Herbe",MROUND(C3,2000)=0,C4=0),Matrices!H5,AND(C10="Herbe",MROUND(C3,2000)=2000,C4=0),Matrices!H6,AND(C10="Herbe",MROUND(C3,2000)=4000,C4=0),Matrices!H7,AND(C10="Herbe", MROUND(C3,2000)=6000,C4=0),Matrices!H8,AND(C10="Herbe", MROUND(C3,2000)=8000,C4=0),Matrices!H9,AND(C10="Herbe", MROUND(C3,2000)=10000,C4=0),Matrices!H10,AND(C10="Dur",MROUND(C3,2000)=0,C4=10),Matrices!F15,AND(C10="Dur",MROUND(C3,2000)=2000,C4=10),Matrices!F16,AND(C10="Dur",MROUND(C3,2000)=4000,C4=10),Matrices!F17,AND(C10="Dur",MROUND(C3,2000)=6000,C4=10),Matrices!F18,AND(C10="Dur",MROUND(C3,2000)=8000,C4=10),Matrices!F19,AND(C10="Dur",MROUND(C3,2000)=10000,C4=10),Matrices!F20,AND(C10="Herbe",MROUND(C3,2000)=0,C4=10),Matrices!H15,AND(C10="Herbe",MROUND(C3,2000)=2000,C4=10),Matrices!H16,AND(C10="Herbe",MROUND(C3,2000)=4000,C4=10),Matrices!H17,AND(C10="Herbe", MROUND(C3,2000)=6000,C4=10),Matrices!H18,AND(C10="Herbe", MROUND(C3,2000)=8000,C4=10),Matrices!H19,AND(C10="Herbe", MROUND(C3,2000)=10000,C4=10),Matrices!H20,AND(C10="Dur",MROUND(C3,2000)=0,C4=20),Matrices!F25,AND(C10="Dur",MROUND(C3,2000)=2000,C4=20),Matrices!F26,AND(C10="Dur",MROUND(C3,2000)=4000,C4=20),Matrices!F27,AND(C10="Dur",MROUND(C3,2000)=6000,C4=20),Matrices!F28,AND(C10="Dur",MROUND(C3,2000)=8000,C4=20),Matrices!F29,AND(C10="Dur",MROUND(C3,2000)=10000,C4=20),Matrices!F30,AND(C10="Herbe",MROUND(C3,2000)=0,C4=20),Matrices!H25,AND(C10="Herbe",MROUND(C3,2000)=2000,C4=20),Matrices!H26,AND(C10="Herbe",MROUND(C3,2000)=4000,C4=20),Matrices!H27,AND(C10="Herbe", MROUND(C3,2000)=6000,C4=20),Matrices!H28,AND(C10="Herbe", MROUND(C3,2000)=8000,C4=20),Matrices!H29,AND(C10="Herbe", MROUND(C3,2000)=10000,C4=20),Matrices!H30,AND(C10="Dur",MROUND(C3,2000)=0,C4=-10),Matrices!F35,AND(C10="Dur",MROUND(C3,2000)=2000,C4=-10),Matrices!F36,AND(C10="Dur",MROUND(C3,2000)=4000,C4=-10),Matrices!F37,AND(C10="Dur",MROUND(C3,2000)=6000,C4=-10),Matrices!F38,AND(C10="Dur",MROUND(C3,2000)=8000,C4=-10),Matrices!F39,AND(C10="Dur",MROUND(C3,2000)=10000,C4=-10),Matrices!F40,AND(C10="Herbe",MROUND(C3,2000)=0,C4=-10),Matrices!H35,AND(C10="Herbe",MROUND(C3,2000)=2000,C4=-10),Matrices!H36,AND(C10="Herbe",MROUND(C3,2000)=4000,C4=-10),Matrices!H37,AND(C10="Herbe", MROUND(C3,2000)=6000,C4=-10),Matrices!H38,AND(C10="Herbe", MROUND(C3,2000)=8000,C4=-10),Matrices!H39,AND(C10="Herbe", MROUND(C3,2000)=10000,C4=-10),Matrices!H40,AND(C10="Dur",MROUND(C3,2000)=0,C4=-20),Matrices!F45,AND(C10="Dur",MROUND(C3,2000)=2000,C4=-20),Matrices!F46,AND(C10="Dur",MROUND(C3,2000)=4000,C4=-20),Matrices!F47,AND(C10="Dur",MROUND(C3,2000)=6000,C4=-20),Matrices!F48,AND(C10="Dur",MROUND(C3,2000)=8000,C4=-20),Matrices!F49,AND(C10="Dur",MROUND(C3,2000)=10000,C4=-20),Matrices!F50,AND(C10="Herbe",MROUND(C3,2000)=0,C4=-20),Matrices!H45,AND(C10="Herbe",MROUND(C3,2000)=2000,C4=-20),Matrices!H46,AND(C10="Herbe",MROUND(C3,2000)=4000,C4=-20),Matrices!H47,AND(C10="Herbe", MROUND(C3,2000)=6000,C4=-20),Matrices!H48,AND(C10="Herbe", MROUND(C3,2000)=8000,C4=-20),Matrices!H49,AND(C10="Herbe", MROUND(C3,2000)=10000,C4=-20),Matrices!H50)</f>
        <v>391</v>
      </c>
      <c r="D15" s="108"/>
      <c r="E15" s="108"/>
      <c r="F15" s="108"/>
      <c r="G15" s="108"/>
      <c r="H15" s="151"/>
      <c r="I15" s="108"/>
      <c r="J15" s="111"/>
      <c r="K15" s="154"/>
      <c r="L15" s="111"/>
      <c r="M15" s="165">
        <v>18</v>
      </c>
      <c r="N15" s="119"/>
      <c r="O15" s="119"/>
      <c r="P15" s="166"/>
      <c r="Q15" s="108"/>
      <c r="R15" s="108"/>
      <c r="S15" s="108"/>
      <c r="T15" s="153"/>
      <c r="U15" s="108"/>
      <c r="V15" s="109"/>
    </row>
    <row r="16" spans="1:22" ht="15" customHeight="1" thickBot="1" x14ac:dyDescent="0.3">
      <c r="A16" s="107"/>
      <c r="B16" s="108"/>
      <c r="C16" s="114"/>
      <c r="D16" s="108"/>
      <c r="E16" s="108"/>
      <c r="F16" s="108"/>
      <c r="G16" s="108"/>
      <c r="H16" s="151"/>
      <c r="I16" s="108"/>
      <c r="J16" s="111"/>
      <c r="K16" s="154"/>
      <c r="L16" s="111"/>
      <c r="M16" s="165">
        <v>17</v>
      </c>
      <c r="N16" s="119"/>
      <c r="O16" s="119"/>
      <c r="P16" s="166"/>
      <c r="Q16" s="108"/>
      <c r="R16" s="108"/>
      <c r="S16" s="108"/>
      <c r="T16" s="153"/>
      <c r="U16" s="108"/>
      <c r="V16" s="109"/>
    </row>
    <row r="17" spans="1:22" ht="15" customHeight="1" x14ac:dyDescent="0.25">
      <c r="A17" s="107"/>
      <c r="B17" s="96" t="s">
        <v>90</v>
      </c>
      <c r="C17" s="167">
        <f>C14-0.04*C12*C14+0.08*C11*C14</f>
        <v>118.40270296735051</v>
      </c>
      <c r="D17" s="108"/>
      <c r="E17" s="108"/>
      <c r="F17" s="108"/>
      <c r="G17" s="108"/>
      <c r="H17" s="151"/>
      <c r="I17" s="108"/>
      <c r="J17" s="111"/>
      <c r="K17" s="112"/>
      <c r="L17" s="111"/>
      <c r="M17" s="165">
        <v>16</v>
      </c>
      <c r="N17" s="119"/>
      <c r="O17" s="119"/>
      <c r="P17" s="166"/>
      <c r="Q17" s="108"/>
      <c r="R17" s="108"/>
      <c r="S17" s="108"/>
      <c r="T17" s="153"/>
      <c r="U17" s="108"/>
      <c r="V17" s="109"/>
    </row>
    <row r="18" spans="1:22" ht="15" customHeight="1" thickBot="1" x14ac:dyDescent="0.3">
      <c r="A18" s="107"/>
      <c r="B18" s="171" t="s">
        <v>91</v>
      </c>
      <c r="C18" s="168">
        <f>C15*(1-C12*0.04)</f>
        <v>337.92304277543099</v>
      </c>
      <c r="D18" s="108"/>
      <c r="E18" s="108"/>
      <c r="F18" s="108"/>
      <c r="G18" s="108"/>
      <c r="H18" s="151"/>
      <c r="I18" s="108"/>
      <c r="J18" s="111"/>
      <c r="K18" s="155"/>
      <c r="L18" s="111"/>
      <c r="M18" s="165">
        <v>15</v>
      </c>
      <c r="N18" s="119"/>
      <c r="O18" s="119"/>
      <c r="P18" s="166"/>
      <c r="Q18" s="108"/>
      <c r="R18" s="108"/>
      <c r="S18" s="108"/>
      <c r="T18" s="153"/>
      <c r="U18" s="108"/>
      <c r="V18" s="109"/>
    </row>
    <row r="19" spans="1:22" ht="15" customHeight="1" x14ac:dyDescent="0.25">
      <c r="A19" s="107"/>
      <c r="B19" s="108"/>
      <c r="C19" s="108"/>
      <c r="D19" s="108"/>
      <c r="E19" s="113"/>
      <c r="F19" s="110"/>
      <c r="G19" s="110"/>
      <c r="H19" s="151"/>
      <c r="I19" s="108"/>
      <c r="J19" s="111"/>
      <c r="K19" s="155"/>
      <c r="L19" s="111"/>
      <c r="M19" s="165">
        <v>14</v>
      </c>
      <c r="N19" s="119"/>
      <c r="O19" s="119"/>
      <c r="P19" s="166"/>
      <c r="Q19" s="108"/>
      <c r="R19" s="108"/>
      <c r="S19" s="108"/>
      <c r="T19" s="153"/>
      <c r="U19" s="108"/>
      <c r="V19" s="109"/>
    </row>
    <row r="20" spans="1:22" ht="15" customHeight="1" x14ac:dyDescent="0.25">
      <c r="A20" s="107"/>
      <c r="B20" s="108"/>
      <c r="C20" s="108"/>
      <c r="D20" s="108"/>
      <c r="E20" s="108"/>
      <c r="F20" s="108"/>
      <c r="G20" s="108"/>
      <c r="H20" s="151"/>
      <c r="I20" s="108"/>
      <c r="J20" s="111"/>
      <c r="K20" s="155"/>
      <c r="L20" s="111"/>
      <c r="M20" s="165">
        <v>13</v>
      </c>
      <c r="N20" s="119"/>
      <c r="O20" s="119"/>
      <c r="P20" s="166"/>
      <c r="Q20" s="108"/>
      <c r="R20" s="108"/>
      <c r="S20" s="108"/>
      <c r="T20" s="153"/>
      <c r="U20" s="108"/>
      <c r="V20" s="109"/>
    </row>
    <row r="21" spans="1:22" ht="15" customHeight="1" x14ac:dyDescent="0.25">
      <c r="A21" s="107"/>
      <c r="B21" s="108"/>
      <c r="C21" s="108"/>
      <c r="D21" s="108"/>
      <c r="E21" s="110"/>
      <c r="F21" s="108"/>
      <c r="G21" s="108"/>
      <c r="H21" s="151"/>
      <c r="I21" s="108"/>
      <c r="J21" s="111"/>
      <c r="K21" s="112"/>
      <c r="L21" s="111"/>
      <c r="M21" s="165">
        <v>12</v>
      </c>
      <c r="N21" s="119"/>
      <c r="O21" s="119"/>
      <c r="P21" s="166"/>
      <c r="Q21" s="108"/>
      <c r="R21" s="108"/>
      <c r="S21" s="108"/>
      <c r="T21" s="153"/>
      <c r="U21" s="108"/>
      <c r="V21" s="109"/>
    </row>
    <row r="22" spans="1:22" ht="15" customHeight="1" x14ac:dyDescent="0.25">
      <c r="A22" s="107"/>
      <c r="B22" s="108"/>
      <c r="C22" s="108"/>
      <c r="D22" s="108"/>
      <c r="E22" s="110"/>
      <c r="F22" s="108"/>
      <c r="G22" s="108"/>
      <c r="H22" s="151"/>
      <c r="I22" s="108"/>
      <c r="J22" s="111"/>
      <c r="K22" s="154"/>
      <c r="L22" s="111"/>
      <c r="M22" s="165">
        <v>11</v>
      </c>
      <c r="N22" s="119"/>
      <c r="O22" s="119"/>
      <c r="P22" s="166"/>
      <c r="Q22" s="108"/>
      <c r="R22" s="108"/>
      <c r="S22" s="108"/>
      <c r="T22" s="153"/>
      <c r="U22" s="108"/>
      <c r="V22" s="109"/>
    </row>
    <row r="23" spans="1:22" ht="15" customHeight="1" x14ac:dyDescent="0.25">
      <c r="A23" s="107"/>
      <c r="B23" s="108"/>
      <c r="C23" s="108"/>
      <c r="D23" s="108"/>
      <c r="E23" s="108"/>
      <c r="F23" s="108"/>
      <c r="G23" s="108"/>
      <c r="H23" s="151"/>
      <c r="I23" s="108"/>
      <c r="J23" s="111"/>
      <c r="K23" s="154"/>
      <c r="L23" s="111"/>
      <c r="M23" s="165">
        <v>10</v>
      </c>
      <c r="N23" s="119"/>
      <c r="O23" s="119"/>
      <c r="P23" s="166"/>
      <c r="Q23" s="108"/>
      <c r="R23" s="108"/>
      <c r="S23" s="108"/>
      <c r="T23" s="153"/>
      <c r="U23" s="108"/>
      <c r="V23" s="109"/>
    </row>
    <row r="24" spans="1:22" ht="15" customHeight="1" x14ac:dyDescent="0.25">
      <c r="A24" s="107"/>
      <c r="B24" s="108"/>
      <c r="C24" s="108"/>
      <c r="D24" s="108"/>
      <c r="E24" s="108"/>
      <c r="F24" s="108"/>
      <c r="G24" s="108"/>
      <c r="H24" s="151"/>
      <c r="I24" s="108"/>
      <c r="J24" s="111"/>
      <c r="K24" s="154"/>
      <c r="L24" s="111"/>
      <c r="M24" s="165">
        <v>9</v>
      </c>
      <c r="N24" s="119"/>
      <c r="O24" s="119"/>
      <c r="P24" s="166"/>
      <c r="Q24" s="108"/>
      <c r="R24" s="108"/>
      <c r="S24" s="108"/>
      <c r="T24" s="153"/>
      <c r="U24" s="108"/>
      <c r="V24" s="109"/>
    </row>
    <row r="25" spans="1:22" ht="15" customHeight="1" x14ac:dyDescent="0.25">
      <c r="A25" s="107"/>
      <c r="B25" s="108"/>
      <c r="C25" s="108"/>
      <c r="D25" s="108"/>
      <c r="E25" s="108"/>
      <c r="F25" s="108"/>
      <c r="G25" s="108"/>
      <c r="H25" s="151"/>
      <c r="I25" s="108"/>
      <c r="J25" s="111"/>
      <c r="K25" s="111"/>
      <c r="L25" s="111"/>
      <c r="M25" s="165">
        <v>8</v>
      </c>
      <c r="N25" s="119"/>
      <c r="O25" s="119"/>
      <c r="P25" s="166"/>
      <c r="Q25" s="108"/>
      <c r="R25" s="108"/>
      <c r="S25" s="108"/>
      <c r="T25" s="153"/>
      <c r="U25" s="108"/>
      <c r="V25" s="109"/>
    </row>
    <row r="26" spans="1:22" ht="15" customHeight="1" x14ac:dyDescent="0.25">
      <c r="A26" s="107"/>
      <c r="B26" s="108"/>
      <c r="C26" s="108"/>
      <c r="D26" s="108"/>
      <c r="E26" s="108"/>
      <c r="F26" s="108"/>
      <c r="G26" s="108"/>
      <c r="H26" s="151"/>
      <c r="I26" s="108"/>
      <c r="J26" s="111"/>
      <c r="K26" s="154"/>
      <c r="L26" s="111"/>
      <c r="M26" s="165">
        <v>7</v>
      </c>
      <c r="N26" s="119"/>
      <c r="O26" s="119"/>
      <c r="P26" s="166"/>
      <c r="Q26" s="108"/>
      <c r="R26" s="108"/>
      <c r="S26" s="108"/>
      <c r="T26" s="153"/>
      <c r="U26" s="108"/>
      <c r="V26" s="109"/>
    </row>
    <row r="27" spans="1:22" ht="15" customHeight="1" x14ac:dyDescent="0.25">
      <c r="A27" s="107"/>
      <c r="B27" s="108"/>
      <c r="C27" s="108"/>
      <c r="D27" s="108"/>
      <c r="E27" s="108"/>
      <c r="F27" s="108"/>
      <c r="G27" s="108"/>
      <c r="H27" s="151"/>
      <c r="I27" s="108"/>
      <c r="J27" s="111"/>
      <c r="K27" s="154"/>
      <c r="L27" s="111"/>
      <c r="M27" s="165">
        <v>6</v>
      </c>
      <c r="N27" s="119"/>
      <c r="O27" s="119"/>
      <c r="P27" s="166"/>
      <c r="Q27" s="108"/>
      <c r="R27" s="108"/>
      <c r="S27" s="108"/>
      <c r="T27" s="153"/>
      <c r="U27" s="108"/>
      <c r="V27" s="109"/>
    </row>
    <row r="28" spans="1:22" ht="15" customHeight="1" x14ac:dyDescent="0.25">
      <c r="A28" s="107"/>
      <c r="B28" s="108"/>
      <c r="C28" s="108"/>
      <c r="D28" s="108"/>
      <c r="E28" s="108"/>
      <c r="F28" s="108"/>
      <c r="G28" s="108"/>
      <c r="H28" s="151"/>
      <c r="I28" s="108"/>
      <c r="J28" s="111"/>
      <c r="K28" s="154"/>
      <c r="L28" s="111"/>
      <c r="M28" s="165">
        <v>5</v>
      </c>
      <c r="N28" s="119"/>
      <c r="O28" s="119"/>
      <c r="P28" s="166"/>
      <c r="Q28" s="108"/>
      <c r="R28" s="108"/>
      <c r="S28" s="108"/>
      <c r="T28" s="153"/>
      <c r="U28" s="108"/>
      <c r="V28" s="109"/>
    </row>
    <row r="29" spans="1:22" ht="15" customHeight="1" x14ac:dyDescent="0.25">
      <c r="A29" s="107"/>
      <c r="B29" s="108"/>
      <c r="C29" s="108"/>
      <c r="D29" s="108"/>
      <c r="E29" s="108"/>
      <c r="F29" s="108"/>
      <c r="G29" s="108"/>
      <c r="H29" s="151"/>
      <c r="I29" s="108"/>
      <c r="J29" s="152" t="str">
        <f>IF(LEN(MROUND(C6,10))=2,LEFT(MROUND(C6,10),1),LEFT(MROUND(C6,10),2))</f>
        <v>12</v>
      </c>
      <c r="K29" s="152"/>
      <c r="L29" s="152"/>
      <c r="M29" s="165">
        <v>4</v>
      </c>
      <c r="N29" s="119"/>
      <c r="O29" s="119"/>
      <c r="P29" s="166"/>
      <c r="Q29" s="108"/>
      <c r="R29" s="108"/>
      <c r="S29" s="120"/>
      <c r="T29" s="153"/>
      <c r="U29" s="108"/>
      <c r="V29" s="109"/>
    </row>
    <row r="30" spans="1:22" ht="15" customHeight="1" x14ac:dyDescent="0.25">
      <c r="A30" s="107"/>
      <c r="B30" s="108"/>
      <c r="C30" s="108"/>
      <c r="D30" s="108"/>
      <c r="E30" s="108"/>
      <c r="F30" s="108"/>
      <c r="G30" s="108"/>
      <c r="H30" s="151"/>
      <c r="I30" s="108"/>
      <c r="J30" s="152"/>
      <c r="K30" s="152"/>
      <c r="L30" s="152"/>
      <c r="M30" s="165">
        <v>3</v>
      </c>
      <c r="N30" s="119"/>
      <c r="O30" s="119"/>
      <c r="P30" s="166"/>
      <c r="Q30" s="108"/>
      <c r="R30" s="108"/>
      <c r="S30" s="108"/>
      <c r="T30" s="153"/>
      <c r="U30" s="108"/>
      <c r="V30" s="109"/>
    </row>
    <row r="31" spans="1:22" ht="15" customHeight="1" x14ac:dyDescent="0.25">
      <c r="A31" s="107"/>
      <c r="B31" s="108"/>
      <c r="C31" s="108"/>
      <c r="D31" s="108"/>
      <c r="E31" s="108"/>
      <c r="F31" s="108"/>
      <c r="G31" s="108"/>
      <c r="H31" s="151"/>
      <c r="I31" s="108"/>
      <c r="J31" s="152"/>
      <c r="K31" s="152"/>
      <c r="L31" s="152"/>
      <c r="M31" s="165">
        <v>2</v>
      </c>
      <c r="N31" s="119"/>
      <c r="O31" s="119"/>
      <c r="P31" s="166"/>
      <c r="Q31" s="108"/>
      <c r="R31" s="108"/>
      <c r="S31" s="108"/>
      <c r="T31" s="153"/>
      <c r="U31" s="108"/>
      <c r="V31" s="109"/>
    </row>
    <row r="32" spans="1:22" ht="15" customHeight="1" x14ac:dyDescent="0.25">
      <c r="A32" s="107"/>
      <c r="B32" s="108"/>
      <c r="C32" s="108"/>
      <c r="D32" s="108"/>
      <c r="E32" s="108"/>
      <c r="F32" s="108"/>
      <c r="G32" s="108"/>
      <c r="H32" s="151"/>
      <c r="I32" s="108"/>
      <c r="J32" s="152"/>
      <c r="K32" s="152"/>
      <c r="L32" s="152"/>
      <c r="M32" s="165">
        <v>1</v>
      </c>
      <c r="N32" s="119"/>
      <c r="O32" s="119"/>
      <c r="P32" s="166"/>
      <c r="Q32" s="108"/>
      <c r="R32" s="108"/>
      <c r="S32" s="108"/>
      <c r="T32" s="153"/>
      <c r="U32" s="108"/>
      <c r="V32" s="109"/>
    </row>
    <row r="33" spans="1:22" x14ac:dyDescent="0.25">
      <c r="A33" s="107"/>
      <c r="B33" s="108"/>
      <c r="C33" s="108"/>
      <c r="D33" s="108"/>
      <c r="E33" s="108"/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15"/>
      <c r="Q33" s="108"/>
      <c r="R33" s="108"/>
      <c r="S33" s="108"/>
      <c r="T33" s="108"/>
      <c r="U33" s="108"/>
      <c r="V33" s="109"/>
    </row>
    <row r="34" spans="1:22" x14ac:dyDescent="0.25">
      <c r="A34" s="107"/>
      <c r="B34" s="108"/>
      <c r="C34" s="108"/>
      <c r="D34" s="108"/>
      <c r="E34" s="108"/>
      <c r="F34" s="108"/>
      <c r="G34" s="108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9"/>
    </row>
    <row r="35" spans="1:22" x14ac:dyDescent="0.25">
      <c r="A35" s="116"/>
      <c r="B35" s="117"/>
      <c r="C35" s="117"/>
      <c r="D35" s="117"/>
      <c r="E35" s="117"/>
      <c r="F35" s="117"/>
      <c r="G35" s="117"/>
      <c r="H35" s="117"/>
      <c r="I35" s="117"/>
      <c r="J35" s="117"/>
      <c r="K35" s="117"/>
      <c r="L35" s="117"/>
      <c r="M35" s="117"/>
      <c r="N35" s="117"/>
      <c r="O35" s="117"/>
      <c r="P35" s="117"/>
      <c r="Q35" s="117"/>
      <c r="R35" s="117"/>
      <c r="S35" s="117"/>
      <c r="T35" s="117"/>
      <c r="U35" s="117"/>
      <c r="V35" s="118"/>
    </row>
  </sheetData>
  <mergeCells count="11">
    <mergeCell ref="H2:H32"/>
    <mergeCell ref="J2:L5"/>
    <mergeCell ref="J29:L32"/>
    <mergeCell ref="P2:P32"/>
    <mergeCell ref="T2:T32"/>
    <mergeCell ref="K10:K12"/>
    <mergeCell ref="K14:K16"/>
    <mergeCell ref="K18:K20"/>
    <mergeCell ref="K22:K24"/>
    <mergeCell ref="K26:K28"/>
    <mergeCell ref="K6:K8"/>
  </mergeCells>
  <conditionalFormatting sqref="N2:N32">
    <cfRule type="expression" dxfId="1" priority="7">
      <formula>M2&lt;=($C$17/$C$7*31)</formula>
    </cfRule>
  </conditionalFormatting>
  <conditionalFormatting sqref="R2:R32">
    <cfRule type="expression" dxfId="0" priority="8">
      <formula>M2&lt;=($C$18/$C$7*31)</formula>
    </cfRule>
  </conditionalFormatting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CA9265-865D-4142-905F-ADADAEC58BD8}">
          <x14:formula1>
            <xm:f>Options!$F$3:$F$7</xm:f>
          </x14:formula1>
          <xm:sqref>C4</xm:sqref>
        </x14:dataValidation>
        <x14:dataValidation type="list" allowBlank="1" showInputMessage="1" showErrorMessage="1" xr:uid="{23942013-4E6D-4E04-9243-4BD88F70E297}">
          <x14:formula1>
            <xm:f>Options!$I$3:$I$4</xm:f>
          </x14:formula1>
          <xm:sqref>C10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AF2E4-73D9-40EF-B6DC-E59796AF3709}">
  <dimension ref="B3:I7"/>
  <sheetViews>
    <sheetView workbookViewId="0">
      <selection activeCell="F6" sqref="F6"/>
    </sheetView>
  </sheetViews>
  <sheetFormatPr baseColWidth="10" defaultColWidth="11.42578125" defaultRowHeight="15" x14ac:dyDescent="0.25"/>
  <cols>
    <col min="8" max="8" width="12.28515625" bestFit="1" customWidth="1"/>
  </cols>
  <sheetData>
    <row r="3" spans="2:9" x14ac:dyDescent="0.25">
      <c r="B3" t="s">
        <v>92</v>
      </c>
      <c r="C3" s="77">
        <v>0.55000000000000004</v>
      </c>
      <c r="E3" t="s">
        <v>93</v>
      </c>
      <c r="F3">
        <v>0</v>
      </c>
      <c r="H3" t="s">
        <v>94</v>
      </c>
      <c r="I3" t="s">
        <v>95</v>
      </c>
    </row>
    <row r="4" spans="2:9" x14ac:dyDescent="0.25">
      <c r="C4" s="77">
        <v>0.65</v>
      </c>
      <c r="F4">
        <v>10</v>
      </c>
      <c r="I4" t="s">
        <v>85</v>
      </c>
    </row>
    <row r="5" spans="2:9" x14ac:dyDescent="0.25">
      <c r="C5" s="77">
        <v>0.75</v>
      </c>
      <c r="F5">
        <v>20</v>
      </c>
    </row>
    <row r="6" spans="2:9" x14ac:dyDescent="0.25">
      <c r="C6" s="77"/>
      <c r="F6">
        <v>-10</v>
      </c>
    </row>
    <row r="7" spans="2:9" x14ac:dyDescent="0.25">
      <c r="F7">
        <v>-20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C00F2-0C2C-46FA-B397-AC846BB46CF8}">
  <dimension ref="D2:H50"/>
  <sheetViews>
    <sheetView workbookViewId="0">
      <selection activeCell="J2" sqref="J2:J5"/>
    </sheetView>
  </sheetViews>
  <sheetFormatPr baseColWidth="10" defaultColWidth="9.140625" defaultRowHeight="15" x14ac:dyDescent="0.25"/>
  <cols>
    <col min="4" max="4" width="15.85546875" bestFit="1" customWidth="1"/>
  </cols>
  <sheetData>
    <row r="2" spans="4:8" x14ac:dyDescent="0.25">
      <c r="D2" s="160" t="s">
        <v>96</v>
      </c>
      <c r="E2" s="157" t="s">
        <v>97</v>
      </c>
      <c r="F2" s="158"/>
      <c r="G2" s="158"/>
      <c r="H2" s="159"/>
    </row>
    <row r="3" spans="4:8" x14ac:dyDescent="0.25">
      <c r="D3" s="161"/>
      <c r="E3" s="133" t="s">
        <v>85</v>
      </c>
      <c r="F3" s="162"/>
      <c r="G3" s="133" t="s">
        <v>95</v>
      </c>
      <c r="H3" s="163"/>
    </row>
    <row r="4" spans="4:8" x14ac:dyDescent="0.25">
      <c r="D4" s="86" t="s">
        <v>28</v>
      </c>
      <c r="E4" s="76" t="s">
        <v>90</v>
      </c>
      <c r="F4" s="91" t="s">
        <v>91</v>
      </c>
      <c r="G4" s="76" t="s">
        <v>90</v>
      </c>
      <c r="H4" s="63" t="s">
        <v>91</v>
      </c>
    </row>
    <row r="5" spans="4:8" x14ac:dyDescent="0.25">
      <c r="D5" s="74">
        <v>0</v>
      </c>
      <c r="E5" s="88">
        <v>128</v>
      </c>
      <c r="F5" s="87">
        <v>365</v>
      </c>
      <c r="G5" s="87">
        <v>200</v>
      </c>
      <c r="H5" s="92">
        <v>450</v>
      </c>
    </row>
    <row r="6" spans="4:8" x14ac:dyDescent="0.25">
      <c r="D6" s="74">
        <v>2000</v>
      </c>
      <c r="E6" s="89">
        <v>144</v>
      </c>
      <c r="F6" s="68">
        <v>411</v>
      </c>
      <c r="G6" s="68">
        <v>225</v>
      </c>
      <c r="H6" s="83">
        <v>506</v>
      </c>
    </row>
    <row r="7" spans="4:8" x14ac:dyDescent="0.25">
      <c r="D7" s="74">
        <v>4000</v>
      </c>
      <c r="E7" s="89">
        <v>162</v>
      </c>
      <c r="F7" s="68">
        <v>463</v>
      </c>
      <c r="G7" s="68">
        <v>254</v>
      </c>
      <c r="H7" s="83">
        <v>571</v>
      </c>
    </row>
    <row r="8" spans="4:8" x14ac:dyDescent="0.25">
      <c r="D8" s="74">
        <v>6000</v>
      </c>
      <c r="E8" s="89">
        <v>183</v>
      </c>
      <c r="F8" s="68">
        <v>522</v>
      </c>
      <c r="G8" s="68">
        <v>286</v>
      </c>
      <c r="H8" s="83">
        <v>644</v>
      </c>
    </row>
    <row r="9" spans="4:8" x14ac:dyDescent="0.25">
      <c r="D9" s="74">
        <v>8000</v>
      </c>
      <c r="E9" s="89">
        <v>207</v>
      </c>
      <c r="F9" s="68">
        <v>591</v>
      </c>
      <c r="G9" s="68">
        <v>324</v>
      </c>
      <c r="H9" s="83">
        <v>729</v>
      </c>
    </row>
    <row r="10" spans="4:8" x14ac:dyDescent="0.25">
      <c r="D10" s="75">
        <v>10000</v>
      </c>
      <c r="E10" s="90">
        <v>235</v>
      </c>
      <c r="F10" s="84">
        <v>669</v>
      </c>
      <c r="G10" s="84">
        <v>367</v>
      </c>
      <c r="H10" s="85">
        <v>825</v>
      </c>
    </row>
    <row r="12" spans="4:8" x14ac:dyDescent="0.25">
      <c r="D12" s="160" t="s">
        <v>98</v>
      </c>
      <c r="E12" s="157" t="s">
        <v>97</v>
      </c>
      <c r="F12" s="158"/>
      <c r="G12" s="158"/>
      <c r="H12" s="159"/>
    </row>
    <row r="13" spans="4:8" x14ac:dyDescent="0.25">
      <c r="D13" s="161"/>
      <c r="E13" s="133" t="s">
        <v>85</v>
      </c>
      <c r="F13" s="162"/>
      <c r="G13" s="133" t="s">
        <v>95</v>
      </c>
      <c r="H13" s="163"/>
    </row>
    <row r="14" spans="4:8" x14ac:dyDescent="0.25">
      <c r="D14" s="86" t="s">
        <v>28</v>
      </c>
      <c r="E14" s="76" t="s">
        <v>90</v>
      </c>
      <c r="F14" s="91" t="s">
        <v>91</v>
      </c>
      <c r="G14" s="76" t="s">
        <v>90</v>
      </c>
      <c r="H14" s="63" t="s">
        <v>91</v>
      </c>
    </row>
    <row r="15" spans="4:8" x14ac:dyDescent="0.25">
      <c r="D15" s="74">
        <v>0</v>
      </c>
      <c r="E15" s="88">
        <v>137</v>
      </c>
      <c r="F15" s="87">
        <v>391</v>
      </c>
      <c r="G15" s="87">
        <v>214</v>
      </c>
      <c r="H15" s="92">
        <v>482</v>
      </c>
    </row>
    <row r="16" spans="4:8" x14ac:dyDescent="0.25">
      <c r="D16" s="74">
        <v>2000</v>
      </c>
      <c r="E16" s="89">
        <v>154</v>
      </c>
      <c r="F16" s="68">
        <v>440</v>
      </c>
      <c r="G16" s="68">
        <v>241</v>
      </c>
      <c r="H16" s="83">
        <v>543</v>
      </c>
    </row>
    <row r="17" spans="4:8" x14ac:dyDescent="0.25">
      <c r="D17" s="74">
        <v>4000</v>
      </c>
      <c r="E17" s="89">
        <v>174</v>
      </c>
      <c r="F17" s="68">
        <v>496</v>
      </c>
      <c r="G17" s="68">
        <v>272</v>
      </c>
      <c r="H17" s="83">
        <v>612</v>
      </c>
    </row>
    <row r="18" spans="4:8" x14ac:dyDescent="0.25">
      <c r="D18" s="74">
        <v>6000</v>
      </c>
      <c r="E18" s="89">
        <v>197</v>
      </c>
      <c r="F18" s="68">
        <v>561</v>
      </c>
      <c r="G18" s="68">
        <v>307</v>
      </c>
      <c r="H18" s="83">
        <v>692</v>
      </c>
    </row>
    <row r="19" spans="4:8" x14ac:dyDescent="0.25">
      <c r="D19" s="74">
        <v>8000</v>
      </c>
      <c r="E19" s="89">
        <v>223</v>
      </c>
      <c r="F19" s="68">
        <v>635</v>
      </c>
      <c r="G19" s="68">
        <v>348</v>
      </c>
      <c r="H19" s="83">
        <v>783</v>
      </c>
    </row>
    <row r="20" spans="4:8" x14ac:dyDescent="0.25">
      <c r="D20" s="75">
        <v>10000</v>
      </c>
      <c r="E20" s="90">
        <v>253</v>
      </c>
      <c r="F20" s="84">
        <v>720</v>
      </c>
      <c r="G20" s="84">
        <v>395</v>
      </c>
      <c r="H20" s="85">
        <v>888</v>
      </c>
    </row>
    <row r="22" spans="4:8" x14ac:dyDescent="0.25">
      <c r="D22" s="160" t="s">
        <v>99</v>
      </c>
      <c r="E22" s="157" t="s">
        <v>97</v>
      </c>
      <c r="F22" s="158"/>
      <c r="G22" s="158"/>
      <c r="H22" s="159"/>
    </row>
    <row r="23" spans="4:8" x14ac:dyDescent="0.25">
      <c r="D23" s="142"/>
      <c r="E23" s="164" t="s">
        <v>85</v>
      </c>
      <c r="F23" s="162"/>
      <c r="G23" s="133" t="s">
        <v>95</v>
      </c>
      <c r="H23" s="163"/>
    </row>
    <row r="24" spans="4:8" x14ac:dyDescent="0.25">
      <c r="D24" s="74" t="s">
        <v>28</v>
      </c>
      <c r="E24" s="66" t="s">
        <v>90</v>
      </c>
      <c r="F24" s="91" t="s">
        <v>91</v>
      </c>
      <c r="G24" s="93" t="s">
        <v>90</v>
      </c>
      <c r="H24" s="94" t="s">
        <v>91</v>
      </c>
    </row>
    <row r="25" spans="4:8" x14ac:dyDescent="0.25">
      <c r="D25" s="74">
        <v>0</v>
      </c>
      <c r="E25" s="88">
        <v>146</v>
      </c>
      <c r="F25" s="87">
        <v>417</v>
      </c>
      <c r="G25" s="87">
        <v>229</v>
      </c>
      <c r="H25" s="92">
        <v>515</v>
      </c>
    </row>
    <row r="26" spans="4:8" x14ac:dyDescent="0.25">
      <c r="D26" s="74">
        <v>2000</v>
      </c>
      <c r="E26" s="89">
        <v>165</v>
      </c>
      <c r="F26" s="68">
        <v>471</v>
      </c>
      <c r="G26" s="68">
        <v>258</v>
      </c>
      <c r="H26" s="83">
        <v>580</v>
      </c>
    </row>
    <row r="27" spans="4:8" x14ac:dyDescent="0.25">
      <c r="D27" s="74">
        <v>4000</v>
      </c>
      <c r="E27" s="89">
        <v>186</v>
      </c>
      <c r="F27" s="68">
        <v>531</v>
      </c>
      <c r="G27" s="68">
        <v>291</v>
      </c>
      <c r="H27" s="83">
        <v>655</v>
      </c>
    </row>
    <row r="28" spans="4:8" x14ac:dyDescent="0.25">
      <c r="D28" s="74">
        <v>6000</v>
      </c>
      <c r="E28" s="89">
        <v>211</v>
      </c>
      <c r="F28" s="68">
        <v>601</v>
      </c>
      <c r="G28" s="68">
        <v>329</v>
      </c>
      <c r="H28" s="83">
        <v>741</v>
      </c>
    </row>
    <row r="29" spans="4:8" x14ac:dyDescent="0.25">
      <c r="D29" s="74">
        <v>8000</v>
      </c>
      <c r="E29" s="89">
        <v>239</v>
      </c>
      <c r="F29" s="68">
        <v>681</v>
      </c>
      <c r="G29" s="68">
        <v>273</v>
      </c>
      <c r="H29" s="83">
        <v>840</v>
      </c>
    </row>
    <row r="30" spans="4:8" x14ac:dyDescent="0.25">
      <c r="D30" s="75">
        <v>10000</v>
      </c>
      <c r="E30" s="90">
        <v>271</v>
      </c>
      <c r="F30" s="84">
        <v>773</v>
      </c>
      <c r="G30" s="84">
        <v>424</v>
      </c>
      <c r="H30" s="85">
        <v>953</v>
      </c>
    </row>
    <row r="32" spans="4:8" x14ac:dyDescent="0.25">
      <c r="D32" s="160" t="s">
        <v>100</v>
      </c>
      <c r="E32" s="157" t="s">
        <v>97</v>
      </c>
      <c r="F32" s="158"/>
      <c r="G32" s="158"/>
      <c r="H32" s="159"/>
    </row>
    <row r="33" spans="4:8" x14ac:dyDescent="0.25">
      <c r="D33" s="142"/>
      <c r="E33" s="164" t="s">
        <v>85</v>
      </c>
      <c r="F33" s="162"/>
      <c r="G33" s="133" t="s">
        <v>95</v>
      </c>
      <c r="H33" s="163"/>
    </row>
    <row r="34" spans="4:8" x14ac:dyDescent="0.25">
      <c r="D34" s="74" t="s">
        <v>28</v>
      </c>
      <c r="E34" s="66" t="s">
        <v>90</v>
      </c>
      <c r="F34" s="91" t="s">
        <v>91</v>
      </c>
      <c r="G34" s="93" t="s">
        <v>90</v>
      </c>
      <c r="H34" s="94" t="s">
        <v>91</v>
      </c>
    </row>
    <row r="35" spans="4:8" x14ac:dyDescent="0.25">
      <c r="D35" s="74">
        <v>0</v>
      </c>
      <c r="E35" s="88">
        <v>119</v>
      </c>
      <c r="F35" s="87">
        <v>340</v>
      </c>
      <c r="G35" s="87">
        <v>186</v>
      </c>
      <c r="H35" s="92">
        <v>419</v>
      </c>
    </row>
    <row r="36" spans="4:8" x14ac:dyDescent="0.25">
      <c r="D36" s="74">
        <v>2000</v>
      </c>
      <c r="E36" s="89">
        <v>134</v>
      </c>
      <c r="F36" s="68">
        <v>382</v>
      </c>
      <c r="G36" s="68">
        <v>209</v>
      </c>
      <c r="H36" s="83">
        <v>471</v>
      </c>
    </row>
    <row r="37" spans="4:8" x14ac:dyDescent="0.25">
      <c r="D37" s="74">
        <v>4000</v>
      </c>
      <c r="E37" s="89">
        <v>151</v>
      </c>
      <c r="F37" s="68">
        <v>430</v>
      </c>
      <c r="G37" s="68">
        <v>236</v>
      </c>
      <c r="H37" s="83">
        <v>531</v>
      </c>
    </row>
    <row r="38" spans="4:8" x14ac:dyDescent="0.25">
      <c r="D38" s="74">
        <v>6000</v>
      </c>
      <c r="E38" s="89">
        <v>170</v>
      </c>
      <c r="F38" s="68">
        <v>485</v>
      </c>
      <c r="G38" s="68">
        <v>266</v>
      </c>
      <c r="H38" s="83">
        <v>598</v>
      </c>
    </row>
    <row r="39" spans="4:8" x14ac:dyDescent="0.25">
      <c r="D39" s="74">
        <v>8000</v>
      </c>
      <c r="E39" s="89">
        <v>192</v>
      </c>
      <c r="F39" s="68">
        <v>548</v>
      </c>
      <c r="G39" s="68">
        <v>300</v>
      </c>
      <c r="H39" s="83">
        <v>676</v>
      </c>
    </row>
    <row r="40" spans="4:8" x14ac:dyDescent="0.25">
      <c r="D40" s="75">
        <v>10000</v>
      </c>
      <c r="E40" s="90">
        <v>218</v>
      </c>
      <c r="F40" s="84">
        <v>620</v>
      </c>
      <c r="G40" s="84">
        <v>340</v>
      </c>
      <c r="H40" s="85">
        <v>765</v>
      </c>
    </row>
    <row r="42" spans="4:8" x14ac:dyDescent="0.25">
      <c r="D42" s="160" t="s">
        <v>101</v>
      </c>
      <c r="E42" s="157" t="s">
        <v>97</v>
      </c>
      <c r="F42" s="158"/>
      <c r="G42" s="158"/>
      <c r="H42" s="159"/>
    </row>
    <row r="43" spans="4:8" x14ac:dyDescent="0.25">
      <c r="D43" s="161"/>
      <c r="E43" s="133" t="s">
        <v>85</v>
      </c>
      <c r="F43" s="163"/>
      <c r="G43" s="164" t="s">
        <v>95</v>
      </c>
      <c r="H43" s="163"/>
    </row>
    <row r="44" spans="4:8" x14ac:dyDescent="0.25">
      <c r="D44" s="86" t="s">
        <v>28</v>
      </c>
      <c r="E44" s="76" t="s">
        <v>90</v>
      </c>
      <c r="F44" s="63" t="s">
        <v>91</v>
      </c>
      <c r="G44" s="95" t="s">
        <v>90</v>
      </c>
      <c r="H44" s="94" t="s">
        <v>91</v>
      </c>
    </row>
    <row r="45" spans="4:8" x14ac:dyDescent="0.25">
      <c r="D45" s="74">
        <v>0</v>
      </c>
      <c r="E45" s="88">
        <v>111</v>
      </c>
      <c r="F45" s="87">
        <v>316</v>
      </c>
      <c r="G45" s="87">
        <v>173</v>
      </c>
      <c r="H45" s="92">
        <v>390</v>
      </c>
    </row>
    <row r="46" spans="4:8" x14ac:dyDescent="0.25">
      <c r="D46" s="74">
        <v>2000</v>
      </c>
      <c r="E46" s="89">
        <v>124</v>
      </c>
      <c r="F46" s="68">
        <v>355</v>
      </c>
      <c r="G46" s="68">
        <v>194</v>
      </c>
      <c r="H46" s="83">
        <v>438</v>
      </c>
    </row>
    <row r="47" spans="4:8" x14ac:dyDescent="0.25">
      <c r="D47" s="74">
        <v>4000</v>
      </c>
      <c r="E47" s="89">
        <v>140</v>
      </c>
      <c r="F47" s="68">
        <v>399</v>
      </c>
      <c r="G47" s="68">
        <v>219</v>
      </c>
      <c r="H47" s="83">
        <v>492</v>
      </c>
    </row>
    <row r="48" spans="4:8" x14ac:dyDescent="0.25">
      <c r="D48" s="74">
        <v>6000</v>
      </c>
      <c r="E48" s="89">
        <v>158</v>
      </c>
      <c r="F48" s="68">
        <v>450</v>
      </c>
      <c r="G48" s="68">
        <v>246</v>
      </c>
      <c r="H48" s="83">
        <v>554</v>
      </c>
    </row>
    <row r="49" spans="4:8" x14ac:dyDescent="0.25">
      <c r="D49" s="74">
        <v>8000</v>
      </c>
      <c r="E49" s="89">
        <v>178</v>
      </c>
      <c r="F49" s="68">
        <v>507</v>
      </c>
      <c r="G49" s="68">
        <v>278</v>
      </c>
      <c r="H49" s="83">
        <v>625</v>
      </c>
    </row>
    <row r="50" spans="4:8" x14ac:dyDescent="0.25">
      <c r="D50" s="75">
        <v>10000</v>
      </c>
      <c r="E50" s="90">
        <v>201</v>
      </c>
      <c r="F50" s="84">
        <v>573</v>
      </c>
      <c r="G50" s="84">
        <v>314</v>
      </c>
      <c r="H50" s="85">
        <v>707</v>
      </c>
    </row>
  </sheetData>
  <mergeCells count="20">
    <mergeCell ref="D32:D33"/>
    <mergeCell ref="E32:H32"/>
    <mergeCell ref="E33:F33"/>
    <mergeCell ref="G33:H33"/>
    <mergeCell ref="D42:D43"/>
    <mergeCell ref="E42:H42"/>
    <mergeCell ref="E43:F43"/>
    <mergeCell ref="G43:H43"/>
    <mergeCell ref="D22:D23"/>
    <mergeCell ref="E22:H22"/>
    <mergeCell ref="E23:F23"/>
    <mergeCell ref="G23:H23"/>
    <mergeCell ref="E3:F3"/>
    <mergeCell ref="G3:H3"/>
    <mergeCell ref="E2:H2"/>
    <mergeCell ref="D2:D3"/>
    <mergeCell ref="D12:D13"/>
    <mergeCell ref="E12:H12"/>
    <mergeCell ref="E13:F13"/>
    <mergeCell ref="G13:H13"/>
  </mergeCells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FC9AED-F8D0-47B8-964F-F7569BF8A5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CG</vt:lpstr>
      <vt:lpstr>V-speeds</vt:lpstr>
      <vt:lpstr>Log de Nav</vt:lpstr>
      <vt:lpstr>Perfs Décollage</vt:lpstr>
      <vt:lpstr>Options</vt:lpstr>
      <vt:lpstr>Matrices</vt:lpstr>
      <vt:lpstr>CG!Zone_d_impression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Félix Rochefort</dc:creator>
  <cp:keywords/>
  <dc:description/>
  <cp:lastModifiedBy>Félix Rochefort</cp:lastModifiedBy>
  <cp:revision/>
  <dcterms:created xsi:type="dcterms:W3CDTF">2024-05-12T19:22:07Z</dcterms:created>
  <dcterms:modified xsi:type="dcterms:W3CDTF">2024-05-16T15:55:14Z</dcterms:modified>
  <cp:category/>
  <cp:contentStatus/>
</cp:coreProperties>
</file>