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96" yWindow="408" windowWidth="21828" windowHeight="11676"/>
  </bookViews>
  <sheets>
    <sheet name="VERIFICATION CAHIER DE SOUDAGE" sheetId="6" r:id="rId1"/>
  </sheets>
  <definedNames>
    <definedName name="_xlnm._FilterDatabase" localSheetId="0" hidden="1">'VERIFICATION CAHIER DE SOUDAGE'!$E$11:$BF$33</definedName>
  </definedNames>
  <calcPr calcId="125725"/>
</workbook>
</file>

<file path=xl/calcChain.xml><?xml version="1.0" encoding="utf-8"?>
<calcChain xmlns="http://schemas.openxmlformats.org/spreadsheetml/2006/main">
  <c r="BC12" i="6"/>
  <c r="BC11"/>
  <c r="BC18"/>
  <c r="BC17"/>
  <c r="BC16"/>
  <c r="BC15"/>
  <c r="BC14"/>
  <c r="BC26"/>
  <c r="BC25"/>
  <c r="BC24"/>
  <c r="BC23"/>
  <c r="BC22"/>
  <c r="BC32"/>
  <c r="BC31"/>
  <c r="BC30"/>
  <c r="BC29"/>
  <c r="BC28"/>
  <c r="BC33"/>
  <c r="AU31"/>
  <c r="AZ33"/>
  <c r="AZ32"/>
  <c r="AZ31"/>
  <c r="AZ30"/>
  <c r="AZ29"/>
  <c r="AZ28"/>
  <c r="AZ26"/>
  <c r="AZ25"/>
  <c r="AZ24"/>
  <c r="AZ23"/>
  <c r="AZ22"/>
  <c r="AZ18"/>
  <c r="AZ17"/>
  <c r="AZ16"/>
  <c r="AZ15"/>
  <c r="AZ14"/>
  <c r="AZ12"/>
  <c r="AZ11"/>
  <c r="AZ10"/>
  <c r="AM33"/>
  <c r="AM32"/>
  <c r="AM31"/>
  <c r="AM30"/>
  <c r="AM29"/>
  <c r="AM28"/>
  <c r="AM26"/>
  <c r="AM25"/>
  <c r="AM24"/>
  <c r="AM23"/>
  <c r="AM22"/>
  <c r="AM18"/>
  <c r="AM17"/>
  <c r="AM16"/>
  <c r="AM15"/>
  <c r="AM14"/>
  <c r="AM12"/>
  <c r="AM11"/>
  <c r="AM10"/>
  <c r="T33"/>
  <c r="T32"/>
  <c r="T31"/>
  <c r="T30"/>
  <c r="T29"/>
  <c r="T28"/>
  <c r="T26"/>
  <c r="T25"/>
  <c r="T24"/>
  <c r="T23"/>
  <c r="T22"/>
  <c r="T18"/>
  <c r="T17"/>
  <c r="T16"/>
  <c r="T15"/>
  <c r="T14"/>
  <c r="T12"/>
  <c r="T11"/>
  <c r="T10"/>
  <c r="AA10"/>
  <c r="DO74"/>
  <c r="DO73"/>
  <c r="DO72"/>
  <c r="DO71"/>
  <c r="DO70"/>
  <c r="DO69"/>
  <c r="DO68"/>
  <c r="DO67"/>
  <c r="DO66"/>
  <c r="DO65"/>
  <c r="DO64"/>
  <c r="DO63"/>
  <c r="DO62"/>
  <c r="DO61"/>
  <c r="DO60"/>
  <c r="DO59"/>
  <c r="DO58"/>
  <c r="DO57"/>
  <c r="DO56"/>
  <c r="DO55"/>
  <c r="DO54"/>
  <c r="DO53"/>
  <c r="DO52"/>
  <c r="DO51"/>
  <c r="DO50"/>
  <c r="DO49"/>
  <c r="DO48"/>
  <c r="DO47"/>
  <c r="DO46"/>
  <c r="DO45"/>
  <c r="DO44"/>
  <c r="DO43"/>
  <c r="DO42"/>
  <c r="DO41"/>
  <c r="U33"/>
  <c r="U32"/>
  <c r="U31"/>
  <c r="U30"/>
  <c r="U29"/>
  <c r="U28"/>
  <c r="U26"/>
  <c r="U25"/>
  <c r="U24"/>
  <c r="U23"/>
  <c r="U22"/>
  <c r="U18"/>
  <c r="U17"/>
  <c r="U16"/>
  <c r="U15"/>
  <c r="U14"/>
  <c r="U12"/>
  <c r="U11"/>
  <c r="U10"/>
  <c r="L10"/>
  <c r="AL10"/>
  <c r="AL33"/>
  <c r="AL32"/>
  <c r="AL31"/>
  <c r="AL30"/>
  <c r="AL29"/>
  <c r="AL28"/>
  <c r="AL26"/>
  <c r="AL25"/>
  <c r="AL24"/>
  <c r="AL23"/>
  <c r="AL22"/>
  <c r="AL18"/>
  <c r="AL17"/>
  <c r="AL16"/>
  <c r="AL15"/>
  <c r="AL14"/>
  <c r="AL12"/>
  <c r="AL11"/>
  <c r="AK10"/>
  <c r="AK33"/>
  <c r="AK32"/>
  <c r="AK31"/>
  <c r="AK30"/>
  <c r="AK29"/>
  <c r="AK28"/>
  <c r="AK26"/>
  <c r="AK25"/>
  <c r="AK24"/>
  <c r="AK23"/>
  <c r="AK22"/>
  <c r="AK18"/>
  <c r="AK17"/>
  <c r="AK16"/>
  <c r="AK15"/>
  <c r="AK14"/>
  <c r="AK12"/>
  <c r="AK11"/>
  <c r="AJ10"/>
  <c r="AJ33"/>
  <c r="AJ32"/>
  <c r="AJ31"/>
  <c r="AJ30"/>
  <c r="AJ29"/>
  <c r="AJ28"/>
  <c r="AJ26"/>
  <c r="AJ25"/>
  <c r="AJ24"/>
  <c r="AJ23"/>
  <c r="AJ22"/>
  <c r="AJ18"/>
  <c r="AJ17"/>
  <c r="AJ16"/>
  <c r="AJ15"/>
  <c r="AJ14"/>
  <c r="AJ12"/>
  <c r="AJ11"/>
  <c r="AI10"/>
  <c r="AT10" s="1"/>
  <c r="AI33"/>
  <c r="AT33" s="1"/>
  <c r="AI32"/>
  <c r="AT32" s="1"/>
  <c r="AI31"/>
  <c r="AT31" s="1"/>
  <c r="AI30"/>
  <c r="AT30" s="1"/>
  <c r="AI29"/>
  <c r="AT29" s="1"/>
  <c r="AI28"/>
  <c r="AT28" s="1"/>
  <c r="AI26"/>
  <c r="AT26" s="1"/>
  <c r="AI25"/>
  <c r="AT25" s="1"/>
  <c r="AI24"/>
  <c r="AT24" s="1"/>
  <c r="AI23"/>
  <c r="AT23" s="1"/>
  <c r="AI22"/>
  <c r="AT22" s="1"/>
  <c r="AI18"/>
  <c r="AT18" s="1"/>
  <c r="AI17"/>
  <c r="AT17" s="1"/>
  <c r="AI16"/>
  <c r="AT16" s="1"/>
  <c r="AI15"/>
  <c r="AT15" s="1"/>
  <c r="AI14"/>
  <c r="AT14" s="1"/>
  <c r="AI12"/>
  <c r="AT12" s="1"/>
  <c r="AI11"/>
  <c r="AT11" s="1"/>
  <c r="AG10"/>
  <c r="AH10"/>
  <c r="AH33"/>
  <c r="AH32"/>
  <c r="AH31"/>
  <c r="AH30"/>
  <c r="AH29"/>
  <c r="AH28"/>
  <c r="AH26"/>
  <c r="AH25"/>
  <c r="AH24"/>
  <c r="AH23"/>
  <c r="AH22"/>
  <c r="AH18"/>
  <c r="AH17"/>
  <c r="AH16"/>
  <c r="AH15"/>
  <c r="AH14"/>
  <c r="AH12"/>
  <c r="AH11"/>
  <c r="AG33"/>
  <c r="AG32"/>
  <c r="AG31"/>
  <c r="AG30"/>
  <c r="AG22"/>
  <c r="AG17"/>
  <c r="AG15"/>
  <c r="AF10"/>
  <c r="AF33"/>
  <c r="AF32"/>
  <c r="AF31"/>
  <c r="AF30"/>
  <c r="AF29"/>
  <c r="AF28"/>
  <c r="AF26"/>
  <c r="AF25"/>
  <c r="AF24"/>
  <c r="AF23"/>
  <c r="AF22"/>
  <c r="AF18"/>
  <c r="AF17"/>
  <c r="AF16"/>
  <c r="AF15"/>
  <c r="AF14"/>
  <c r="AF12"/>
  <c r="AF11"/>
  <c r="AE10"/>
  <c r="AE33"/>
  <c r="AE32"/>
  <c r="AE31"/>
  <c r="AE30"/>
  <c r="AE29"/>
  <c r="AE28"/>
  <c r="AE26"/>
  <c r="AE25"/>
  <c r="AE24"/>
  <c r="AE23"/>
  <c r="AE22"/>
  <c r="AE18"/>
  <c r="AE17"/>
  <c r="AE16"/>
  <c r="AE15"/>
  <c r="AE14"/>
  <c r="AE12"/>
  <c r="AE11"/>
  <c r="AD10"/>
  <c r="AD33"/>
  <c r="AD32"/>
  <c r="AD31"/>
  <c r="AD30"/>
  <c r="AD29"/>
  <c r="AD28"/>
  <c r="AD26"/>
  <c r="AD25"/>
  <c r="AD24"/>
  <c r="AD23"/>
  <c r="AD22"/>
  <c r="AD18"/>
  <c r="AD17"/>
  <c r="AD16"/>
  <c r="AD15"/>
  <c r="AD14"/>
  <c r="AD12"/>
  <c r="AD11"/>
  <c r="AB10"/>
  <c r="AC10" s="1"/>
  <c r="AB33"/>
  <c r="AC33" s="1"/>
  <c r="AB32"/>
  <c r="AC32" s="1"/>
  <c r="AB31"/>
  <c r="AB30"/>
  <c r="AC30" s="1"/>
  <c r="AB29"/>
  <c r="AC29" s="1"/>
  <c r="AB28"/>
  <c r="AC28" s="1"/>
  <c r="AB26"/>
  <c r="AC26" s="1"/>
  <c r="AB25"/>
  <c r="AC25" s="1"/>
  <c r="AB24"/>
  <c r="AC24" s="1"/>
  <c r="AB23"/>
  <c r="AC23" s="1"/>
  <c r="AB22"/>
  <c r="AB18"/>
  <c r="AC18" s="1"/>
  <c r="AB17"/>
  <c r="AC17" s="1"/>
  <c r="AB16"/>
  <c r="AC16" s="1"/>
  <c r="AB15"/>
  <c r="AC15" s="1"/>
  <c r="AB14"/>
  <c r="AC14" s="1"/>
  <c r="AB12"/>
  <c r="AC12" s="1"/>
  <c r="AB11"/>
  <c r="AC11" s="1"/>
  <c r="AA33"/>
  <c r="AA32"/>
  <c r="AA31"/>
  <c r="AA30"/>
  <c r="AA29"/>
  <c r="AA28"/>
  <c r="AA26"/>
  <c r="AA25"/>
  <c r="AA24"/>
  <c r="AA23"/>
  <c r="AA22"/>
  <c r="AA18"/>
  <c r="AA17"/>
  <c r="AA16"/>
  <c r="AA15"/>
  <c r="AA14"/>
  <c r="AA12"/>
  <c r="AA11"/>
  <c r="EA6" s="1"/>
  <c r="Z10"/>
  <c r="Z33"/>
  <c r="DO40" s="1"/>
  <c r="Z32"/>
  <c r="DO39" s="1"/>
  <c r="Z31"/>
  <c r="DO38" s="1"/>
  <c r="Z30"/>
  <c r="DO37" s="1"/>
  <c r="Z29"/>
  <c r="DO36" s="1"/>
  <c r="Z28"/>
  <c r="DO35" s="1"/>
  <c r="Z26"/>
  <c r="DO33" s="1"/>
  <c r="Z25"/>
  <c r="DO32" s="1"/>
  <c r="Z24"/>
  <c r="DO31" s="1"/>
  <c r="Z23"/>
  <c r="DO30" s="1"/>
  <c r="Z22"/>
  <c r="DO29" s="1"/>
  <c r="Z18"/>
  <c r="DO25" s="1"/>
  <c r="Z17"/>
  <c r="DO24" s="1"/>
  <c r="Z16"/>
  <c r="DO23" s="1"/>
  <c r="Z15"/>
  <c r="Z14"/>
  <c r="Z12"/>
  <c r="Z11"/>
  <c r="R10"/>
  <c r="F10"/>
  <c r="V10"/>
  <c r="V33"/>
  <c r="V32"/>
  <c r="V31"/>
  <c r="V30"/>
  <c r="V29"/>
  <c r="V28"/>
  <c r="V26"/>
  <c r="V25"/>
  <c r="V24"/>
  <c r="V23"/>
  <c r="V22"/>
  <c r="V18"/>
  <c r="V17"/>
  <c r="V16"/>
  <c r="V15"/>
  <c r="V14"/>
  <c r="V12"/>
  <c r="V11"/>
  <c r="S10"/>
  <c r="S33"/>
  <c r="S32"/>
  <c r="S31"/>
  <c r="S30"/>
  <c r="S29"/>
  <c r="S28"/>
  <c r="S26"/>
  <c r="S25"/>
  <c r="S24"/>
  <c r="S23"/>
  <c r="S22"/>
  <c r="S18"/>
  <c r="S17"/>
  <c r="S16"/>
  <c r="S15"/>
  <c r="S14"/>
  <c r="S12"/>
  <c r="S11"/>
  <c r="P10"/>
  <c r="Q10"/>
  <c r="R33"/>
  <c r="R32"/>
  <c r="R31"/>
  <c r="R30"/>
  <c r="R29"/>
  <c r="R28"/>
  <c r="R26"/>
  <c r="R25"/>
  <c r="R24"/>
  <c r="R23"/>
  <c r="R22"/>
  <c r="R18"/>
  <c r="R17"/>
  <c r="R16"/>
  <c r="R15"/>
  <c r="R14"/>
  <c r="R12"/>
  <c r="R11"/>
  <c r="Q33"/>
  <c r="Q32"/>
  <c r="Q31"/>
  <c r="Q30"/>
  <c r="Q29"/>
  <c r="Q28"/>
  <c r="Q26"/>
  <c r="Q25"/>
  <c r="Q24"/>
  <c r="Q23"/>
  <c r="Q22"/>
  <c r="Q18"/>
  <c r="Q17"/>
  <c r="Q16"/>
  <c r="Q15"/>
  <c r="Q14"/>
  <c r="Q12"/>
  <c r="Q11"/>
  <c r="P33"/>
  <c r="P32"/>
  <c r="P31"/>
  <c r="P30"/>
  <c r="P29"/>
  <c r="P28"/>
  <c r="P26"/>
  <c r="P25"/>
  <c r="P24"/>
  <c r="P23"/>
  <c r="P22"/>
  <c r="P18"/>
  <c r="P17"/>
  <c r="P16"/>
  <c r="P15"/>
  <c r="P14"/>
  <c r="P12"/>
  <c r="P11"/>
  <c r="O10"/>
  <c r="O33"/>
  <c r="O32"/>
  <c r="O31"/>
  <c r="O30"/>
  <c r="O29"/>
  <c r="O28"/>
  <c r="O26"/>
  <c r="O25"/>
  <c r="O24"/>
  <c r="O23"/>
  <c r="O22"/>
  <c r="O18"/>
  <c r="O17"/>
  <c r="O16"/>
  <c r="O15"/>
  <c r="O14"/>
  <c r="O12"/>
  <c r="O11"/>
  <c r="N10"/>
  <c r="N33"/>
  <c r="N32"/>
  <c r="N31"/>
  <c r="N30"/>
  <c r="N29"/>
  <c r="N28"/>
  <c r="N26"/>
  <c r="N25"/>
  <c r="N24"/>
  <c r="N23"/>
  <c r="N22"/>
  <c r="N18"/>
  <c r="N17"/>
  <c r="N16"/>
  <c r="N15"/>
  <c r="N14"/>
  <c r="N12"/>
  <c r="N11"/>
  <c r="M10"/>
  <c r="M33"/>
  <c r="M32"/>
  <c r="M31"/>
  <c r="M30"/>
  <c r="M29"/>
  <c r="M28"/>
  <c r="M26"/>
  <c r="M25"/>
  <c r="M24"/>
  <c r="M23"/>
  <c r="M22"/>
  <c r="M18"/>
  <c r="M17"/>
  <c r="M16"/>
  <c r="M15"/>
  <c r="M14"/>
  <c r="M12"/>
  <c r="M11"/>
  <c r="L33"/>
  <c r="L32"/>
  <c r="L31"/>
  <c r="L30"/>
  <c r="L29"/>
  <c r="L28"/>
  <c r="L26"/>
  <c r="L25"/>
  <c r="L24"/>
  <c r="L23"/>
  <c r="L22"/>
  <c r="L18"/>
  <c r="L17"/>
  <c r="L16"/>
  <c r="L15"/>
  <c r="L14"/>
  <c r="L12"/>
  <c r="L11"/>
  <c r="K10"/>
  <c r="K33"/>
  <c r="K32"/>
  <c r="K31"/>
  <c r="K30"/>
  <c r="K29"/>
  <c r="K28"/>
  <c r="K26"/>
  <c r="K25"/>
  <c r="K24"/>
  <c r="K23"/>
  <c r="K22"/>
  <c r="K18"/>
  <c r="K17"/>
  <c r="K16"/>
  <c r="K15"/>
  <c r="K14"/>
  <c r="K12"/>
  <c r="K11"/>
  <c r="I10"/>
  <c r="I33"/>
  <c r="I32"/>
  <c r="I31"/>
  <c r="I30"/>
  <c r="I29"/>
  <c r="I28"/>
  <c r="I26"/>
  <c r="I25"/>
  <c r="I24"/>
  <c r="I23"/>
  <c r="I22"/>
  <c r="I18"/>
  <c r="I17"/>
  <c r="I16"/>
  <c r="I15"/>
  <c r="I14"/>
  <c r="I12"/>
  <c r="I11"/>
  <c r="H10"/>
  <c r="H33"/>
  <c r="H32"/>
  <c r="H31"/>
  <c r="H30"/>
  <c r="H29"/>
  <c r="H28"/>
  <c r="H26"/>
  <c r="H25"/>
  <c r="H24"/>
  <c r="H23"/>
  <c r="H22"/>
  <c r="H18"/>
  <c r="H17"/>
  <c r="H16"/>
  <c r="H15"/>
  <c r="H14"/>
  <c r="H12"/>
  <c r="H11"/>
  <c r="AR32" l="1"/>
  <c r="AY10"/>
  <c r="AN16"/>
  <c r="AN28"/>
  <c r="AP12"/>
  <c r="AQ12" s="1"/>
  <c r="AP24"/>
  <c r="AQ24" s="1"/>
  <c r="AP33"/>
  <c r="AQ33" s="1"/>
  <c r="AR12"/>
  <c r="AR24"/>
  <c r="AW10"/>
  <c r="AP17"/>
  <c r="AQ17" s="1"/>
  <c r="AP29"/>
  <c r="AQ29" s="1"/>
  <c r="AS14"/>
  <c r="AS25"/>
  <c r="AR10"/>
  <c r="AR33"/>
  <c r="AS11"/>
  <c r="AR23"/>
  <c r="AS32"/>
  <c r="AR25"/>
  <c r="AN15"/>
  <c r="AN26"/>
  <c r="AO26" s="1"/>
  <c r="AP14"/>
  <c r="AQ14" s="1"/>
  <c r="AP25"/>
  <c r="AQ25" s="1"/>
  <c r="AN10"/>
  <c r="AO10" s="1"/>
  <c r="AR14"/>
  <c r="AR18"/>
  <c r="AR30"/>
  <c r="AR11"/>
  <c r="AS23"/>
  <c r="AP11"/>
  <c r="AQ11" s="1"/>
  <c r="AP23"/>
  <c r="AQ23" s="1"/>
  <c r="AN32"/>
  <c r="AO32" s="1"/>
  <c r="AR17"/>
  <c r="AR29"/>
  <c r="AR16"/>
  <c r="AR28"/>
  <c r="AP18"/>
  <c r="AQ18" s="1"/>
  <c r="AP30"/>
  <c r="AQ30" s="1"/>
  <c r="AS10"/>
  <c r="AP10"/>
  <c r="AQ10" s="1"/>
  <c r="AS18"/>
  <c r="AS30"/>
  <c r="AN14"/>
  <c r="AO14" s="1"/>
  <c r="AN25"/>
  <c r="AO25" s="1"/>
  <c r="AS17"/>
  <c r="AS29"/>
  <c r="AN12"/>
  <c r="AO12" s="1"/>
  <c r="AN24"/>
  <c r="AO24" s="1"/>
  <c r="AN33"/>
  <c r="AS16"/>
  <c r="AS28"/>
  <c r="AN11"/>
  <c r="AN23"/>
  <c r="AO23" s="1"/>
  <c r="AP16"/>
  <c r="AQ16" s="1"/>
  <c r="AP28"/>
  <c r="AQ28" s="1"/>
  <c r="AS15"/>
  <c r="AS26"/>
  <c r="AP15"/>
  <c r="AQ15" s="1"/>
  <c r="AP26"/>
  <c r="AQ26" s="1"/>
  <c r="AN18"/>
  <c r="AO18" s="1"/>
  <c r="AN30"/>
  <c r="AO30" s="1"/>
  <c r="AS12"/>
  <c r="AS24"/>
  <c r="AS33"/>
  <c r="AN17"/>
  <c r="AN29"/>
  <c r="AR15"/>
  <c r="AR26"/>
  <c r="AP32"/>
  <c r="AQ32" s="1"/>
  <c r="X18"/>
  <c r="X30"/>
  <c r="X17"/>
  <c r="X29"/>
  <c r="X15"/>
  <c r="X26"/>
  <c r="X11"/>
  <c r="X23"/>
  <c r="X32"/>
  <c r="X22"/>
  <c r="X31"/>
  <c r="X10"/>
  <c r="AX14"/>
  <c r="AX25"/>
  <c r="AX12"/>
  <c r="AX24"/>
  <c r="AX26"/>
  <c r="AX11"/>
  <c r="AX23"/>
  <c r="AX18"/>
  <c r="AX29"/>
  <c r="AX16"/>
  <c r="AX28"/>
  <c r="AC31"/>
  <c r="AP31" s="1"/>
  <c r="AQ31" s="1"/>
  <c r="AC22"/>
  <c r="AP22" s="1"/>
  <c r="AQ22" s="1"/>
  <c r="AO29"/>
  <c r="AO16"/>
  <c r="AO28"/>
  <c r="AX10"/>
  <c r="AX22"/>
  <c r="AX31"/>
  <c r="AX32"/>
  <c r="AX30"/>
  <c r="AX17"/>
  <c r="AX15"/>
  <c r="AX33"/>
  <c r="X14"/>
  <c r="X25"/>
  <c r="X12"/>
  <c r="X24"/>
  <c r="X33"/>
  <c r="W10"/>
  <c r="X16"/>
  <c r="X28"/>
  <c r="EX6"/>
  <c r="AN31" l="1"/>
  <c r="AR31"/>
  <c r="AS22"/>
  <c r="AN22"/>
  <c r="AR22"/>
  <c r="AS31"/>
  <c r="W25"/>
  <c r="W14"/>
  <c r="AY30"/>
  <c r="AY25"/>
  <c r="AY18"/>
  <c r="AY14"/>
  <c r="AW32"/>
  <c r="AW29"/>
  <c r="AW28"/>
  <c r="AW26"/>
  <c r="AW25"/>
  <c r="AW23"/>
  <c r="AW17"/>
  <c r="AW16"/>
  <c r="AW15"/>
  <c r="AW14"/>
  <c r="EW6"/>
  <c r="EV6"/>
  <c r="EU6"/>
  <c r="ET6"/>
  <c r="ES6"/>
  <c r="BA33" s="1"/>
  <c r="ER6"/>
  <c r="BA32" s="1"/>
  <c r="EP6"/>
  <c r="EO6"/>
  <c r="BA29" s="1"/>
  <c r="EN6"/>
  <c r="BA28" s="1"/>
  <c r="EM6"/>
  <c r="BA26" s="1"/>
  <c r="EL6"/>
  <c r="BA25" s="1"/>
  <c r="EH6"/>
  <c r="EG6"/>
  <c r="BA17" s="1"/>
  <c r="EF6"/>
  <c r="BA16" s="1"/>
  <c r="EE6"/>
  <c r="ED6"/>
  <c r="EB6"/>
  <c r="DO22"/>
  <c r="DO20"/>
  <c r="W24"/>
  <c r="AO11"/>
  <c r="AA13"/>
  <c r="EC6" s="1"/>
  <c r="AA19"/>
  <c r="EI6" s="1"/>
  <c r="AA20"/>
  <c r="EJ6" s="1"/>
  <c r="AA21"/>
  <c r="EK6" s="1"/>
  <c r="BA24" s="1"/>
  <c r="AA27"/>
  <c r="EQ6" s="1"/>
  <c r="BA31" s="1"/>
  <c r="H13"/>
  <c r="H19"/>
  <c r="H20"/>
  <c r="H21"/>
  <c r="H27"/>
  <c r="W13"/>
  <c r="W18"/>
  <c r="W19"/>
  <c r="W20"/>
  <c r="W21"/>
  <c r="W27"/>
  <c r="X27"/>
  <c r="X21"/>
  <c r="X20"/>
  <c r="X19"/>
  <c r="X13"/>
  <c r="Z27"/>
  <c r="DO34" s="1"/>
  <c r="BA30" s="1"/>
  <c r="Z21"/>
  <c r="DO28" s="1"/>
  <c r="Z20"/>
  <c r="Z19"/>
  <c r="DO26" s="1"/>
  <c r="Z13"/>
  <c r="DO21" s="1"/>
  <c r="AB27"/>
  <c r="AW27" s="1"/>
  <c r="AB21"/>
  <c r="AW21" s="1"/>
  <c r="AB20"/>
  <c r="AW20" s="1"/>
  <c r="AB19"/>
  <c r="AW19" s="1"/>
  <c r="AB13"/>
  <c r="AW13" s="1"/>
  <c r="AE27"/>
  <c r="AE21"/>
  <c r="AE20"/>
  <c r="AE19"/>
  <c r="AE13"/>
  <c r="AF27"/>
  <c r="AF21"/>
  <c r="AF20"/>
  <c r="AF19"/>
  <c r="AF13"/>
  <c r="AG19"/>
  <c r="AH27"/>
  <c r="AX27" s="1"/>
  <c r="AH21"/>
  <c r="AX21" s="1"/>
  <c r="AH20"/>
  <c r="AX20" s="1"/>
  <c r="AH13"/>
  <c r="AX13" s="1"/>
  <c r="AH19"/>
  <c r="AD27"/>
  <c r="AY27" s="1"/>
  <c r="AD21"/>
  <c r="AY21" s="1"/>
  <c r="AD20"/>
  <c r="AY20" s="1"/>
  <c r="AD19"/>
  <c r="AY19" s="1"/>
  <c r="AD13"/>
  <c r="AY13" s="1"/>
  <c r="AL27"/>
  <c r="AL21"/>
  <c r="AL20"/>
  <c r="AL19"/>
  <c r="AL13"/>
  <c r="AK27"/>
  <c r="AR27" s="1"/>
  <c r="AK21"/>
  <c r="AR21" s="1"/>
  <c r="AK20"/>
  <c r="AR20" s="1"/>
  <c r="AK19"/>
  <c r="AR19" s="1"/>
  <c r="AK13"/>
  <c r="AS13" s="1"/>
  <c r="AJ27"/>
  <c r="AN27" s="1"/>
  <c r="AO27" s="1"/>
  <c r="AJ21"/>
  <c r="AP21" s="1"/>
  <c r="AQ21" s="1"/>
  <c r="AJ20"/>
  <c r="AP20" s="1"/>
  <c r="AQ20" s="1"/>
  <c r="AJ19"/>
  <c r="AN19" s="1"/>
  <c r="AO19" s="1"/>
  <c r="AJ13"/>
  <c r="AN13" s="1"/>
  <c r="AO13" s="1"/>
  <c r="AI19"/>
  <c r="AT19" s="1"/>
  <c r="AI27"/>
  <c r="AT27" s="1"/>
  <c r="AI21"/>
  <c r="AT21" s="1"/>
  <c r="AI20"/>
  <c r="AT20" s="1"/>
  <c r="AI13"/>
  <c r="AT13" s="1"/>
  <c r="CL8"/>
  <c r="BA18" l="1"/>
  <c r="BA15"/>
  <c r="BA12"/>
  <c r="BA23"/>
  <c r="BA14"/>
  <c r="AG20"/>
  <c r="AG23"/>
  <c r="AG11"/>
  <c r="AG24"/>
  <c r="AG12"/>
  <c r="AG25"/>
  <c r="AG14"/>
  <c r="AG26"/>
  <c r="AG28"/>
  <c r="AG16"/>
  <c r="AG29"/>
  <c r="AG18"/>
  <c r="AW18"/>
  <c r="AW30"/>
  <c r="W23"/>
  <c r="AY12"/>
  <c r="AY24"/>
  <c r="AY33"/>
  <c r="W29"/>
  <c r="AW12"/>
  <c r="AW24"/>
  <c r="AW33"/>
  <c r="DO19"/>
  <c r="DO27"/>
  <c r="BA22" s="1"/>
  <c r="W12"/>
  <c r="W33"/>
  <c r="W22"/>
  <c r="W31"/>
  <c r="AW22"/>
  <c r="AW31"/>
  <c r="AY17"/>
  <c r="AY29"/>
  <c r="AY26"/>
  <c r="AY16"/>
  <c r="AY15"/>
  <c r="W30"/>
  <c r="AY23"/>
  <c r="AY32"/>
  <c r="W32"/>
  <c r="AY22"/>
  <c r="AY31"/>
  <c r="AY28"/>
  <c r="AY11"/>
  <c r="W17"/>
  <c r="W16"/>
  <c r="W28"/>
  <c r="W15"/>
  <c r="W26"/>
  <c r="W11"/>
  <c r="AW11"/>
  <c r="BA13"/>
  <c r="BA20"/>
  <c r="BA27"/>
  <c r="BA19"/>
  <c r="BA21"/>
  <c r="AX19"/>
  <c r="AG21"/>
  <c r="BC19"/>
  <c r="AN20"/>
  <c r="AO20" s="1"/>
  <c r="AG13"/>
  <c r="AG27"/>
  <c r="BC27"/>
  <c r="AZ27"/>
  <c r="BC21"/>
  <c r="BC20"/>
  <c r="AZ19"/>
  <c r="AZ13"/>
  <c r="AZ21"/>
  <c r="AZ20"/>
  <c r="BC13"/>
  <c r="AS20"/>
  <c r="AS27"/>
  <c r="AS21"/>
  <c r="AS19"/>
  <c r="AR13"/>
  <c r="AN21"/>
  <c r="AO21" s="1"/>
  <c r="AP19"/>
  <c r="AQ19" s="1"/>
  <c r="AP13"/>
  <c r="AQ13" s="1"/>
  <c r="AP27"/>
  <c r="AQ27" s="1"/>
  <c r="BA10" l="1"/>
  <c r="BA11"/>
  <c r="BB31" s="1"/>
  <c r="BD32"/>
  <c r="BD16"/>
  <c r="BD23"/>
  <c r="BD26"/>
  <c r="BD25"/>
  <c r="BD28"/>
  <c r="BD12"/>
  <c r="BD14"/>
  <c r="BD30"/>
  <c r="BD18"/>
  <c r="BD11"/>
  <c r="BD24"/>
  <c r="BD29"/>
  <c r="BB20"/>
  <c r="BB13"/>
  <c r="BD21"/>
  <c r="BD19"/>
  <c r="BD13"/>
  <c r="BD27"/>
  <c r="BD20"/>
  <c r="BB18" l="1"/>
  <c r="BB14"/>
  <c r="BB30"/>
  <c r="BB17"/>
  <c r="BB24"/>
  <c r="BB32"/>
  <c r="BB23"/>
  <c r="BB15"/>
  <c r="BB28"/>
  <c r="BB22"/>
  <c r="BB16"/>
  <c r="BB29"/>
  <c r="BB25"/>
  <c r="BB11"/>
  <c r="BB12"/>
  <c r="BB33"/>
  <c r="BB26"/>
  <c r="BB27"/>
  <c r="BB19"/>
  <c r="BB21"/>
  <c r="AO15"/>
  <c r="BD15" s="1"/>
  <c r="AO31"/>
  <c r="BD31" s="1"/>
  <c r="AO22"/>
  <c r="BD22" s="1"/>
  <c r="AO17"/>
  <c r="BD17" s="1"/>
  <c r="AO33"/>
  <c r="BD33" s="1"/>
</calcChain>
</file>

<file path=xl/sharedStrings.xml><?xml version="1.0" encoding="utf-8"?>
<sst xmlns="http://schemas.openxmlformats.org/spreadsheetml/2006/main" count="517" uniqueCount="203">
  <si>
    <t>L1</t>
  </si>
  <si>
    <t>REP.9</t>
  </si>
  <si>
    <t>REP.11</t>
  </si>
  <si>
    <t>REP.13</t>
  </si>
  <si>
    <t>REP.18</t>
  </si>
  <si>
    <t>OK</t>
  </si>
  <si>
    <t>EI 111/A4b R5</t>
  </si>
  <si>
    <t>TUBE/BRIDE</t>
  </si>
  <si>
    <t>EI 141/A2 R4</t>
  </si>
  <si>
    <t>EI 111/A1b R3</t>
  </si>
  <si>
    <t>VALIDATION</t>
  </si>
  <si>
    <t xml:space="preserve">PLAQUE RENFORT OU GOUSSET </t>
  </si>
  <si>
    <t xml:space="preserve">POINTAGE PIQUAGE </t>
  </si>
  <si>
    <t>DMOS</t>
  </si>
  <si>
    <t>QMOS</t>
  </si>
  <si>
    <t>EN-SA-21-0255</t>
  </si>
  <si>
    <t>EN-SE-16-0621</t>
  </si>
  <si>
    <t>EN-SA-18-0436</t>
  </si>
  <si>
    <t>WPQR-FR-22-0139-V1</t>
  </si>
  <si>
    <t>WPQR-FR-22-0141-V1</t>
  </si>
  <si>
    <t xml:space="preserve"> TUBE /TUBE</t>
  </si>
  <si>
    <t>CORPS/ TUBE</t>
  </si>
  <si>
    <t xml:space="preserve">QMOS </t>
  </si>
  <si>
    <t>QS</t>
  </si>
  <si>
    <t>EI 121/B1 R3</t>
  </si>
  <si>
    <t>REP.6</t>
  </si>
  <si>
    <t>REP.7.1</t>
  </si>
  <si>
    <t>REP.7.2</t>
  </si>
  <si>
    <t>8.1</t>
  </si>
  <si>
    <t>MAHDOUL</t>
  </si>
  <si>
    <t>QP-S826063-2791-1-220303</t>
  </si>
  <si>
    <t>NOM</t>
  </si>
  <si>
    <t>REP.16</t>
  </si>
  <si>
    <t>REP.24</t>
  </si>
  <si>
    <t>EI 111/A7 R2</t>
  </si>
  <si>
    <t>EN-SE-15-0454</t>
  </si>
  <si>
    <t>REP.8.1</t>
  </si>
  <si>
    <t>REP.7.3</t>
  </si>
  <si>
    <t>REP.8.2</t>
  </si>
  <si>
    <t>REP.8.3</t>
  </si>
  <si>
    <t>REP.17.1</t>
  </si>
  <si>
    <t>REP.17.3</t>
  </si>
  <si>
    <t>OK                                                  OK</t>
  </si>
  <si>
    <t>N° DE QMOS</t>
  </si>
  <si>
    <t>ep. piquage B mm</t>
  </si>
  <si>
    <t>ep. piquage A mm</t>
  </si>
  <si>
    <t>ø piquage mm</t>
  </si>
  <si>
    <t>Validité ép. B</t>
  </si>
  <si>
    <t>Validité ép. A mm</t>
  </si>
  <si>
    <t>mm</t>
  </si>
  <si>
    <t>EPAISSEUR VIROLE A</t>
  </si>
  <si>
    <t>N° DMOS</t>
  </si>
  <si>
    <t xml:space="preserve">valeur mini </t>
  </si>
  <si>
    <t xml:space="preserve">valeur maxi </t>
  </si>
  <si>
    <t>Position</t>
  </si>
  <si>
    <t>PB</t>
  </si>
  <si>
    <t>Position de soudage</t>
  </si>
  <si>
    <t xml:space="preserve">Essai de flexion par choc </t>
  </si>
  <si>
    <t>Essai de durete</t>
  </si>
  <si>
    <t>non</t>
  </si>
  <si>
    <t>Procede</t>
  </si>
  <si>
    <t>Procédé de soudage</t>
  </si>
  <si>
    <t>Type de soudure</t>
  </si>
  <si>
    <t>en angle</t>
  </si>
  <si>
    <t xml:space="preserve">Type de soudure </t>
  </si>
  <si>
    <t>Nombre de passe</t>
  </si>
  <si>
    <t>multipasse</t>
  </si>
  <si>
    <t>monopasse</t>
  </si>
  <si>
    <t>Nbre de passe</t>
  </si>
  <si>
    <r>
      <t xml:space="preserve"> </t>
    </r>
    <r>
      <rPr>
        <sz val="11"/>
        <color theme="1"/>
        <rFont val="Calibri"/>
        <family val="2"/>
      </rPr>
      <t>øø</t>
    </r>
    <r>
      <rPr>
        <sz val="11"/>
        <color theme="1"/>
        <rFont val="Calibri"/>
        <family val="2"/>
        <scheme val="minor"/>
      </rPr>
      <t>Metal d'apport</t>
    </r>
  </si>
  <si>
    <t>ømétal d'apport</t>
  </si>
  <si>
    <t>PF</t>
  </si>
  <si>
    <t>141/111</t>
  </si>
  <si>
    <t>2/2,5</t>
  </si>
  <si>
    <t>PH</t>
  </si>
  <si>
    <t>Groupe de matériau</t>
  </si>
  <si>
    <t>Validation sur dimensions</t>
  </si>
  <si>
    <t>Validation sur position de soudure</t>
  </si>
  <si>
    <t>Validation sur procédé</t>
  </si>
  <si>
    <t>Validation sur diametre métal d'apport</t>
  </si>
  <si>
    <t>Validation sur Nbre de passes</t>
  </si>
  <si>
    <t>Validation sur type de soudure</t>
  </si>
  <si>
    <t>8758-06-EN</t>
  </si>
  <si>
    <t>diametre mm</t>
  </si>
  <si>
    <t>Epaisseur mm</t>
  </si>
  <si>
    <t xml:space="preserve">PLAN </t>
  </si>
  <si>
    <t>Procede de soudage</t>
  </si>
  <si>
    <t>Nombre de passes</t>
  </si>
  <si>
    <t>EI 141/A14b R2</t>
  </si>
  <si>
    <t>PA + PB</t>
  </si>
  <si>
    <t>Bout à bout pleine penetration</t>
  </si>
  <si>
    <t>en angle et bout à bout penetration partielle</t>
  </si>
  <si>
    <t>VALIDATION epaisseur piquage</t>
  </si>
  <si>
    <r>
      <t xml:space="preserve">VALIDATION </t>
    </r>
    <r>
      <rPr>
        <sz val="11"/>
        <color theme="1"/>
        <rFont val="Calibri"/>
        <family val="2"/>
      </rPr>
      <t>ø</t>
    </r>
    <r>
      <rPr>
        <sz val="11"/>
        <color theme="1"/>
        <rFont val="Calibri"/>
        <family val="2"/>
        <scheme val="minor"/>
      </rPr>
      <t xml:space="preserve"> piquage</t>
    </r>
  </si>
  <si>
    <t>Valeur mini</t>
  </si>
  <si>
    <t>ø piquage</t>
  </si>
  <si>
    <r>
      <t xml:space="preserve">Validité </t>
    </r>
    <r>
      <rPr>
        <sz val="11"/>
        <color theme="1"/>
        <rFont val="Calibri"/>
        <family val="2"/>
      </rPr>
      <t>ø tube et piquages</t>
    </r>
  </si>
  <si>
    <t>111/111</t>
  </si>
  <si>
    <t>141/141</t>
  </si>
  <si>
    <t>epaisseur  A mm</t>
  </si>
  <si>
    <t>epaisseur B mm</t>
  </si>
  <si>
    <t>1.1</t>
  </si>
  <si>
    <t>1.1
2.1</t>
  </si>
  <si>
    <t>1.1
2.1
2.2</t>
  </si>
  <si>
    <t>1.1
2.1
3.1</t>
  </si>
  <si>
    <t>1.1
2.1
2.2
3.1
3.2</t>
  </si>
  <si>
    <t>1.1
2.1
2.2
3.1
3.2
3.3</t>
  </si>
  <si>
    <t>4.1</t>
  </si>
  <si>
    <t>4.1
4.2</t>
  </si>
  <si>
    <t>4.1
4.2
4.3</t>
  </si>
  <si>
    <t>4.1
4.2
4.3
4.4</t>
  </si>
  <si>
    <t>5.1</t>
  </si>
  <si>
    <t>5.2</t>
  </si>
  <si>
    <t>5.3</t>
  </si>
  <si>
    <t>5.4</t>
  </si>
  <si>
    <t>5.1
5.2
5.5</t>
  </si>
  <si>
    <t>6.1</t>
  </si>
  <si>
    <t>6.1
6.2</t>
  </si>
  <si>
    <t>6.1
6.2
6.3</t>
  </si>
  <si>
    <t>6.1
6.2
6.3
6.4</t>
  </si>
  <si>
    <t>6.1
6.2
6.3
6.4
6.5</t>
  </si>
  <si>
    <t>6.1
6.2
6.3
6.4
6.5
6.6</t>
  </si>
  <si>
    <t>7.1</t>
  </si>
  <si>
    <t>7.1
7.2</t>
  </si>
  <si>
    <t>7.1
7.2
7.3</t>
  </si>
  <si>
    <t>7.4</t>
  </si>
  <si>
    <t>7.5</t>
  </si>
  <si>
    <t>7.5
7.6</t>
  </si>
  <si>
    <t>7.7</t>
  </si>
  <si>
    <t>8.1
8.2</t>
  </si>
  <si>
    <t>8.1
8.2
8.3</t>
  </si>
  <si>
    <t>8.4</t>
  </si>
  <si>
    <t>8.1
8.2
8.4
8.5
8.6</t>
  </si>
  <si>
    <t>8.7</t>
  </si>
  <si>
    <t>8.8</t>
  </si>
  <si>
    <t>9.1</t>
  </si>
  <si>
    <t>9.1
9.2</t>
  </si>
  <si>
    <t>9.1
9.2
9.3</t>
  </si>
  <si>
    <t>9.4</t>
  </si>
  <si>
    <t>9.5</t>
  </si>
  <si>
    <t>9.6</t>
  </si>
  <si>
    <t>9.7</t>
  </si>
  <si>
    <t>9.8</t>
  </si>
  <si>
    <t>9.9</t>
  </si>
  <si>
    <t>10.1</t>
  </si>
  <si>
    <t>10.1
10.2</t>
  </si>
  <si>
    <t>10.1
10.2
10.3</t>
  </si>
  <si>
    <t>10.4</t>
  </si>
  <si>
    <t>10.1
10.2
10.3
10.4
10.5
10.6</t>
  </si>
  <si>
    <t>10.1
10.2
10.4
10.6</t>
  </si>
  <si>
    <t>10.7</t>
  </si>
  <si>
    <t>10.8</t>
  </si>
  <si>
    <t>10.9</t>
  </si>
  <si>
    <t>10.10</t>
  </si>
  <si>
    <t>11.1
1.1</t>
  </si>
  <si>
    <t>11.1
11.2</t>
  </si>
  <si>
    <t>11.1
11.2
11.3</t>
  </si>
  <si>
    <t>11.4</t>
  </si>
  <si>
    <t>11.5</t>
  </si>
  <si>
    <t>11.6</t>
  </si>
  <si>
    <t>11.7</t>
  </si>
  <si>
    <t>11.8</t>
  </si>
  <si>
    <t>11.9</t>
  </si>
  <si>
    <t>11.10</t>
  </si>
  <si>
    <t>1.1
11.1
11.11</t>
  </si>
  <si>
    <t>CARACTERISTIQUES DES DMOS</t>
  </si>
  <si>
    <t>CARACTERISTIQUES DES QMOS</t>
  </si>
  <si>
    <t>Groupe de matériau 1</t>
  </si>
  <si>
    <t>Groupe de matériau 2</t>
  </si>
  <si>
    <t>Groupe de materiau 2</t>
  </si>
  <si>
    <t>Groupe de materiau 1</t>
  </si>
  <si>
    <t>domaine de validité (matériau A &amp; B)</t>
  </si>
  <si>
    <t>2.2</t>
  </si>
  <si>
    <t>3.2</t>
  </si>
  <si>
    <t>3.3</t>
  </si>
  <si>
    <t>4.4</t>
  </si>
  <si>
    <t>Groupe de materiau A</t>
  </si>
  <si>
    <t>Groupe de materiau B</t>
  </si>
  <si>
    <t>QP-S822950-2791-1-210603 + QP-S822950-2791-1-190110</t>
  </si>
  <si>
    <t>oui</t>
  </si>
  <si>
    <t>angle &lt;60°</t>
  </si>
  <si>
    <t>angle</t>
  </si>
  <si>
    <t>bout a bout</t>
  </si>
  <si>
    <t>angle et bout à bout</t>
  </si>
  <si>
    <t>Validation du groupe de materiau (A &amp; B)</t>
  </si>
  <si>
    <t>Validation groupe de materiau</t>
  </si>
  <si>
    <t>GROUPES DE MATERIAU POUR QMOS</t>
  </si>
  <si>
    <t>PA</t>
  </si>
  <si>
    <t>N/A</t>
  </si>
  <si>
    <t>121/121</t>
  </si>
  <si>
    <t>bout à bout pleine penetration</t>
  </si>
  <si>
    <t>3,2/4</t>
  </si>
  <si>
    <t>3,2/3,2</t>
  </si>
  <si>
    <t>1,6/2</t>
  </si>
  <si>
    <t xml:space="preserve"> øøMetal d'apport</t>
  </si>
  <si>
    <t>&lt;=150</t>
  </si>
  <si>
    <t>T° entre passe °C</t>
  </si>
  <si>
    <t>&lt;=100</t>
  </si>
  <si>
    <t>152/160</t>
  </si>
  <si>
    <t>Validation T° entre passe</t>
  </si>
  <si>
    <t>Type d'assemblage</t>
  </si>
  <si>
    <t xml:space="preserve">Type d'assemblage </t>
  </si>
  <si>
    <t>tube</t>
  </si>
</sst>
</file>

<file path=xl/styles.xml><?xml version="1.0" encoding="utf-8"?>
<styleSheet xmlns="http://schemas.openxmlformats.org/spreadsheetml/2006/main">
  <numFmts count="2">
    <numFmt numFmtId="164" formatCode="00.00"/>
    <numFmt numFmtId="165" formatCode="0.000"/>
  </numFmts>
  <fonts count="1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7"/>
      <color rgb="FF1F1F1F"/>
      <name val="Arial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202124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Lexend"/>
    </font>
    <font>
      <sz val="6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95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medium">
        <color auto="1"/>
      </bottom>
      <diagonal/>
    </border>
    <border>
      <left style="dashed">
        <color auto="1"/>
      </left>
      <right/>
      <top/>
      <bottom/>
      <diagonal/>
    </border>
    <border>
      <left style="dashed">
        <color auto="1"/>
      </left>
      <right style="thin">
        <color auto="1"/>
      </right>
      <top/>
      <bottom style="medium">
        <color auto="1"/>
      </bottom>
      <diagonal/>
    </border>
    <border>
      <left style="dashed">
        <color auto="1"/>
      </left>
      <right/>
      <top/>
      <bottom style="medium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thin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 style="medium">
        <color auto="1"/>
      </left>
      <right style="dashed">
        <color auto="1"/>
      </right>
      <top/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/>
      <diagonal/>
    </border>
    <border>
      <left style="dashed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medium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/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/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/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theme="1"/>
      </bottom>
      <diagonal/>
    </border>
    <border>
      <left/>
      <right style="medium">
        <color rgb="FFCCCCCC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rgb="FFCCCCCC"/>
      </left>
      <right style="medium">
        <color theme="1"/>
      </right>
      <top/>
      <bottom/>
      <diagonal/>
    </border>
    <border>
      <left style="medium">
        <color rgb="FFCCCCCC"/>
      </left>
      <right style="medium">
        <color theme="1"/>
      </right>
      <top/>
      <bottom style="medium">
        <color theme="1"/>
      </bottom>
      <diagonal/>
    </border>
    <border>
      <left style="medium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medium">
        <color auto="1"/>
      </right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/>
      <right style="dashed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42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2" borderId="0" xfId="0" applyFill="1" applyAlignment="1">
      <alignment horizontal="center"/>
    </xf>
    <xf numFmtId="0" fontId="0" fillId="0" borderId="4" xfId="0" applyBorder="1"/>
    <xf numFmtId="0" fontId="0" fillId="0" borderId="4" xfId="0" applyFill="1" applyBorder="1" applyAlignment="1">
      <alignment horizontal="center" vertical="center"/>
    </xf>
    <xf numFmtId="0" fontId="0" fillId="0" borderId="6" xfId="0" applyBorder="1"/>
    <xf numFmtId="0" fontId="0" fillId="0" borderId="1" xfId="0" applyBorder="1"/>
    <xf numFmtId="0" fontId="0" fillId="0" borderId="5" xfId="0" applyBorder="1"/>
    <xf numFmtId="0" fontId="0" fillId="0" borderId="3" xfId="0" applyBorder="1" applyAlignment="1">
      <alignment vertical="center"/>
    </xf>
    <xf numFmtId="0" fontId="0" fillId="0" borderId="4" xfId="0" applyFill="1" applyBorder="1"/>
    <xf numFmtId="0" fontId="0" fillId="0" borderId="10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Fill="1"/>
    <xf numFmtId="0" fontId="0" fillId="3" borderId="4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0" xfId="0" applyFill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/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 vertical="center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5" fillId="0" borderId="0" xfId="0" applyFont="1" applyAlignment="1"/>
    <xf numFmtId="0" fontId="0" fillId="0" borderId="22" xfId="0" applyBorder="1"/>
    <xf numFmtId="0" fontId="8" fillId="0" borderId="0" xfId="0" applyFont="1"/>
    <xf numFmtId="0" fontId="0" fillId="0" borderId="26" xfId="0" applyBorder="1" applyAlignment="1">
      <alignment horizontal="center" vertical="center"/>
    </xf>
    <xf numFmtId="0" fontId="0" fillId="0" borderId="26" xfId="0" applyBorder="1"/>
    <xf numFmtId="0" fontId="0" fillId="0" borderId="21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9" xfId="0" applyBorder="1"/>
    <xf numFmtId="0" fontId="6" fillId="2" borderId="19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6" fillId="2" borderId="9" xfId="0" applyFont="1" applyFill="1" applyBorder="1" applyAlignment="1">
      <alignment horizontal="center" vertical="center"/>
    </xf>
    <xf numFmtId="0" fontId="9" fillId="4" borderId="22" xfId="0" applyFont="1" applyFill="1" applyBorder="1" applyAlignment="1">
      <alignment horizontal="center" vertical="center"/>
    </xf>
    <xf numFmtId="0" fontId="9" fillId="4" borderId="26" xfId="0" applyFont="1" applyFill="1" applyBorder="1" applyAlignment="1">
      <alignment horizontal="center" vertical="center"/>
    </xf>
    <xf numFmtId="0" fontId="9" fillId="4" borderId="29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2" fontId="9" fillId="4" borderId="22" xfId="0" applyNumberFormat="1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9" fillId="0" borderId="40" xfId="0" applyFont="1" applyBorder="1" applyAlignment="1">
      <alignment horizontal="left" vertical="center"/>
    </xf>
    <xf numFmtId="0" fontId="9" fillId="0" borderId="39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2" fontId="9" fillId="0" borderId="41" xfId="0" applyNumberFormat="1" applyFont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3" borderId="44" xfId="0" applyFill="1" applyBorder="1" applyAlignment="1">
      <alignment horizontal="center" vertical="center"/>
    </xf>
    <xf numFmtId="0" fontId="0" fillId="0" borderId="39" xfId="0" applyBorder="1" applyAlignment="1">
      <alignment horizontal="left" vertical="center"/>
    </xf>
    <xf numFmtId="0" fontId="0" fillId="0" borderId="39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/>
    </xf>
    <xf numFmtId="0" fontId="0" fillId="0" borderId="45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0" borderId="46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center" vertical="center" wrapText="1"/>
    </xf>
    <xf numFmtId="0" fontId="0" fillId="0" borderId="39" xfId="0" applyFill="1" applyBorder="1"/>
    <xf numFmtId="0" fontId="2" fillId="0" borderId="39" xfId="0" applyFont="1" applyBorder="1"/>
    <xf numFmtId="0" fontId="0" fillId="0" borderId="45" xfId="0" applyFill="1" applyBorder="1"/>
    <xf numFmtId="0" fontId="0" fillId="0" borderId="46" xfId="0" applyFill="1" applyBorder="1"/>
    <xf numFmtId="0" fontId="0" fillId="0" borderId="44" xfId="0" applyFill="1" applyBorder="1"/>
    <xf numFmtId="0" fontId="0" fillId="0" borderId="44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 wrapText="1"/>
    </xf>
    <xf numFmtId="0" fontId="0" fillId="3" borderId="44" xfId="0" applyFill="1" applyBorder="1" applyAlignment="1">
      <alignment horizontal="center" vertical="center" wrapText="1"/>
    </xf>
    <xf numFmtId="0" fontId="0" fillId="0" borderId="46" xfId="0" applyFill="1" applyBorder="1" applyAlignment="1">
      <alignment horizontal="center" vertical="center"/>
    </xf>
    <xf numFmtId="0" fontId="0" fillId="0" borderId="44" xfId="0" applyBorder="1"/>
    <xf numFmtId="0" fontId="0" fillId="0" borderId="39" xfId="0" applyBorder="1" applyAlignment="1">
      <alignment vertical="center" wrapText="1"/>
    </xf>
    <xf numFmtId="0" fontId="0" fillId="0" borderId="40" xfId="0" applyBorder="1" applyAlignment="1">
      <alignment horizontal="left" vertical="center"/>
    </xf>
    <xf numFmtId="0" fontId="0" fillId="0" borderId="39" xfId="0" applyBorder="1" applyAlignment="1">
      <alignment wrapText="1"/>
    </xf>
    <xf numFmtId="0" fontId="0" fillId="0" borderId="40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 wrapText="1"/>
    </xf>
    <xf numFmtId="0" fontId="0" fillId="0" borderId="40" xfId="0" applyBorder="1" applyAlignment="1">
      <alignment horizontal="left" vertical="center" wrapText="1"/>
    </xf>
    <xf numFmtId="0" fontId="0" fillId="0" borderId="39" xfId="0" applyBorder="1" applyAlignment="1">
      <alignment horizontal="left" vertical="center" wrapText="1"/>
    </xf>
    <xf numFmtId="0" fontId="1" fillId="0" borderId="39" xfId="0" applyFont="1" applyFill="1" applyBorder="1"/>
    <xf numFmtId="0" fontId="0" fillId="0" borderId="45" xfId="0" applyFill="1" applyBorder="1" applyAlignment="1">
      <alignment horizontal="center" vertical="center"/>
    </xf>
    <xf numFmtId="0" fontId="0" fillId="0" borderId="40" xfId="0" applyFill="1" applyBorder="1"/>
    <xf numFmtId="0" fontId="1" fillId="0" borderId="39" xfId="0" applyFont="1" applyFill="1" applyBorder="1" applyAlignment="1">
      <alignment horizontal="center"/>
    </xf>
    <xf numFmtId="0" fontId="0" fillId="0" borderId="45" xfId="0" applyFill="1" applyBorder="1" applyAlignment="1">
      <alignment horizontal="center" vertical="center" wrapText="1"/>
    </xf>
    <xf numFmtId="0" fontId="3" fillId="0" borderId="39" xfId="0" applyFont="1" applyFill="1" applyBorder="1" applyAlignment="1">
      <alignment horizontal="center"/>
    </xf>
    <xf numFmtId="0" fontId="0" fillId="0" borderId="45" xfId="0" applyFill="1" applyBorder="1" applyAlignment="1">
      <alignment horizontal="left"/>
    </xf>
    <xf numFmtId="0" fontId="0" fillId="0" borderId="44" xfId="0" applyFill="1" applyBorder="1" applyAlignment="1">
      <alignment horizontal="center" wrapText="1"/>
    </xf>
    <xf numFmtId="0" fontId="0" fillId="0" borderId="40" xfId="0" applyBorder="1"/>
    <xf numFmtId="0" fontId="0" fillId="0" borderId="40" xfId="0" applyFill="1" applyBorder="1" applyAlignment="1">
      <alignment horizontal="left" vertical="center" wrapText="1"/>
    </xf>
    <xf numFmtId="0" fontId="0" fillId="0" borderId="46" xfId="0" applyBorder="1"/>
    <xf numFmtId="0" fontId="0" fillId="0" borderId="45" xfId="0" applyBorder="1"/>
    <xf numFmtId="0" fontId="0" fillId="0" borderId="40" xfId="0" applyBorder="1" applyAlignment="1">
      <alignment vertical="center" wrapText="1"/>
    </xf>
    <xf numFmtId="0" fontId="0" fillId="0" borderId="40" xfId="0" applyBorder="1" applyAlignment="1">
      <alignment vertical="center"/>
    </xf>
    <xf numFmtId="0" fontId="0" fillId="0" borderId="47" xfId="0" applyBorder="1" applyAlignment="1">
      <alignment vertical="center"/>
    </xf>
    <xf numFmtId="0" fontId="9" fillId="0" borderId="50" xfId="0" applyFont="1" applyBorder="1" applyAlignment="1">
      <alignment horizontal="center" vertical="center"/>
    </xf>
    <xf numFmtId="2" fontId="9" fillId="0" borderId="50" xfId="0" applyNumberFormat="1" applyFont="1" applyBorder="1" applyAlignment="1">
      <alignment horizontal="center" vertical="center"/>
    </xf>
    <xf numFmtId="0" fontId="0" fillId="0" borderId="47" xfId="0" applyFill="1" applyBorder="1"/>
    <xf numFmtId="0" fontId="0" fillId="0" borderId="52" xfId="0" applyFill="1" applyBorder="1" applyAlignment="1">
      <alignment horizontal="center"/>
    </xf>
    <xf numFmtId="0" fontId="0" fillId="0" borderId="48" xfId="0" applyFill="1" applyBorder="1"/>
    <xf numFmtId="0" fontId="0" fillId="0" borderId="53" xfId="0" applyFill="1" applyBorder="1" applyAlignment="1">
      <alignment horizontal="center"/>
    </xf>
    <xf numFmtId="0" fontId="0" fillId="0" borderId="52" xfId="0" applyBorder="1"/>
    <xf numFmtId="0" fontId="0" fillId="0" borderId="47" xfId="0" applyBorder="1"/>
    <xf numFmtId="0" fontId="0" fillId="0" borderId="53" xfId="0" applyBorder="1"/>
    <xf numFmtId="0" fontId="0" fillId="0" borderId="53" xfId="0" applyFill="1" applyBorder="1" applyAlignment="1">
      <alignment horizontal="left"/>
    </xf>
    <xf numFmtId="0" fontId="0" fillId="0" borderId="48" xfId="0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47" xfId="0" applyBorder="1" applyAlignment="1">
      <alignment vertical="center" wrapText="1"/>
    </xf>
    <xf numFmtId="0" fontId="0" fillId="0" borderId="51" xfId="0" applyFill="1" applyBorder="1" applyAlignment="1">
      <alignment horizontal="center" vertical="center"/>
    </xf>
    <xf numFmtId="0" fontId="0" fillId="0" borderId="51" xfId="0" applyFill="1" applyBorder="1" applyAlignment="1">
      <alignment horizontal="center" vertical="center" wrapText="1"/>
    </xf>
    <xf numFmtId="0" fontId="0" fillId="0" borderId="47" xfId="0" applyFill="1" applyBorder="1" applyAlignment="1">
      <alignment horizontal="center" vertical="center"/>
    </xf>
    <xf numFmtId="0" fontId="0" fillId="0" borderId="48" xfId="0" applyBorder="1" applyAlignment="1">
      <alignment vertical="center" wrapText="1"/>
    </xf>
    <xf numFmtId="0" fontId="0" fillId="0" borderId="41" xfId="0" applyBorder="1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36" xfId="0" applyBorder="1"/>
    <xf numFmtId="0" fontId="0" fillId="0" borderId="33" xfId="0" applyBorder="1"/>
    <xf numFmtId="0" fontId="0" fillId="0" borderId="40" xfId="0" applyFill="1" applyBorder="1" applyAlignment="1">
      <alignment horizontal="left" vertical="center"/>
    </xf>
    <xf numFmtId="0" fontId="0" fillId="0" borderId="43" xfId="0" applyBorder="1" applyAlignment="1">
      <alignment horizontal="center" vertical="center"/>
    </xf>
    <xf numFmtId="0" fontId="0" fillId="0" borderId="43" xfId="0" applyBorder="1" applyAlignment="1">
      <alignment horizontal="center" vertical="center" wrapText="1"/>
    </xf>
    <xf numFmtId="0" fontId="0" fillId="0" borderId="42" xfId="0" applyBorder="1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0" borderId="41" xfId="0" applyBorder="1" applyAlignment="1">
      <alignment vertical="center"/>
    </xf>
    <xf numFmtId="0" fontId="0" fillId="0" borderId="50" xfId="0" applyBorder="1" applyAlignment="1">
      <alignment vertical="center"/>
    </xf>
    <xf numFmtId="0" fontId="0" fillId="0" borderId="61" xfId="0" applyBorder="1" applyAlignment="1">
      <alignment vertical="center"/>
    </xf>
    <xf numFmtId="0" fontId="0" fillId="0" borderId="64" xfId="0" applyBorder="1" applyAlignment="1">
      <alignment horizontal="center" vertical="center"/>
    </xf>
    <xf numFmtId="0" fontId="0" fillId="3" borderId="54" xfId="0" applyFill="1" applyBorder="1" applyAlignment="1">
      <alignment horizontal="center" vertical="center" wrapText="1"/>
    </xf>
    <xf numFmtId="0" fontId="9" fillId="0" borderId="58" xfId="0" applyFont="1" applyBorder="1" applyAlignment="1">
      <alignment horizontal="left" vertical="center"/>
    </xf>
    <xf numFmtId="0" fontId="9" fillId="0" borderId="54" xfId="0" applyFont="1" applyBorder="1" applyAlignment="1">
      <alignment horizontal="center" vertical="center"/>
    </xf>
    <xf numFmtId="0" fontId="9" fillId="0" borderId="57" xfId="0" applyFont="1" applyBorder="1" applyAlignment="1">
      <alignment horizontal="center" vertical="center"/>
    </xf>
    <xf numFmtId="2" fontId="9" fillId="0" borderId="57" xfId="0" applyNumberFormat="1" applyFont="1" applyBorder="1" applyAlignment="1">
      <alignment horizontal="center" vertical="center"/>
    </xf>
    <xf numFmtId="0" fontId="9" fillId="0" borderId="63" xfId="0" applyFont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9" fillId="0" borderId="38" xfId="0" applyFont="1" applyBorder="1" applyAlignment="1">
      <alignment vertical="center"/>
    </xf>
    <xf numFmtId="0" fontId="9" fillId="0" borderId="39" xfId="0" applyFont="1" applyBorder="1" applyAlignment="1">
      <alignment vertical="center"/>
    </xf>
    <xf numFmtId="0" fontId="9" fillId="0" borderId="39" xfId="0" applyFont="1" applyBorder="1" applyAlignment="1">
      <alignment horizontal="left" vertical="center"/>
    </xf>
    <xf numFmtId="0" fontId="0" fillId="0" borderId="57" xfId="0" applyBorder="1" applyAlignment="1">
      <alignment horizontal="center" vertical="center"/>
    </xf>
    <xf numFmtId="0" fontId="0" fillId="3" borderId="64" xfId="0" applyFill="1" applyBorder="1" applyAlignment="1">
      <alignment horizontal="center" vertical="center"/>
    </xf>
    <xf numFmtId="0" fontId="0" fillId="3" borderId="43" xfId="0" applyFill="1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3" borderId="57" xfId="0" applyFill="1" applyBorder="1" applyAlignment="1">
      <alignment horizontal="center" vertical="center"/>
    </xf>
    <xf numFmtId="0" fontId="9" fillId="0" borderId="57" xfId="0" applyFont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 wrapText="1"/>
    </xf>
    <xf numFmtId="0" fontId="9" fillId="0" borderId="50" xfId="0" applyFont="1" applyBorder="1" applyAlignment="1">
      <alignment horizontal="center" vertical="center" wrapText="1"/>
    </xf>
    <xf numFmtId="0" fontId="0" fillId="3" borderId="50" xfId="0" applyFill="1" applyBorder="1" applyAlignment="1">
      <alignment horizontal="center" vertical="center"/>
    </xf>
    <xf numFmtId="0" fontId="0" fillId="0" borderId="57" xfId="0" applyBorder="1" applyAlignment="1">
      <alignment vertical="center"/>
    </xf>
    <xf numFmtId="0" fontId="0" fillId="0" borderId="62" xfId="0" applyFill="1" applyBorder="1" applyAlignment="1">
      <alignment vertical="center" wrapText="1"/>
    </xf>
    <xf numFmtId="0" fontId="0" fillId="0" borderId="59" xfId="0" applyBorder="1" applyAlignment="1">
      <alignment horizontal="center" vertical="center"/>
    </xf>
    <xf numFmtId="0" fontId="0" fillId="0" borderId="62" xfId="0" applyFill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0" fontId="0" fillId="0" borderId="58" xfId="0" applyBorder="1" applyAlignment="1">
      <alignment vertical="center"/>
    </xf>
    <xf numFmtId="0" fontId="0" fillId="0" borderId="54" xfId="0" applyFill="1" applyBorder="1" applyAlignment="1">
      <alignment horizontal="center" vertical="center"/>
    </xf>
    <xf numFmtId="0" fontId="0" fillId="0" borderId="58" xfId="0" applyFill="1" applyBorder="1"/>
    <xf numFmtId="0" fontId="0" fillId="0" borderId="67" xfId="0" applyFill="1" applyBorder="1"/>
    <xf numFmtId="0" fontId="0" fillId="0" borderId="54" xfId="0" applyFill="1" applyBorder="1"/>
    <xf numFmtId="0" fontId="0" fillId="0" borderId="68" xfId="0" applyFill="1" applyBorder="1"/>
    <xf numFmtId="0" fontId="0" fillId="0" borderId="67" xfId="0" applyBorder="1"/>
    <xf numFmtId="0" fontId="0" fillId="0" borderId="58" xfId="0" applyBorder="1"/>
    <xf numFmtId="0" fontId="3" fillId="0" borderId="54" xfId="0" applyFont="1" applyFill="1" applyBorder="1" applyAlignment="1">
      <alignment horizontal="center"/>
    </xf>
    <xf numFmtId="0" fontId="0" fillId="0" borderId="68" xfId="0" applyBorder="1"/>
    <xf numFmtId="0" fontId="0" fillId="0" borderId="67" xfId="0" applyFill="1" applyBorder="1" applyAlignment="1">
      <alignment horizontal="center"/>
    </xf>
    <xf numFmtId="0" fontId="0" fillId="0" borderId="68" xfId="0" applyFill="1" applyBorder="1" applyAlignment="1">
      <alignment horizontal="left"/>
    </xf>
    <xf numFmtId="0" fontId="0" fillId="0" borderId="54" xfId="0" applyFill="1" applyBorder="1" applyAlignment="1">
      <alignment horizontal="center"/>
    </xf>
    <xf numFmtId="0" fontId="0" fillId="0" borderId="58" xfId="0" applyBorder="1" applyAlignment="1">
      <alignment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0" borderId="58" xfId="0" applyFill="1" applyBorder="1" applyAlignment="1">
      <alignment horizontal="center" vertical="center"/>
    </xf>
    <xf numFmtId="0" fontId="0" fillId="0" borderId="54" xfId="0" applyBorder="1" applyAlignment="1">
      <alignment vertical="center" wrapText="1"/>
    </xf>
    <xf numFmtId="0" fontId="0" fillId="0" borderId="65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54" xfId="0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49" fontId="0" fillId="0" borderId="41" xfId="0" applyNumberFormat="1" applyBorder="1" applyAlignment="1">
      <alignment horizontal="center"/>
    </xf>
    <xf numFmtId="49" fontId="0" fillId="0" borderId="41" xfId="0" applyNumberFormat="1" applyBorder="1" applyAlignment="1">
      <alignment horizontal="center" vertical="center"/>
    </xf>
    <xf numFmtId="49" fontId="0" fillId="0" borderId="22" xfId="0" applyNumberFormat="1" applyBorder="1" applyAlignment="1">
      <alignment horizontal="center" vertical="center"/>
    </xf>
    <xf numFmtId="49" fontId="0" fillId="0" borderId="57" xfId="0" applyNumberFormat="1" applyBorder="1" applyAlignment="1">
      <alignment horizontal="center" vertical="center"/>
    </xf>
    <xf numFmtId="49" fontId="0" fillId="0" borderId="23" xfId="0" applyNumberFormat="1" applyBorder="1" applyAlignment="1">
      <alignment horizontal="center" vertical="center"/>
    </xf>
    <xf numFmtId="2" fontId="0" fillId="0" borderId="57" xfId="0" applyNumberFormat="1" applyBorder="1" applyAlignment="1">
      <alignment horizontal="center" vertical="center"/>
    </xf>
    <xf numFmtId="2" fontId="0" fillId="0" borderId="41" xfId="0" applyNumberFormat="1" applyBorder="1" applyAlignment="1">
      <alignment horizontal="center" vertical="center"/>
    </xf>
    <xf numFmtId="2" fontId="0" fillId="0" borderId="0" xfId="0" applyNumberFormat="1"/>
    <xf numFmtId="0" fontId="0" fillId="3" borderId="7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2" borderId="10" xfId="0" applyFont="1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 wrapText="1"/>
    </xf>
    <xf numFmtId="0" fontId="0" fillId="0" borderId="57" xfId="0" applyBorder="1" applyAlignment="1">
      <alignment horizontal="center" vertical="center"/>
    </xf>
    <xf numFmtId="0" fontId="9" fillId="0" borderId="57" xfId="0" applyFont="1" applyBorder="1" applyAlignment="1">
      <alignment horizontal="center" vertical="center"/>
    </xf>
    <xf numFmtId="2" fontId="0" fillId="4" borderId="64" xfId="0" applyNumberFormat="1" applyFill="1" applyBorder="1" applyAlignment="1">
      <alignment horizontal="center" vertical="center"/>
    </xf>
    <xf numFmtId="2" fontId="0" fillId="0" borderId="0" xfId="0" applyNumberFormat="1" applyAlignment="1"/>
    <xf numFmtId="4" fontId="0" fillId="0" borderId="57" xfId="0" applyNumberFormat="1" applyBorder="1" applyAlignment="1">
      <alignment horizontal="center" vertical="center"/>
    </xf>
    <xf numFmtId="164" fontId="0" fillId="0" borderId="0" xfId="0" applyNumberFormat="1" applyAlignment="1"/>
    <xf numFmtId="1" fontId="0" fillId="0" borderId="0" xfId="0" applyNumberFormat="1"/>
    <xf numFmtId="0" fontId="0" fillId="0" borderId="0" xfId="0" applyAlignment="1">
      <alignment horizontal="center"/>
    </xf>
    <xf numFmtId="0" fontId="11" fillId="0" borderId="71" xfId="0" applyFont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/>
    </xf>
    <xf numFmtId="0" fontId="9" fillId="0" borderId="0" xfId="0" applyFont="1" applyBorder="1" applyAlignment="1">
      <alignment vertical="center" wrapText="1"/>
    </xf>
    <xf numFmtId="0" fontId="0" fillId="0" borderId="0" xfId="0" applyAlignment="1">
      <alignment horizontal="center" wrapText="1"/>
    </xf>
    <xf numFmtId="0" fontId="11" fillId="0" borderId="71" xfId="0" applyFont="1" applyBorder="1" applyAlignment="1">
      <alignment horizontal="center" vertical="center" wrapText="1"/>
    </xf>
    <xf numFmtId="49" fontId="0" fillId="0" borderId="0" xfId="0" applyNumberFormat="1"/>
    <xf numFmtId="0" fontId="12" fillId="0" borderId="71" xfId="0" applyFont="1" applyBorder="1" applyAlignment="1">
      <alignment horizontal="center" vertical="center" wrapText="1"/>
    </xf>
    <xf numFmtId="0" fontId="13" fillId="4" borderId="57" xfId="0" applyFont="1" applyFill="1" applyBorder="1" applyAlignment="1">
      <alignment horizontal="center" vertical="center" wrapText="1"/>
    </xf>
    <xf numFmtId="0" fontId="0" fillId="3" borderId="57" xfId="0" applyNumberFormat="1" applyFill="1" applyBorder="1" applyAlignment="1">
      <alignment horizontal="center" vertical="center" wrapText="1"/>
    </xf>
    <xf numFmtId="0" fontId="0" fillId="3" borderId="5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60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0" fillId="0" borderId="73" xfId="0" applyBorder="1"/>
    <xf numFmtId="0" fontId="0" fillId="0" borderId="73" xfId="0" applyBorder="1" applyAlignment="1">
      <alignment horizontal="center"/>
    </xf>
    <xf numFmtId="0" fontId="0" fillId="0" borderId="73" xfId="0" applyBorder="1" applyAlignment="1">
      <alignment horizontal="center" vertical="center"/>
    </xf>
    <xf numFmtId="0" fontId="0" fillId="0" borderId="75" xfId="0" applyBorder="1"/>
    <xf numFmtId="0" fontId="0" fillId="0" borderId="75" xfId="0" applyBorder="1" applyAlignment="1">
      <alignment horizontal="center" vertical="center"/>
    </xf>
    <xf numFmtId="0" fontId="0" fillId="0" borderId="74" xfId="0" applyBorder="1" applyAlignment="1">
      <alignment horizontal="center"/>
    </xf>
    <xf numFmtId="0" fontId="0" fillId="0" borderId="74" xfId="0" applyBorder="1"/>
    <xf numFmtId="0" fontId="0" fillId="0" borderId="76" xfId="0" applyBorder="1"/>
    <xf numFmtId="0" fontId="0" fillId="0" borderId="80" xfId="0" applyBorder="1"/>
    <xf numFmtId="0" fontId="0" fillId="0" borderId="81" xfId="0" applyBorder="1"/>
    <xf numFmtId="0" fontId="11" fillId="0" borderId="78" xfId="0" applyFont="1" applyBorder="1" applyAlignment="1">
      <alignment horizontal="center" vertical="center" wrapText="1"/>
    </xf>
    <xf numFmtId="0" fontId="11" fillId="0" borderId="77" xfId="0" applyFont="1" applyBorder="1" applyAlignment="1">
      <alignment horizontal="center" vertical="center" wrapText="1"/>
    </xf>
    <xf numFmtId="0" fontId="11" fillId="0" borderId="79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9" fillId="0" borderId="55" xfId="0" applyFont="1" applyBorder="1" applyAlignment="1">
      <alignment horizontal="left" vertical="center"/>
    </xf>
    <xf numFmtId="0" fontId="0" fillId="0" borderId="61" xfId="0" applyBorder="1" applyAlignment="1">
      <alignment horizontal="left" vertical="center"/>
    </xf>
    <xf numFmtId="0" fontId="0" fillId="0" borderId="3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70" xfId="0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73" xfId="0" applyFont="1" applyBorder="1" applyAlignment="1">
      <alignment horizontal="center" vertical="center" wrapText="1"/>
    </xf>
    <xf numFmtId="49" fontId="9" fillId="0" borderId="40" xfId="0" applyNumberFormat="1" applyFont="1" applyBorder="1" applyAlignment="1">
      <alignment horizontal="center" vertical="center"/>
    </xf>
    <xf numFmtId="0" fontId="0" fillId="0" borderId="39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9" fillId="0" borderId="38" xfId="0" applyFont="1" applyBorder="1" applyAlignment="1">
      <alignment horizontal="left" vertical="center"/>
    </xf>
    <xf numFmtId="0" fontId="9" fillId="0" borderId="38" xfId="0" applyFont="1" applyFill="1" applyBorder="1" applyAlignment="1">
      <alignment horizontal="left" vertical="center"/>
    </xf>
    <xf numFmtId="0" fontId="9" fillId="0" borderId="85" xfId="0" applyFont="1" applyBorder="1" applyAlignment="1">
      <alignment horizontal="center" vertical="center"/>
    </xf>
    <xf numFmtId="0" fontId="9" fillId="0" borderId="49" xfId="0" applyFont="1" applyBorder="1" applyAlignment="1">
      <alignment horizontal="center" vertical="center"/>
    </xf>
    <xf numFmtId="0" fontId="9" fillId="0" borderId="61" xfId="0" applyFont="1" applyBorder="1" applyAlignment="1">
      <alignment horizontal="center" vertical="center"/>
    </xf>
    <xf numFmtId="0" fontId="0" fillId="0" borderId="66" xfId="0" applyBorder="1"/>
    <xf numFmtId="0" fontId="9" fillId="0" borderId="86" xfId="0" applyFont="1" applyBorder="1" applyAlignment="1">
      <alignment horizontal="center" vertical="center"/>
    </xf>
    <xf numFmtId="0" fontId="0" fillId="0" borderId="72" xfId="0" applyBorder="1" applyAlignment="1">
      <alignment vertical="center"/>
    </xf>
    <xf numFmtId="0" fontId="0" fillId="0" borderId="87" xfId="0" applyBorder="1" applyAlignment="1">
      <alignment vertical="center"/>
    </xf>
    <xf numFmtId="4" fontId="0" fillId="0" borderId="50" xfId="0" applyNumberFormat="1" applyBorder="1" applyAlignment="1">
      <alignment horizontal="center" vertical="center"/>
    </xf>
    <xf numFmtId="0" fontId="12" fillId="0" borderId="74" xfId="0" applyFont="1" applyBorder="1" applyAlignment="1">
      <alignment horizontal="center" vertical="center" wrapText="1"/>
    </xf>
    <xf numFmtId="0" fontId="11" fillId="0" borderId="73" xfId="0" applyFont="1" applyBorder="1" applyAlignment="1">
      <alignment vertical="center" wrapText="1"/>
    </xf>
    <xf numFmtId="0" fontId="11" fillId="0" borderId="80" xfId="0" applyFont="1" applyBorder="1" applyAlignment="1">
      <alignment vertical="center" wrapText="1"/>
    </xf>
    <xf numFmtId="0" fontId="11" fillId="0" borderId="0" xfId="0" applyFont="1" applyBorder="1" applyAlignment="1">
      <alignment vertical="center" wrapText="1"/>
    </xf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2" borderId="10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4" borderId="23" xfId="0" applyFill="1" applyBorder="1" applyAlignment="1">
      <alignment horizontal="center" vertical="center" wrapText="1"/>
    </xf>
    <xf numFmtId="0" fontId="0" fillId="0" borderId="57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3" fillId="4" borderId="50" xfId="0" applyFont="1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2" fontId="0" fillId="4" borderId="41" xfId="0" applyNumberFormat="1" applyFill="1" applyBorder="1" applyAlignment="1">
      <alignment horizontal="center" vertical="center"/>
    </xf>
    <xf numFmtId="0" fontId="9" fillId="4" borderId="41" xfId="0" applyFont="1" applyFill="1" applyBorder="1" applyAlignment="1">
      <alignment horizontal="center" vertical="center"/>
    </xf>
    <xf numFmtId="0" fontId="9" fillId="4" borderId="39" xfId="0" applyFont="1" applyFill="1" applyBorder="1" applyAlignment="1">
      <alignment horizontal="center" vertical="center"/>
    </xf>
    <xf numFmtId="0" fontId="14" fillId="0" borderId="57" xfId="0" applyFont="1" applyBorder="1" applyAlignment="1">
      <alignment horizontal="center" vertical="center" wrapText="1"/>
    </xf>
    <xf numFmtId="0" fontId="15" fillId="0" borderId="57" xfId="0" applyFont="1" applyBorder="1" applyAlignment="1">
      <alignment horizontal="center" vertical="center" wrapText="1"/>
    </xf>
    <xf numFmtId="0" fontId="15" fillId="0" borderId="57" xfId="0" applyFont="1" applyBorder="1" applyAlignment="1">
      <alignment vertical="center" wrapText="1"/>
    </xf>
    <xf numFmtId="0" fontId="15" fillId="0" borderId="57" xfId="0" applyFont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4" fillId="0" borderId="41" xfId="0" applyFont="1" applyBorder="1" applyAlignment="1">
      <alignment vertical="center"/>
    </xf>
    <xf numFmtId="0" fontId="0" fillId="0" borderId="66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9" fillId="0" borderId="66" xfId="0" applyFont="1" applyBorder="1" applyAlignment="1">
      <alignment horizontal="center" vertical="center"/>
    </xf>
    <xf numFmtId="0" fontId="9" fillId="0" borderId="90" xfId="0" applyFont="1" applyBorder="1" applyAlignment="1">
      <alignment horizontal="left" vertical="center"/>
    </xf>
    <xf numFmtId="2" fontId="0" fillId="4" borderId="41" xfId="0" applyNumberFormat="1" applyFill="1" applyBorder="1" applyAlignment="1">
      <alignment horizontal="center"/>
    </xf>
    <xf numFmtId="0" fontId="0" fillId="0" borderId="91" xfId="0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9" fillId="0" borderId="38" xfId="0" applyFont="1" applyBorder="1" applyAlignment="1">
      <alignment horizontal="center" vertical="center"/>
    </xf>
    <xf numFmtId="0" fontId="9" fillId="0" borderId="38" xfId="0" applyFont="1" applyFill="1" applyBorder="1" applyAlignment="1">
      <alignment horizontal="center" vertical="center"/>
    </xf>
    <xf numFmtId="0" fontId="0" fillId="0" borderId="91" xfId="0" applyBorder="1" applyAlignment="1">
      <alignment horizontal="center" vertical="center" wrapText="1"/>
    </xf>
    <xf numFmtId="0" fontId="9" fillId="0" borderId="54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9" fillId="0" borderId="48" xfId="0" applyFont="1" applyBorder="1" applyAlignment="1">
      <alignment horizontal="center" vertical="center" wrapText="1"/>
    </xf>
    <xf numFmtId="0" fontId="0" fillId="0" borderId="42" xfId="0" applyFill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59" xfId="0" applyFont="1" applyBorder="1" applyAlignment="1">
      <alignment horizontal="center" vertical="center"/>
    </xf>
    <xf numFmtId="2" fontId="0" fillId="0" borderId="50" xfId="0" applyNumberFormat="1" applyBorder="1" applyAlignment="1">
      <alignment horizontal="center" vertical="center"/>
    </xf>
    <xf numFmtId="2" fontId="9" fillId="0" borderId="63" xfId="0" applyNumberFormat="1" applyFont="1" applyBorder="1" applyAlignment="1">
      <alignment horizontal="center" vertical="center"/>
    </xf>
    <xf numFmtId="0" fontId="0" fillId="0" borderId="92" xfId="0" applyFont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2" fontId="0" fillId="3" borderId="64" xfId="0" applyNumberFormat="1" applyFill="1" applyBorder="1" applyAlignment="1">
      <alignment horizontal="center" vertical="center"/>
    </xf>
    <xf numFmtId="2" fontId="0" fillId="3" borderId="5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165" fontId="0" fillId="0" borderId="57" xfId="0" applyNumberFormat="1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0" fillId="0" borderId="57" xfId="0" applyFill="1" applyBorder="1" applyAlignment="1">
      <alignment horizontal="center" vertical="center"/>
    </xf>
    <xf numFmtId="0" fontId="0" fillId="0" borderId="64" xfId="0" applyFill="1" applyBorder="1" applyAlignment="1">
      <alignment horizontal="center" vertical="center"/>
    </xf>
    <xf numFmtId="2" fontId="0" fillId="0" borderId="64" xfId="0" applyNumberFormat="1" applyFill="1" applyBorder="1" applyAlignment="1">
      <alignment horizontal="center" vertical="center"/>
    </xf>
    <xf numFmtId="165" fontId="0" fillId="0" borderId="50" xfId="0" applyNumberFormat="1" applyFill="1" applyBorder="1" applyAlignment="1">
      <alignment horizontal="center" vertical="center"/>
    </xf>
    <xf numFmtId="0" fontId="0" fillId="0" borderId="85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2" fontId="0" fillId="0" borderId="50" xfId="0" applyNumberFormat="1" applyFill="1" applyBorder="1" applyAlignment="1">
      <alignment horizontal="center" vertical="center"/>
    </xf>
    <xf numFmtId="0" fontId="16" fillId="0" borderId="0" xfId="0" applyFont="1" applyBorder="1"/>
    <xf numFmtId="0" fontId="17" fillId="0" borderId="0" xfId="0" applyFont="1" applyAlignment="1">
      <alignment horizontal="center" vertical="center"/>
    </xf>
    <xf numFmtId="0" fontId="17" fillId="4" borderId="20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0" fontId="9" fillId="4" borderId="59" xfId="0" applyFont="1" applyFill="1" applyBorder="1" applyAlignment="1">
      <alignment horizontal="center" vertical="center"/>
    </xf>
    <xf numFmtId="0" fontId="9" fillId="4" borderId="36" xfId="0" applyFont="1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94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4" borderId="37" xfId="0" applyFill="1" applyBorder="1" applyAlignment="1">
      <alignment horizontal="center" wrapText="1"/>
    </xf>
    <xf numFmtId="0" fontId="0" fillId="4" borderId="28" xfId="0" applyFill="1" applyBorder="1" applyAlignment="1">
      <alignment horizontal="center" wrapText="1"/>
    </xf>
    <xf numFmtId="0" fontId="7" fillId="0" borderId="69" xfId="0" applyFont="1" applyBorder="1" applyAlignment="1">
      <alignment horizontal="center" vertical="center" wrapText="1"/>
    </xf>
    <xf numFmtId="0" fontId="7" fillId="0" borderId="94" xfId="0" applyFont="1" applyBorder="1" applyAlignment="1">
      <alignment horizontal="center" vertical="center" wrapText="1"/>
    </xf>
    <xf numFmtId="0" fontId="0" fillId="4" borderId="29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0" borderId="23" xfId="0" applyBorder="1"/>
    <xf numFmtId="0" fontId="0" fillId="0" borderId="23" xfId="0" applyBorder="1" applyAlignment="1">
      <alignment vertical="center"/>
    </xf>
    <xf numFmtId="0" fontId="0" fillId="0" borderId="29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 wrapText="1"/>
    </xf>
    <xf numFmtId="0" fontId="0" fillId="4" borderId="32" xfId="0" applyFill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0" fillId="4" borderId="37" xfId="0" applyFill="1" applyBorder="1" applyAlignment="1">
      <alignment horizontal="center" vertical="center" wrapText="1"/>
    </xf>
    <xf numFmtId="0" fontId="0" fillId="0" borderId="28" xfId="0" applyBorder="1"/>
    <xf numFmtId="0" fontId="0" fillId="4" borderId="34" xfId="0" applyFill="1" applyBorder="1" applyAlignment="1">
      <alignment horizontal="center" vertical="center" wrapText="1"/>
    </xf>
    <xf numFmtId="0" fontId="0" fillId="4" borderId="35" xfId="0" applyFill="1" applyBorder="1"/>
    <xf numFmtId="0" fontId="0" fillId="4" borderId="23" xfId="0" applyFill="1" applyBorder="1"/>
    <xf numFmtId="0" fontId="0" fillId="4" borderId="29" xfId="0" applyFill="1" applyBorder="1" applyAlignment="1">
      <alignment horizontal="center" vertical="center"/>
    </xf>
    <xf numFmtId="0" fontId="10" fillId="0" borderId="2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2" borderId="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9" fillId="0" borderId="55" xfId="0" applyFont="1" applyBorder="1" applyAlignment="1">
      <alignment horizontal="left" vertical="center"/>
    </xf>
    <xf numFmtId="0" fontId="9" fillId="0" borderId="56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9" fillId="0" borderId="63" xfId="0" applyFont="1" applyBorder="1" applyAlignment="1">
      <alignment horizontal="center" vertical="center"/>
    </xf>
    <xf numFmtId="0" fontId="9" fillId="0" borderId="92" xfId="0" applyFont="1" applyBorder="1" applyAlignment="1">
      <alignment horizontal="center" vertical="center"/>
    </xf>
    <xf numFmtId="0" fontId="9" fillId="0" borderId="60" xfId="0" applyFont="1" applyBorder="1" applyAlignment="1">
      <alignment horizontal="center" vertical="center"/>
    </xf>
    <xf numFmtId="0" fontId="9" fillId="0" borderId="93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82" xfId="0" applyFill="1" applyBorder="1" applyAlignment="1">
      <alignment horizontal="center" vertical="center"/>
    </xf>
    <xf numFmtId="0" fontId="0" fillId="0" borderId="5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8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8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88" xfId="0" applyFill="1" applyBorder="1" applyAlignment="1">
      <alignment horizontal="center" vertical="center" wrapText="1"/>
    </xf>
    <xf numFmtId="0" fontId="0" fillId="4" borderId="89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0" fontId="0" fillId="0" borderId="6" xfId="0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EX110"/>
  <sheetViews>
    <sheetView tabSelected="1" zoomScaleNormal="100" workbookViewId="0">
      <selection activeCell="K14" sqref="K12:K14"/>
    </sheetView>
  </sheetViews>
  <sheetFormatPr baseColWidth="10" defaultRowHeight="14.4"/>
  <cols>
    <col min="1" max="1" width="13.33203125" bestFit="1" customWidth="1"/>
    <col min="7" max="7" width="16.44140625" customWidth="1"/>
    <col min="8" max="10" width="11" customWidth="1"/>
    <col min="11" max="11" width="20.44140625" bestFit="1" customWidth="1"/>
    <col min="12" max="12" width="16.6640625" customWidth="1"/>
    <col min="13" max="13" width="10.33203125" customWidth="1"/>
    <col min="14" max="18" width="12.21875" customWidth="1"/>
    <col min="19" max="22" width="8.88671875" customWidth="1"/>
    <col min="23" max="23" width="12.6640625" customWidth="1"/>
    <col min="24" max="24" width="12.5546875" customWidth="1"/>
    <col min="25" max="25" width="18.88671875" customWidth="1"/>
    <col min="26" max="27" width="11.21875" customWidth="1"/>
    <col min="28" max="29" width="16.33203125" customWidth="1"/>
    <col min="30" max="30" width="8.44140625" customWidth="1"/>
    <col min="31" max="31" width="8.5546875" customWidth="1"/>
    <col min="32" max="32" width="10.6640625" customWidth="1"/>
    <col min="33" max="33" width="9" customWidth="1"/>
    <col min="34" max="34" width="10.77734375" bestFit="1" customWidth="1"/>
    <col min="35" max="35" width="9.6640625" customWidth="1"/>
    <col min="36" max="36" width="10.77734375" customWidth="1"/>
    <col min="37" max="39" width="12" customWidth="1"/>
    <col min="40" max="41" width="8.88671875" customWidth="1"/>
    <col min="42" max="43" width="7.5546875" customWidth="1"/>
    <col min="44" max="44" width="9.33203125" customWidth="1"/>
    <col min="45" max="46" width="8.88671875" customWidth="1"/>
    <col min="47" max="47" width="12.77734375" customWidth="1"/>
    <col min="48" max="48" width="9.77734375" customWidth="1"/>
    <col min="49" max="49" width="9.6640625" customWidth="1"/>
    <col min="50" max="50" width="10.44140625" customWidth="1"/>
    <col min="51" max="51" width="11.5546875" customWidth="1"/>
    <col min="52" max="52" width="10.21875" customWidth="1"/>
    <col min="53" max="53" width="15.88671875" customWidth="1"/>
    <col min="54" max="54" width="15.77734375" customWidth="1"/>
    <col min="55" max="55" width="9.6640625" customWidth="1"/>
    <col min="56" max="56" width="12.44140625" customWidth="1"/>
    <col min="57" max="57" width="59.6640625" bestFit="1" customWidth="1"/>
    <col min="58" max="58" width="9.77734375" bestFit="1" customWidth="1"/>
    <col min="59" max="59" width="24.5546875" customWidth="1"/>
    <col min="60" max="60" width="15.44140625" bestFit="1" customWidth="1"/>
    <col min="61" max="61" width="18" bestFit="1" customWidth="1"/>
    <col min="62" max="62" width="19.6640625" bestFit="1" customWidth="1"/>
    <col min="63" max="63" width="23.44140625" customWidth="1"/>
    <col min="64" max="64" width="24.88671875" bestFit="1" customWidth="1"/>
    <col min="67" max="67" width="15.88671875" bestFit="1" customWidth="1"/>
    <col min="69" max="69" width="16.109375" bestFit="1" customWidth="1"/>
    <col min="70" max="70" width="25.6640625" customWidth="1"/>
    <col min="71" max="71" width="29.109375" bestFit="1" customWidth="1"/>
    <col min="72" max="72" width="12.44140625" bestFit="1" customWidth="1"/>
    <col min="73" max="73" width="17.44140625" customWidth="1"/>
    <col min="74" max="75" width="17.88671875" customWidth="1"/>
    <col min="76" max="76" width="21.6640625" customWidth="1"/>
    <col min="77" max="77" width="15.21875" customWidth="1"/>
    <col min="78" max="78" width="15.109375" customWidth="1"/>
    <col min="79" max="79" width="23.77734375" customWidth="1"/>
    <col min="80" max="80" width="13.33203125" customWidth="1"/>
    <col min="81" max="81" width="18.109375" bestFit="1" customWidth="1"/>
    <col min="83" max="83" width="19.6640625" customWidth="1"/>
    <col min="84" max="84" width="11.5546875" style="35"/>
    <col min="87" max="87" width="26.33203125" bestFit="1" customWidth="1"/>
    <col min="95" max="95" width="26.44140625" bestFit="1" customWidth="1"/>
    <col min="97" max="97" width="13.109375" bestFit="1" customWidth="1"/>
    <col min="98" max="98" width="13.109375" customWidth="1"/>
    <col min="101" max="101" width="12.21875" customWidth="1"/>
    <col min="103" max="103" width="13.44140625" bestFit="1" customWidth="1"/>
    <col min="104" max="104" width="20.44140625" bestFit="1" customWidth="1"/>
    <col min="105" max="105" width="20.44140625" customWidth="1"/>
  </cols>
  <sheetData>
    <row r="1" spans="1:154" ht="39.6" customHeight="1" thickBot="1">
      <c r="C1" s="341"/>
      <c r="D1" s="4"/>
      <c r="E1" s="352" t="s">
        <v>50</v>
      </c>
      <c r="F1" s="353"/>
      <c r="G1" s="354"/>
      <c r="H1" s="343">
        <v>5</v>
      </c>
      <c r="I1" s="342" t="s">
        <v>49</v>
      </c>
      <c r="M1" s="62"/>
      <c r="CF1" s="47"/>
    </row>
    <row r="2" spans="1:154" ht="21.6" thickBot="1">
      <c r="A2" s="206"/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214"/>
      <c r="BA2" s="216"/>
      <c r="CF2" s="47"/>
    </row>
    <row r="3" spans="1:154" ht="18.600000000000001" thickBot="1">
      <c r="B3" s="1"/>
      <c r="C3" s="1"/>
      <c r="D3" s="1"/>
      <c r="E3" s="1"/>
      <c r="F3" s="1"/>
      <c r="G3" s="1"/>
      <c r="H3" s="1"/>
      <c r="I3" s="1"/>
      <c r="J3" s="1"/>
      <c r="K3" s="1"/>
      <c r="L3" s="225"/>
      <c r="M3" s="1"/>
      <c r="N3" s="223"/>
      <c r="O3" s="1"/>
      <c r="P3" s="1"/>
      <c r="Q3" s="1"/>
      <c r="R3" s="1"/>
      <c r="S3" s="1"/>
      <c r="T3" s="1"/>
      <c r="U3" s="1"/>
      <c r="V3" s="1"/>
      <c r="W3" s="1"/>
      <c r="X3" s="35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47"/>
      <c r="AJ3" s="47"/>
      <c r="AK3" s="47"/>
      <c r="AL3" s="47"/>
      <c r="AM3" s="290"/>
      <c r="AN3" s="47"/>
      <c r="AO3" s="47"/>
      <c r="AP3" s="47"/>
      <c r="AQ3" s="47"/>
      <c r="AR3" s="47"/>
      <c r="AS3" s="47"/>
      <c r="AT3" s="55"/>
      <c r="AU3" s="290"/>
      <c r="AV3" s="290"/>
      <c r="AW3" s="290" t="s">
        <v>5</v>
      </c>
      <c r="AX3" s="47"/>
      <c r="AY3" s="290" t="s">
        <v>5</v>
      </c>
      <c r="AZ3" s="331" t="s">
        <v>5</v>
      </c>
      <c r="BA3" s="47"/>
      <c r="BB3" s="290"/>
      <c r="BC3" s="290" t="s">
        <v>5</v>
      </c>
      <c r="BD3" s="35"/>
      <c r="BE3" s="35"/>
      <c r="BF3" s="35"/>
      <c r="BG3" s="35"/>
      <c r="CJ3" s="386" t="s">
        <v>166</v>
      </c>
      <c r="CK3" s="387"/>
      <c r="CL3" s="387"/>
      <c r="CM3" s="387"/>
      <c r="CN3" s="387"/>
      <c r="CO3" s="387"/>
      <c r="CP3" s="387"/>
      <c r="CQ3" s="387"/>
      <c r="CR3" s="387"/>
      <c r="CS3" s="387"/>
      <c r="CT3" s="387"/>
      <c r="CU3" s="387"/>
      <c r="CV3" s="387"/>
      <c r="CW3" s="388"/>
      <c r="CY3" s="386" t="s">
        <v>165</v>
      </c>
      <c r="CZ3" s="387"/>
      <c r="DA3" s="387"/>
      <c r="DB3" s="387"/>
      <c r="DC3" s="387"/>
      <c r="DD3" s="387"/>
      <c r="DE3" s="387"/>
      <c r="DF3" s="387"/>
      <c r="DG3" s="387"/>
      <c r="DH3" s="387"/>
      <c r="DI3" s="387"/>
      <c r="DJ3" s="387"/>
      <c r="DK3" s="387"/>
      <c r="DL3" s="387"/>
      <c r="DM3" s="388"/>
      <c r="DO3" s="386" t="s">
        <v>186</v>
      </c>
      <c r="DP3" s="387"/>
      <c r="DQ3" s="387"/>
      <c r="DR3" s="387"/>
      <c r="DS3" s="387"/>
      <c r="DT3" s="387"/>
      <c r="DU3" s="387"/>
      <c r="DV3" s="387"/>
      <c r="DW3" s="387"/>
      <c r="DX3" s="387"/>
      <c r="DY3" s="387"/>
      <c r="DZ3" s="388"/>
    </row>
    <row r="4" spans="1:154" ht="15" thickBot="1">
      <c r="B4" s="35"/>
      <c r="C4" s="47"/>
      <c r="D4" s="258"/>
      <c r="E4" s="47"/>
      <c r="F4" s="47"/>
      <c r="G4" s="35"/>
      <c r="H4" s="216"/>
      <c r="I4" s="240"/>
      <c r="J4" s="290"/>
      <c r="K4" s="47"/>
      <c r="L4" s="47"/>
      <c r="M4" s="47"/>
      <c r="N4" s="55"/>
      <c r="O4" s="55"/>
      <c r="P4" s="55"/>
      <c r="Q4" s="55"/>
      <c r="R4" s="55"/>
      <c r="S4" s="47"/>
      <c r="T4" s="290"/>
      <c r="U4" s="290"/>
      <c r="V4" s="47"/>
      <c r="W4" s="55"/>
      <c r="X4" s="35"/>
      <c r="Y4" s="35"/>
      <c r="Z4" s="47"/>
      <c r="AA4" s="216"/>
      <c r="AB4" s="47"/>
      <c r="AC4" s="290"/>
      <c r="AD4" s="47"/>
      <c r="AE4" s="47"/>
      <c r="AF4" s="47"/>
      <c r="AG4" s="47"/>
      <c r="AH4" s="47"/>
      <c r="AI4" s="47"/>
      <c r="AJ4" s="47"/>
      <c r="AK4" s="47"/>
      <c r="AL4" s="47"/>
      <c r="AM4" s="290"/>
      <c r="AN4" s="47"/>
      <c r="AO4" s="47"/>
      <c r="AP4" s="47"/>
      <c r="AQ4" s="47"/>
      <c r="AR4" s="47"/>
      <c r="AS4" s="47"/>
      <c r="AT4" s="55"/>
      <c r="AU4" s="290"/>
      <c r="AV4" s="290"/>
      <c r="AW4" s="47"/>
      <c r="AX4" s="47"/>
      <c r="AY4" s="47"/>
      <c r="AZ4" s="47"/>
      <c r="BA4" s="47"/>
      <c r="BB4" s="216"/>
      <c r="BC4" s="47"/>
      <c r="BD4" s="35"/>
      <c r="BE4" s="35"/>
      <c r="BF4" s="35"/>
      <c r="BG4" s="35"/>
    </row>
    <row r="5" spans="1:154" ht="15" customHeight="1" thickBot="1">
      <c r="B5" s="35"/>
      <c r="C5" s="47"/>
      <c r="D5" s="258"/>
      <c r="E5" s="47"/>
      <c r="F5" s="47"/>
      <c r="G5" s="389" t="s">
        <v>21</v>
      </c>
      <c r="H5" s="390"/>
      <c r="I5" s="390"/>
      <c r="J5" s="390"/>
      <c r="K5" s="390"/>
      <c r="L5" s="390"/>
      <c r="M5" s="390"/>
      <c r="N5" s="390"/>
      <c r="O5" s="390"/>
      <c r="P5" s="390"/>
      <c r="Q5" s="390"/>
      <c r="R5" s="390"/>
      <c r="S5" s="390"/>
      <c r="T5" s="390"/>
      <c r="U5" s="390"/>
      <c r="V5" s="390"/>
      <c r="W5" s="390"/>
      <c r="X5" s="390"/>
      <c r="Y5" s="390"/>
      <c r="Z5" s="390"/>
      <c r="AA5" s="390"/>
      <c r="AB5" s="390"/>
      <c r="AC5" s="390"/>
      <c r="AD5" s="390"/>
      <c r="AE5" s="390"/>
      <c r="AF5" s="390"/>
      <c r="AG5" s="390"/>
      <c r="AH5" s="390"/>
      <c r="AI5" s="390"/>
      <c r="AJ5" s="390"/>
      <c r="AK5" s="390"/>
      <c r="AL5" s="390"/>
      <c r="AM5" s="390"/>
      <c r="AN5" s="390"/>
      <c r="AO5" s="390"/>
      <c r="AP5" s="390"/>
      <c r="AQ5" s="390"/>
      <c r="AR5" s="390"/>
      <c r="AS5" s="390"/>
      <c r="AT5" s="390"/>
      <c r="AU5" s="390"/>
      <c r="AV5" s="390"/>
      <c r="AW5" s="390"/>
      <c r="AX5" s="390"/>
      <c r="AY5" s="390"/>
      <c r="AZ5" s="390"/>
      <c r="BA5" s="390"/>
      <c r="BB5" s="390"/>
      <c r="BC5" s="390"/>
      <c r="BD5" s="390"/>
      <c r="BE5" s="390"/>
      <c r="BF5" s="390"/>
      <c r="BG5" s="391"/>
      <c r="BH5" s="395" t="s">
        <v>20</v>
      </c>
      <c r="BI5" s="396"/>
      <c r="BJ5" s="396"/>
      <c r="BK5" s="396"/>
      <c r="BL5" s="396"/>
      <c r="BM5" s="396"/>
      <c r="BN5" s="397"/>
      <c r="BO5" s="395" t="s">
        <v>7</v>
      </c>
      <c r="BP5" s="396"/>
      <c r="BQ5" s="396"/>
      <c r="BR5" s="396"/>
      <c r="BS5" s="396"/>
      <c r="BT5" s="396"/>
      <c r="BU5" s="397"/>
      <c r="BV5" s="392" t="s">
        <v>11</v>
      </c>
      <c r="BW5" s="393"/>
      <c r="BX5" s="393"/>
      <c r="BY5" s="393"/>
      <c r="BZ5" s="393"/>
      <c r="CA5" s="393"/>
      <c r="CB5" s="394"/>
    </row>
    <row r="6" spans="1:154" ht="26.4" customHeight="1" thickBot="1">
      <c r="B6" s="47"/>
      <c r="C6" s="371" t="s">
        <v>85</v>
      </c>
      <c r="D6" s="372"/>
      <c r="E6" s="372"/>
      <c r="F6" s="373"/>
      <c r="G6" s="371" t="s">
        <v>13</v>
      </c>
      <c r="H6" s="372"/>
      <c r="I6" s="372"/>
      <c r="J6" s="372"/>
      <c r="K6" s="372"/>
      <c r="L6" s="372"/>
      <c r="M6" s="372"/>
      <c r="N6" s="372"/>
      <c r="O6" s="372"/>
      <c r="P6" s="372"/>
      <c r="Q6" s="372"/>
      <c r="R6" s="372"/>
      <c r="S6" s="372"/>
      <c r="T6" s="372"/>
      <c r="U6" s="372"/>
      <c r="V6" s="372"/>
      <c r="W6" s="372"/>
      <c r="X6" s="372"/>
      <c r="Y6" s="371" t="s">
        <v>14</v>
      </c>
      <c r="Z6" s="372"/>
      <c r="AA6" s="372"/>
      <c r="AB6" s="372"/>
      <c r="AC6" s="372"/>
      <c r="AD6" s="372"/>
      <c r="AE6" s="372"/>
      <c r="AF6" s="372"/>
      <c r="AG6" s="372"/>
      <c r="AH6" s="372"/>
      <c r="AI6" s="372"/>
      <c r="AJ6" s="372"/>
      <c r="AK6" s="372"/>
      <c r="AL6" s="372"/>
      <c r="AM6" s="372"/>
      <c r="AN6" s="372"/>
      <c r="AO6" s="372"/>
      <c r="AP6" s="372"/>
      <c r="AQ6" s="372"/>
      <c r="AR6" s="372"/>
      <c r="AS6" s="372"/>
      <c r="AT6" s="372"/>
      <c r="AU6" s="372"/>
      <c r="AV6" s="372"/>
      <c r="AW6" s="372"/>
      <c r="AX6" s="372"/>
      <c r="AY6" s="372"/>
      <c r="AZ6" s="372"/>
      <c r="BA6" s="372"/>
      <c r="BB6" s="372"/>
      <c r="BC6" s="372"/>
      <c r="BD6" s="373"/>
      <c r="BE6" s="57"/>
      <c r="BF6" s="57"/>
      <c r="BG6" s="57"/>
      <c r="BH6" s="51"/>
      <c r="BI6" s="52"/>
      <c r="BJ6" s="52"/>
      <c r="BK6" s="52"/>
      <c r="BL6" s="58"/>
      <c r="BM6" s="58"/>
      <c r="BN6" s="58"/>
      <c r="BO6" s="51"/>
      <c r="BP6" s="52"/>
      <c r="BQ6" s="52"/>
      <c r="BR6" s="52"/>
      <c r="BS6" s="52"/>
      <c r="BT6" s="52"/>
      <c r="BU6" s="52"/>
      <c r="BV6" s="44"/>
      <c r="BW6" s="45"/>
      <c r="BX6" s="45"/>
      <c r="BY6" s="45"/>
      <c r="BZ6" s="45"/>
      <c r="CA6" s="45"/>
      <c r="CB6" s="46"/>
      <c r="CF6" s="47"/>
      <c r="CJ6" s="382" t="s">
        <v>58</v>
      </c>
      <c r="CK6" s="365" t="s">
        <v>57</v>
      </c>
      <c r="CL6" s="385" t="s">
        <v>54</v>
      </c>
      <c r="CM6" s="365" t="s">
        <v>46</v>
      </c>
      <c r="CN6" s="365" t="s">
        <v>45</v>
      </c>
      <c r="CO6" s="380" t="s">
        <v>44</v>
      </c>
      <c r="CP6" s="365" t="s">
        <v>60</v>
      </c>
      <c r="CQ6" s="385" t="s">
        <v>62</v>
      </c>
      <c r="CR6" s="439" t="s">
        <v>65</v>
      </c>
      <c r="CS6" s="365" t="s">
        <v>69</v>
      </c>
      <c r="CT6" s="365" t="s">
        <v>170</v>
      </c>
      <c r="CU6" s="439" t="s">
        <v>169</v>
      </c>
      <c r="CV6" s="361" t="s">
        <v>196</v>
      </c>
      <c r="CW6" s="374" t="s">
        <v>201</v>
      </c>
      <c r="CY6" s="404" t="s">
        <v>51</v>
      </c>
      <c r="CZ6" s="369" t="s">
        <v>176</v>
      </c>
      <c r="DA6" s="369" t="s">
        <v>177</v>
      </c>
      <c r="DB6" s="402" t="s">
        <v>64</v>
      </c>
      <c r="DC6" s="369" t="s">
        <v>87</v>
      </c>
      <c r="DD6" s="369" t="s">
        <v>56</v>
      </c>
      <c r="DE6" s="378" t="s">
        <v>95</v>
      </c>
      <c r="DF6" s="379"/>
      <c r="DG6" s="355" t="s">
        <v>99</v>
      </c>
      <c r="DH6" s="356"/>
      <c r="DI6" s="355" t="s">
        <v>100</v>
      </c>
      <c r="DJ6" s="356"/>
      <c r="DK6" s="355" t="s">
        <v>86</v>
      </c>
      <c r="DL6" s="355" t="s">
        <v>194</v>
      </c>
      <c r="DM6" s="406" t="s">
        <v>196</v>
      </c>
      <c r="DO6" s="228"/>
      <c r="DP6" s="228">
        <v>1</v>
      </c>
      <c r="DQ6" s="228">
        <v>2</v>
      </c>
      <c r="DR6" s="228">
        <v>3</v>
      </c>
      <c r="DS6" s="228">
        <v>4</v>
      </c>
      <c r="DT6" s="228">
        <v>5</v>
      </c>
      <c r="DU6" s="228">
        <v>6</v>
      </c>
      <c r="DV6" s="228">
        <v>7</v>
      </c>
      <c r="DW6" s="228">
        <v>8</v>
      </c>
      <c r="DX6" s="228">
        <v>9</v>
      </c>
      <c r="DY6" s="228">
        <v>10</v>
      </c>
      <c r="DZ6" s="228">
        <v>11</v>
      </c>
      <c r="EA6" s="31">
        <f>MATCH(AA11,$DO$6:$DZ$6)-1</f>
        <v>8</v>
      </c>
      <c r="EB6" s="31">
        <f>MATCH(AA12,$DO$6:$DZ$6)-1</f>
        <v>8</v>
      </c>
      <c r="EC6" s="31">
        <f>MATCH(AA13,$DO$6:$DZ$6)-1</f>
        <v>8</v>
      </c>
      <c r="ED6" s="31">
        <f>MATCH(AA14,$DO$6:$DZ$6)-1</f>
        <v>8</v>
      </c>
      <c r="EE6" s="31">
        <f>MATCH(AA15,$DO$6:$DZ$6)-1</f>
        <v>9</v>
      </c>
      <c r="EF6" s="31">
        <f>MATCH(AA16,$DO$6:$DZ$6)-1</f>
        <v>8</v>
      </c>
      <c r="EG6" s="31">
        <f>MATCH(AA17,$DO$6:$DZ$6)-1</f>
        <v>8</v>
      </c>
      <c r="EH6" s="31">
        <f>MATCH(AA18,$DO$6:$DZ$6)-1</f>
        <v>8</v>
      </c>
      <c r="EI6" s="31">
        <f>MATCH(AA19,$DO$6:$DZ$6)-1</f>
        <v>8</v>
      </c>
      <c r="EJ6" s="31">
        <f>MATCH(AA20,$DO$6:$DZ$6)-1</f>
        <v>8</v>
      </c>
      <c r="EK6" s="31">
        <f>MATCH(AA21,$DO$6:$DZ$6)-1</f>
        <v>8</v>
      </c>
      <c r="EL6" s="31">
        <f>MATCH(AA22,$DO$6:$DZ$6)-1</f>
        <v>8</v>
      </c>
      <c r="EM6" s="31">
        <f>MATCH(AA23,$DO$6:$DZ$6)-1</f>
        <v>8</v>
      </c>
      <c r="EN6" s="31">
        <f>MATCH(AA24,$DO$6:$DZ$6)-1</f>
        <v>8</v>
      </c>
      <c r="EO6" s="31">
        <f>MATCH(AA25,$DO$6:$DZ$6)-1</f>
        <v>8</v>
      </c>
      <c r="EP6" s="31">
        <f>MATCH(AA26,$DO$6:$DZ$6)-1</f>
        <v>8</v>
      </c>
      <c r="EQ6" s="31">
        <f>MATCH(AA27,$DO$6:$DZ$6)-1</f>
        <v>8</v>
      </c>
      <c r="ER6" s="31">
        <f>MATCH(AA28,$DO$6:$DZ$6)-1</f>
        <v>8</v>
      </c>
      <c r="ES6" s="31">
        <f>MATCH(AA29,$DO$6:$DZ$6)-1</f>
        <v>8</v>
      </c>
      <c r="ET6">
        <f>MATCH(AA30,$DO$6:$DZ$6)-1</f>
        <v>8</v>
      </c>
      <c r="EU6">
        <f>MATCH(AA31,$DO$6:$DZ$6)-1</f>
        <v>8</v>
      </c>
      <c r="EV6">
        <f>MATCH(AA32,$DO$6:$DZ$6)-1</f>
        <v>8</v>
      </c>
      <c r="EW6">
        <f>MATCH(AA33,$DO$6:$DZ$6)-1</f>
        <v>8</v>
      </c>
      <c r="EX6" t="e">
        <f>MATCH(AA34,$DO$6:$DZ$6)-1</f>
        <v>#N/A</v>
      </c>
    </row>
    <row r="7" spans="1:154" ht="26.4" customHeight="1" thickBot="1">
      <c r="B7" s="47"/>
      <c r="C7" s="48"/>
      <c r="D7" s="260"/>
      <c r="E7" s="49"/>
      <c r="F7" s="50"/>
      <c r="G7" s="60"/>
      <c r="H7" s="217"/>
      <c r="I7" s="244"/>
      <c r="J7" s="291"/>
      <c r="K7" s="59"/>
      <c r="L7" s="59"/>
      <c r="M7" s="59"/>
      <c r="N7" s="59"/>
      <c r="O7" s="59"/>
      <c r="P7" s="59"/>
      <c r="Q7" s="59"/>
      <c r="R7" s="59"/>
      <c r="S7" s="59"/>
      <c r="T7" s="291"/>
      <c r="U7" s="291"/>
      <c r="V7" s="59"/>
      <c r="W7" s="59"/>
      <c r="X7" s="59"/>
      <c r="Y7" s="72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59"/>
      <c r="AO7" s="59"/>
      <c r="AP7" s="59"/>
      <c r="AQ7" s="59"/>
      <c r="AR7" s="59"/>
      <c r="AS7" s="59"/>
      <c r="AT7" s="59"/>
      <c r="AU7" s="345"/>
      <c r="AV7" s="291"/>
      <c r="AW7" s="59"/>
      <c r="AX7" s="59"/>
      <c r="AY7" s="59"/>
      <c r="AZ7" s="59"/>
      <c r="BA7" s="59"/>
      <c r="BB7" s="217"/>
      <c r="BC7" s="59"/>
      <c r="BD7" s="61"/>
      <c r="BE7" s="57"/>
      <c r="BF7" s="57"/>
      <c r="BG7" s="57"/>
      <c r="BH7" s="51"/>
      <c r="BI7" s="52"/>
      <c r="BJ7" s="52"/>
      <c r="BK7" s="52"/>
      <c r="BL7" s="58"/>
      <c r="BM7" s="58"/>
      <c r="BN7" s="58"/>
      <c r="BO7" s="51"/>
      <c r="BP7" s="52"/>
      <c r="BQ7" s="52"/>
      <c r="BR7" s="52"/>
      <c r="BS7" s="52"/>
      <c r="BT7" s="52"/>
      <c r="BU7" s="52"/>
      <c r="BV7" s="44"/>
      <c r="BW7" s="45"/>
      <c r="BX7" s="45"/>
      <c r="BY7" s="45"/>
      <c r="BZ7" s="45"/>
      <c r="CA7" s="45"/>
      <c r="CB7" s="46"/>
      <c r="CF7" s="47"/>
      <c r="CJ7" s="383"/>
      <c r="CK7" s="384"/>
      <c r="CL7" s="367"/>
      <c r="CM7" s="367"/>
      <c r="CN7" s="367"/>
      <c r="CO7" s="381"/>
      <c r="CP7" s="367"/>
      <c r="CQ7" s="367"/>
      <c r="CR7" s="441"/>
      <c r="CS7" s="367"/>
      <c r="CT7" s="368"/>
      <c r="CU7" s="440"/>
      <c r="CV7" s="362"/>
      <c r="CW7" s="375"/>
      <c r="CY7" s="405"/>
      <c r="CZ7" s="370"/>
      <c r="DA7" s="370"/>
      <c r="DB7" s="403"/>
      <c r="DC7" s="370"/>
      <c r="DD7" s="370"/>
      <c r="DE7" s="204" t="s">
        <v>94</v>
      </c>
      <c r="DF7" s="68" t="s">
        <v>53</v>
      </c>
      <c r="DG7" s="68" t="s">
        <v>52</v>
      </c>
      <c r="DH7" s="68" t="s">
        <v>53</v>
      </c>
      <c r="DI7" s="68" t="s">
        <v>52</v>
      </c>
      <c r="DJ7" s="68" t="s">
        <v>53</v>
      </c>
      <c r="DK7" s="357"/>
      <c r="DL7" s="357"/>
      <c r="DM7" s="407"/>
      <c r="DO7" s="234">
        <v>1</v>
      </c>
      <c r="DP7" s="236" t="s">
        <v>101</v>
      </c>
      <c r="DQ7" s="228"/>
      <c r="DR7" s="228"/>
      <c r="DS7" s="228"/>
      <c r="DT7" s="228"/>
      <c r="DU7" s="228"/>
      <c r="DV7" s="228"/>
      <c r="DW7" s="228"/>
      <c r="DX7" s="228"/>
      <c r="DY7" s="228"/>
      <c r="DZ7" s="228"/>
    </row>
    <row r="8" spans="1:154" ht="41.4" customHeight="1" thickBot="1">
      <c r="B8" s="4"/>
      <c r="C8" s="415" t="s">
        <v>64</v>
      </c>
      <c r="D8" s="369" t="s">
        <v>180</v>
      </c>
      <c r="E8" s="369" t="s">
        <v>83</v>
      </c>
      <c r="F8" s="413" t="s">
        <v>84</v>
      </c>
      <c r="G8" s="404" t="s">
        <v>51</v>
      </c>
      <c r="H8" s="369" t="s">
        <v>176</v>
      </c>
      <c r="I8" s="369" t="s">
        <v>177</v>
      </c>
      <c r="J8" s="369" t="s">
        <v>185</v>
      </c>
      <c r="K8" s="402" t="s">
        <v>64</v>
      </c>
      <c r="L8" s="369" t="s">
        <v>87</v>
      </c>
      <c r="M8" s="369" t="s">
        <v>56</v>
      </c>
      <c r="N8" s="378" t="s">
        <v>95</v>
      </c>
      <c r="O8" s="379"/>
      <c r="P8" s="355" t="s">
        <v>99</v>
      </c>
      <c r="Q8" s="356"/>
      <c r="R8" s="355" t="s">
        <v>100</v>
      </c>
      <c r="S8" s="401"/>
      <c r="T8" s="359" t="s">
        <v>196</v>
      </c>
      <c r="U8" s="376" t="s">
        <v>70</v>
      </c>
      <c r="V8" s="369" t="s">
        <v>86</v>
      </c>
      <c r="W8" s="355" t="s">
        <v>93</v>
      </c>
      <c r="X8" s="406" t="s">
        <v>92</v>
      </c>
      <c r="Y8" s="404" t="s">
        <v>43</v>
      </c>
      <c r="Z8" s="369" t="s">
        <v>167</v>
      </c>
      <c r="AA8" s="369" t="s">
        <v>168</v>
      </c>
      <c r="AB8" s="355" t="s">
        <v>64</v>
      </c>
      <c r="AC8" s="356"/>
      <c r="AD8" s="369" t="s">
        <v>61</v>
      </c>
      <c r="AE8" s="369" t="s">
        <v>58</v>
      </c>
      <c r="AF8" s="369" t="s">
        <v>57</v>
      </c>
      <c r="AG8" s="402" t="s">
        <v>54</v>
      </c>
      <c r="AH8" s="369" t="s">
        <v>68</v>
      </c>
      <c r="AI8" s="369" t="s">
        <v>46</v>
      </c>
      <c r="AJ8" s="369" t="s">
        <v>45</v>
      </c>
      <c r="AK8" s="359" t="s">
        <v>44</v>
      </c>
      <c r="AL8" s="376" t="s">
        <v>70</v>
      </c>
      <c r="AM8" s="363" t="s">
        <v>196</v>
      </c>
      <c r="AN8" s="398" t="s">
        <v>48</v>
      </c>
      <c r="AO8" s="399"/>
      <c r="AP8" s="399"/>
      <c r="AQ8" s="400"/>
      <c r="AR8" s="398" t="s">
        <v>47</v>
      </c>
      <c r="AS8" s="400"/>
      <c r="AT8" s="369" t="s">
        <v>96</v>
      </c>
      <c r="AU8" s="369" t="s">
        <v>200</v>
      </c>
      <c r="AV8" s="365" t="s">
        <v>199</v>
      </c>
      <c r="AW8" s="365" t="s">
        <v>81</v>
      </c>
      <c r="AX8" s="365" t="s">
        <v>80</v>
      </c>
      <c r="AY8" s="365" t="s">
        <v>78</v>
      </c>
      <c r="AZ8" s="365" t="s">
        <v>79</v>
      </c>
      <c r="BA8" s="437" t="s">
        <v>75</v>
      </c>
      <c r="BB8" s="438"/>
      <c r="BC8" s="365" t="s">
        <v>77</v>
      </c>
      <c r="BD8" s="374" t="s">
        <v>76</v>
      </c>
      <c r="BE8" s="18" t="s">
        <v>23</v>
      </c>
      <c r="BF8" s="18" t="s">
        <v>31</v>
      </c>
      <c r="BG8" s="18" t="s">
        <v>10</v>
      </c>
      <c r="BH8" s="12" t="s">
        <v>13</v>
      </c>
      <c r="BI8" s="11" t="s">
        <v>10</v>
      </c>
      <c r="BJ8" s="20" t="s">
        <v>14</v>
      </c>
      <c r="BK8" s="21" t="s">
        <v>10</v>
      </c>
      <c r="BL8" s="18" t="s">
        <v>23</v>
      </c>
      <c r="BM8" s="18" t="s">
        <v>31</v>
      </c>
      <c r="BN8" s="18" t="s">
        <v>10</v>
      </c>
      <c r="BO8" s="12" t="s">
        <v>13</v>
      </c>
      <c r="BP8" s="11" t="s">
        <v>10</v>
      </c>
      <c r="BQ8" s="20" t="s">
        <v>14</v>
      </c>
      <c r="BR8" s="25" t="s">
        <v>10</v>
      </c>
      <c r="BS8" s="37" t="s">
        <v>23</v>
      </c>
      <c r="BT8" s="37" t="s">
        <v>31</v>
      </c>
      <c r="BU8" s="11" t="s">
        <v>10</v>
      </c>
      <c r="BV8" s="12" t="s">
        <v>13</v>
      </c>
      <c r="BW8" s="9" t="s">
        <v>10</v>
      </c>
      <c r="BX8" s="12" t="s">
        <v>14</v>
      </c>
      <c r="BY8" s="9" t="s">
        <v>10</v>
      </c>
      <c r="BZ8" s="12" t="s">
        <v>23</v>
      </c>
      <c r="CA8" s="37" t="s">
        <v>31</v>
      </c>
      <c r="CB8" s="38" t="s">
        <v>10</v>
      </c>
      <c r="CC8" s="2" t="s">
        <v>12</v>
      </c>
      <c r="CD8" s="2" t="s">
        <v>10</v>
      </c>
      <c r="CE8" s="17" t="s">
        <v>22</v>
      </c>
      <c r="CF8" s="17" t="s">
        <v>10</v>
      </c>
      <c r="CI8" s="297" t="s">
        <v>17</v>
      </c>
      <c r="CJ8" s="350" t="s">
        <v>59</v>
      </c>
      <c r="CK8" s="73" t="s">
        <v>59</v>
      </c>
      <c r="CL8" s="73" t="str">
        <f>IF(CI8="EN-SA-18-0436","PB")</f>
        <v>PB</v>
      </c>
      <c r="CM8" s="77">
        <v>48.3</v>
      </c>
      <c r="CN8" s="73">
        <v>8</v>
      </c>
      <c r="CO8" s="74">
        <v>5.08</v>
      </c>
      <c r="CP8" s="74" t="s">
        <v>97</v>
      </c>
      <c r="CQ8" s="75" t="s">
        <v>63</v>
      </c>
      <c r="CR8" s="76" t="s">
        <v>67</v>
      </c>
      <c r="CS8" s="75">
        <v>3.2</v>
      </c>
      <c r="CT8" s="218">
        <v>8</v>
      </c>
      <c r="CU8" s="327">
        <v>8</v>
      </c>
      <c r="CV8" s="346" t="s">
        <v>188</v>
      </c>
      <c r="CW8" s="347"/>
      <c r="CY8" s="160" t="s">
        <v>9</v>
      </c>
      <c r="CZ8" s="161">
        <v>8</v>
      </c>
      <c r="DA8" s="161">
        <v>8</v>
      </c>
      <c r="DB8" s="305" t="s">
        <v>63</v>
      </c>
      <c r="DC8" s="158" t="s">
        <v>67</v>
      </c>
      <c r="DD8" s="161" t="s">
        <v>55</v>
      </c>
      <c r="DE8" s="224">
        <v>25</v>
      </c>
      <c r="DF8" s="220">
        <v>999999</v>
      </c>
      <c r="DG8" s="220">
        <v>4</v>
      </c>
      <c r="DH8" s="220">
        <v>16</v>
      </c>
      <c r="DI8" s="220">
        <v>3</v>
      </c>
      <c r="DJ8" s="220">
        <v>10.199999999999999</v>
      </c>
      <c r="DK8" s="242">
        <v>111</v>
      </c>
      <c r="DL8" s="326" t="s">
        <v>191</v>
      </c>
      <c r="DM8" s="322" t="s">
        <v>195</v>
      </c>
      <c r="DO8" s="234">
        <v>2</v>
      </c>
      <c r="DP8" s="236" t="s">
        <v>102</v>
      </c>
      <c r="DQ8" s="236" t="s">
        <v>103</v>
      </c>
      <c r="DR8" s="228"/>
      <c r="DS8" s="228"/>
      <c r="DT8" s="228"/>
      <c r="DU8" s="228"/>
      <c r="DV8" s="228"/>
      <c r="DW8" s="228"/>
      <c r="DX8" s="228"/>
      <c r="DY8" s="228"/>
      <c r="DZ8" s="228"/>
    </row>
    <row r="9" spans="1:154" ht="46.2" customHeight="1" thickBot="1">
      <c r="B9" s="4"/>
      <c r="C9" s="416"/>
      <c r="D9" s="370"/>
      <c r="E9" s="370"/>
      <c r="F9" s="414"/>
      <c r="G9" s="405"/>
      <c r="H9" s="370"/>
      <c r="I9" s="370"/>
      <c r="J9" s="370"/>
      <c r="K9" s="403"/>
      <c r="L9" s="370"/>
      <c r="M9" s="370"/>
      <c r="N9" s="204" t="s">
        <v>94</v>
      </c>
      <c r="O9" s="68" t="s">
        <v>53</v>
      </c>
      <c r="P9" s="68" t="s">
        <v>52</v>
      </c>
      <c r="Q9" s="68" t="s">
        <v>53</v>
      </c>
      <c r="R9" s="68" t="s">
        <v>52</v>
      </c>
      <c r="S9" s="68" t="s">
        <v>53</v>
      </c>
      <c r="T9" s="360"/>
      <c r="U9" s="377"/>
      <c r="V9" s="370"/>
      <c r="W9" s="357"/>
      <c r="X9" s="407"/>
      <c r="Y9" s="405"/>
      <c r="Z9" s="370"/>
      <c r="AA9" s="370"/>
      <c r="AB9" s="357"/>
      <c r="AC9" s="358"/>
      <c r="AD9" s="370"/>
      <c r="AE9" s="370"/>
      <c r="AF9" s="370"/>
      <c r="AG9" s="403"/>
      <c r="AH9" s="370"/>
      <c r="AI9" s="370"/>
      <c r="AJ9" s="370"/>
      <c r="AK9" s="360"/>
      <c r="AL9" s="377"/>
      <c r="AM9" s="364"/>
      <c r="AN9" s="68" t="s">
        <v>52</v>
      </c>
      <c r="AO9" s="68"/>
      <c r="AP9" s="68" t="s">
        <v>53</v>
      </c>
      <c r="AQ9" s="68"/>
      <c r="AR9" s="68" t="s">
        <v>52</v>
      </c>
      <c r="AS9" s="67" t="s">
        <v>53</v>
      </c>
      <c r="AT9" s="370"/>
      <c r="AU9" s="370"/>
      <c r="AV9" s="366"/>
      <c r="AW9" s="366"/>
      <c r="AX9" s="366"/>
      <c r="AY9" s="366"/>
      <c r="AZ9" s="366"/>
      <c r="BA9" s="219" t="s">
        <v>171</v>
      </c>
      <c r="BB9" s="293" t="s">
        <v>184</v>
      </c>
      <c r="BC9" s="366"/>
      <c r="BD9" s="375"/>
      <c r="BE9" s="53"/>
      <c r="BF9" s="53"/>
      <c r="BG9" s="53"/>
      <c r="BH9" s="53"/>
      <c r="BI9" s="11"/>
      <c r="BJ9" s="20"/>
      <c r="BK9" s="21"/>
      <c r="BL9" s="53"/>
      <c r="BM9" s="53"/>
      <c r="BN9" s="53"/>
      <c r="BO9" s="53"/>
      <c r="BP9" s="11"/>
      <c r="BQ9" s="20"/>
      <c r="BR9" s="25"/>
      <c r="BS9" s="53"/>
      <c r="BT9" s="53"/>
      <c r="BU9" s="11"/>
      <c r="BV9" s="53"/>
      <c r="BW9" s="11"/>
      <c r="BX9" s="12"/>
      <c r="BY9" s="9"/>
      <c r="BZ9" s="53"/>
      <c r="CA9" s="53"/>
      <c r="CB9" s="54"/>
      <c r="CC9" s="2"/>
      <c r="CD9" s="2"/>
      <c r="CE9" s="17"/>
      <c r="CF9" s="17"/>
      <c r="CI9" s="315" t="s">
        <v>16</v>
      </c>
      <c r="CJ9" s="351" t="s">
        <v>59</v>
      </c>
      <c r="CK9" s="300" t="s">
        <v>59</v>
      </c>
      <c r="CL9" s="86" t="s">
        <v>55</v>
      </c>
      <c r="CM9" s="299">
        <v>88.9</v>
      </c>
      <c r="CN9" s="86">
        <v>30</v>
      </c>
      <c r="CO9" s="86">
        <v>5.49</v>
      </c>
      <c r="CP9" s="86" t="s">
        <v>97</v>
      </c>
      <c r="CQ9" s="300" t="s">
        <v>63</v>
      </c>
      <c r="CR9" s="301" t="s">
        <v>66</v>
      </c>
      <c r="CS9" s="300">
        <v>1.2</v>
      </c>
      <c r="CT9" s="86">
        <v>8</v>
      </c>
      <c r="CU9" s="328">
        <v>8</v>
      </c>
      <c r="CV9" s="87" t="s">
        <v>198</v>
      </c>
      <c r="CW9" s="348"/>
      <c r="CY9" s="184" t="s">
        <v>34</v>
      </c>
      <c r="CZ9" s="161">
        <v>8</v>
      </c>
      <c r="DA9" s="161">
        <v>8</v>
      </c>
      <c r="DB9" s="302" t="s">
        <v>91</v>
      </c>
      <c r="DC9" s="158" t="s">
        <v>66</v>
      </c>
      <c r="DD9" s="155" t="s">
        <v>89</v>
      </c>
      <c r="DE9" s="213">
        <v>30.15</v>
      </c>
      <c r="DF9" s="220">
        <v>120.6</v>
      </c>
      <c r="DG9" s="148">
        <v>3</v>
      </c>
      <c r="DH9" s="148">
        <v>7.2</v>
      </c>
      <c r="DI9" s="149">
        <v>3</v>
      </c>
      <c r="DJ9" s="149">
        <v>7.2</v>
      </c>
      <c r="DK9" s="157">
        <v>111</v>
      </c>
      <c r="DL9" s="326" t="s">
        <v>191</v>
      </c>
      <c r="DM9" s="323" t="s">
        <v>195</v>
      </c>
      <c r="DO9" s="234">
        <v>3</v>
      </c>
      <c r="DP9" s="236" t="s">
        <v>104</v>
      </c>
      <c r="DQ9" s="236" t="s">
        <v>105</v>
      </c>
      <c r="DR9" s="236" t="s">
        <v>106</v>
      </c>
      <c r="DS9" s="228"/>
      <c r="DT9" s="228"/>
      <c r="DU9" s="228"/>
      <c r="DV9" s="228"/>
      <c r="DW9" s="228"/>
      <c r="DX9" s="228"/>
      <c r="DY9" s="228"/>
      <c r="DZ9" s="228"/>
      <c r="EE9" s="287"/>
      <c r="EF9" s="288"/>
      <c r="EG9" s="288"/>
      <c r="EH9" s="288"/>
      <c r="EI9" s="288"/>
      <c r="EJ9" s="288"/>
      <c r="EK9" s="288"/>
      <c r="EL9" s="288"/>
      <c r="EM9" s="288"/>
      <c r="EN9" s="288"/>
      <c r="EO9" s="288"/>
      <c r="EP9" s="288"/>
    </row>
    <row r="10" spans="1:154" ht="53.4" thickBot="1">
      <c r="B10" s="311" t="s">
        <v>0</v>
      </c>
      <c r="C10" s="278" t="s">
        <v>182</v>
      </c>
      <c r="D10" s="310" t="s">
        <v>59</v>
      </c>
      <c r="E10" s="308" t="s">
        <v>188</v>
      </c>
      <c r="F10" s="309">
        <f>H1</f>
        <v>5</v>
      </c>
      <c r="G10" s="160" t="s">
        <v>24</v>
      </c>
      <c r="H10" s="161">
        <f>VLOOKUP(G10,$CY$6:$DK$14,2,0)</f>
        <v>8</v>
      </c>
      <c r="I10" s="161">
        <f>VLOOKUP(G10,$CY$6:$DK$14,3,0)</f>
        <v>8</v>
      </c>
      <c r="J10" s="279"/>
      <c r="K10" s="177" t="str">
        <f>VLOOKUP(G10,$CY$6:$DK$14,4,0)</f>
        <v>bout à bout pleine penetration</v>
      </c>
      <c r="L10" s="158" t="str">
        <f>+VLOOKUP(G10,$CY$6:$DK$14,5,0)</f>
        <v>monopasse</v>
      </c>
      <c r="M10" s="161" t="str">
        <f>VLOOKUP(G10,$CY$6:$DK$14,6,0)</f>
        <v>PA</v>
      </c>
      <c r="N10" s="224" t="str">
        <f>VLOOKUP(G10,$CY$6:$DK$14,7,0)</f>
        <v>N/A</v>
      </c>
      <c r="O10" s="212" t="str">
        <f>VLOOKUP(G10,$CY$6:$DK$14,8,0)</f>
        <v>N/A</v>
      </c>
      <c r="P10" s="294">
        <f>VLOOKUP(G10,$CY$6:$DK$14,9,0)</f>
        <v>4</v>
      </c>
      <c r="Q10" s="294">
        <f>VLOOKUP(G10,$CY$6:$DK$14,10,0)</f>
        <v>10.4</v>
      </c>
      <c r="R10" s="212" t="str">
        <f>VLOOKUP(G10,$CY$6:$DK$14,11,0)</f>
        <v>N/A</v>
      </c>
      <c r="S10" s="212" t="str">
        <f>VLOOKUP(G10,$CY$6:$DK$14,12,0)</f>
        <v>N/A</v>
      </c>
      <c r="T10" s="212" t="str">
        <f>VLOOKUP(G10,$CY$6:$DM$14,15,0)</f>
        <v>&lt;=150</v>
      </c>
      <c r="U10" s="212" t="str">
        <f>VLOOKUP(G10,$CY$6:$DL$14,14,0)</f>
        <v>3,2/3,2</v>
      </c>
      <c r="V10" s="205">
        <f>VLOOKUP(G10,$CY$6:$DK$14,13,0)</f>
        <v>121</v>
      </c>
      <c r="W10" s="176" t="str">
        <f>IF(AND(E10&lt;=O10,E10&gt;=N10,R10="N/A"),"VRAI")</f>
        <v>VRAI</v>
      </c>
      <c r="X10" s="162" t="str">
        <f>IF(AND(F10&gt;=P10,F10&lt;=Q10),IF(AND(F10&gt;=P10,F10&lt;=Q10),"VRAI"))</f>
        <v>VRAI</v>
      </c>
      <c r="Y10" s="163" t="s">
        <v>15</v>
      </c>
      <c r="Z10" s="221">
        <f>VLOOKUP(Y10,$CI$6:$CU$14,12,0)</f>
        <v>8</v>
      </c>
      <c r="AA10" s="221">
        <f>VLOOKUP(Y10,$CI$6:$CU$14,13,0)</f>
        <v>8</v>
      </c>
      <c r="AB10" s="177" t="str">
        <f>VLOOKUP(Y10,$CI$6:$CU$14,9,0)</f>
        <v>Bout à bout pleine penetration</v>
      </c>
      <c r="AC10" s="318" t="str">
        <f>LEFT(AB10,11)</f>
        <v>Bout à bout</v>
      </c>
      <c r="AD10" s="221" t="str">
        <f>VLOOKUP(Y10,$CI$6:$CU$14,8,0)</f>
        <v>121/121</v>
      </c>
      <c r="AE10" s="221" t="str">
        <f>VLOOKUP(Y10,$CI$6:$CU$14,2,0)</f>
        <v>non</v>
      </c>
      <c r="AF10" s="221" t="str">
        <f>VLOOKUP(Y10,$CI$6:$CU$14,3,0)</f>
        <v>oui</v>
      </c>
      <c r="AG10" s="221" t="str">
        <f>VLOOKUP(Y10,$CI$6:$CU$14,4,0)</f>
        <v>PA</v>
      </c>
      <c r="AH10" s="177" t="str">
        <f>VLOOKUP(Y10,$CI$6:$CU$14,10,0)</f>
        <v>monopasse</v>
      </c>
      <c r="AI10" s="166" t="str">
        <f>VLOOKUP(Y10,$CI$6:$CU$14,5,0)</f>
        <v>N/A</v>
      </c>
      <c r="AJ10" s="221">
        <f>VLOOKUP(Y10,$CI$6:$CU$14,6,0)</f>
        <v>8</v>
      </c>
      <c r="AK10" s="167">
        <f>VLOOKUP(Y10,$CI$6:$CU$14,7,0)</f>
        <v>8</v>
      </c>
      <c r="AL10" s="167">
        <f>VLOOKUP(Y10,$CI$6:$CU$14,11,0)</f>
        <v>3.2</v>
      </c>
      <c r="AM10" s="167">
        <f>VLOOKUP(Y10,$CI$6:$CV$14,14,0)</f>
        <v>150</v>
      </c>
      <c r="AN10" s="332">
        <f>IF(AND(AJ10&lt;=3,AB10="en angle"),0.7*AJ10,IF(AND(AJ10&lt;30,AJ10&gt;3,AB10="en angle"),3,IF(AND(AJ10&gt;=30,AB10="en angle"),"&gt;="&amp;5,IF(AND(AC10="Bout à bout",AJ10&lt;=3),0.5*AJ10,IF(AND(AC10="Bout à bout",AJ10&gt;3,AJ10&lt;=12,AH10="monopasse"),0.5*AJ10,IF(AND(AC10="Bout à bout",AJ10&gt;3,AJ10&lt;=12,AH10="multipasse"),3))))))</f>
        <v>4</v>
      </c>
      <c r="AO10" s="321">
        <f t="shared" ref="AO10:AO33" si="0">IF(AN10="&gt;=5",5,AN10)</f>
        <v>4</v>
      </c>
      <c r="AP10" s="333">
        <f>IF(AND(AJ10&lt;=3,AB10="en angle"),2*AJ10,IF(AND(AJ10&lt;30,AJ10&gt;3,AB10="en angle"),2*AJ10,IF(AND(AJ10&gt;=30,AB10="en angle"),"&gt;="&amp;5,IF(AND(AC10="Bout à bout",AJ10&gt;3,AJ10&lt;=12,AH10="monopasse"),1.3*AJ10,IF(AND(AC10="Bout à bout",AJ10&gt;3,AJ10&lt;=12,AH10="multipasse"),2*AJ10,IF(AND(AC10="Bout à bout",AJ10&lt;=3),2*AJ10))))))</f>
        <v>10.4</v>
      </c>
      <c r="AQ10" s="321">
        <f t="shared" ref="AQ10:AQ18" si="1">IF(AP10="&gt;=5",5,AP10)</f>
        <v>10.4</v>
      </c>
      <c r="AR10" s="334">
        <f>IF(AND(AK10&lt;=3,AB10="en angle"),0.7*AK10,IF(AND(AK10&lt;30,AK10&gt;3,AB10="en angle"),3,IF(AND(AK10&gt;=30,AB10="en angle"),"&gt;="&amp;5,IF(AND(AC10="Bout à bout",AJ10&lt;=3),0.5*AK10,IF(AND(AC10="Bout à bout",AK10&gt;3,AK10&lt;=12,AH10="monopasse"),0.5*AK10,IF(AND(AC10="Bout à bout",AK10&gt;3,AK10&lt;=12,AH10="multipasse"),3))))))</f>
        <v>4</v>
      </c>
      <c r="AS10" s="335">
        <f>IF(AND(AK10&lt;=3,AB10="en angle"),2*AK10,IF(AND(AK10&lt;30,AK10&gt;3,AB10="en angle"),2*AK10,IF(AND(AK10&gt;=30,AB10="en angle"),"&gt;="&amp;5,IF(AND(AC10="Bout à bout",AK10&gt;3,AK10&lt;=12,AH10="monopasse"),1.3*AK10,IF(AND(AC10="Bout à bout",AK10&gt;3,AK10&lt;=12,AH10="multipasse"),2*AK10,IF(AND(AC10="Bout à bout",AK10&lt;=3),2*AK10))))))</f>
        <v>10.4</v>
      </c>
      <c r="AT10" s="336" t="str">
        <f>IF(AI10="N/A","",AI10/2)</f>
        <v/>
      </c>
      <c r="AU10" s="336"/>
      <c r="AV10" s="329"/>
      <c r="AW10" s="173" t="str">
        <f t="shared" ref="AW10:AW18" si="2">IF(AND(AB10="en angle",K10="en angle"),"VRAI",IF(AND(AB10="Bout à bout pleine penetration",K10="en angle"),"VRAI",IF(AND(AB10="Bout à bout pleine penetration",K10="Bout à bout pleine penetration"),"VRAI",IF(AND(AB10="Bout à bout pleine penetration",K10="Bout à bout penetration partielle"),"VRAI",IF(AND(AB10="Bout à bout pleine penetration",K10="piquage angle &gt;=60°"),"VRAI",IF(AND(AB10="Bout à bout penetration partielle",K10="piquage angle &gt;=60°"),"VRAI",IF(AND(AB10="bout à bout pleine penetration",K10="en angle et bout à bout penetration partielle"),"VRAI",IF(AND(AB10="en angle",K10="en angle et bout à bout penetration partielle"),"VRAI"))))))))</f>
        <v>VRAI</v>
      </c>
      <c r="AX10" s="173" t="str">
        <f>IF(AND(AH10="monopasse",L10="monopasse"),"VRAI",IF(AND(AH10="multipasse",AF10="non",AE10="non",L10="monopasse"),"VRAI",IF(AND(AH10="multipasse",L10="multipasse"),"VRAI",IF(AND(AH10="monopasse de chaque coté",L10="monopasse de chaque coté"),"VRAI"))))</f>
        <v>VRAI</v>
      </c>
      <c r="AY10" s="173" t="str">
        <f>IF(OR(VALUE(MID(AD10,5,4))=V10,VALUE(MID(AD10,1,3))=V10,AD10=V10),"VRAI")</f>
        <v>VRAI</v>
      </c>
      <c r="AZ10" s="173" t="b">
        <f>OR(IFERROR(RIGHT(AL10,LEN(AL10)-FIND("/",AL10&amp;"/")),FIXED(AL10,0))=IFERROR(RIGHT(U10,LEN(U10)-FIND("/",U10&amp;"/")),FIXED(U10,0)),IFERROR(LEFT(AL10,FIND("/",AL10&amp;"/")-1),FIXED(AL10,0))=IFERROR(LEFT(U10,FIND("/",U10&amp;"/")-1),FIXED(U10,0)),IFERROR(RIGHT(AL10,LEN(AL10)-FIND("/",AL10&amp;"/")),FIXED(AL10,0))=IFERROR(LEFT(U10,FIND("/",U10&amp;"/")-1),FIXED(U10,0)),IFERROR(LEFT(AL10,FIND("/",AL10&amp;"/")-1),FIXED(AL10,0))=IFERROR(RIGHT(U10,LEN(U10)-FIND("/",U10&amp;"/")),FIXED(U10,0)),IF(AND(AE10="non",AF10="non"),"VRAI"),IF(AND(AE10="oui",AF10="non"),"VRAI"),IF(AND(AE10="non",AF10="oui"),"VRAI"))</f>
        <v>1</v>
      </c>
      <c r="BA10" s="292" t="str">
        <f>INDEX($DP$7:$DZ$18,DO19,EA6)</f>
        <v>8.8</v>
      </c>
      <c r="BB10" s="69"/>
      <c r="BC10" s="69"/>
      <c r="BD10" s="4"/>
      <c r="BE10" s="19"/>
      <c r="BF10" s="19"/>
      <c r="BG10" s="29"/>
      <c r="BJ10" s="22"/>
      <c r="BK10" s="23"/>
      <c r="BL10" s="19"/>
      <c r="BM10" s="19"/>
      <c r="BN10" s="4"/>
      <c r="BP10" s="15"/>
      <c r="BQ10" s="22"/>
      <c r="BR10" s="23"/>
      <c r="BS10" s="19"/>
      <c r="BT10" s="34"/>
      <c r="BU10" s="10"/>
      <c r="BX10" s="7"/>
      <c r="BY10" s="10"/>
      <c r="BZ10" s="19"/>
      <c r="CA10" s="19"/>
      <c r="CB10" s="4"/>
      <c r="CD10" s="3"/>
      <c r="CI10" s="315" t="s">
        <v>35</v>
      </c>
      <c r="CJ10" s="351" t="s">
        <v>59</v>
      </c>
      <c r="CK10" s="300" t="s">
        <v>59</v>
      </c>
      <c r="CL10" s="86" t="s">
        <v>71</v>
      </c>
      <c r="CM10" s="299">
        <v>17.2</v>
      </c>
      <c r="CN10" s="86">
        <v>3.2</v>
      </c>
      <c r="CO10" s="86">
        <v>3.2</v>
      </c>
      <c r="CP10" s="86" t="s">
        <v>98</v>
      </c>
      <c r="CQ10" s="300" t="s">
        <v>90</v>
      </c>
      <c r="CR10" s="301" t="s">
        <v>66</v>
      </c>
      <c r="CS10" s="300">
        <v>1.6</v>
      </c>
      <c r="CT10" s="86">
        <v>8</v>
      </c>
      <c r="CU10" s="328">
        <v>8</v>
      </c>
      <c r="CV10" s="87">
        <v>100</v>
      </c>
      <c r="CW10" s="348"/>
      <c r="CY10" s="182" t="s">
        <v>88</v>
      </c>
      <c r="CZ10" s="161">
        <v>8</v>
      </c>
      <c r="DA10" s="161">
        <v>8</v>
      </c>
      <c r="DB10" s="303" t="s">
        <v>91</v>
      </c>
      <c r="DC10" s="158" t="s">
        <v>66</v>
      </c>
      <c r="DD10" s="155" t="s">
        <v>89</v>
      </c>
      <c r="DE10" s="213">
        <v>8.6</v>
      </c>
      <c r="DF10" s="220">
        <v>34.4</v>
      </c>
      <c r="DG10" s="149">
        <v>1.82</v>
      </c>
      <c r="DH10" s="149">
        <v>5.2</v>
      </c>
      <c r="DI10" s="149">
        <v>1.82</v>
      </c>
      <c r="DJ10" s="149">
        <v>5.2</v>
      </c>
      <c r="DK10" s="157">
        <v>141</v>
      </c>
      <c r="DL10" s="314" t="s">
        <v>193</v>
      </c>
      <c r="DM10" s="322" t="s">
        <v>197</v>
      </c>
      <c r="DO10" s="234">
        <v>4</v>
      </c>
      <c r="DP10" s="236" t="s">
        <v>107</v>
      </c>
      <c r="DQ10" s="236" t="s">
        <v>108</v>
      </c>
      <c r="DR10" s="236" t="s">
        <v>109</v>
      </c>
      <c r="DS10" s="236" t="s">
        <v>110</v>
      </c>
      <c r="DT10" s="228"/>
      <c r="DU10" s="228"/>
      <c r="DV10" s="228"/>
      <c r="DW10" s="228"/>
      <c r="DX10" s="228"/>
      <c r="DY10" s="228"/>
      <c r="DZ10" s="228"/>
      <c r="EC10" s="235"/>
      <c r="EE10" s="288"/>
      <c r="EF10" s="268"/>
      <c r="EG10" s="287"/>
      <c r="EH10" s="287"/>
      <c r="EI10" s="287"/>
      <c r="EJ10" s="287"/>
      <c r="EK10" s="287"/>
      <c r="EL10" s="287"/>
      <c r="EM10" s="287"/>
      <c r="EN10" s="287"/>
      <c r="EO10" s="287"/>
      <c r="EP10" s="287"/>
    </row>
    <row r="11" spans="1:154" ht="43.2" customHeight="1" thickBot="1">
      <c r="B11" s="261" t="s">
        <v>25</v>
      </c>
      <c r="C11" s="278" t="s">
        <v>181</v>
      </c>
      <c r="D11" s="164" t="s">
        <v>59</v>
      </c>
      <c r="E11" s="210">
        <v>33.4</v>
      </c>
      <c r="F11" s="242">
        <v>4.55</v>
      </c>
      <c r="G11" s="160" t="s">
        <v>9</v>
      </c>
      <c r="H11" s="161">
        <f>VLOOKUP(G11,$CY$6:$DK$14,2,0)</f>
        <v>8</v>
      </c>
      <c r="I11" s="161">
        <f>VLOOKUP(G11,$CY$6:$DK$14,3,0)</f>
        <v>8</v>
      </c>
      <c r="J11" s="161"/>
      <c r="K11" s="177" t="str">
        <f>VLOOKUP(G11,$CY$6:$DK$14,4,0)</f>
        <v>en angle</v>
      </c>
      <c r="L11" s="158" t="str">
        <f>+VLOOKUP(G11,$CY$6:$DK$14,5,0)</f>
        <v>monopasse</v>
      </c>
      <c r="M11" s="161" t="str">
        <f>VLOOKUP(G11,$CY$6:$DK$14,6,0)</f>
        <v>PB</v>
      </c>
      <c r="N11" s="224">
        <f>VLOOKUP(G11,$CY$6:$DK$14,7,0)</f>
        <v>25</v>
      </c>
      <c r="O11" s="172">
        <f>VLOOKUP(G11,$CY$6:$DK$14,8,0)</f>
        <v>999999</v>
      </c>
      <c r="P11" s="172">
        <f>VLOOKUP(G11,$CY$6:$DK$14,9,0)</f>
        <v>4</v>
      </c>
      <c r="Q11" s="172">
        <f>VLOOKUP(G11,$CY$6:$DK$14,10,0)</f>
        <v>16</v>
      </c>
      <c r="R11" s="172">
        <f>VLOOKUP(G11,$CY$6:$DK$14,11,0)</f>
        <v>3</v>
      </c>
      <c r="S11" s="172">
        <f>VLOOKUP(G11,$CY$6:$DK$14,12,0)</f>
        <v>10.199999999999999</v>
      </c>
      <c r="T11" s="212" t="str">
        <f t="shared" ref="T11:T12" si="3">VLOOKUP(G11,$CY$6:$DM$14,15,0)</f>
        <v>&lt;=150</v>
      </c>
      <c r="U11" s="212" t="str">
        <f t="shared" ref="U11:U12" si="4">VLOOKUP(G11,$CY$6:$DL$14,14,0)</f>
        <v>3,2/4</v>
      </c>
      <c r="V11" s="205">
        <f>VLOOKUP(G11,$CY$6:$DK$14,13,0)</f>
        <v>111</v>
      </c>
      <c r="W11" s="176" t="str">
        <f>IF(AND(E11&lt;=O11,E11&gt;=N11),"VRAI")</f>
        <v>VRAI</v>
      </c>
      <c r="X11" s="162" t="str">
        <f t="shared" ref="X11:X12" si="5">IF(AND(F11&gt;=P11,F11&lt;=Q11),IF(AND(F11&gt;=P11,F11&lt;=Q11),"VRAI"))</f>
        <v>VRAI</v>
      </c>
      <c r="Y11" s="163" t="s">
        <v>17</v>
      </c>
      <c r="Z11" s="165">
        <f>VLOOKUP(Y11,$CI$6:$CU$14,12,0)</f>
        <v>8</v>
      </c>
      <c r="AA11" s="221">
        <f>VLOOKUP(Y11,$CI$6:$CU$14,13,0)</f>
        <v>8</v>
      </c>
      <c r="AB11" s="177" t="str">
        <f>VLOOKUP(Y11,$CI$6:$CU$14,9,0)</f>
        <v>en angle</v>
      </c>
      <c r="AC11" s="318" t="str">
        <f t="shared" ref="AC11:AC12" si="6">LEFT(AB11,11)</f>
        <v>en angle</v>
      </c>
      <c r="AD11" s="221" t="str">
        <f>VLOOKUP(Y11,$CI$6:$CU$14,8,0)</f>
        <v>111/111</v>
      </c>
      <c r="AE11" s="165" t="str">
        <f>VLOOKUP(Y11,$CI$6:$CU$14,2,0)</f>
        <v>non</v>
      </c>
      <c r="AF11" s="165" t="str">
        <f>VLOOKUP(Y11,$CI$6:$CU$14,3,0)</f>
        <v>non</v>
      </c>
      <c r="AG11" s="165" t="str">
        <f>VLOOKUP(Y11,$CI$6:$CU$14,4,0)</f>
        <v>PB</v>
      </c>
      <c r="AH11" s="165" t="str">
        <f>VLOOKUP(Y11,$CI$6:$CU$14,10,0)</f>
        <v>monopasse</v>
      </c>
      <c r="AI11" s="166">
        <f>VLOOKUP(Y11,$CI$6:$CU$14,5,0)</f>
        <v>48.3</v>
      </c>
      <c r="AJ11" s="165">
        <f>VLOOKUP(Y11,$CI$6:$CU$14,6,0)</f>
        <v>8</v>
      </c>
      <c r="AK11" s="167">
        <f>VLOOKUP(Y11,$CI$6:$CU$14,7,0)</f>
        <v>5.08</v>
      </c>
      <c r="AL11" s="167">
        <f>VLOOKUP(Y11,$CI$6:$CU$14,11,0)</f>
        <v>3.2</v>
      </c>
      <c r="AM11" s="167" t="str">
        <f t="shared" ref="AM11:AM12" si="7">VLOOKUP(Y11,$CI$6:$CV$14,14,0)</f>
        <v>N/A</v>
      </c>
      <c r="AN11" s="332">
        <f t="shared" ref="AN11:AN12" si="8">IF(AND(AJ11&lt;=3,AB11="en angle"),0.7*AJ11,IF(AND(AJ11&lt;30,AJ11&gt;3,AB11="en angle"),3,IF(AND(AJ11&gt;=30,AB11="en angle"),"&gt;="&amp;5,IF(AND(AC11="Bout à bout",AJ11&lt;=3),0.5*AJ11,IF(AND(AC11="Bout à bout",AJ11&gt;3,AJ11&lt;=12,AH11="monopasse"),0.5*AJ11,IF(AND(AC11="Bout à bout",AJ11&gt;3,AJ11&lt;=12,AH11="multipasse"),3))))))</f>
        <v>3</v>
      </c>
      <c r="AO11" s="321">
        <f t="shared" si="0"/>
        <v>3</v>
      </c>
      <c r="AP11" s="333">
        <f t="shared" ref="AP11:AP12" si="9">IF(AND(AJ11&lt;=3,AB11="en angle"),2*AJ11,IF(AND(AJ11&lt;30,AJ11&gt;3,AB11="en angle"),2*AJ11,IF(AND(AJ11&gt;=30,AB11="en angle"),"&gt;="&amp;5,IF(AND(AC11="Bout à bout",AJ11&gt;3,AJ11&lt;=12,AH11="monopasse"),1.3*AJ11,IF(AND(AC11="Bout à bout",AJ11&gt;3,AJ11&lt;=12,AH11="multipasse"),2*AJ11,IF(AND(AC11="Bout à bout",AJ11&lt;=3),2*AJ11))))))</f>
        <v>16</v>
      </c>
      <c r="AQ11" s="321">
        <f t="shared" si="1"/>
        <v>16</v>
      </c>
      <c r="AR11" s="334">
        <f t="shared" ref="AR11:AR12" si="10">IF(AND(AK11&lt;=3,AB11="en angle"),0.7*AK11,IF(AND(AK11&lt;30,AK11&gt;3,AB11="en angle"),3,IF(AND(AK11&gt;=30,AB11="en angle"),"&gt;="&amp;5,IF(AND(AC11="Bout à bout",AJ11&lt;=3),0.5*AK11,IF(AND(AC11="Bout à bout",AK11&gt;3,AK11&lt;=12,AH11="monopasse"),0.5*AK11,IF(AND(AC11="Bout à bout",AK11&gt;3,AK11&lt;=12,AH11="multipasse"),3))))))</f>
        <v>3</v>
      </c>
      <c r="AS11" s="335">
        <f t="shared" ref="AS11:AS12" si="11">IF(AND(AK11&lt;=3,AB11="en angle"),2*AK11,IF(AND(AK11&lt;30,AK11&gt;3,AB11="en angle"),2*AK11,IF(AND(AK11&gt;=30,AB11="en angle"),"&gt;="&amp;5,IF(AND(AC11="Bout à bout",AK11&gt;3,AK11&lt;=12,AH11="monopasse"),1.3*AK11,IF(AND(AC11="Bout à bout",AK11&gt;3,AK11&lt;=12,AH11="multipasse"),2*AK11,IF(AND(AC11="Bout à bout",AK11&lt;=3),2*AK11))))))</f>
        <v>10.16</v>
      </c>
      <c r="AT11" s="336">
        <f t="shared" ref="AT11:AT12" si="12">IF(AI11="N/A","",AI11/2)</f>
        <v>24.15</v>
      </c>
      <c r="AU11" s="336"/>
      <c r="AV11" s="329"/>
      <c r="AW11" s="173" t="str">
        <f t="shared" si="2"/>
        <v>VRAI</v>
      </c>
      <c r="AX11" s="173" t="str">
        <f>IF(AND(AH11="monopasse",L11="monopasse"),"VRAI",IF(AND(AH11="multipasse",AF11="non",AE11="non",L11="monopasse"),"VRAI",IF(AND(AH11="multipasse",L11="multipasse"),"VRAI",IF(AND(AH11="monopasse de chaque coté",L11="monopasse de chaque coté"),"VRAI"))))</f>
        <v>VRAI</v>
      </c>
      <c r="AY11" s="173" t="str">
        <f>IF(OR(VALUE(MID(AD11,5,4))=V11,VALUE(MID(AD11,1,3))=V11,AD11=V11),"VRAI")</f>
        <v>VRAI</v>
      </c>
      <c r="AZ11" s="173" t="b">
        <f t="shared" ref="AZ11:AZ12" si="13">OR(IFERROR(RIGHT(AL11,LEN(AL11)-FIND("/",AL11&amp;"/")),FIXED(AL11,0))=IFERROR(RIGHT(U11,LEN(U11)-FIND("/",U11&amp;"/")),FIXED(U11,0)),IFERROR(LEFT(AL11,FIND("/",AL11&amp;"/")-1),FIXED(AL11,0))=IFERROR(LEFT(U11,FIND("/",U11&amp;"/")-1),FIXED(U11,0)),IFERROR(RIGHT(AL11,LEN(AL11)-FIND("/",AL11&amp;"/")),FIXED(AL11,0))=IFERROR(LEFT(U11,FIND("/",U11&amp;"/")-1),FIXED(U11,0)),IFERROR(LEFT(AL11,FIND("/",AL11&amp;"/")-1),FIXED(AL11,0))=IFERROR(RIGHT(U11,LEN(U11)-FIND("/",U11&amp;"/")),FIXED(U11,0)),IF(AND(AE11="non",AF11="non"),"VRAI"),IF(AND(AE11="oui",AF11="non"),"VRAI"),IF(AND(AE11="non",AF11="oui"),"VRAI"))</f>
        <v>1</v>
      </c>
      <c r="BA11" s="237" t="str">
        <f>INDEX($DP$7:$DZ$18,DO19,EA6)</f>
        <v>8.8</v>
      </c>
      <c r="BB11" s="238" t="b">
        <f>AND(ISNUMBER(FIND($Z$11,$BA$11)),ISNUMBER(FIND("."&amp;$AA$11,$BA$11)))</f>
        <v>1</v>
      </c>
      <c r="BC11" s="176" t="str">
        <f t="shared" ref="BC11:BC12" si="14">IF(OR(AF11="non",AE11="non"),"VRAI",IF(AND(AF11="oui",AE11="non",AU11="tube",AG11="PH"),"VRAI",IF(AND(AF11="oui",AE11="non",AU11="tube",AG11="HL045"),"VRAI",IF(AND(AF11="oui",AE11="non",AU11="tube",AG11="PA"),"VRAI",IF(AND(AF11="oui",AE11="non",AU11="tole",AG11="PA"),"VRAI",IF(AND(AF11="oui",AE11="non",AU11="tole",AG11="PF"),"VRAI",IF(AND(AF11="non",AE11="oui",AU11="tole",AG11="PE"),"VRAI",IF(AND(AF11="non",AE11="oui",AU11="tole",AG11="PC"),"VRAI",IF(AND(AF11="non",AE11="oui",AU11="tole",AG11="PG"),"VRAI",IF(AND(AF11="non",AE11="oui",AU11="tube",AG11="PH"),"VRAI",IF(AND(AF11="non",AE11="oui",AU11="tube",AG11="HL045"),"VRAI",IF(AND(AF11="non",AE11="oui",AU11="tube",AG11="PC"),"VRAI",IF(AND(AF11="non",AE11="oui",AU11="tube",AG11="PJ"),"VRAI")))))))))))))</f>
        <v>VRAI</v>
      </c>
      <c r="BD11" s="168" t="str">
        <f>IF(AND($H$1&gt;=AO11,$H$1&lt;=AQ11,R11&lt;=AR11,S11&gt;=AS11),"VRAI")</f>
        <v>VRAI</v>
      </c>
      <c r="BE11" s="24" t="s">
        <v>30</v>
      </c>
      <c r="BF11" s="24" t="s">
        <v>29</v>
      </c>
      <c r="BG11" s="16" t="s">
        <v>5</v>
      </c>
      <c r="BH11" s="36"/>
      <c r="BI11" s="24"/>
      <c r="BJ11" s="39"/>
      <c r="BK11" s="40"/>
      <c r="BL11" s="36"/>
      <c r="BM11" s="36"/>
      <c r="BN11" s="5"/>
      <c r="BO11" s="36"/>
      <c r="BP11" s="24"/>
      <c r="BQ11" s="39"/>
      <c r="BR11" s="41"/>
      <c r="BS11" s="36"/>
      <c r="BT11" s="17"/>
      <c r="BU11" s="5"/>
      <c r="BW11" s="4"/>
      <c r="BX11" s="31"/>
      <c r="BY11" s="5"/>
      <c r="BZ11" s="31"/>
      <c r="CA11" s="27"/>
      <c r="CB11" s="5"/>
      <c r="CC11" s="2" t="s">
        <v>8</v>
      </c>
      <c r="CD11" s="3" t="s">
        <v>5</v>
      </c>
      <c r="CE11" s="2" t="s">
        <v>18</v>
      </c>
      <c r="CF11" s="13" t="s">
        <v>5</v>
      </c>
      <c r="CI11" s="315" t="s">
        <v>19</v>
      </c>
      <c r="CJ11" s="351" t="s">
        <v>59</v>
      </c>
      <c r="CK11" s="300" t="s">
        <v>179</v>
      </c>
      <c r="CL11" s="86" t="s">
        <v>74</v>
      </c>
      <c r="CM11" s="299">
        <v>168.3</v>
      </c>
      <c r="CN11" s="86">
        <v>7.11</v>
      </c>
      <c r="CO11" s="86">
        <v>7.11</v>
      </c>
      <c r="CP11" s="86" t="s">
        <v>72</v>
      </c>
      <c r="CQ11" s="300" t="s">
        <v>90</v>
      </c>
      <c r="CR11" s="301" t="s">
        <v>66</v>
      </c>
      <c r="CS11" s="300" t="s">
        <v>73</v>
      </c>
      <c r="CT11" s="86">
        <v>8</v>
      </c>
      <c r="CU11" s="328">
        <v>8</v>
      </c>
      <c r="CV11" s="87">
        <v>100</v>
      </c>
      <c r="CW11" s="349" t="s">
        <v>202</v>
      </c>
      <c r="CY11" s="417" t="s">
        <v>6</v>
      </c>
      <c r="CZ11" s="419">
        <v>8</v>
      </c>
      <c r="DA11" s="419">
        <v>8</v>
      </c>
      <c r="DB11" s="304" t="s">
        <v>91</v>
      </c>
      <c r="DC11" s="181" t="s">
        <v>66</v>
      </c>
      <c r="DD11" s="419" t="s">
        <v>89</v>
      </c>
      <c r="DE11" s="212">
        <v>84.15</v>
      </c>
      <c r="DF11" s="220">
        <v>999999</v>
      </c>
      <c r="DG11" s="220">
        <v>3</v>
      </c>
      <c r="DH11" s="220">
        <v>14.2</v>
      </c>
      <c r="DI11" s="220">
        <v>3</v>
      </c>
      <c r="DJ11" s="220">
        <v>14.2</v>
      </c>
      <c r="DK11" s="421">
        <v>111</v>
      </c>
      <c r="DL11" s="423" t="s">
        <v>191</v>
      </c>
      <c r="DM11" s="425" t="s">
        <v>197</v>
      </c>
      <c r="DO11" s="234">
        <v>5</v>
      </c>
      <c r="DP11" s="236" t="s">
        <v>111</v>
      </c>
      <c r="DQ11" s="236" t="s">
        <v>112</v>
      </c>
      <c r="DR11" s="236" t="s">
        <v>113</v>
      </c>
      <c r="DS11" s="236" t="s">
        <v>114</v>
      </c>
      <c r="DT11" s="236" t="s">
        <v>115</v>
      </c>
      <c r="DU11" s="228"/>
      <c r="DV11" s="228"/>
      <c r="DW11" s="228"/>
      <c r="DX11" s="228"/>
      <c r="DY11" s="228"/>
      <c r="DZ11" s="228"/>
      <c r="EE11" s="288"/>
      <c r="EF11" s="268"/>
      <c r="EG11" s="268"/>
      <c r="EH11" s="287"/>
      <c r="EI11" s="287"/>
      <c r="EJ11" s="287"/>
      <c r="EK11" s="287"/>
      <c r="EL11" s="287"/>
      <c r="EM11" s="287"/>
      <c r="EN11" s="287"/>
      <c r="EO11" s="287"/>
      <c r="EP11" s="287"/>
    </row>
    <row r="12" spans="1:154" ht="43.2" customHeight="1" thickBot="1">
      <c r="B12" s="274" t="s">
        <v>26</v>
      </c>
      <c r="C12" s="278" t="s">
        <v>181</v>
      </c>
      <c r="D12" s="164" t="s">
        <v>59</v>
      </c>
      <c r="E12" s="208">
        <v>33.4</v>
      </c>
      <c r="F12" s="157">
        <v>4.55</v>
      </c>
      <c r="G12" s="160" t="s">
        <v>9</v>
      </c>
      <c r="H12" s="161">
        <f>VLOOKUP(G12,$CY$6:$DK$14,2,0)</f>
        <v>8</v>
      </c>
      <c r="I12" s="161">
        <f>VLOOKUP(G12,$CY$6:$DK$14,3,0)</f>
        <v>8</v>
      </c>
      <c r="J12" s="161"/>
      <c r="K12" s="177" t="str">
        <f>VLOOKUP(G12,$CY$6:$DK$14,4,0)</f>
        <v>en angle</v>
      </c>
      <c r="L12" s="158" t="str">
        <f>+VLOOKUP(G12,$CY$6:$DK$14,5,0)</f>
        <v>monopasse</v>
      </c>
      <c r="M12" s="161" t="str">
        <f>VLOOKUP(G12,$CY$6:$DK$14,6,0)</f>
        <v>PB</v>
      </c>
      <c r="N12" s="224">
        <f>VLOOKUP(G12,$CY$6:$DK$14,7,0)</f>
        <v>25</v>
      </c>
      <c r="O12" s="294">
        <f>VLOOKUP(G12,$CY$6:$DK$14,8,0)</f>
        <v>999999</v>
      </c>
      <c r="P12" s="294">
        <f>VLOOKUP(G12,$CY$6:$DK$14,9,0)</f>
        <v>4</v>
      </c>
      <c r="Q12" s="294">
        <f>VLOOKUP(G12,$CY$6:$DK$14,10,0)</f>
        <v>16</v>
      </c>
      <c r="R12" s="294">
        <f>VLOOKUP(G12,$CY$6:$DK$14,11,0)</f>
        <v>3</v>
      </c>
      <c r="S12" s="294">
        <f>VLOOKUP(G12,$CY$6:$DK$14,12,0)</f>
        <v>10.199999999999999</v>
      </c>
      <c r="T12" s="212" t="str">
        <f t="shared" si="3"/>
        <v>&lt;=150</v>
      </c>
      <c r="U12" s="213" t="str">
        <f t="shared" si="4"/>
        <v>3,2/4</v>
      </c>
      <c r="V12" s="205">
        <f>VLOOKUP(G12,$CY$6:$DK$14,13,0)</f>
        <v>111</v>
      </c>
      <c r="W12" s="176" t="str">
        <f t="shared" ref="W12:W33" si="15">IF(AND(E12&lt;=O12,E12&gt;=N12),"VRAI")</f>
        <v>VRAI</v>
      </c>
      <c r="X12" s="162" t="str">
        <f t="shared" si="5"/>
        <v>VRAI</v>
      </c>
      <c r="Y12" s="82" t="s">
        <v>17</v>
      </c>
      <c r="Z12" s="221">
        <f>VLOOKUP(Y12,$CI$6:$CU$14,12,0)</f>
        <v>8</v>
      </c>
      <c r="AA12" s="221">
        <f>VLOOKUP(Y12,$CI$6:$CU$14,13,0)</f>
        <v>8</v>
      </c>
      <c r="AB12" s="177" t="str">
        <f>VLOOKUP(Y12,$CI$6:$CU$14,9,0)</f>
        <v>en angle</v>
      </c>
      <c r="AC12" s="318" t="str">
        <f t="shared" si="6"/>
        <v>en angle</v>
      </c>
      <c r="AD12" s="221" t="str">
        <f>VLOOKUP(Y12,$CI$6:$CU$14,8,0)</f>
        <v>111/111</v>
      </c>
      <c r="AE12" s="221" t="str">
        <f>VLOOKUP(Y12,$CI$6:$CU$14,2,0)</f>
        <v>non</v>
      </c>
      <c r="AF12" s="221" t="str">
        <f>VLOOKUP(Y12,$CI$6:$CU$14,3,0)</f>
        <v>non</v>
      </c>
      <c r="AG12" s="221" t="str">
        <f>VLOOKUP(Y12,$CI$6:$CU$14,4,0)</f>
        <v>PB</v>
      </c>
      <c r="AH12" s="221" t="str">
        <f>VLOOKUP(Y12,$CI$6:$CU$14,10,0)</f>
        <v>monopasse</v>
      </c>
      <c r="AI12" s="166">
        <f>VLOOKUP(Y12,$CI$6:$CU$14,5,0)</f>
        <v>48.3</v>
      </c>
      <c r="AJ12" s="221">
        <f>VLOOKUP(Y12,$CI$6:$CU$14,6,0)</f>
        <v>8</v>
      </c>
      <c r="AK12" s="167">
        <f>VLOOKUP(Y12,$CI$6:$CU$14,7,0)</f>
        <v>5.08</v>
      </c>
      <c r="AL12" s="167">
        <f>VLOOKUP(Y12,$CI$6:$CU$14,11,0)</f>
        <v>3.2</v>
      </c>
      <c r="AM12" s="167" t="str">
        <f t="shared" si="7"/>
        <v>N/A</v>
      </c>
      <c r="AN12" s="332">
        <f t="shared" si="8"/>
        <v>3</v>
      </c>
      <c r="AO12" s="321">
        <f t="shared" si="0"/>
        <v>3</v>
      </c>
      <c r="AP12" s="333">
        <f t="shared" si="9"/>
        <v>16</v>
      </c>
      <c r="AQ12" s="321">
        <f t="shared" si="1"/>
        <v>16</v>
      </c>
      <c r="AR12" s="334">
        <f t="shared" si="10"/>
        <v>3</v>
      </c>
      <c r="AS12" s="335">
        <f t="shared" si="11"/>
        <v>10.16</v>
      </c>
      <c r="AT12" s="336">
        <f t="shared" si="12"/>
        <v>24.15</v>
      </c>
      <c r="AU12" s="336"/>
      <c r="AV12" s="329"/>
      <c r="AW12" s="173" t="str">
        <f t="shared" si="2"/>
        <v>VRAI</v>
      </c>
      <c r="AX12" s="173" t="str">
        <f>IF(AND(AH12="monopasse",L12="monopasse"),"VRAI",IF(AND(AH12="multipasse",AF12="non",AE12="non",L12="monopasse"),"VRAI",IF(AND(AH12="multipasse",L12="multipasse"),"VRAI",IF(AND(AH12="monopasse de chaque coté",L12="monopasse de chaque coté"),"VRAI"))))</f>
        <v>VRAI</v>
      </c>
      <c r="AY12" s="173" t="str">
        <f>IF(OR(VALUE(MID(AD12,5,4))=V12,VALUE(MID(AD12,1,3))=V12,AD12=V12),"VRAI")</f>
        <v>VRAI</v>
      </c>
      <c r="AZ12" s="173" t="b">
        <f t="shared" si="13"/>
        <v>1</v>
      </c>
      <c r="BA12" s="237" t="str">
        <f>INDEX($DP$7:$DZ$18,DO20,EB6)</f>
        <v>8.8</v>
      </c>
      <c r="BB12" s="238" t="b">
        <f>AND(ISNUMBER(FIND($Z$11,$BA$11)),ISNUMBER(FIND("."&amp;$AA$11,$BA$11)))</f>
        <v>1</v>
      </c>
      <c r="BC12" s="176" t="str">
        <f t="shared" si="14"/>
        <v>VRAI</v>
      </c>
      <c r="BD12" s="266" t="str">
        <f>IF(AND($H$1&gt;=AO12,$H$1&lt;=AQ12,R12&lt;=AR12,S12&gt;=AS12),"VRAI")</f>
        <v>VRAI</v>
      </c>
      <c r="BE12" s="24" t="s">
        <v>30</v>
      </c>
      <c r="BF12" s="91" t="s">
        <v>29</v>
      </c>
      <c r="BG12" s="89" t="s">
        <v>5</v>
      </c>
      <c r="BH12" s="78"/>
      <c r="BI12" s="92"/>
      <c r="BJ12" s="93"/>
      <c r="BK12" s="94"/>
      <c r="BL12" s="92"/>
      <c r="BM12" s="92"/>
      <c r="BN12" s="95"/>
      <c r="BO12" s="79"/>
      <c r="BP12" s="92"/>
      <c r="BQ12" s="96"/>
      <c r="BR12" s="97"/>
      <c r="BS12" s="79"/>
      <c r="BT12" s="91"/>
      <c r="BU12" s="95"/>
      <c r="BV12" s="78"/>
      <c r="BW12" s="98"/>
      <c r="BX12" s="99"/>
      <c r="BY12" s="98"/>
      <c r="BZ12" s="100"/>
      <c r="CA12" s="99"/>
      <c r="CB12" s="98"/>
      <c r="CC12" t="s">
        <v>8</v>
      </c>
      <c r="CD12" s="3" t="s">
        <v>5</v>
      </c>
      <c r="CE12" s="2" t="s">
        <v>18</v>
      </c>
      <c r="CF12" s="13" t="s">
        <v>5</v>
      </c>
      <c r="CI12" s="315" t="s">
        <v>82</v>
      </c>
      <c r="CJ12" s="351" t="s">
        <v>59</v>
      </c>
      <c r="CK12" s="300" t="s">
        <v>59</v>
      </c>
      <c r="CL12" s="86" t="s">
        <v>71</v>
      </c>
      <c r="CM12" s="312">
        <v>60.3</v>
      </c>
      <c r="CN12" s="86">
        <v>3.6</v>
      </c>
      <c r="CO12" s="86">
        <v>3.6</v>
      </c>
      <c r="CP12" s="86" t="s">
        <v>97</v>
      </c>
      <c r="CQ12" s="300" t="s">
        <v>90</v>
      </c>
      <c r="CR12" s="301" t="s">
        <v>66</v>
      </c>
      <c r="CS12" s="300">
        <v>2.5</v>
      </c>
      <c r="CT12" s="86">
        <v>9</v>
      </c>
      <c r="CU12" s="328">
        <v>9</v>
      </c>
      <c r="CV12" s="87" t="s">
        <v>188</v>
      </c>
      <c r="CW12" s="348"/>
      <c r="CY12" s="418"/>
      <c r="CZ12" s="420"/>
      <c r="DA12" s="420"/>
      <c r="DB12" s="304" t="s">
        <v>91</v>
      </c>
      <c r="DC12" s="181" t="s">
        <v>66</v>
      </c>
      <c r="DD12" s="420"/>
      <c r="DE12" s="212">
        <v>84.15</v>
      </c>
      <c r="DF12" s="220">
        <v>999999</v>
      </c>
      <c r="DG12" s="220">
        <v>3</v>
      </c>
      <c r="DH12" s="220">
        <v>14.2</v>
      </c>
      <c r="DI12" s="220">
        <v>3</v>
      </c>
      <c r="DJ12" s="220">
        <v>14.2</v>
      </c>
      <c r="DK12" s="422"/>
      <c r="DL12" s="424"/>
      <c r="DM12" s="426"/>
      <c r="DO12" s="234">
        <v>6</v>
      </c>
      <c r="DP12" s="236" t="s">
        <v>116</v>
      </c>
      <c r="DQ12" s="236" t="s">
        <v>117</v>
      </c>
      <c r="DR12" s="236" t="s">
        <v>118</v>
      </c>
      <c r="DS12" s="236" t="s">
        <v>119</v>
      </c>
      <c r="DT12" s="236" t="s">
        <v>120</v>
      </c>
      <c r="DU12" s="236" t="s">
        <v>121</v>
      </c>
      <c r="DV12" s="228"/>
      <c r="DW12" s="228"/>
      <c r="DX12" s="228"/>
      <c r="DY12" s="228"/>
      <c r="DZ12" s="228"/>
      <c r="EE12" s="288"/>
      <c r="EF12" s="34"/>
      <c r="EG12" s="34"/>
      <c r="EH12" s="19"/>
      <c r="EI12" s="19"/>
      <c r="EJ12" s="19"/>
      <c r="EK12" s="19"/>
      <c r="EL12" s="19"/>
      <c r="EM12" s="19"/>
      <c r="EN12" s="19"/>
      <c r="EO12" s="19"/>
      <c r="EP12" s="19"/>
    </row>
    <row r="13" spans="1:154" ht="28.05" hidden="1" customHeight="1" thickBot="1">
      <c r="B13" s="169" t="s">
        <v>27</v>
      </c>
      <c r="C13" s="170"/>
      <c r="D13" s="170"/>
      <c r="E13" s="207">
        <v>33.4</v>
      </c>
      <c r="F13" s="156">
        <v>4.55</v>
      </c>
      <c r="G13" s="160" t="s">
        <v>9</v>
      </c>
      <c r="H13" s="161">
        <f>VLOOKUP(G13,$CY$5:$DK$11,2,0)</f>
        <v>8</v>
      </c>
      <c r="I13" s="161"/>
      <c r="J13" s="161"/>
      <c r="K13" s="165" t="s">
        <v>63</v>
      </c>
      <c r="L13" s="158" t="s">
        <v>67</v>
      </c>
      <c r="M13" s="154" t="s">
        <v>55</v>
      </c>
      <c r="N13" s="212">
        <v>25</v>
      </c>
      <c r="O13" s="172">
        <v>999999</v>
      </c>
      <c r="P13" s="172">
        <v>4</v>
      </c>
      <c r="Q13" s="172">
        <v>16</v>
      </c>
      <c r="R13" s="172">
        <v>3</v>
      </c>
      <c r="S13" s="172">
        <v>10.199999999999999</v>
      </c>
      <c r="T13" s="205"/>
      <c r="U13" s="205"/>
      <c r="V13" s="79">
        <v>111</v>
      </c>
      <c r="W13" s="176" t="str">
        <f t="shared" si="15"/>
        <v>VRAI</v>
      </c>
      <c r="X13" s="162" t="str">
        <f>IF(AND(F13&gt;R13,F13&lt;S13),IF(AND(H1&gt;=P13,H1&lt;=Q13),"VRAI"))</f>
        <v>VRAI</v>
      </c>
      <c r="Y13" s="82" t="s">
        <v>17</v>
      </c>
      <c r="Z13" s="84">
        <f>VLOOKUP(Y13,CI6:CU12,12,0)</f>
        <v>8</v>
      </c>
      <c r="AA13" s="221">
        <f>VLOOKUP(Y13,$CI$6:$CU$12,12,0)</f>
        <v>8</v>
      </c>
      <c r="AB13" s="178" t="str">
        <f>VLOOKUP(Y13,CI6:CU12,9,0)</f>
        <v>en angle</v>
      </c>
      <c r="AC13" s="319"/>
      <c r="AD13" s="83" t="str">
        <f>VLOOKUP(Y13,CI6:CU12,8,0)</f>
        <v>111/111</v>
      </c>
      <c r="AE13" s="84" t="str">
        <f>VLOOKUP(Y13,CI6:CU12,2,0)</f>
        <v>non</v>
      </c>
      <c r="AF13" s="84" t="str">
        <f>VLOOKUP(Y13,CI6:CU12,3,0)</f>
        <v>non</v>
      </c>
      <c r="AG13" s="84" t="str">
        <f>VLOOKUP(Y13,CI6:CU12,4,0)</f>
        <v>PB</v>
      </c>
      <c r="AH13" s="84" t="str">
        <f>VLOOKUP(Y13,CI6:CU12,10,0)</f>
        <v>monopasse</v>
      </c>
      <c r="AI13" s="85">
        <f>VLOOKUP(Y13,CI6:CU12,5,0)</f>
        <v>48.3</v>
      </c>
      <c r="AJ13" s="84">
        <f>VLOOKUP(Y13,CI6:CU12,6,0)</f>
        <v>8</v>
      </c>
      <c r="AK13" s="84">
        <f>VLOOKUP(Y13,CI6:CU12,7,0)</f>
        <v>5.08</v>
      </c>
      <c r="AL13" s="84">
        <f>VLOOKUP(Y13,CI6:CU12,11,0)</f>
        <v>3.2</v>
      </c>
      <c r="AM13" s="84"/>
      <c r="AN13" s="86">
        <f t="shared" ref="AN13:AN27" si="16">IF(AJ13&lt;=3,0.7*AJ13,IF(AND(AJ13&lt;30,AJ13&gt;3),3,IF(AJ13&gt;=30,"&gt;=" &amp; 5)))</f>
        <v>3</v>
      </c>
      <c r="AO13" s="87">
        <f t="shared" si="0"/>
        <v>3</v>
      </c>
      <c r="AP13" s="87">
        <f t="shared" ref="AP13:AP27" si="17">IF(AJ13&lt;=3,2*AJ13,IF(AND(AJ13&lt;30,AJ13&gt;3), 2*AJ13,IF(AJ13&gt;=30,"&gt;=" &amp; 5)))</f>
        <v>16</v>
      </c>
      <c r="AQ13" s="87">
        <f t="shared" ref="AQ13:AQ27" si="18">IF(AP13="&gt;=5",999999,AP13)</f>
        <v>16</v>
      </c>
      <c r="AR13" s="86">
        <f t="shared" ref="AR13:AR27" si="19">IF(AK13&lt;=3,0.7*AK13,IF(AND(AK13&lt;30,AK13&gt;3),3,IF(AK13&gt;=30,"&gt;=" &amp; 5)))</f>
        <v>3</v>
      </c>
      <c r="AS13" s="88">
        <f t="shared" ref="AS13:AS27" si="20">IF(AK13&lt;=3,2*AK13,IF(AND(AK13&lt;30,AK13&gt;3),2*AK13,IF(AK13&gt;=30,"&gt;=" &amp; 5)))</f>
        <v>10.16</v>
      </c>
      <c r="AT13" s="222">
        <f t="shared" ref="AT13:AT27" si="21">AI13/2</f>
        <v>24.15</v>
      </c>
      <c r="AU13" s="222"/>
      <c r="AV13" s="222"/>
      <c r="AW13" s="173" t="str">
        <f t="shared" ref="AW13:AW27" si="22">IF(AND(AB13="en angle",K13="en angle"),"VRAI",IF(AND(AB13="Bout à bout pleine penetration",K13="en angle"),"VRAI",IF(AND(AB13="Bout à bout pleine penetration",K13="Bout à bout pleine penetration"),"VRAI",IF(AND(AB13="Bout à bout pleine penetration",K13="Bout à bout penetration partielle"),"VRAI",IF(AND(AB13="Bout à bout pleine penetration",K13="piquage angle &gt;=60°"),"VRAI",IF(AND(AB13="Bout à bout penetration partielle",K13="piquage angle &gt;=60°"),"VRAI",IF(AND(AB13="bout à bout pleine penetration",K13="en angle et bout à bout penetration partielle"),"VRAI",IF(AND(AB13="en angle",K13="en angle et bout à bout à penetration partielle"),"VRAI"))))))))</f>
        <v>VRAI</v>
      </c>
      <c r="AX13" s="173" t="str">
        <f>IF(AND(AH13="monopasse",L13="monopasse"),"VRAI",IF(AND(AH13="multipasse",AF13="non",AE13="non",L13="monopasse"),"VRAI",IF(AND(AH13="multipasse",L13="multipasse"),"VRAI")))</f>
        <v>VRAI</v>
      </c>
      <c r="AY13" s="173" t="str">
        <f t="shared" ref="AY13:AY33" si="23">IF(OR(VALUE(MID(AD13,5,4))=V13,VALUE(MID(AD13,1,3))=V13,AD13=V13),"VRAI")</f>
        <v>VRAI</v>
      </c>
      <c r="AZ13" s="174" t="str">
        <f t="shared" ref="AZ13:AZ27" si="24">IF(OR(AF13="non",AE13="non"),"VRAI")</f>
        <v>VRAI</v>
      </c>
      <c r="BA13" s="237" t="str">
        <f>INDEX($DP$7:$DZ$18,DO21,EC6)</f>
        <v>8.8</v>
      </c>
      <c r="BB13" s="238" t="e">
        <f>IF(OR(#REF!=H13,#REF!=H13),"VRAI")</f>
        <v>#REF!</v>
      </c>
      <c r="BC13" s="175" t="str">
        <f t="shared" ref="BC13:BC27" si="25">IF(OR(AF13="non",AE13="non"),"VRAI")</f>
        <v>VRAI</v>
      </c>
      <c r="BD13" s="168" t="str">
        <f>IF(AND(H1&gt;=AO13,H1&lt;AQ13,R13&lt;=AR13,S13&gt;=AS13),"VRAI")</f>
        <v>VRAI</v>
      </c>
      <c r="BE13" s="90"/>
      <c r="BF13" s="91" t="s">
        <v>29</v>
      </c>
      <c r="BG13" s="89"/>
      <c r="BH13" s="78"/>
      <c r="BI13" s="99"/>
      <c r="BJ13" s="101"/>
      <c r="BK13" s="102"/>
      <c r="BL13" s="99"/>
      <c r="BM13" s="99"/>
      <c r="BN13" s="103"/>
      <c r="BO13" s="79"/>
      <c r="BP13" s="92"/>
      <c r="BQ13" s="96"/>
      <c r="BR13" s="97"/>
      <c r="BS13" s="79"/>
      <c r="BT13" s="91"/>
      <c r="BU13" s="104"/>
      <c r="BV13" s="78"/>
      <c r="BW13" s="103"/>
      <c r="BX13" s="105"/>
      <c r="BY13" s="103"/>
      <c r="BZ13" s="92"/>
      <c r="CA13" s="105"/>
      <c r="CB13" s="103"/>
      <c r="CC13" s="2" t="s">
        <v>8</v>
      </c>
      <c r="CD13" s="3" t="s">
        <v>5</v>
      </c>
      <c r="CE13" s="2" t="s">
        <v>18</v>
      </c>
      <c r="CF13" s="13" t="s">
        <v>5</v>
      </c>
      <c r="CJ13" s="151"/>
      <c r="CK13" s="63"/>
      <c r="CL13" s="63"/>
      <c r="CM13" s="63"/>
      <c r="CN13" s="63"/>
      <c r="CO13" s="63"/>
      <c r="CP13" s="63"/>
      <c r="CQ13" s="63"/>
      <c r="CR13" s="63"/>
      <c r="CS13" s="63"/>
      <c r="CT13" s="66"/>
      <c r="CU13" s="152"/>
      <c r="DL13" s="19"/>
      <c r="DM13" s="19"/>
      <c r="DO13" s="234">
        <v>7</v>
      </c>
      <c r="DP13" s="236" t="s">
        <v>122</v>
      </c>
      <c r="DQ13" s="236" t="s">
        <v>123</v>
      </c>
      <c r="DR13" s="236" t="s">
        <v>124</v>
      </c>
      <c r="DS13" s="236" t="s">
        <v>125</v>
      </c>
      <c r="DT13" s="236" t="s">
        <v>126</v>
      </c>
      <c r="DU13" s="236" t="s">
        <v>127</v>
      </c>
      <c r="DV13" s="236" t="s">
        <v>128</v>
      </c>
      <c r="DW13" s="228"/>
      <c r="DX13" s="228"/>
      <c r="DY13" s="228"/>
      <c r="DZ13" s="228"/>
      <c r="EE13" s="256">
        <v>2</v>
      </c>
      <c r="EF13" s="250"/>
      <c r="EG13" s="246" t="s">
        <v>172</v>
      </c>
      <c r="EH13" s="245"/>
      <c r="EI13" s="245"/>
      <c r="EJ13" s="245"/>
      <c r="EK13" s="245"/>
      <c r="EL13" s="245"/>
      <c r="EM13" s="245"/>
      <c r="EN13" s="245"/>
      <c r="EO13" s="245"/>
      <c r="EP13" s="253"/>
    </row>
    <row r="14" spans="1:154" ht="43.2" customHeight="1" thickBot="1">
      <c r="B14" s="274" t="s">
        <v>27</v>
      </c>
      <c r="C14" s="278" t="s">
        <v>181</v>
      </c>
      <c r="D14" s="164" t="s">
        <v>59</v>
      </c>
      <c r="E14" s="208">
        <v>33.4</v>
      </c>
      <c r="F14" s="157">
        <v>4.55</v>
      </c>
      <c r="G14" s="160" t="s">
        <v>9</v>
      </c>
      <c r="H14" s="161">
        <f>VLOOKUP(G14,$CY$6:$DK$14,2,0)</f>
        <v>8</v>
      </c>
      <c r="I14" s="161">
        <f>VLOOKUP(G14,$CY$6:$DK$14,3,0)</f>
        <v>8</v>
      </c>
      <c r="J14" s="161"/>
      <c r="K14" s="177" t="str">
        <f>VLOOKUP(G14,$CY$6:$DK$14,4,0)</f>
        <v>en angle</v>
      </c>
      <c r="L14" s="158" t="str">
        <f>+VLOOKUP(G14,$CY$6:$DK$14,5,0)</f>
        <v>monopasse</v>
      </c>
      <c r="M14" s="161" t="str">
        <f>VLOOKUP(G14,$CY$6:$DK$14,6,0)</f>
        <v>PB</v>
      </c>
      <c r="N14" s="224">
        <f>VLOOKUP(G14,$CY$6:$DK$14,7,0)</f>
        <v>25</v>
      </c>
      <c r="O14" s="294">
        <f>VLOOKUP(G14,$CY$6:$DK$14,8,0)</f>
        <v>999999</v>
      </c>
      <c r="P14" s="294">
        <f>VLOOKUP(G14,$CY$6:$DK$14,9,0)</f>
        <v>4</v>
      </c>
      <c r="Q14" s="294">
        <f>VLOOKUP(G14,$CY$6:$DK$14,10,0)</f>
        <v>16</v>
      </c>
      <c r="R14" s="294">
        <f>VLOOKUP(G14,$CY$6:$DK$14,11,0)</f>
        <v>3</v>
      </c>
      <c r="S14" s="294">
        <f>VLOOKUP(G14,$CY$6:$DK$14,12,0)</f>
        <v>10.199999999999999</v>
      </c>
      <c r="T14" s="212" t="str">
        <f t="shared" ref="T14:T18" si="26">VLOOKUP(G14,$CY$6:$DM$14,15,0)</f>
        <v>&lt;=150</v>
      </c>
      <c r="U14" s="212" t="str">
        <f t="shared" ref="U14:U18" si="27">VLOOKUP(G14,$CY$6:$DL$14,14,0)</f>
        <v>3,2/4</v>
      </c>
      <c r="V14" s="205">
        <f>VLOOKUP(G14,$CY$6:$DK$14,13,0)</f>
        <v>111</v>
      </c>
      <c r="W14" s="176" t="str">
        <f t="shared" si="15"/>
        <v>VRAI</v>
      </c>
      <c r="X14" s="162" t="str">
        <f t="shared" ref="X14:X18" si="28">IF(AND(F14&gt;=P14,F14&lt;=Q14),IF(AND(F14&gt;=P14,F14&lt;=Q14),"VRAI"))</f>
        <v>VRAI</v>
      </c>
      <c r="Y14" s="82" t="s">
        <v>17</v>
      </c>
      <c r="Z14" s="221">
        <f t="shared" ref="Z14:Z18" si="29">VLOOKUP(Y14,$CI$6:$CU$14,12,0)</f>
        <v>8</v>
      </c>
      <c r="AA14" s="221">
        <f t="shared" ref="AA14:AA18" si="30">VLOOKUP(Y14,$CI$6:$CU$14,13,0)</f>
        <v>8</v>
      </c>
      <c r="AB14" s="177" t="str">
        <f t="shared" ref="AB14:AB18" si="31">VLOOKUP(Y14,$CI$6:$CU$14,9,0)</f>
        <v>en angle</v>
      </c>
      <c r="AC14" s="318" t="str">
        <f t="shared" ref="AC14:AC18" si="32">LEFT(AB14,11)</f>
        <v>en angle</v>
      </c>
      <c r="AD14" s="221" t="str">
        <f t="shared" ref="AD14:AD18" si="33">VLOOKUP(Y14,$CI$6:$CU$14,8,0)</f>
        <v>111/111</v>
      </c>
      <c r="AE14" s="221" t="str">
        <f t="shared" ref="AE14:AE18" si="34">VLOOKUP(Y14,$CI$6:$CU$14,2,0)</f>
        <v>non</v>
      </c>
      <c r="AF14" s="221" t="str">
        <f t="shared" ref="AF14:AF18" si="35">VLOOKUP(Y14,$CI$6:$CU$14,3,0)</f>
        <v>non</v>
      </c>
      <c r="AG14" s="221" t="str">
        <f t="shared" ref="AG14:AG18" si="36">VLOOKUP(Y14,$CI$6:$CU$14,4,0)</f>
        <v>PB</v>
      </c>
      <c r="AH14" s="221" t="str">
        <f t="shared" ref="AH14:AH18" si="37">VLOOKUP(Y14,$CI$6:$CU$14,10,0)</f>
        <v>monopasse</v>
      </c>
      <c r="AI14" s="166">
        <f t="shared" ref="AI14:AI18" si="38">VLOOKUP(Y14,$CI$6:$CU$14,5,0)</f>
        <v>48.3</v>
      </c>
      <c r="AJ14" s="221">
        <f t="shared" ref="AJ14:AJ18" si="39">VLOOKUP(Y14,$CI$6:$CU$14,6,0)</f>
        <v>8</v>
      </c>
      <c r="AK14" s="167">
        <f t="shared" ref="AK14:AK18" si="40">VLOOKUP(Y14,$CI$6:$CU$14,7,0)</f>
        <v>5.08</v>
      </c>
      <c r="AL14" s="167">
        <f t="shared" ref="AL14:AL18" si="41">VLOOKUP(Y14,$CI$6:$CU$14,11,0)</f>
        <v>3.2</v>
      </c>
      <c r="AM14" s="167" t="str">
        <f t="shared" ref="AM14:AM18" si="42">VLOOKUP(Y14,$CI$6:$CV$14,14,0)</f>
        <v>N/A</v>
      </c>
      <c r="AN14" s="332">
        <f t="shared" ref="AN14:AN18" si="43">IF(AND(AJ14&lt;=3,AB14="en angle"),0.7*AJ14,IF(AND(AJ14&lt;30,AJ14&gt;3,AB14="en angle"),3,IF(AND(AJ14&gt;=30,AB14="en angle"),"&gt;="&amp;5,IF(AND(AC14="Bout à bout",AJ14&lt;=3),0.5*AJ14,IF(AND(AC14="Bout à bout",AJ14&gt;3,AJ14&lt;=12,AH14="monopasse"),0.5*AJ14,IF(AND(AC14="Bout à bout",AJ14&gt;3,AJ14&lt;=12,AH14="multipasse"),3))))))</f>
        <v>3</v>
      </c>
      <c r="AO14" s="321">
        <f t="shared" si="0"/>
        <v>3</v>
      </c>
      <c r="AP14" s="333">
        <f t="shared" ref="AP14:AP18" si="44">IF(AND(AJ14&lt;=3,AB14="en angle"),2*AJ14,IF(AND(AJ14&lt;30,AJ14&gt;3,AB14="en angle"),2*AJ14,IF(AND(AJ14&gt;=30,AB14="en angle"),"&gt;="&amp;5,IF(AND(AC14="Bout à bout",AJ14&gt;3,AJ14&lt;=12,AH14="monopasse"),1.3*AJ14,IF(AND(AC14="Bout à bout",AJ14&gt;3,AJ14&lt;=12,AH14="multipasse"),2*AJ14,IF(AND(AC14="Bout à bout",AJ14&lt;=3),2*AJ14))))))</f>
        <v>16</v>
      </c>
      <c r="AQ14" s="321">
        <f t="shared" si="1"/>
        <v>16</v>
      </c>
      <c r="AR14" s="334">
        <f t="shared" ref="AR14:AR18" si="45">IF(AND(AK14&lt;=3,AB14="en angle"),0.7*AK14,IF(AND(AK14&lt;30,AK14&gt;3,AB14="en angle"),3,IF(AND(AK14&gt;=30,AB14="en angle"),"&gt;="&amp;5,IF(AND(AC14="Bout à bout",AJ14&lt;=3),0.5*AK14,IF(AND(AC14="Bout à bout",AK14&gt;3,AK14&lt;=12,AH14="monopasse"),0.5*AK14,IF(AND(AC14="Bout à bout",AK14&gt;3,AK14&lt;=12,AH14="multipasse"),3))))))</f>
        <v>3</v>
      </c>
      <c r="AS14" s="335">
        <f t="shared" ref="AS14:AS18" si="46">IF(AND(AK14&lt;=3,AB14="en angle"),2*AK14,IF(AND(AK14&lt;30,AK14&gt;3,AB14="en angle"),2*AK14,IF(AND(AK14&gt;=30,AB14="en angle"),"&gt;="&amp;5,IF(AND(AC14="Bout à bout",AK14&gt;3,AK14&lt;=12,AH14="monopasse"),1.3*AK14,IF(AND(AC14="Bout à bout",AK14&gt;3,AK14&lt;=12,AH14="multipasse"),2*AK14,IF(AND(AC14="Bout à bout",AK14&lt;=3),2*AK14))))))</f>
        <v>10.16</v>
      </c>
      <c r="AT14" s="336">
        <f t="shared" ref="AT14:AT18" si="47">IF(AI14="N/A","",AI14/2)</f>
        <v>24.15</v>
      </c>
      <c r="AU14" s="336"/>
      <c r="AV14" s="329"/>
      <c r="AW14" s="173" t="str">
        <f t="shared" si="2"/>
        <v>VRAI</v>
      </c>
      <c r="AX14" s="173" t="str">
        <f t="shared" ref="AX14:AX18" si="48">IF(AND(AH14="monopasse",L14="monopasse"),"VRAI",IF(AND(AH14="multipasse",AF14="non",AE14="non",L14="monopasse"),"VRAI",IF(AND(AH14="multipasse",L14="multipasse"),"VRAI",IF(AND(AH14="monopasse de chaque coté",L14="monopasse de chaque coté"),"VRAI"))))</f>
        <v>VRAI</v>
      </c>
      <c r="AY14" s="173" t="str">
        <f t="shared" si="23"/>
        <v>VRAI</v>
      </c>
      <c r="AZ14" s="173" t="b">
        <f t="shared" ref="AZ14:AZ18" si="49">OR(IFERROR(RIGHT(AL14,LEN(AL14)-FIND("/",AL14&amp;"/")),FIXED(AL14,0))=IFERROR(RIGHT(U14,LEN(U14)-FIND("/",U14&amp;"/")),FIXED(U14,0)),IFERROR(LEFT(AL14,FIND("/",AL14&amp;"/")-1),FIXED(AL14,0))=IFERROR(LEFT(U14,FIND("/",U14&amp;"/")-1),FIXED(U14,0)),IFERROR(RIGHT(AL14,LEN(AL14)-FIND("/",AL14&amp;"/")),FIXED(AL14,0))=IFERROR(LEFT(U14,FIND("/",U14&amp;"/")-1),FIXED(U14,0)),IFERROR(LEFT(AL14,FIND("/",AL14&amp;"/")-1),FIXED(AL14,0))=IFERROR(RIGHT(U14,LEN(U14)-FIND("/",U14&amp;"/")),FIXED(U14,0)),IF(AND(AE14="non",AF14="non"),"VRAI"),IF(AND(AE14="oui",AF14="non"),"VRAI"),IF(AND(AE14="non",AF14="oui"),"VRAI"))</f>
        <v>1</v>
      </c>
      <c r="BA14" s="237" t="str">
        <f>INDEX($DP$7:$DZ$18,DO21,EC6)</f>
        <v>8.8</v>
      </c>
      <c r="BB14" s="238" t="b">
        <f>AND(ISNUMBER(FIND($Z$11,$BA$11)),ISNUMBER(FIND("."&amp;$AA$11,$BA$11)))</f>
        <v>1</v>
      </c>
      <c r="BC14" s="176" t="str">
        <f t="shared" ref="BC14:BC18" si="50">IF(OR(AF14="non",AE14="non"),"VRAI",IF(AND(AF14="oui",AE14="non",AU14="tube",AG14="PH"),"VRAI",IF(AND(AF14="oui",AE14="non",AU14="tube",AG14="HL045"),"VRAI",IF(AND(AF14="oui",AE14="non",AU14="tube",AG14="PA"),"VRAI",IF(AND(AF14="oui",AE14="non",AU14="tole",AG14="PA"),"VRAI",IF(AND(AF14="oui",AE14="non",AU14="tole",AG14="PF"),"VRAI",IF(AND(AF14="non",AE14="oui",AU14="tole",AG14="PE"),"VRAI",IF(AND(AF14="non",AE14="oui",AU14="tole",AG14="PC"),"VRAI",IF(AND(AF14="non",AE14="oui",AU14="tole",AG14="PG"),"VRAI",IF(AND(AF14="non",AE14="oui",AU14="tube",AG14="PH"),"VRAI",IF(AND(AF14="non",AE14="oui",AU14="tube",AG14="HL045"),"VRAI",IF(AND(AF14="non",AE14="oui",AU14="tube",AG14="PC"),"VRAI",IF(AND(AF14="non",AE14="oui",AU14="tube",AG14="PJ"),"VRAI")))))))))))))</f>
        <v>VRAI</v>
      </c>
      <c r="BD14" s="266" t="str">
        <f>IF(AND($H$1&gt;=AO14,$H$1&lt;=AQ14,R14&lt;=AR14,S14&gt;=AS14),"VRAI")</f>
        <v>VRAI</v>
      </c>
      <c r="BE14" s="56"/>
      <c r="BF14" s="91"/>
      <c r="BG14" s="89"/>
      <c r="BH14" s="78"/>
      <c r="BI14" s="99"/>
      <c r="BJ14" s="101"/>
      <c r="BK14" s="102"/>
      <c r="BL14" s="99"/>
      <c r="BM14" s="99"/>
      <c r="BN14" s="103"/>
      <c r="BO14" s="79"/>
      <c r="BP14" s="92"/>
      <c r="BQ14" s="96"/>
      <c r="BR14" s="97"/>
      <c r="BS14" s="79"/>
      <c r="BT14" s="91"/>
      <c r="BU14" s="104"/>
      <c r="BV14" s="78"/>
      <c r="BW14" s="103"/>
      <c r="BX14" s="105"/>
      <c r="BY14" s="103"/>
      <c r="BZ14" s="92"/>
      <c r="CA14" s="105"/>
      <c r="CB14" s="103"/>
      <c r="CC14" s="2"/>
      <c r="CD14" s="3"/>
      <c r="CE14" s="2"/>
      <c r="CF14" s="13"/>
      <c r="CI14" s="316" t="s">
        <v>15</v>
      </c>
      <c r="CJ14" s="298" t="s">
        <v>59</v>
      </c>
      <c r="CK14" s="84" t="s">
        <v>179</v>
      </c>
      <c r="CL14" s="313" t="s">
        <v>187</v>
      </c>
      <c r="CM14" s="313" t="s">
        <v>188</v>
      </c>
      <c r="CN14" s="313">
        <v>8</v>
      </c>
      <c r="CO14" s="313">
        <v>8</v>
      </c>
      <c r="CP14" s="313" t="s">
        <v>189</v>
      </c>
      <c r="CQ14" s="313" t="s">
        <v>90</v>
      </c>
      <c r="CR14" s="317" t="s">
        <v>67</v>
      </c>
      <c r="CS14" s="313">
        <v>3.2</v>
      </c>
      <c r="CT14" s="314">
        <v>8</v>
      </c>
      <c r="CU14" s="314">
        <v>8</v>
      </c>
      <c r="CV14" s="157">
        <v>150</v>
      </c>
      <c r="CW14" s="183"/>
      <c r="CY14" s="184" t="s">
        <v>24</v>
      </c>
      <c r="CZ14" s="306">
        <v>8</v>
      </c>
      <c r="DA14" s="306">
        <v>8</v>
      </c>
      <c r="DB14" s="307" t="s">
        <v>190</v>
      </c>
      <c r="DC14" s="158" t="s">
        <v>67</v>
      </c>
      <c r="DD14" s="149" t="s">
        <v>187</v>
      </c>
      <c r="DE14" s="149" t="s">
        <v>188</v>
      </c>
      <c r="DF14" s="149" t="s">
        <v>188</v>
      </c>
      <c r="DG14" s="149">
        <v>4</v>
      </c>
      <c r="DH14" s="149">
        <v>10.4</v>
      </c>
      <c r="DI14" s="149" t="s">
        <v>188</v>
      </c>
      <c r="DJ14" s="149" t="s">
        <v>188</v>
      </c>
      <c r="DK14" s="321">
        <v>121</v>
      </c>
      <c r="DL14" s="157" t="s">
        <v>192</v>
      </c>
      <c r="DM14" s="322" t="s">
        <v>195</v>
      </c>
      <c r="DO14" s="234"/>
      <c r="DP14" s="236"/>
      <c r="DQ14" s="236"/>
      <c r="DR14" s="236"/>
      <c r="DS14" s="236"/>
      <c r="DT14" s="236"/>
      <c r="DU14" s="236"/>
      <c r="DV14" s="236"/>
      <c r="DW14" s="228"/>
      <c r="DX14" s="228"/>
      <c r="DY14" s="228"/>
      <c r="DZ14" s="228"/>
      <c r="EE14" s="288"/>
      <c r="EF14" s="34"/>
      <c r="EG14" s="34"/>
      <c r="EH14" s="19"/>
      <c r="EI14" s="19"/>
      <c r="EJ14" s="19"/>
      <c r="EK14" s="19"/>
      <c r="EL14" s="19"/>
      <c r="EM14" s="19"/>
      <c r="EN14" s="19"/>
      <c r="EO14" s="19"/>
      <c r="EP14" s="19"/>
    </row>
    <row r="15" spans="1:154" s="259" customFormat="1" ht="43.8" customHeight="1" thickBot="1">
      <c r="B15" s="275" t="s">
        <v>37</v>
      </c>
      <c r="C15" s="278" t="s">
        <v>181</v>
      </c>
      <c r="D15" s="164" t="s">
        <v>59</v>
      </c>
      <c r="E15" s="208">
        <v>33.4</v>
      </c>
      <c r="F15" s="157">
        <v>4.55</v>
      </c>
      <c r="G15" s="262" t="s">
        <v>34</v>
      </c>
      <c r="H15" s="161">
        <f>VLOOKUP(G15,$CY$6:$DK$14,2,0)</f>
        <v>8</v>
      </c>
      <c r="I15" s="161">
        <f>VLOOKUP(G15,$CY$6:$DK$14,3,0)</f>
        <v>8</v>
      </c>
      <c r="J15" s="161"/>
      <c r="K15" s="177" t="str">
        <f>VLOOKUP(G15,$CY$6:$DK$14,4,0)</f>
        <v>en angle et bout à bout penetration partielle</v>
      </c>
      <c r="L15" s="158" t="str">
        <f>+VLOOKUP(G15,$CY$6:$DK$14,5,0)</f>
        <v>multipasse</v>
      </c>
      <c r="M15" s="161" t="str">
        <f>VLOOKUP(G15,$CY$6:$DK$14,6,0)</f>
        <v>PA + PB</v>
      </c>
      <c r="N15" s="224">
        <f>VLOOKUP(G15,$CY$6:$DK$14,7,0)</f>
        <v>30.15</v>
      </c>
      <c r="O15" s="294">
        <f>VLOOKUP(G15,$CY$6:$DK$14,8,0)</f>
        <v>120.6</v>
      </c>
      <c r="P15" s="294">
        <f>VLOOKUP(G15,$CY$6:$DK$14,9,0)</f>
        <v>3</v>
      </c>
      <c r="Q15" s="294">
        <f>VLOOKUP(G15,$CY$6:$DK$14,10,0)</f>
        <v>7.2</v>
      </c>
      <c r="R15" s="294">
        <f>VLOOKUP(G15,$CY$6:$DK$14,11,0)</f>
        <v>3</v>
      </c>
      <c r="S15" s="294">
        <f>VLOOKUP(G15,$CY$6:$DK$14,12,0)</f>
        <v>7.2</v>
      </c>
      <c r="T15" s="212" t="str">
        <f t="shared" si="26"/>
        <v>&lt;=150</v>
      </c>
      <c r="U15" s="212" t="str">
        <f t="shared" si="27"/>
        <v>3,2/4</v>
      </c>
      <c r="V15" s="205">
        <f>VLOOKUP(G15,$CY$6:$DK$14,13,0)</f>
        <v>111</v>
      </c>
      <c r="W15" s="176" t="str">
        <f t="shared" si="15"/>
        <v>VRAI</v>
      </c>
      <c r="X15" s="162" t="str">
        <f t="shared" si="28"/>
        <v>VRAI</v>
      </c>
      <c r="Y15" s="270" t="s">
        <v>82</v>
      </c>
      <c r="Z15" s="221">
        <f t="shared" si="29"/>
        <v>9</v>
      </c>
      <c r="AA15" s="221">
        <f t="shared" si="30"/>
        <v>9</v>
      </c>
      <c r="AB15" s="177" t="str">
        <f t="shared" si="31"/>
        <v>Bout à bout pleine penetration</v>
      </c>
      <c r="AC15" s="318" t="str">
        <f t="shared" si="32"/>
        <v>Bout à bout</v>
      </c>
      <c r="AD15" s="221" t="str">
        <f t="shared" si="33"/>
        <v>111/111</v>
      </c>
      <c r="AE15" s="221" t="str">
        <f t="shared" si="34"/>
        <v>non</v>
      </c>
      <c r="AF15" s="221" t="str">
        <f t="shared" si="35"/>
        <v>non</v>
      </c>
      <c r="AG15" s="221" t="str">
        <f t="shared" si="36"/>
        <v>PF</v>
      </c>
      <c r="AH15" s="221" t="str">
        <f t="shared" si="37"/>
        <v>multipasse</v>
      </c>
      <c r="AI15" s="166">
        <f t="shared" si="38"/>
        <v>60.3</v>
      </c>
      <c r="AJ15" s="221">
        <f t="shared" si="39"/>
        <v>3.6</v>
      </c>
      <c r="AK15" s="167">
        <f t="shared" si="40"/>
        <v>3.6</v>
      </c>
      <c r="AL15" s="167">
        <f t="shared" si="41"/>
        <v>2.5</v>
      </c>
      <c r="AM15" s="167" t="str">
        <f t="shared" si="42"/>
        <v>N/A</v>
      </c>
      <c r="AN15" s="332">
        <f t="shared" si="43"/>
        <v>3</v>
      </c>
      <c r="AO15" s="321">
        <f t="shared" si="0"/>
        <v>3</v>
      </c>
      <c r="AP15" s="333">
        <f t="shared" si="44"/>
        <v>7.2</v>
      </c>
      <c r="AQ15" s="321">
        <f t="shared" si="1"/>
        <v>7.2</v>
      </c>
      <c r="AR15" s="334">
        <f t="shared" si="45"/>
        <v>3</v>
      </c>
      <c r="AS15" s="335">
        <f t="shared" si="46"/>
        <v>7.2</v>
      </c>
      <c r="AT15" s="336">
        <f t="shared" si="47"/>
        <v>30.15</v>
      </c>
      <c r="AU15" s="336"/>
      <c r="AV15" s="329"/>
      <c r="AW15" s="173" t="str">
        <f t="shared" si="2"/>
        <v>VRAI</v>
      </c>
      <c r="AX15" s="173" t="str">
        <f t="shared" si="48"/>
        <v>VRAI</v>
      </c>
      <c r="AY15" s="173" t="str">
        <f t="shared" si="23"/>
        <v>VRAI</v>
      </c>
      <c r="AZ15" s="173" t="b">
        <f t="shared" si="49"/>
        <v>1</v>
      </c>
      <c r="BA15" s="237" t="str">
        <f>INDEX($DP$7:$DZ$18,DO22,EE6)</f>
        <v>9.9</v>
      </c>
      <c r="BB15" s="238" t="b">
        <f>AND(ISNUMBER(FIND($Z$11,$BA$11)),ISNUMBER(FIND("."&amp;$AA$11,$BA$11)))</f>
        <v>1</v>
      </c>
      <c r="BC15" s="176" t="str">
        <f t="shared" si="50"/>
        <v>VRAI</v>
      </c>
      <c r="BD15" s="266" t="str">
        <f>IF(AND($H$1&gt;=AO15,$H$1&lt;=AQ15,R15&lt;=AR15,S15&gt;=AS15),"VRAI")</f>
        <v>VRAI</v>
      </c>
      <c r="BE15" s="24" t="s">
        <v>30</v>
      </c>
      <c r="BF15" s="91" t="s">
        <v>29</v>
      </c>
      <c r="BG15" s="106" t="s">
        <v>5</v>
      </c>
      <c r="BH15" s="79"/>
      <c r="BI15" s="91"/>
      <c r="BJ15" s="96"/>
      <c r="BK15" s="97"/>
      <c r="BL15" s="79"/>
      <c r="BM15" s="91"/>
      <c r="BN15" s="104"/>
      <c r="BO15" s="79"/>
      <c r="BP15" s="91"/>
      <c r="BQ15" s="96"/>
      <c r="BR15" s="107"/>
      <c r="BS15" s="79"/>
      <c r="BT15" s="91"/>
      <c r="BU15" s="104"/>
      <c r="BV15" s="79"/>
      <c r="BW15" s="272"/>
      <c r="BX15" s="271"/>
      <c r="BY15" s="98"/>
      <c r="BZ15" s="271"/>
      <c r="CA15" s="105"/>
      <c r="CB15" s="98"/>
      <c r="CC15" s="259" t="s">
        <v>8</v>
      </c>
      <c r="CD15" s="273" t="s">
        <v>5</v>
      </c>
      <c r="CE15" s="259" t="s">
        <v>18</v>
      </c>
      <c r="CF15" s="13" t="s">
        <v>5</v>
      </c>
      <c r="CJ15" s="263"/>
      <c r="CK15" s="264"/>
      <c r="CL15" s="264"/>
      <c r="CN15" s="264"/>
      <c r="CO15" s="264"/>
      <c r="CP15" s="264"/>
      <c r="CQ15" s="264"/>
      <c r="CR15" s="264"/>
      <c r="CS15" s="264"/>
      <c r="CT15" s="65"/>
      <c r="CU15" s="65"/>
      <c r="CV15" s="344"/>
      <c r="CW15" s="295"/>
      <c r="CY15" s="27"/>
      <c r="CZ15" s="43"/>
      <c r="DA15" s="43"/>
      <c r="DB15" s="185"/>
      <c r="DC15" s="43"/>
      <c r="DD15" s="43"/>
      <c r="DE15" s="231"/>
      <c r="DF15" s="43"/>
      <c r="DG15" s="43"/>
      <c r="DH15" s="43"/>
      <c r="DI15" s="43"/>
      <c r="DJ15" s="43"/>
      <c r="DK15" s="43"/>
      <c r="DL15" s="43"/>
      <c r="DM15" s="43"/>
      <c r="DO15" s="234">
        <v>8</v>
      </c>
      <c r="DP15" s="236" t="s">
        <v>28</v>
      </c>
      <c r="DQ15" s="236" t="s">
        <v>129</v>
      </c>
      <c r="DR15" s="236" t="s">
        <v>130</v>
      </c>
      <c r="DS15" s="236" t="s">
        <v>131</v>
      </c>
      <c r="DT15" s="236" t="s">
        <v>132</v>
      </c>
      <c r="DU15" s="236" t="s">
        <v>132</v>
      </c>
      <c r="DV15" s="236" t="s">
        <v>133</v>
      </c>
      <c r="DW15" s="236" t="s">
        <v>134</v>
      </c>
      <c r="DX15" s="234"/>
      <c r="DY15" s="234"/>
      <c r="DZ15" s="234"/>
      <c r="EE15" s="288"/>
      <c r="EF15" s="268"/>
      <c r="EG15" s="268"/>
      <c r="EH15" s="268"/>
      <c r="EI15" s="288"/>
      <c r="EJ15" s="288"/>
      <c r="EK15" s="288"/>
      <c r="EL15" s="288"/>
      <c r="EM15" s="288"/>
      <c r="EN15" s="288"/>
      <c r="EO15" s="288"/>
      <c r="EP15" s="288"/>
    </row>
    <row r="16" spans="1:154" ht="40.799999999999997" customHeight="1" thickBot="1">
      <c r="B16" s="274" t="s">
        <v>36</v>
      </c>
      <c r="C16" s="278" t="s">
        <v>181</v>
      </c>
      <c r="D16" s="164" t="s">
        <v>59</v>
      </c>
      <c r="E16" s="208">
        <v>26.7</v>
      </c>
      <c r="F16" s="157">
        <v>3.91</v>
      </c>
      <c r="G16" s="160" t="s">
        <v>9</v>
      </c>
      <c r="H16" s="161">
        <f>VLOOKUP(G16,$CY$6:$DK$14,2,0)</f>
        <v>8</v>
      </c>
      <c r="I16" s="161">
        <f>VLOOKUP(G16,$CY$6:$DK$14,3,0)</f>
        <v>8</v>
      </c>
      <c r="J16" s="161"/>
      <c r="K16" s="177" t="str">
        <f>VLOOKUP(G16,$CY$6:$DK$14,4,0)</f>
        <v>en angle</v>
      </c>
      <c r="L16" s="158" t="str">
        <f>+VLOOKUP(G16,$CY$6:$DK$14,5,0)</f>
        <v>monopasse</v>
      </c>
      <c r="M16" s="161" t="str">
        <f>VLOOKUP(G16,$CY$6:$DK$14,6,0)</f>
        <v>PB</v>
      </c>
      <c r="N16" s="224">
        <f>VLOOKUP(G16,$CY$6:$DK$14,7,0)</f>
        <v>25</v>
      </c>
      <c r="O16" s="294">
        <f>VLOOKUP(G16,$CY$6:$DK$14,8,0)</f>
        <v>999999</v>
      </c>
      <c r="P16" s="294">
        <f>VLOOKUP(G16,$CY$6:$DK$14,9,0)</f>
        <v>4</v>
      </c>
      <c r="Q16" s="294">
        <f>VLOOKUP(G16,$CY$6:$DK$14,10,0)</f>
        <v>16</v>
      </c>
      <c r="R16" s="294">
        <f>VLOOKUP(G16,$CY$6:$DK$14,11,0)</f>
        <v>3</v>
      </c>
      <c r="S16" s="294">
        <f>VLOOKUP(G16,$CY$6:$DK$14,12,0)</f>
        <v>10.199999999999999</v>
      </c>
      <c r="T16" s="212" t="str">
        <f t="shared" si="26"/>
        <v>&lt;=150</v>
      </c>
      <c r="U16" s="212" t="str">
        <f t="shared" si="27"/>
        <v>3,2/4</v>
      </c>
      <c r="V16" s="205">
        <f>VLOOKUP(G16,$CY$6:$DK$14,13,0)</f>
        <v>111</v>
      </c>
      <c r="W16" s="176" t="str">
        <f t="shared" si="15"/>
        <v>VRAI</v>
      </c>
      <c r="X16" s="162" t="b">
        <f t="shared" si="28"/>
        <v>0</v>
      </c>
      <c r="Y16" s="110" t="s">
        <v>17</v>
      </c>
      <c r="Z16" s="221">
        <f t="shared" si="29"/>
        <v>8</v>
      </c>
      <c r="AA16" s="221">
        <f t="shared" si="30"/>
        <v>8</v>
      </c>
      <c r="AB16" s="177" t="str">
        <f t="shared" si="31"/>
        <v>en angle</v>
      </c>
      <c r="AC16" s="318" t="str">
        <f t="shared" si="32"/>
        <v>en angle</v>
      </c>
      <c r="AD16" s="221" t="str">
        <f t="shared" si="33"/>
        <v>111/111</v>
      </c>
      <c r="AE16" s="221" t="str">
        <f t="shared" si="34"/>
        <v>non</v>
      </c>
      <c r="AF16" s="221" t="str">
        <f t="shared" si="35"/>
        <v>non</v>
      </c>
      <c r="AG16" s="221" t="str">
        <f t="shared" si="36"/>
        <v>PB</v>
      </c>
      <c r="AH16" s="221" t="str">
        <f t="shared" si="37"/>
        <v>monopasse</v>
      </c>
      <c r="AI16" s="166">
        <f t="shared" si="38"/>
        <v>48.3</v>
      </c>
      <c r="AJ16" s="221">
        <f t="shared" si="39"/>
        <v>8</v>
      </c>
      <c r="AK16" s="167">
        <f t="shared" si="40"/>
        <v>5.08</v>
      </c>
      <c r="AL16" s="167">
        <f t="shared" si="41"/>
        <v>3.2</v>
      </c>
      <c r="AM16" s="167" t="str">
        <f t="shared" si="42"/>
        <v>N/A</v>
      </c>
      <c r="AN16" s="332">
        <f t="shared" si="43"/>
        <v>3</v>
      </c>
      <c r="AO16" s="321">
        <f t="shared" si="0"/>
        <v>3</v>
      </c>
      <c r="AP16" s="333">
        <f t="shared" si="44"/>
        <v>16</v>
      </c>
      <c r="AQ16" s="321">
        <f t="shared" si="1"/>
        <v>16</v>
      </c>
      <c r="AR16" s="334">
        <f t="shared" si="45"/>
        <v>3</v>
      </c>
      <c r="AS16" s="335">
        <f t="shared" si="46"/>
        <v>10.16</v>
      </c>
      <c r="AT16" s="336">
        <f t="shared" si="47"/>
        <v>24.15</v>
      </c>
      <c r="AU16" s="336"/>
      <c r="AV16" s="329"/>
      <c r="AW16" s="173" t="str">
        <f t="shared" si="2"/>
        <v>VRAI</v>
      </c>
      <c r="AX16" s="173" t="str">
        <f t="shared" si="48"/>
        <v>VRAI</v>
      </c>
      <c r="AY16" s="173" t="str">
        <f t="shared" si="23"/>
        <v>VRAI</v>
      </c>
      <c r="AZ16" s="173" t="b">
        <f t="shared" si="49"/>
        <v>1</v>
      </c>
      <c r="BA16" s="237" t="str">
        <f>INDEX($DP$7:$DZ$18,DO24,EF6)</f>
        <v>8.8</v>
      </c>
      <c r="BB16" s="238" t="b">
        <f>AND(ISNUMBER(FIND($Z$11,$BA$11)),ISNUMBER(FIND("."&amp;$AA$11,$BA$11)))</f>
        <v>1</v>
      </c>
      <c r="BC16" s="176" t="str">
        <f t="shared" si="50"/>
        <v>VRAI</v>
      </c>
      <c r="BD16" s="266" t="str">
        <f>IF(AND($H$1&gt;=AO16,$H$1&lt;=AQ16,R16&lt;=AR16,S16&gt;=AS16),"VRAI")</f>
        <v>VRAI</v>
      </c>
      <c r="BE16" s="24" t="s">
        <v>30</v>
      </c>
      <c r="BF16" s="91" t="s">
        <v>29</v>
      </c>
      <c r="BG16" s="89" t="s">
        <v>5</v>
      </c>
      <c r="BH16" s="78"/>
      <c r="BI16" s="99"/>
      <c r="BJ16" s="101"/>
      <c r="BK16" s="102"/>
      <c r="BL16" s="99"/>
      <c r="BM16" s="99"/>
      <c r="BN16" s="103"/>
      <c r="BO16" s="78"/>
      <c r="BP16" s="91"/>
      <c r="BQ16" s="96"/>
      <c r="BR16" s="107"/>
      <c r="BS16" s="79"/>
      <c r="BT16" s="91"/>
      <c r="BU16" s="104"/>
      <c r="BV16" s="111"/>
      <c r="BW16" s="91"/>
      <c r="BX16" s="112"/>
      <c r="BY16" s="104"/>
      <c r="BZ16" s="113"/>
      <c r="CA16" s="105"/>
      <c r="CB16" s="104"/>
      <c r="CC16" s="2" t="s">
        <v>8</v>
      </c>
      <c r="CD16" s="3" t="s">
        <v>5</v>
      </c>
      <c r="CE16" s="2" t="s">
        <v>18</v>
      </c>
      <c r="CF16" s="13" t="s">
        <v>5</v>
      </c>
      <c r="CJ16" s="151"/>
      <c r="CK16" s="63"/>
      <c r="CL16" s="63"/>
      <c r="CM16" s="264"/>
      <c r="CN16" s="63"/>
      <c r="CO16" s="63"/>
      <c r="CP16" s="63"/>
      <c r="CR16" s="63"/>
      <c r="CS16" s="63"/>
      <c r="CT16" s="66"/>
      <c r="CU16" s="66"/>
      <c r="CV16" s="66"/>
      <c r="CW16" s="152"/>
      <c r="CY16" s="30"/>
      <c r="CZ16" s="43" t="s">
        <v>179</v>
      </c>
      <c r="DA16" s="43" t="s">
        <v>181</v>
      </c>
      <c r="DB16" s="230"/>
      <c r="DC16" s="26"/>
      <c r="DD16" s="229"/>
      <c r="DE16" s="231"/>
      <c r="DF16" s="43"/>
      <c r="DG16" s="43"/>
      <c r="DH16" s="43"/>
      <c r="DI16" s="43"/>
      <c r="DJ16" s="43"/>
      <c r="DK16" s="43"/>
      <c r="DL16" s="19"/>
      <c r="DM16" s="19"/>
      <c r="DO16" s="234">
        <v>9</v>
      </c>
      <c r="DP16" s="236" t="s">
        <v>135</v>
      </c>
      <c r="DQ16" s="236" t="s">
        <v>136</v>
      </c>
      <c r="DR16" s="236" t="s">
        <v>137</v>
      </c>
      <c r="DS16" s="236" t="s">
        <v>138</v>
      </c>
      <c r="DT16" s="236" t="s">
        <v>139</v>
      </c>
      <c r="DU16" s="236" t="s">
        <v>140</v>
      </c>
      <c r="DV16" s="236" t="s">
        <v>141</v>
      </c>
      <c r="DW16" s="236" t="s">
        <v>142</v>
      </c>
      <c r="DX16" s="236" t="s">
        <v>143</v>
      </c>
      <c r="DY16" s="228"/>
      <c r="DZ16" s="228"/>
      <c r="EE16" s="288"/>
      <c r="EF16" s="289"/>
      <c r="EG16" s="43"/>
      <c r="EH16" s="43"/>
      <c r="EI16" s="19"/>
      <c r="EJ16" s="19"/>
      <c r="EK16" s="19"/>
      <c r="EL16" s="19"/>
      <c r="EM16" s="19"/>
      <c r="EN16" s="19"/>
      <c r="EO16" s="19"/>
      <c r="EP16" s="19"/>
    </row>
    <row r="17" spans="2:146" ht="46.2" customHeight="1" thickBot="1">
      <c r="B17" s="410" t="s">
        <v>38</v>
      </c>
      <c r="C17" s="278" t="s">
        <v>181</v>
      </c>
      <c r="D17" s="164" t="s">
        <v>59</v>
      </c>
      <c r="E17" s="208">
        <v>26.7</v>
      </c>
      <c r="F17" s="157">
        <v>3.91</v>
      </c>
      <c r="G17" s="160" t="s">
        <v>88</v>
      </c>
      <c r="H17" s="161">
        <f>VLOOKUP(G17,$CY$6:$DK$14,2,0)</f>
        <v>8</v>
      </c>
      <c r="I17" s="161">
        <f>VLOOKUP(G17,$CY$6:$DK$14,3,0)</f>
        <v>8</v>
      </c>
      <c r="J17" s="161"/>
      <c r="K17" s="177" t="str">
        <f>VLOOKUP(G17,$CY$6:$DK$14,4,0)</f>
        <v>en angle et bout à bout penetration partielle</v>
      </c>
      <c r="L17" s="158" t="str">
        <f>+VLOOKUP(G17,$CY$6:$DK$14,5,0)</f>
        <v>multipasse</v>
      </c>
      <c r="M17" s="161" t="str">
        <f>VLOOKUP(G17,$CY$6:$DK$14,6,0)</f>
        <v>PA + PB</v>
      </c>
      <c r="N17" s="224">
        <f>VLOOKUP(G17,$CY$6:$DK$14,7,0)</f>
        <v>8.6</v>
      </c>
      <c r="O17" s="294">
        <f>VLOOKUP(G17,$CY$6:$DK$14,8,0)</f>
        <v>34.4</v>
      </c>
      <c r="P17" s="294">
        <f>VLOOKUP(G17,$CY$6:$DK$14,9,0)</f>
        <v>1.82</v>
      </c>
      <c r="Q17" s="294">
        <f>VLOOKUP(G17,$CY$6:$DK$14,10,0)</f>
        <v>5.2</v>
      </c>
      <c r="R17" s="294">
        <f>VLOOKUP(G17,$CY$6:$DK$14,11,0)</f>
        <v>1.82</v>
      </c>
      <c r="S17" s="294">
        <f>VLOOKUP(G17,$CY$6:$DK$14,12,0)</f>
        <v>5.2</v>
      </c>
      <c r="T17" s="212" t="str">
        <f t="shared" si="26"/>
        <v>&lt;=100</v>
      </c>
      <c r="U17" s="212" t="str">
        <f t="shared" si="27"/>
        <v>1,6/2</v>
      </c>
      <c r="V17" s="205">
        <f>VLOOKUP(G17,$CY$6:$DK$14,13,0)</f>
        <v>141</v>
      </c>
      <c r="W17" s="176" t="str">
        <f t="shared" si="15"/>
        <v>VRAI</v>
      </c>
      <c r="X17" s="162" t="str">
        <f t="shared" si="28"/>
        <v>VRAI</v>
      </c>
      <c r="Y17" s="114" t="s">
        <v>35</v>
      </c>
      <c r="Z17" s="221">
        <f t="shared" si="29"/>
        <v>8</v>
      </c>
      <c r="AA17" s="221">
        <f t="shared" si="30"/>
        <v>8</v>
      </c>
      <c r="AB17" s="177" t="str">
        <f t="shared" si="31"/>
        <v>Bout à bout pleine penetration</v>
      </c>
      <c r="AC17" s="318" t="str">
        <f t="shared" si="32"/>
        <v>Bout à bout</v>
      </c>
      <c r="AD17" s="221" t="str">
        <f t="shared" si="33"/>
        <v>141/141</v>
      </c>
      <c r="AE17" s="221" t="str">
        <f t="shared" si="34"/>
        <v>non</v>
      </c>
      <c r="AF17" s="221" t="str">
        <f t="shared" si="35"/>
        <v>non</v>
      </c>
      <c r="AG17" s="221" t="str">
        <f t="shared" si="36"/>
        <v>PF</v>
      </c>
      <c r="AH17" s="221" t="str">
        <f t="shared" si="37"/>
        <v>multipasse</v>
      </c>
      <c r="AI17" s="166">
        <f t="shared" si="38"/>
        <v>17.2</v>
      </c>
      <c r="AJ17" s="221">
        <f t="shared" si="39"/>
        <v>3.2</v>
      </c>
      <c r="AK17" s="167">
        <f t="shared" si="40"/>
        <v>3.2</v>
      </c>
      <c r="AL17" s="167">
        <f t="shared" si="41"/>
        <v>1.6</v>
      </c>
      <c r="AM17" s="167">
        <f t="shared" si="42"/>
        <v>100</v>
      </c>
      <c r="AN17" s="332">
        <f t="shared" si="43"/>
        <v>3</v>
      </c>
      <c r="AO17" s="321">
        <f t="shared" si="0"/>
        <v>3</v>
      </c>
      <c r="AP17" s="333">
        <f t="shared" si="44"/>
        <v>6.4</v>
      </c>
      <c r="AQ17" s="321">
        <f t="shared" si="1"/>
        <v>6.4</v>
      </c>
      <c r="AR17" s="334">
        <f t="shared" si="45"/>
        <v>3</v>
      </c>
      <c r="AS17" s="335">
        <f t="shared" si="46"/>
        <v>6.4</v>
      </c>
      <c r="AT17" s="336">
        <f t="shared" si="47"/>
        <v>8.6</v>
      </c>
      <c r="AU17" s="336"/>
      <c r="AV17" s="329"/>
      <c r="AW17" s="173" t="str">
        <f t="shared" si="2"/>
        <v>VRAI</v>
      </c>
      <c r="AX17" s="173" t="str">
        <f t="shared" si="48"/>
        <v>VRAI</v>
      </c>
      <c r="AY17" s="173" t="str">
        <f t="shared" si="23"/>
        <v>VRAI</v>
      </c>
      <c r="AZ17" s="173" t="b">
        <f t="shared" si="49"/>
        <v>1</v>
      </c>
      <c r="BA17" s="237" t="str">
        <f>INDEX($DP$7:$DZ$18,DO25,EG6)</f>
        <v>8.8</v>
      </c>
      <c r="BB17" s="238" t="b">
        <f>AND(ISNUMBER(FIND($Z$11,$BA$11)),ISNUMBER(FIND("."&amp;$AA$11,$BA$11)))</f>
        <v>1</v>
      </c>
      <c r="BC17" s="176" t="str">
        <f t="shared" si="50"/>
        <v>VRAI</v>
      </c>
      <c r="BD17" s="266" t="b">
        <f>IF(AND($H$1&gt;=AO17,$H$1&lt;=AQ17,R17&lt;=AR17,S17&gt;=AS17),"VRAI")</f>
        <v>0</v>
      </c>
      <c r="BE17" s="24" t="s">
        <v>178</v>
      </c>
      <c r="BF17" s="91" t="s">
        <v>29</v>
      </c>
      <c r="BG17" s="89"/>
      <c r="BH17" s="78"/>
      <c r="BI17" s="116"/>
      <c r="BJ17" s="101"/>
      <c r="BK17" s="102"/>
      <c r="BL17" s="99"/>
      <c r="BM17" s="99"/>
      <c r="BN17" s="103"/>
      <c r="BO17" s="78"/>
      <c r="BP17" s="92"/>
      <c r="BQ17" s="93"/>
      <c r="BR17" s="94"/>
      <c r="BS17" s="117"/>
      <c r="BT17" s="91"/>
      <c r="BU17" s="104"/>
      <c r="BV17" s="78"/>
      <c r="BW17" s="99"/>
      <c r="BX17" s="118"/>
      <c r="BY17" s="103"/>
      <c r="BZ17" s="99"/>
      <c r="CA17" s="99"/>
      <c r="CB17" s="103"/>
      <c r="CC17" t="s">
        <v>8</v>
      </c>
      <c r="CD17" s="3" t="s">
        <v>5</v>
      </c>
      <c r="CE17" s="2" t="s">
        <v>18</v>
      </c>
      <c r="CF17" s="13" t="s">
        <v>5</v>
      </c>
      <c r="CJ17" s="151"/>
      <c r="CK17" s="63"/>
      <c r="CL17" s="63"/>
      <c r="CM17" s="63"/>
      <c r="CN17" s="63"/>
      <c r="CO17" s="63"/>
      <c r="CP17" s="63"/>
      <c r="CQ17" s="63"/>
      <c r="CR17" s="63"/>
      <c r="CS17" s="63"/>
      <c r="CT17" s="66"/>
      <c r="CU17" s="66"/>
      <c r="CV17" s="66"/>
      <c r="CW17" s="152"/>
      <c r="CY17" s="30"/>
      <c r="CZ17" s="43" t="s">
        <v>59</v>
      </c>
      <c r="DA17" s="43" t="s">
        <v>182</v>
      </c>
      <c r="DB17" s="185"/>
      <c r="DC17" s="26"/>
      <c r="DD17" s="43"/>
      <c r="DE17" s="231"/>
      <c r="DF17" s="43"/>
      <c r="DG17" s="43"/>
      <c r="DH17" s="43"/>
      <c r="DI17" s="43"/>
      <c r="DJ17" s="43"/>
      <c r="DK17" s="43"/>
      <c r="DL17" s="19"/>
      <c r="DM17" s="19"/>
      <c r="DO17" s="234">
        <v>10</v>
      </c>
      <c r="DP17" s="236" t="s">
        <v>144</v>
      </c>
      <c r="DQ17" s="236" t="s">
        <v>145</v>
      </c>
      <c r="DR17" s="236" t="s">
        <v>146</v>
      </c>
      <c r="DS17" s="236" t="s">
        <v>147</v>
      </c>
      <c r="DT17" s="236" t="s">
        <v>148</v>
      </c>
      <c r="DU17" s="236" t="s">
        <v>149</v>
      </c>
      <c r="DV17" s="236" t="s">
        <v>150</v>
      </c>
      <c r="DW17" s="236" t="s">
        <v>151</v>
      </c>
      <c r="DX17" s="236" t="s">
        <v>152</v>
      </c>
      <c r="DY17" s="236" t="s">
        <v>153</v>
      </c>
      <c r="DZ17" s="228"/>
      <c r="EE17" s="288"/>
      <c r="EF17" s="289"/>
      <c r="EG17" s="43"/>
      <c r="EH17" s="43"/>
      <c r="EI17" s="19"/>
      <c r="EJ17" s="19"/>
      <c r="EK17" s="19"/>
      <c r="EL17" s="19"/>
      <c r="EM17" s="19"/>
      <c r="EN17" s="19"/>
      <c r="EO17" s="19"/>
      <c r="EP17" s="19"/>
    </row>
    <row r="18" spans="2:146" ht="38.4" customHeight="1" thickBot="1">
      <c r="B18" s="411"/>
      <c r="C18" s="278" t="s">
        <v>181</v>
      </c>
      <c r="D18" s="164" t="s">
        <v>59</v>
      </c>
      <c r="E18" s="208">
        <v>26.7</v>
      </c>
      <c r="F18" s="157">
        <v>3.91</v>
      </c>
      <c r="G18" s="160" t="s">
        <v>9</v>
      </c>
      <c r="H18" s="161">
        <f>VLOOKUP(G18,$CY$6:$DK$14,2,0)</f>
        <v>8</v>
      </c>
      <c r="I18" s="161">
        <f>VLOOKUP(G18,$CY$6:$DK$14,3,0)</f>
        <v>8</v>
      </c>
      <c r="J18" s="161"/>
      <c r="K18" s="177" t="str">
        <f>VLOOKUP(G18,$CY$6:$DK$14,4,0)</f>
        <v>en angle</v>
      </c>
      <c r="L18" s="158" t="str">
        <f>+VLOOKUP(G18,$CY$6:$DK$14,5,0)</f>
        <v>monopasse</v>
      </c>
      <c r="M18" s="161" t="str">
        <f>VLOOKUP(G18,$CY$6:$DK$14,6,0)</f>
        <v>PB</v>
      </c>
      <c r="N18" s="224">
        <f>VLOOKUP(G18,$CY$6:$DK$14,7,0)</f>
        <v>25</v>
      </c>
      <c r="O18" s="294">
        <f>VLOOKUP(G18,$CY$6:$DK$14,8,0)</f>
        <v>999999</v>
      </c>
      <c r="P18" s="294">
        <f>VLOOKUP(G18,$CY$6:$DK$14,9,0)</f>
        <v>4</v>
      </c>
      <c r="Q18" s="294">
        <f>VLOOKUP(G18,$CY$6:$DK$14,10,0)</f>
        <v>16</v>
      </c>
      <c r="R18" s="294">
        <f>VLOOKUP(G18,$CY$6:$DK$14,11,0)</f>
        <v>3</v>
      </c>
      <c r="S18" s="294">
        <f>VLOOKUP(G18,$CY$6:$DK$14,12,0)</f>
        <v>10.199999999999999</v>
      </c>
      <c r="T18" s="212" t="str">
        <f t="shared" si="26"/>
        <v>&lt;=150</v>
      </c>
      <c r="U18" s="213" t="str">
        <f t="shared" si="27"/>
        <v>3,2/4</v>
      </c>
      <c r="V18" s="205">
        <f>VLOOKUP(G18,$CY$6:$DK$14,13,0)</f>
        <v>111</v>
      </c>
      <c r="W18" s="176" t="str">
        <f t="shared" si="15"/>
        <v>VRAI</v>
      </c>
      <c r="X18" s="162" t="b">
        <f t="shared" si="28"/>
        <v>0</v>
      </c>
      <c r="Y18" s="114" t="s">
        <v>17</v>
      </c>
      <c r="Z18" s="221">
        <f t="shared" si="29"/>
        <v>8</v>
      </c>
      <c r="AA18" s="221">
        <f t="shared" si="30"/>
        <v>8</v>
      </c>
      <c r="AB18" s="177" t="str">
        <f t="shared" si="31"/>
        <v>en angle</v>
      </c>
      <c r="AC18" s="318" t="str">
        <f t="shared" si="32"/>
        <v>en angle</v>
      </c>
      <c r="AD18" s="221" t="str">
        <f t="shared" si="33"/>
        <v>111/111</v>
      </c>
      <c r="AE18" s="221" t="str">
        <f t="shared" si="34"/>
        <v>non</v>
      </c>
      <c r="AF18" s="221" t="str">
        <f t="shared" si="35"/>
        <v>non</v>
      </c>
      <c r="AG18" s="221" t="str">
        <f t="shared" si="36"/>
        <v>PB</v>
      </c>
      <c r="AH18" s="221" t="str">
        <f t="shared" si="37"/>
        <v>monopasse</v>
      </c>
      <c r="AI18" s="166">
        <f t="shared" si="38"/>
        <v>48.3</v>
      </c>
      <c r="AJ18" s="221">
        <f t="shared" si="39"/>
        <v>8</v>
      </c>
      <c r="AK18" s="167">
        <f t="shared" si="40"/>
        <v>5.08</v>
      </c>
      <c r="AL18" s="167">
        <f t="shared" si="41"/>
        <v>3.2</v>
      </c>
      <c r="AM18" s="167" t="str">
        <f t="shared" si="42"/>
        <v>N/A</v>
      </c>
      <c r="AN18" s="332">
        <f t="shared" si="43"/>
        <v>3</v>
      </c>
      <c r="AO18" s="321">
        <f t="shared" si="0"/>
        <v>3</v>
      </c>
      <c r="AP18" s="333">
        <f t="shared" si="44"/>
        <v>16</v>
      </c>
      <c r="AQ18" s="321">
        <f t="shared" si="1"/>
        <v>16</v>
      </c>
      <c r="AR18" s="334">
        <f t="shared" si="45"/>
        <v>3</v>
      </c>
      <c r="AS18" s="335">
        <f t="shared" si="46"/>
        <v>10.16</v>
      </c>
      <c r="AT18" s="336">
        <f t="shared" si="47"/>
        <v>24.15</v>
      </c>
      <c r="AU18" s="336"/>
      <c r="AV18" s="329"/>
      <c r="AW18" s="173" t="str">
        <f t="shared" si="2"/>
        <v>VRAI</v>
      </c>
      <c r="AX18" s="173" t="str">
        <f t="shared" si="48"/>
        <v>VRAI</v>
      </c>
      <c r="AY18" s="173" t="str">
        <f t="shared" si="23"/>
        <v>VRAI</v>
      </c>
      <c r="AZ18" s="173" t="b">
        <f t="shared" si="49"/>
        <v>1</v>
      </c>
      <c r="BA18" s="237" t="str">
        <f>INDEX($DP$7:$DZ$18,DO26,EH6)</f>
        <v>8.8</v>
      </c>
      <c r="BB18" s="238" t="b">
        <f>AND(ISNUMBER(FIND($Z$11,$BA$11)),ISNUMBER(FIND("."&amp;$AA$11,$BA$11)))</f>
        <v>1</v>
      </c>
      <c r="BC18" s="176" t="str">
        <f t="shared" si="50"/>
        <v>VRAI</v>
      </c>
      <c r="BD18" s="266" t="str">
        <f>IF(AND($H$1&gt;=AO18,$H$1&lt;=AQ18,R18&lt;=AR18,S18&gt;=AS18),"VRAI")</f>
        <v>VRAI</v>
      </c>
      <c r="BE18" s="24" t="s">
        <v>30</v>
      </c>
      <c r="BF18" s="91"/>
      <c r="BG18" s="89" t="s">
        <v>5</v>
      </c>
      <c r="BH18" s="78"/>
      <c r="BI18" s="116"/>
      <c r="BJ18" s="101"/>
      <c r="BK18" s="102"/>
      <c r="BL18" s="99"/>
      <c r="BM18" s="99"/>
      <c r="BN18" s="103"/>
      <c r="BO18" s="78"/>
      <c r="BP18" s="92"/>
      <c r="BQ18" s="93"/>
      <c r="BR18" s="94"/>
      <c r="BS18" s="117"/>
      <c r="BT18" s="91"/>
      <c r="BU18" s="104"/>
      <c r="BV18" s="78"/>
      <c r="BW18" s="99"/>
      <c r="BX18" s="118"/>
      <c r="BY18" s="103"/>
      <c r="BZ18" s="99"/>
      <c r="CA18" s="99"/>
      <c r="CB18" s="103"/>
      <c r="CD18" s="3"/>
      <c r="CE18" s="2"/>
      <c r="CF18" s="13"/>
      <c r="CJ18" s="151"/>
      <c r="CK18" s="63"/>
      <c r="CL18" s="63"/>
      <c r="CM18" s="63"/>
      <c r="CN18" s="63"/>
      <c r="CO18" s="63"/>
      <c r="CP18" s="63"/>
      <c r="CQ18" s="63"/>
      <c r="CR18" s="63"/>
      <c r="CS18" s="63"/>
      <c r="CT18" s="66"/>
      <c r="CU18" s="66"/>
      <c r="CV18" s="66"/>
      <c r="CW18" s="152"/>
      <c r="CY18" s="26"/>
      <c r="CZ18" s="43"/>
      <c r="DA18" s="43" t="s">
        <v>183</v>
      </c>
      <c r="DB18" s="185"/>
      <c r="DC18" s="26"/>
      <c r="DD18" s="43"/>
      <c r="DE18" s="231"/>
      <c r="DF18" s="43"/>
      <c r="DG18" s="43"/>
      <c r="DH18" s="43"/>
      <c r="DI18" s="43"/>
      <c r="DJ18" s="43"/>
      <c r="DK18" s="43"/>
      <c r="DL18" s="19"/>
      <c r="DM18" s="19"/>
      <c r="DO18" s="234">
        <v>11</v>
      </c>
      <c r="DP18" s="236" t="s">
        <v>154</v>
      </c>
      <c r="DQ18" s="236" t="s">
        <v>155</v>
      </c>
      <c r="DR18" s="236" t="s">
        <v>156</v>
      </c>
      <c r="DS18" s="236" t="s">
        <v>157</v>
      </c>
      <c r="DT18" s="236" t="s">
        <v>158</v>
      </c>
      <c r="DU18" s="236" t="s">
        <v>159</v>
      </c>
      <c r="DV18" s="236" t="s">
        <v>160</v>
      </c>
      <c r="DW18" s="236" t="s">
        <v>161</v>
      </c>
      <c r="DX18" s="236" t="s">
        <v>162</v>
      </c>
      <c r="DY18" s="236" t="s">
        <v>163</v>
      </c>
      <c r="DZ18" s="236" t="s">
        <v>164</v>
      </c>
      <c r="EE18" s="288"/>
      <c r="EF18" s="19"/>
      <c r="EG18" s="43"/>
      <c r="EH18" s="43"/>
      <c r="EI18" s="19"/>
      <c r="EJ18" s="19"/>
      <c r="EK18" s="19"/>
      <c r="EL18" s="19"/>
      <c r="EM18" s="19"/>
      <c r="EN18" s="19"/>
      <c r="EO18" s="19"/>
      <c r="EP18" s="19"/>
    </row>
    <row r="19" spans="2:146" ht="28.05" hidden="1" customHeight="1">
      <c r="B19" s="410" t="s">
        <v>39</v>
      </c>
      <c r="C19" s="171"/>
      <c r="D19" s="171"/>
      <c r="E19" s="208">
        <v>26.7</v>
      </c>
      <c r="F19" s="157">
        <v>3.91</v>
      </c>
      <c r="G19" s="160" t="s">
        <v>88</v>
      </c>
      <c r="H19" s="161">
        <f>VLOOKUP(G19,$CY$5:$DK$11,2,0)</f>
        <v>8</v>
      </c>
      <c r="I19" s="161"/>
      <c r="J19" s="161"/>
      <c r="K19" s="177" t="s">
        <v>91</v>
      </c>
      <c r="L19" s="158" t="s">
        <v>66</v>
      </c>
      <c r="M19" s="155" t="s">
        <v>89</v>
      </c>
      <c r="N19" s="213">
        <v>8.6</v>
      </c>
      <c r="O19" s="172">
        <v>34.4</v>
      </c>
      <c r="P19" s="149">
        <v>1.82</v>
      </c>
      <c r="Q19" s="149">
        <v>5.2</v>
      </c>
      <c r="R19" s="149">
        <v>1.82</v>
      </c>
      <c r="S19" s="149">
        <v>5.2</v>
      </c>
      <c r="T19" s="79"/>
      <c r="U19" s="79"/>
      <c r="V19" s="79">
        <v>141</v>
      </c>
      <c r="W19" s="176" t="str">
        <f t="shared" si="15"/>
        <v>VRAI</v>
      </c>
      <c r="X19" s="162" t="str">
        <f>IF(AND(F19&gt;R19,F19&lt;S19),IF(AND(H1&gt;=P19,H1&lt;=Q19),"VRAI"))</f>
        <v>VRAI</v>
      </c>
      <c r="Y19" s="114" t="s">
        <v>35</v>
      </c>
      <c r="Z19" s="84">
        <f>VLOOKUP(Y19,CI6:CU12,12,0)</f>
        <v>8</v>
      </c>
      <c r="AA19" s="221">
        <f>VLOOKUP(Y19,$CI$6:$CU$12,12,0)</f>
        <v>8</v>
      </c>
      <c r="AB19" s="178" t="str">
        <f>VLOOKUP(Y19,CI6:CU12,9,0)</f>
        <v>Bout à bout pleine penetration</v>
      </c>
      <c r="AC19" s="319"/>
      <c r="AD19" s="83" t="str">
        <f>VLOOKUP(Y19,CI6:CU12,8,0)</f>
        <v>141/141</v>
      </c>
      <c r="AE19" s="84" t="str">
        <f>VLOOKUP(Y19,CI6:CU12,2,0)</f>
        <v>non</v>
      </c>
      <c r="AF19" s="84" t="str">
        <f>VLOOKUP(Y19,CI6:CU12,3,0)</f>
        <v>non</v>
      </c>
      <c r="AG19" s="84" t="str">
        <f>VLOOKUP(Y19,CI6:CU12,4,0)</f>
        <v>PF</v>
      </c>
      <c r="AH19" s="84" t="str">
        <f>VLOOKUP(Y19,CI6:CU12,10,0)</f>
        <v>multipasse</v>
      </c>
      <c r="AI19" s="85">
        <f>VLOOKUP(Y19,CI6:CU12,5,0)</f>
        <v>17.2</v>
      </c>
      <c r="AJ19" s="84">
        <f>VLOOKUP(Y19,CI6:CU12,6,0)</f>
        <v>3.2</v>
      </c>
      <c r="AK19" s="84">
        <f>VLOOKUP(Y19,CI6:CU12,7,0)</f>
        <v>3.2</v>
      </c>
      <c r="AL19" s="84">
        <f>VLOOKUP(Y19,CI6:CU12,11,0)</f>
        <v>1.6</v>
      </c>
      <c r="AM19" s="84"/>
      <c r="AN19" s="86">
        <f>IF(AJ19&lt;=3,0.7*AJ19,IF(AND(AJ19&lt;30,AJ19&gt;3),3,IF(AJ19&gt;=30,"&gt;=" &amp; 5)))</f>
        <v>3</v>
      </c>
      <c r="AO19" s="87">
        <f t="shared" si="0"/>
        <v>3</v>
      </c>
      <c r="AP19" s="87">
        <f>IF(AJ19&lt;=3,2*AJ19,IF(AND(AJ19&lt;30,AJ19&gt;3), 2*AJ19,IF(AJ19&gt;=30,"&gt;=" &amp; 5)))</f>
        <v>6.4</v>
      </c>
      <c r="AQ19" s="87">
        <f t="shared" si="18"/>
        <v>6.4</v>
      </c>
      <c r="AR19" s="86">
        <f>IF(AK19&lt;=3,0.7*AK19,IF(AND(AK19&lt;30,AK19&gt;3),3,IF(AK19&gt;=30,"&gt;=" &amp; 5)))</f>
        <v>3</v>
      </c>
      <c r="AS19" s="88">
        <f>IF(AK19&lt;=3,2*AK19,IF(AND(AK19&lt;30,AK19&gt;3),2*AK19,IF(AK19&gt;=30,"&gt;=" &amp; 5)))</f>
        <v>6.4</v>
      </c>
      <c r="AT19" s="222">
        <f t="shared" si="21"/>
        <v>8.6</v>
      </c>
      <c r="AU19" s="222"/>
      <c r="AV19" s="222"/>
      <c r="AW19" s="173" t="str">
        <f t="shared" si="22"/>
        <v>VRAI</v>
      </c>
      <c r="AX19" s="173" t="str">
        <f>IF(AND(AH19="monopasse",L19="monopasse"),"VRAI",IF(AND(AH19="multipasse",AF19="non",AE19="non",L19="monopasse"),"VRAI",IF(AND(AH19="multipasse",L19="multipasse"),"VRAI")))</f>
        <v>VRAI</v>
      </c>
      <c r="AY19" s="173" t="str">
        <f t="shared" si="23"/>
        <v>VRAI</v>
      </c>
      <c r="AZ19" s="174" t="str">
        <f t="shared" si="24"/>
        <v>VRAI</v>
      </c>
      <c r="BA19" s="237" t="str">
        <f>INDEX($DP$7:$DZ$18,DO29,EH6)</f>
        <v>8.8</v>
      </c>
      <c r="BB19" s="238" t="e">
        <f>IF(OR(#REF!=H19,#REF!=H19),"VRAI")</f>
        <v>#REF!</v>
      </c>
      <c r="BC19" s="175" t="str">
        <f t="shared" si="25"/>
        <v>VRAI</v>
      </c>
      <c r="BD19" s="168" t="b">
        <f>IF(AND(H1&gt;=AO19,H1&lt;AQ19,R19&lt;=AR19,S19&gt;=AS19),"VRAI")</f>
        <v>0</v>
      </c>
      <c r="BE19" s="115"/>
      <c r="BF19" s="91" t="s">
        <v>29</v>
      </c>
      <c r="BG19" s="89"/>
      <c r="BH19" s="78"/>
      <c r="BI19" s="119"/>
      <c r="BJ19" s="101"/>
      <c r="BK19" s="94"/>
      <c r="BL19" s="120"/>
      <c r="BM19" s="91"/>
      <c r="BN19" s="95"/>
      <c r="BO19" s="78"/>
      <c r="BP19" s="92"/>
      <c r="BQ19" s="93"/>
      <c r="BR19" s="94"/>
      <c r="BS19" s="117"/>
      <c r="BT19" s="91"/>
      <c r="BU19" s="95"/>
      <c r="BV19" s="78"/>
      <c r="BW19" s="91"/>
      <c r="BX19" s="113"/>
      <c r="BY19" s="95"/>
      <c r="BZ19" s="113"/>
      <c r="CA19" s="105"/>
      <c r="CB19" s="95"/>
      <c r="CC19" s="2" t="s">
        <v>8</v>
      </c>
      <c r="CD19" s="3" t="s">
        <v>5</v>
      </c>
      <c r="CE19" s="2" t="s">
        <v>18</v>
      </c>
      <c r="CF19" s="13" t="s">
        <v>5</v>
      </c>
      <c r="CJ19" s="151"/>
      <c r="CK19" s="63"/>
      <c r="CL19" s="63"/>
      <c r="CM19" s="63"/>
      <c r="CN19" s="63"/>
      <c r="CO19" s="63"/>
      <c r="CP19" s="63"/>
      <c r="CQ19" s="63"/>
      <c r="CR19" s="63"/>
      <c r="CS19" s="63"/>
      <c r="CT19" s="66"/>
      <c r="CU19" s="152"/>
      <c r="CY19" s="26"/>
      <c r="CZ19" s="43"/>
      <c r="DA19" s="43"/>
      <c r="DB19" s="185"/>
      <c r="DC19" s="26"/>
      <c r="DD19" s="43"/>
      <c r="DE19" s="231"/>
      <c r="DF19" s="43"/>
      <c r="DG19" s="43"/>
      <c r="DH19" s="43"/>
      <c r="DI19" s="43"/>
      <c r="DJ19" s="43"/>
      <c r="DK19" s="43"/>
      <c r="DL19" s="19"/>
      <c r="DM19" s="19"/>
      <c r="DO19" s="233">
        <f>MATCH(Z11,$DO$6:$DO$18)-1</f>
        <v>9</v>
      </c>
      <c r="EE19" s="256">
        <v>3</v>
      </c>
      <c r="EF19" s="251"/>
      <c r="EG19" s="247" t="s">
        <v>173</v>
      </c>
      <c r="EH19" s="247" t="s">
        <v>173</v>
      </c>
      <c r="EI19" s="245"/>
      <c r="EJ19" s="245"/>
      <c r="EK19" s="245"/>
      <c r="EL19" s="245"/>
      <c r="EM19" s="245"/>
      <c r="EN19" s="245"/>
      <c r="EO19" s="245"/>
      <c r="EP19" s="253"/>
    </row>
    <row r="20" spans="2:146" ht="28.05" hidden="1" customHeight="1" thickBot="1">
      <c r="B20" s="411"/>
      <c r="C20" s="71"/>
      <c r="D20" s="71"/>
      <c r="E20" s="209">
        <v>33.4</v>
      </c>
      <c r="F20" s="65">
        <v>4.55</v>
      </c>
      <c r="G20" s="160" t="s">
        <v>9</v>
      </c>
      <c r="H20" s="161">
        <f>VLOOKUP(G20,$CY$5:$DK$11,2,0)</f>
        <v>8</v>
      </c>
      <c r="I20" s="161"/>
      <c r="J20" s="161"/>
      <c r="K20" s="165" t="s">
        <v>63</v>
      </c>
      <c r="L20" s="158" t="s">
        <v>67</v>
      </c>
      <c r="M20" s="154" t="s">
        <v>55</v>
      </c>
      <c r="N20" s="212">
        <v>25</v>
      </c>
      <c r="O20" s="172">
        <v>999999</v>
      </c>
      <c r="P20" s="172">
        <v>4</v>
      </c>
      <c r="Q20" s="172">
        <v>16</v>
      </c>
      <c r="R20" s="172">
        <v>3</v>
      </c>
      <c r="S20" s="172">
        <v>10.199999999999999</v>
      </c>
      <c r="T20" s="43"/>
      <c r="U20" s="43"/>
      <c r="V20" s="43">
        <v>111</v>
      </c>
      <c r="W20" s="176" t="str">
        <f t="shared" si="15"/>
        <v>VRAI</v>
      </c>
      <c r="X20" s="162" t="str">
        <f>IF(AND(F20&gt;R20,F20&lt;S20),IF(AND(H1&gt;=P20,H1&lt;=Q20),"VRAI"))</f>
        <v>VRAI</v>
      </c>
      <c r="Y20" s="114" t="s">
        <v>17</v>
      </c>
      <c r="Z20" s="84">
        <f>VLOOKUP(Y20,CI6:CU12,12,0)</f>
        <v>8</v>
      </c>
      <c r="AA20" s="221">
        <f>VLOOKUP(Y20,$CI$6:$CU$12,12,0)</f>
        <v>8</v>
      </c>
      <c r="AB20" s="178" t="str">
        <f>VLOOKUP(Y20,CI6:CU12,9,0)</f>
        <v>en angle</v>
      </c>
      <c r="AC20" s="319"/>
      <c r="AD20" s="83" t="str">
        <f>VLOOKUP(Y20,CI6:CU12,8,0)</f>
        <v>111/111</v>
      </c>
      <c r="AE20" s="84" t="str">
        <f>VLOOKUP(Y20,CI6:CU12,2,0)</f>
        <v>non</v>
      </c>
      <c r="AF20" s="84" t="str">
        <f>VLOOKUP(Y20,CI6:CU12,3,0)</f>
        <v>non</v>
      </c>
      <c r="AG20" s="84" t="str">
        <f>VLOOKUP(Y20,CI6:CU12,4,0)</f>
        <v>PB</v>
      </c>
      <c r="AH20" s="84" t="str">
        <f>VLOOKUP(Y20,CI6:CU12,10,0)</f>
        <v>monopasse</v>
      </c>
      <c r="AI20" s="85">
        <f>VLOOKUP(Y20,CI6:CU12,5,0)</f>
        <v>48.3</v>
      </c>
      <c r="AJ20" s="84">
        <f>VLOOKUP(Y20,CI6:CU12,6,0)</f>
        <v>8</v>
      </c>
      <c r="AK20" s="84">
        <f>VLOOKUP(Y20,CI6:CU12,7,0)</f>
        <v>5.08</v>
      </c>
      <c r="AL20" s="84">
        <f>VLOOKUP(Y20,CI6:CU12,11,0)</f>
        <v>3.2</v>
      </c>
      <c r="AM20" s="84"/>
      <c r="AN20" s="86">
        <f>IF(AJ20&lt;=3,0.7*AJ20,IF(AND(AJ20&lt;30,AJ20&gt;3),3,IF(AJ20&gt;=30,"&gt;=" &amp; 5)))</f>
        <v>3</v>
      </c>
      <c r="AO20" s="87">
        <f t="shared" si="0"/>
        <v>3</v>
      </c>
      <c r="AP20" s="87">
        <f>IF(AJ20&lt;=3,2*AJ20,IF(AND(AJ20&lt;30,AJ20&gt;3), 2*AJ20,IF(AJ20&gt;=30,"&gt;=" &amp; 5)))</f>
        <v>16</v>
      </c>
      <c r="AQ20" s="87">
        <f t="shared" si="18"/>
        <v>16</v>
      </c>
      <c r="AR20" s="86">
        <f>IF(AK20&lt;=3,0.7*AK20,IF(AND(AK20&lt;30,AK20&gt;3),3,IF(AK20&gt;=30,"&gt;=" &amp; 5)))</f>
        <v>3</v>
      </c>
      <c r="AS20" s="88">
        <f>IF(AK20&lt;=3,2*AK20,IF(AND(AK20&lt;30,AK20&gt;3),2*AK20,IF(AK20&gt;=30,"&gt;=" &amp; 5)))</f>
        <v>10.16</v>
      </c>
      <c r="AT20" s="222">
        <f t="shared" si="21"/>
        <v>24.15</v>
      </c>
      <c r="AU20" s="222"/>
      <c r="AV20" s="222"/>
      <c r="AW20" s="173" t="str">
        <f t="shared" si="22"/>
        <v>VRAI</v>
      </c>
      <c r="AX20" s="173" t="str">
        <f>IF(AND(AH20="monopasse",L20="monopasse"),"VRAI",IF(AND(AH20="multipasse",AF20="non",AE20="non",L20="monopasse"),"VRAI",IF(AND(AH20="multipasse",L20="multipasse"),"VRAI")))</f>
        <v>VRAI</v>
      </c>
      <c r="AY20" s="173" t="str">
        <f t="shared" si="23"/>
        <v>VRAI</v>
      </c>
      <c r="AZ20" s="174" t="str">
        <f t="shared" si="24"/>
        <v>VRAI</v>
      </c>
      <c r="BA20" s="237" t="str">
        <f>INDEX($DP$7:$DZ$18,DO30,EI6)</f>
        <v>8.8</v>
      </c>
      <c r="BB20" s="238" t="e">
        <f>IF(OR(#REF!=H20,#REF!=H20),"VRAI")</f>
        <v>#REF!</v>
      </c>
      <c r="BC20" s="175" t="str">
        <f t="shared" si="25"/>
        <v>VRAI</v>
      </c>
      <c r="BD20" s="168" t="str">
        <f>IF(AND(H1&gt;=AO20,H1&lt;AQ20,R20&lt;=AR20,S20&gt;=AS20),"VRAI")</f>
        <v>VRAI</v>
      </c>
      <c r="BE20" s="115"/>
      <c r="BF20" s="91"/>
      <c r="BG20" s="89"/>
      <c r="BH20" s="78"/>
      <c r="BI20" s="119"/>
      <c r="BJ20" s="101"/>
      <c r="BK20" s="94"/>
      <c r="BL20" s="105"/>
      <c r="BM20" s="91"/>
      <c r="BN20" s="95"/>
      <c r="BO20" s="78"/>
      <c r="BP20" s="92"/>
      <c r="BQ20" s="93"/>
      <c r="BR20" s="94"/>
      <c r="BS20" s="117"/>
      <c r="BT20" s="91"/>
      <c r="BU20" s="95"/>
      <c r="BV20" s="78"/>
      <c r="BW20" s="91"/>
      <c r="BX20" s="113"/>
      <c r="BY20" s="95"/>
      <c r="BZ20" s="105"/>
      <c r="CA20" s="105"/>
      <c r="CB20" s="95"/>
      <c r="CC20" s="2"/>
      <c r="CD20" s="3"/>
      <c r="CE20" s="2"/>
      <c r="CF20" s="13"/>
      <c r="CJ20" s="151"/>
      <c r="CK20" s="63"/>
      <c r="CL20" s="63"/>
      <c r="CM20" s="63"/>
      <c r="CN20" s="63"/>
      <c r="CO20" s="63"/>
      <c r="CP20" s="63"/>
      <c r="CQ20" s="63"/>
      <c r="CR20" s="63"/>
      <c r="CS20" s="63"/>
      <c r="CT20" s="66"/>
      <c r="CU20" s="152"/>
      <c r="CY20" s="26"/>
      <c r="CZ20" s="43"/>
      <c r="DA20" s="43"/>
      <c r="DB20" s="185"/>
      <c r="DC20" s="26"/>
      <c r="DD20" s="43"/>
      <c r="DE20" s="231"/>
      <c r="DF20" s="43"/>
      <c r="DG20" s="43"/>
      <c r="DH20" s="43"/>
      <c r="DI20" s="43"/>
      <c r="DJ20" s="43"/>
      <c r="DK20" s="43"/>
      <c r="DL20" s="19"/>
      <c r="DM20" s="19"/>
      <c r="DO20" s="233">
        <f>MATCH(Z12,$DO$6:$DO$18)-1</f>
        <v>9</v>
      </c>
      <c r="EE20" s="257">
        <v>3</v>
      </c>
      <c r="EF20" s="252"/>
      <c r="EG20" s="249"/>
      <c r="EH20" s="249" t="s">
        <v>174</v>
      </c>
      <c r="EI20" s="248"/>
      <c r="EJ20" s="248"/>
      <c r="EK20" s="248"/>
      <c r="EL20" s="248"/>
      <c r="EM20" s="248"/>
      <c r="EN20" s="248"/>
      <c r="EO20" s="248"/>
      <c r="EP20" s="254"/>
    </row>
    <row r="21" spans="2:146" ht="28.05" hidden="1" customHeight="1" thickBot="1">
      <c r="B21" s="169" t="s">
        <v>1</v>
      </c>
      <c r="C21" s="170"/>
      <c r="D21" s="170"/>
      <c r="E21" s="208">
        <v>33.4</v>
      </c>
      <c r="F21" s="157">
        <v>4.55</v>
      </c>
      <c r="G21" s="160" t="s">
        <v>9</v>
      </c>
      <c r="H21" s="161">
        <f>VLOOKUP(G21,$CY$5:$DK$11,2,0)</f>
        <v>8</v>
      </c>
      <c r="I21" s="161"/>
      <c r="J21" s="161"/>
      <c r="K21" s="221" t="s">
        <v>63</v>
      </c>
      <c r="L21" s="158" t="s">
        <v>67</v>
      </c>
      <c r="M21" s="154" t="s">
        <v>55</v>
      </c>
      <c r="N21" s="212">
        <v>25</v>
      </c>
      <c r="O21" s="172">
        <v>999999</v>
      </c>
      <c r="P21" s="172">
        <v>4</v>
      </c>
      <c r="Q21" s="172">
        <v>16</v>
      </c>
      <c r="R21" s="172">
        <v>3</v>
      </c>
      <c r="S21" s="172">
        <v>10.199999999999999</v>
      </c>
      <c r="T21" s="205"/>
      <c r="U21" s="205"/>
      <c r="V21" s="79">
        <v>111</v>
      </c>
      <c r="W21" s="176" t="str">
        <f t="shared" si="15"/>
        <v>VRAI</v>
      </c>
      <c r="X21" s="162" t="str">
        <f>IF(AND(F21&gt;R21,F21&lt;S21),IF(AND(H1&gt;=P21,H1&lt;=Q21),"VRAI"))</f>
        <v>VRAI</v>
      </c>
      <c r="Y21" s="110" t="s">
        <v>17</v>
      </c>
      <c r="Z21" s="84">
        <f>VLOOKUP(Y21,CI6:CU12,12,0)</f>
        <v>8</v>
      </c>
      <c r="AA21" s="221">
        <f>VLOOKUP(Y21,$CI$6:$CU$12,12,0)</f>
        <v>8</v>
      </c>
      <c r="AB21" s="178" t="str">
        <f>VLOOKUP(Y21,CI6:CU12,9,0)</f>
        <v>en angle</v>
      </c>
      <c r="AC21" s="319"/>
      <c r="AD21" s="83" t="str">
        <f>VLOOKUP(Y21,CI6:CU12,8,0)</f>
        <v>111/111</v>
      </c>
      <c r="AE21" s="84" t="str">
        <f>VLOOKUP(Y21,CI6:CU12,2,0)</f>
        <v>non</v>
      </c>
      <c r="AF21" s="84" t="str">
        <f>VLOOKUP(Y21,CI6:CU12,3,0)</f>
        <v>non</v>
      </c>
      <c r="AG21" s="84" t="str">
        <f>VLOOKUP(Y21,CI6:CU12,4,0)</f>
        <v>PB</v>
      </c>
      <c r="AH21" s="84" t="str">
        <f>VLOOKUP(Y21,CI6:CU12,10,0)</f>
        <v>monopasse</v>
      </c>
      <c r="AI21" s="85">
        <f>VLOOKUP(Y21,CI6:CU12,5,0)</f>
        <v>48.3</v>
      </c>
      <c r="AJ21" s="84">
        <f>VLOOKUP(Y21,CI6:CU12,6,0)</f>
        <v>8</v>
      </c>
      <c r="AK21" s="84">
        <f>VLOOKUP(Y21,CI6:CU12,7,0)</f>
        <v>5.08</v>
      </c>
      <c r="AL21" s="84">
        <f>VLOOKUP(Y21,CI6:CU12,11,0)</f>
        <v>3.2</v>
      </c>
      <c r="AM21" s="84"/>
      <c r="AN21" s="86">
        <f t="shared" si="16"/>
        <v>3</v>
      </c>
      <c r="AO21" s="87">
        <f t="shared" si="0"/>
        <v>3</v>
      </c>
      <c r="AP21" s="87">
        <f t="shared" si="17"/>
        <v>16</v>
      </c>
      <c r="AQ21" s="87">
        <f t="shared" si="18"/>
        <v>16</v>
      </c>
      <c r="AR21" s="86">
        <f t="shared" si="19"/>
        <v>3</v>
      </c>
      <c r="AS21" s="88">
        <f t="shared" si="20"/>
        <v>10.16</v>
      </c>
      <c r="AT21" s="222">
        <f t="shared" si="21"/>
        <v>24.15</v>
      </c>
      <c r="AU21" s="222"/>
      <c r="AV21" s="222"/>
      <c r="AW21" s="173" t="str">
        <f t="shared" si="22"/>
        <v>VRAI</v>
      </c>
      <c r="AX21" s="173" t="str">
        <f>IF(AND(AH21="monopasse",L21="monopasse"),"VRAI",IF(AND(AH21="multipasse",AF21="non",AE21="non",L21="monopasse"),"VRAI",IF(AND(AH21="multipasse",L21="multipasse"),"VRAI")))</f>
        <v>VRAI</v>
      </c>
      <c r="AY21" s="173" t="str">
        <f t="shared" si="23"/>
        <v>VRAI</v>
      </c>
      <c r="AZ21" s="174" t="str">
        <f t="shared" si="24"/>
        <v>VRAI</v>
      </c>
      <c r="BA21" s="237" t="str">
        <f>INDEX($DP$7:$DZ$18,DO31,EJ6)</f>
        <v>8.8</v>
      </c>
      <c r="BB21" s="238" t="e">
        <f>IF(OR(#REF!=H21,#REF!=H21),"VRAI")</f>
        <v>#REF!</v>
      </c>
      <c r="BC21" s="175" t="str">
        <f t="shared" si="25"/>
        <v>VRAI</v>
      </c>
      <c r="BD21" s="168" t="str">
        <f>IF(AND(H1&gt;=AO21,H1&lt;AQ21,R21&lt;=AR21,S21&gt;=AS21),"VRAI")</f>
        <v>VRAI</v>
      </c>
      <c r="BE21" s="90"/>
      <c r="BF21" s="91" t="s">
        <v>29</v>
      </c>
      <c r="BG21" s="89"/>
      <c r="BH21" s="78"/>
      <c r="BI21" s="119"/>
      <c r="BJ21" s="93"/>
      <c r="BK21" s="94"/>
      <c r="BL21" s="92"/>
      <c r="BM21" s="92"/>
      <c r="BN21" s="95"/>
      <c r="BO21" s="78"/>
      <c r="BP21" s="121"/>
      <c r="BQ21" s="122"/>
      <c r="BR21" s="94"/>
      <c r="BS21" s="122"/>
      <c r="BT21" s="91"/>
      <c r="BU21" s="123"/>
      <c r="BV21" s="78"/>
      <c r="BW21" s="78"/>
      <c r="BX21" s="124"/>
      <c r="BY21" s="108"/>
      <c r="BZ21" s="78"/>
      <c r="CA21" s="78"/>
      <c r="CB21" s="108"/>
      <c r="CC21" t="s">
        <v>8</v>
      </c>
      <c r="CD21" s="3" t="s">
        <v>5</v>
      </c>
      <c r="CE21" s="2" t="s">
        <v>18</v>
      </c>
      <c r="CF21" s="13" t="s">
        <v>5</v>
      </c>
      <c r="CJ21" s="151"/>
      <c r="CK21" s="63"/>
      <c r="CL21" s="63"/>
      <c r="CM21" s="63"/>
      <c r="CN21" s="63"/>
      <c r="CO21" s="63"/>
      <c r="CP21" s="63"/>
      <c r="CQ21" s="63"/>
      <c r="CR21" s="63"/>
      <c r="CS21" s="63"/>
      <c r="CT21" s="66"/>
      <c r="CU21" s="152"/>
      <c r="CY21" s="26"/>
      <c r="CZ21" s="43"/>
      <c r="DA21" s="43"/>
      <c r="DB21" s="185"/>
      <c r="DC21" s="26"/>
      <c r="DD21" s="43"/>
      <c r="DE21" s="231"/>
      <c r="DF21" s="43"/>
      <c r="DG21" s="43"/>
      <c r="DH21" s="43"/>
      <c r="DI21" s="43"/>
      <c r="DJ21" s="43"/>
      <c r="DK21" s="43"/>
      <c r="DL21" s="19"/>
      <c r="DM21" s="19"/>
      <c r="DO21" s="233">
        <f>MATCH(Z13,$DO$6:$DO$18)-1</f>
        <v>9</v>
      </c>
      <c r="EE21" s="255">
        <v>4</v>
      </c>
      <c r="EF21" s="284" t="s">
        <v>107</v>
      </c>
      <c r="EG21" s="269" t="s">
        <v>108</v>
      </c>
      <c r="EH21" s="269" t="s">
        <v>107</v>
      </c>
      <c r="EI21" s="269" t="s">
        <v>107</v>
      </c>
      <c r="EJ21" s="285"/>
      <c r="EK21" s="285"/>
      <c r="EL21" s="285"/>
      <c r="EM21" s="285"/>
      <c r="EN21" s="285"/>
      <c r="EO21" s="285"/>
      <c r="EP21" s="286"/>
    </row>
    <row r="22" spans="2:146" ht="43.8" customHeight="1">
      <c r="B22" s="410" t="s">
        <v>39</v>
      </c>
      <c r="C22" s="278" t="s">
        <v>181</v>
      </c>
      <c r="D22" s="164" t="s">
        <v>59</v>
      </c>
      <c r="E22" s="208">
        <v>26.7</v>
      </c>
      <c r="F22" s="157">
        <v>3.91</v>
      </c>
      <c r="G22" s="160" t="s">
        <v>88</v>
      </c>
      <c r="H22" s="161">
        <f>VLOOKUP(G22,$CY$6:$DK$14,2,0)</f>
        <v>8</v>
      </c>
      <c r="I22" s="161">
        <f>VLOOKUP(G22,$CY$6:$DK$14,3,0)</f>
        <v>8</v>
      </c>
      <c r="J22" s="161"/>
      <c r="K22" s="177" t="str">
        <f>VLOOKUP(G22,$CY$6:$DK$14,4,0)</f>
        <v>en angle et bout à bout penetration partielle</v>
      </c>
      <c r="L22" s="158" t="str">
        <f>+VLOOKUP(G22,$CY$6:$DK$14,5,0)</f>
        <v>multipasse</v>
      </c>
      <c r="M22" s="161" t="str">
        <f>VLOOKUP(G22,$CY$6:$DK$14,6,0)</f>
        <v>PA + PB</v>
      </c>
      <c r="N22" s="224">
        <f>VLOOKUP(G22,$CY$6:$DK$14,7,0)</f>
        <v>8.6</v>
      </c>
      <c r="O22" s="294">
        <f>VLOOKUP(G22,$CY$6:$DK$14,8,0)</f>
        <v>34.4</v>
      </c>
      <c r="P22" s="294">
        <f>VLOOKUP(G22,$CY$6:$DK$14,9,0)</f>
        <v>1.82</v>
      </c>
      <c r="Q22" s="294">
        <f>VLOOKUP(G22,$CY$6:$DK$14,10,0)</f>
        <v>5.2</v>
      </c>
      <c r="R22" s="294">
        <f>VLOOKUP(G22,$CY$6:$DK$14,11,0)</f>
        <v>1.82</v>
      </c>
      <c r="S22" s="294">
        <f>VLOOKUP(G22,$CY$6:$DK$14,12,0)</f>
        <v>5.2</v>
      </c>
      <c r="T22" s="212" t="str">
        <f t="shared" ref="T22:T26" si="51">VLOOKUP(G22,$CY$6:$DM$14,15,0)</f>
        <v>&lt;=100</v>
      </c>
      <c r="U22" s="212" t="str">
        <f t="shared" ref="U22:U26" si="52">VLOOKUP(G22,$CY$6:$DL$14,14,0)</f>
        <v>1,6/2</v>
      </c>
      <c r="V22" s="205">
        <f>VLOOKUP(G22,$CY$6:$DK$14,13,0)</f>
        <v>141</v>
      </c>
      <c r="W22" s="176" t="str">
        <f t="shared" si="15"/>
        <v>VRAI</v>
      </c>
      <c r="X22" s="162" t="str">
        <f t="shared" ref="X22:X26" si="53">IF(AND(F22&gt;=P22,F22&lt;=Q22),IF(AND(F22&gt;=P22,F22&lt;=Q22),"VRAI"))</f>
        <v>VRAI</v>
      </c>
      <c r="Y22" s="114" t="s">
        <v>35</v>
      </c>
      <c r="Z22" s="221">
        <f t="shared" ref="Z22:Z26" si="54">VLOOKUP(Y22,$CI$6:$CU$14,12,0)</f>
        <v>8</v>
      </c>
      <c r="AA22" s="221">
        <f t="shared" ref="AA22:AA26" si="55">VLOOKUP(Y22,$CI$6:$CU$14,13,0)</f>
        <v>8</v>
      </c>
      <c r="AB22" s="177" t="str">
        <f t="shared" ref="AB22:AB26" si="56">VLOOKUP(Y22,$CI$6:$CU$14,9,0)</f>
        <v>Bout à bout pleine penetration</v>
      </c>
      <c r="AC22" s="318" t="str">
        <f t="shared" ref="AC22:AC26" si="57">LEFT(AB22,11)</f>
        <v>Bout à bout</v>
      </c>
      <c r="AD22" s="221" t="str">
        <f t="shared" ref="AD22:AD26" si="58">VLOOKUP(Y22,$CI$6:$CU$14,8,0)</f>
        <v>141/141</v>
      </c>
      <c r="AE22" s="221" t="str">
        <f t="shared" ref="AE22:AE26" si="59">VLOOKUP(Y22,$CI$6:$CU$14,2,0)</f>
        <v>non</v>
      </c>
      <c r="AF22" s="221" t="str">
        <f t="shared" ref="AF22:AF26" si="60">VLOOKUP(Y22,$CI$6:$CU$14,3,0)</f>
        <v>non</v>
      </c>
      <c r="AG22" s="221" t="str">
        <f t="shared" ref="AG22:AG26" si="61">VLOOKUP(Y22,$CI$6:$CU$14,4,0)</f>
        <v>PF</v>
      </c>
      <c r="AH22" s="221" t="str">
        <f t="shared" ref="AH22:AH26" si="62">VLOOKUP(Y22,$CI$6:$CU$14,10,0)</f>
        <v>multipasse</v>
      </c>
      <c r="AI22" s="166">
        <f t="shared" ref="AI22:AI26" si="63">VLOOKUP(Y22,$CI$6:$CU$14,5,0)</f>
        <v>17.2</v>
      </c>
      <c r="AJ22" s="221">
        <f t="shared" ref="AJ22:AJ26" si="64">VLOOKUP(Y22,$CI$6:$CU$14,6,0)</f>
        <v>3.2</v>
      </c>
      <c r="AK22" s="167">
        <f t="shared" ref="AK22:AK26" si="65">VLOOKUP(Y22,$CI$6:$CU$14,7,0)</f>
        <v>3.2</v>
      </c>
      <c r="AL22" s="167">
        <f t="shared" ref="AL22:AL26" si="66">VLOOKUP(Y22,$CI$6:$CU$14,11,0)</f>
        <v>1.6</v>
      </c>
      <c r="AM22" s="167">
        <f t="shared" ref="AM22:AM26" si="67">VLOOKUP(Y22,$CI$6:$CV$14,14,0)</f>
        <v>100</v>
      </c>
      <c r="AN22" s="332">
        <f t="shared" ref="AN22:AN26" si="68">IF(AND(AJ22&lt;=3,AB22="en angle"),0.7*AJ22,IF(AND(AJ22&lt;30,AJ22&gt;3,AB22="en angle"),3,IF(AND(AJ22&gt;=30,AB22="en angle"),"&gt;="&amp;5,IF(AND(AC22="Bout à bout",AJ22&lt;=3),0.5*AJ22,IF(AND(AC22="Bout à bout",AJ22&gt;3,AJ22&lt;=12,AH22="monopasse"),0.5*AJ22,IF(AND(AC22="Bout à bout",AJ22&gt;3,AJ22&lt;=12,AH22="multipasse"),3))))))</f>
        <v>3</v>
      </c>
      <c r="AO22" s="321">
        <f t="shared" si="0"/>
        <v>3</v>
      </c>
      <c r="AP22" s="333">
        <f t="shared" ref="AP22:AP26" si="69">IF(AND(AJ22&lt;=3,AB22="en angle"),2*AJ22,IF(AND(AJ22&lt;30,AJ22&gt;3,AB22="en angle"),2*AJ22,IF(AND(AJ22&gt;=30,AB22="en angle"),"&gt;="&amp;5,IF(AND(AC22="Bout à bout",AJ22&gt;3,AJ22&lt;=12,AH22="monopasse"),1.3*AJ22,IF(AND(AC22="Bout à bout",AJ22&gt;3,AJ22&lt;=12,AH22="multipasse"),2*AJ22,IF(AND(AC22="Bout à bout",AJ22&lt;=3),2*AJ22))))))</f>
        <v>6.4</v>
      </c>
      <c r="AQ22" s="321">
        <f t="shared" ref="AQ22:AQ26" si="70">IF(AP22="&gt;=5",5,AP22)</f>
        <v>6.4</v>
      </c>
      <c r="AR22" s="334">
        <f t="shared" ref="AR22:AR26" si="71">IF(AND(AK22&lt;=3,AB22="en angle"),0.7*AK22,IF(AND(AK22&lt;30,AK22&gt;3,AB22="en angle"),3,IF(AND(AK22&gt;=30,AB22="en angle"),"&gt;="&amp;5,IF(AND(AC22="Bout à bout",AJ22&lt;=3),0.5*AK22,IF(AND(AC22="Bout à bout",AK22&gt;3,AK22&lt;=12,AH22="monopasse"),0.5*AK22,IF(AND(AC22="Bout à bout",AK22&gt;3,AK22&lt;=12,AH22="multipasse"),3))))))</f>
        <v>3</v>
      </c>
      <c r="AS22" s="335">
        <f t="shared" ref="AS22:AS26" si="72">IF(AND(AK22&lt;=3,AB22="en angle"),2*AK22,IF(AND(AK22&lt;30,AK22&gt;3,AB22="en angle"),2*AK22,IF(AND(AK22&gt;=30,AB22="en angle"),"&gt;="&amp;5,IF(AND(AC22="Bout à bout",AK22&gt;3,AK22&lt;=12,AH22="monopasse"),1.3*AK22,IF(AND(AC22="Bout à bout",AK22&gt;3,AK22&lt;=12,AH22="multipasse"),2*AK22,IF(AND(AC22="Bout à bout",AK22&lt;=3),2*AK22))))))</f>
        <v>6.4</v>
      </c>
      <c r="AT22" s="336">
        <f t="shared" ref="AT22:AT26" si="73">IF(AI22="N/A","",AI22/2)</f>
        <v>8.6</v>
      </c>
      <c r="AU22" s="336"/>
      <c r="AV22" s="329"/>
      <c r="AW22" s="173" t="str">
        <f t="shared" ref="AW22:AW26" si="74">IF(AND(AB22="en angle",K22="en angle"),"VRAI",IF(AND(AB22="Bout à bout pleine penetration",K22="en angle"),"VRAI",IF(AND(AB22="Bout à bout pleine penetration",K22="Bout à bout pleine penetration"),"VRAI",IF(AND(AB22="Bout à bout pleine penetration",K22="Bout à bout penetration partielle"),"VRAI",IF(AND(AB22="Bout à bout pleine penetration",K22="piquage angle &gt;=60°"),"VRAI",IF(AND(AB22="Bout à bout penetration partielle",K22="piquage angle &gt;=60°"),"VRAI",IF(AND(AB22="bout à bout pleine penetration",K22="en angle et bout à bout penetration partielle"),"VRAI",IF(AND(AB22="en angle",K22="en angle et bout à bout penetration partielle"),"VRAI"))))))))</f>
        <v>VRAI</v>
      </c>
      <c r="AX22" s="173" t="str">
        <f t="shared" ref="AX22:AX26" si="75">IF(AND(AH22="monopasse",L22="monopasse"),"VRAI",IF(AND(AH22="multipasse",AF22="non",AE22="non",L22="monopasse"),"VRAI",IF(AND(AH22="multipasse",L22="multipasse"),"VRAI",IF(AND(AH22="monopasse de chaque coté",L22="monopasse de chaque coté"),"VRAI"))))</f>
        <v>VRAI</v>
      </c>
      <c r="AY22" s="173" t="str">
        <f>IF(OR(VALUE(MID(AD22,5,4))=V22,VALUE(MID(AD22,1,3))=V22,AD22=V22),"VRAI")</f>
        <v>VRAI</v>
      </c>
      <c r="AZ22" s="173" t="b">
        <f t="shared" ref="AZ22:AZ26" si="76">OR(IFERROR(RIGHT(AL22,LEN(AL22)-FIND("/",AL22&amp;"/")),FIXED(AL22,0))=IFERROR(RIGHT(U22,LEN(U22)-FIND("/",U22&amp;"/")),FIXED(U22,0)),IFERROR(LEFT(AL22,FIND("/",AL22&amp;"/")-1),FIXED(AL22,0))=IFERROR(LEFT(U22,FIND("/",U22&amp;"/")-1),FIXED(U22,0)),IFERROR(RIGHT(AL22,LEN(AL22)-FIND("/",AL22&amp;"/")),FIXED(AL22,0))=IFERROR(LEFT(U22,FIND("/",U22&amp;"/")-1),FIXED(U22,0)),IFERROR(LEFT(AL22,FIND("/",AL22&amp;"/")-1),FIXED(AL22,0))=IFERROR(RIGHT(U22,LEN(U22)-FIND("/",U22&amp;"/")),FIXED(U22,0)),IF(AND(AE22="non",AF22="non"),"VRAI"),IF(AND(AE22="oui",AF22="non"),"VRAI"),IF(AND(AE22="non",AF22="oui"),"VRAI"))</f>
        <v>1</v>
      </c>
      <c r="BA22" s="237" t="str">
        <f>INDEX($DP$7:$DZ$18,DO27,EI6)</f>
        <v>8.8</v>
      </c>
      <c r="BB22" s="238" t="b">
        <f>AND(ISNUMBER(FIND($Z$11,$BA$11)),ISNUMBER(FIND("."&amp;$AA$11,$BA$11)))</f>
        <v>1</v>
      </c>
      <c r="BC22" s="176" t="str">
        <f t="shared" ref="BC22:BC26" si="77">IF(OR(AF22="non",AE22="non"),"VRAI",IF(AND(AF22="oui",AE22="non",AU22="tube",AG22="PH"),"VRAI",IF(AND(AF22="oui",AE22="non",AU22="tube",AG22="HL045"),"VRAI",IF(AND(AF22="oui",AE22="non",AU22="tube",AG22="PA"),"VRAI",IF(AND(AF22="oui",AE22="non",AU22="tole",AG22="PA"),"VRAI",IF(AND(AF22="oui",AE22="non",AU22="tole",AG22="PF"),"VRAI",IF(AND(AF22="non",AE22="oui",AU22="tole",AG22="PE"),"VRAI",IF(AND(AF22="non",AE22="oui",AU22="tole",AG22="PC"),"VRAI",IF(AND(AF22="non",AE22="oui",AU22="tole",AG22="PG"),"VRAI",IF(AND(AF22="non",AE22="oui",AU22="tube",AG22="PH"),"VRAI",IF(AND(AF22="non",AE22="oui",AU22="tube",AG22="HL045"),"VRAI",IF(AND(AF22="non",AE22="oui",AU22="tube",AG22="PC"),"VRAI",IF(AND(AF22="non",AE22="oui",AU22="tube",AG22="PJ"),"VRAI")))))))))))))</f>
        <v>VRAI</v>
      </c>
      <c r="BD22" s="266" t="b">
        <f>IF(AND($H$1&gt;=AO22,$H$1&lt;=AQ22,R22&lt;=AR22,S22&gt;=AS22),"VRAI")</f>
        <v>0</v>
      </c>
      <c r="BE22" s="56"/>
      <c r="BF22" s="91"/>
      <c r="BG22" s="89"/>
      <c r="BH22" s="78"/>
      <c r="BI22" s="119"/>
      <c r="BJ22" s="93"/>
      <c r="BK22" s="94"/>
      <c r="BL22" s="92"/>
      <c r="BM22" s="92"/>
      <c r="BN22" s="95"/>
      <c r="BO22" s="78"/>
      <c r="BP22" s="121"/>
      <c r="BQ22" s="122"/>
      <c r="BR22" s="94"/>
      <c r="BS22" s="122"/>
      <c r="BT22" s="91"/>
      <c r="BU22" s="123"/>
      <c r="BV22" s="78"/>
      <c r="BW22" s="78"/>
      <c r="BX22" s="124"/>
      <c r="BY22" s="108"/>
      <c r="BZ22" s="78"/>
      <c r="CA22" s="78"/>
      <c r="CB22" s="108"/>
      <c r="CD22" s="3"/>
      <c r="CE22" s="2"/>
      <c r="CF22" s="13"/>
      <c r="CJ22" s="151"/>
      <c r="CK22" s="63"/>
      <c r="CL22" s="63"/>
      <c r="CM22" s="63"/>
      <c r="CN22" s="63"/>
      <c r="CO22" s="63"/>
      <c r="CP22" s="63"/>
      <c r="CQ22" s="63"/>
      <c r="CR22" s="63"/>
      <c r="CS22" s="63"/>
      <c r="CT22" s="66"/>
      <c r="CU22" s="66"/>
      <c r="CV22" s="66"/>
      <c r="CW22" s="152"/>
      <c r="CY22" s="26"/>
      <c r="CZ22" s="43"/>
      <c r="DA22" s="43"/>
      <c r="DB22" s="185"/>
      <c r="DC22" s="26"/>
      <c r="DD22" s="43"/>
      <c r="DE22" s="231"/>
      <c r="DF22" s="43"/>
      <c r="DG22" s="43"/>
      <c r="DH22" s="43"/>
      <c r="DI22" s="43"/>
      <c r="DJ22" s="43"/>
      <c r="DK22" s="43"/>
      <c r="DL22" s="19"/>
      <c r="DM22" s="19"/>
      <c r="DO22" s="233">
        <f>MATCH(Z15,$DO$6:$DO$18)-1</f>
        <v>10</v>
      </c>
      <c r="EE22" s="288"/>
      <c r="EF22" s="268"/>
      <c r="EG22" s="268"/>
      <c r="EH22" s="268"/>
      <c r="EI22" s="268"/>
      <c r="EJ22" s="287"/>
      <c r="EK22" s="287"/>
      <c r="EL22" s="287"/>
      <c r="EM22" s="287"/>
      <c r="EN22" s="287"/>
      <c r="EO22" s="287"/>
      <c r="EP22" s="287"/>
    </row>
    <row r="23" spans="2:146" ht="43.8" customHeight="1">
      <c r="B23" s="411"/>
      <c r="C23" s="278" t="s">
        <v>181</v>
      </c>
      <c r="D23" s="164" t="s">
        <v>59</v>
      </c>
      <c r="E23" s="208">
        <v>26.7</v>
      </c>
      <c r="F23" s="157">
        <v>3.91</v>
      </c>
      <c r="G23" s="160" t="s">
        <v>9</v>
      </c>
      <c r="H23" s="161">
        <f>VLOOKUP(G23,$CY$6:$DK$14,2,0)</f>
        <v>8</v>
      </c>
      <c r="I23" s="161">
        <f>VLOOKUP(G23,$CY$6:$DK$14,3,0)</f>
        <v>8</v>
      </c>
      <c r="J23" s="161"/>
      <c r="K23" s="177" t="str">
        <f>VLOOKUP(G23,$CY$6:$DK$14,4,0)</f>
        <v>en angle</v>
      </c>
      <c r="L23" s="158" t="str">
        <f>+VLOOKUP(G23,$CY$6:$DK$14,5,0)</f>
        <v>monopasse</v>
      </c>
      <c r="M23" s="161" t="str">
        <f>VLOOKUP(G23,$CY$6:$DK$14,6,0)</f>
        <v>PB</v>
      </c>
      <c r="N23" s="224">
        <f>VLOOKUP(G23,$CY$6:$DK$14,7,0)</f>
        <v>25</v>
      </c>
      <c r="O23" s="294">
        <f>VLOOKUP(G23,$CY$6:$DK$14,8,0)</f>
        <v>999999</v>
      </c>
      <c r="P23" s="294">
        <f>VLOOKUP(G23,$CY$6:$DK$14,9,0)</f>
        <v>4</v>
      </c>
      <c r="Q23" s="294">
        <f>VLOOKUP(G23,$CY$6:$DK$14,10,0)</f>
        <v>16</v>
      </c>
      <c r="R23" s="294">
        <f>VLOOKUP(G23,$CY$6:$DK$14,11,0)</f>
        <v>3</v>
      </c>
      <c r="S23" s="294">
        <f>VLOOKUP(G23,$CY$6:$DK$14,12,0)</f>
        <v>10.199999999999999</v>
      </c>
      <c r="T23" s="212" t="str">
        <f t="shared" si="51"/>
        <v>&lt;=150</v>
      </c>
      <c r="U23" s="212" t="str">
        <f t="shared" si="52"/>
        <v>3,2/4</v>
      </c>
      <c r="V23" s="205">
        <f>VLOOKUP(G23,$CY$6:$DK$14,13,0)</f>
        <v>111</v>
      </c>
      <c r="W23" s="176" t="str">
        <f t="shared" si="15"/>
        <v>VRAI</v>
      </c>
      <c r="X23" s="162" t="b">
        <f t="shared" si="53"/>
        <v>0</v>
      </c>
      <c r="Y23" s="114" t="s">
        <v>17</v>
      </c>
      <c r="Z23" s="221">
        <f t="shared" si="54"/>
        <v>8</v>
      </c>
      <c r="AA23" s="221">
        <f t="shared" si="55"/>
        <v>8</v>
      </c>
      <c r="AB23" s="177" t="str">
        <f t="shared" si="56"/>
        <v>en angle</v>
      </c>
      <c r="AC23" s="318" t="str">
        <f t="shared" si="57"/>
        <v>en angle</v>
      </c>
      <c r="AD23" s="221" t="str">
        <f t="shared" si="58"/>
        <v>111/111</v>
      </c>
      <c r="AE23" s="221" t="str">
        <f t="shared" si="59"/>
        <v>non</v>
      </c>
      <c r="AF23" s="221" t="str">
        <f t="shared" si="60"/>
        <v>non</v>
      </c>
      <c r="AG23" s="221" t="str">
        <f t="shared" si="61"/>
        <v>PB</v>
      </c>
      <c r="AH23" s="221" t="str">
        <f t="shared" si="62"/>
        <v>monopasse</v>
      </c>
      <c r="AI23" s="166">
        <f t="shared" si="63"/>
        <v>48.3</v>
      </c>
      <c r="AJ23" s="221">
        <f t="shared" si="64"/>
        <v>8</v>
      </c>
      <c r="AK23" s="167">
        <f t="shared" si="65"/>
        <v>5.08</v>
      </c>
      <c r="AL23" s="167">
        <f t="shared" si="66"/>
        <v>3.2</v>
      </c>
      <c r="AM23" s="167" t="str">
        <f t="shared" si="67"/>
        <v>N/A</v>
      </c>
      <c r="AN23" s="332">
        <f t="shared" si="68"/>
        <v>3</v>
      </c>
      <c r="AO23" s="321">
        <f t="shared" si="0"/>
        <v>3</v>
      </c>
      <c r="AP23" s="333">
        <f t="shared" si="69"/>
        <v>16</v>
      </c>
      <c r="AQ23" s="321">
        <f t="shared" si="70"/>
        <v>16</v>
      </c>
      <c r="AR23" s="334">
        <f t="shared" si="71"/>
        <v>3</v>
      </c>
      <c r="AS23" s="335">
        <f t="shared" si="72"/>
        <v>10.16</v>
      </c>
      <c r="AT23" s="336">
        <f t="shared" si="73"/>
        <v>24.15</v>
      </c>
      <c r="AU23" s="336"/>
      <c r="AV23" s="329"/>
      <c r="AW23" s="173" t="str">
        <f t="shared" si="74"/>
        <v>VRAI</v>
      </c>
      <c r="AX23" s="173" t="str">
        <f t="shared" si="75"/>
        <v>VRAI</v>
      </c>
      <c r="AY23" s="173" t="str">
        <f t="shared" si="23"/>
        <v>VRAI</v>
      </c>
      <c r="AZ23" s="173" t="b">
        <f t="shared" si="76"/>
        <v>1</v>
      </c>
      <c r="BA23" s="237" t="str">
        <f>INDEX($DP$7:$DZ$18,DO28,EJ6)</f>
        <v>8.8</v>
      </c>
      <c r="BB23" s="238" t="b">
        <f>AND(ISNUMBER(FIND($Z$11,$BA$11)),ISNUMBER(FIND("."&amp;$AA$11,$BA$11)))</f>
        <v>1</v>
      </c>
      <c r="BC23" s="176" t="str">
        <f t="shared" si="77"/>
        <v>VRAI</v>
      </c>
      <c r="BD23" s="266" t="str">
        <f>IF(AND($H$1&gt;=AO23,$H$1&lt;=AQ23,R23&lt;=AR23,S23&gt;=AS23),"VRAI")</f>
        <v>VRAI</v>
      </c>
      <c r="BE23" s="56"/>
      <c r="BF23" s="91"/>
      <c r="BG23" s="89"/>
      <c r="BH23" s="78"/>
      <c r="BI23" s="119"/>
      <c r="BJ23" s="93"/>
      <c r="BK23" s="94"/>
      <c r="BL23" s="92"/>
      <c r="BM23" s="92"/>
      <c r="BN23" s="95"/>
      <c r="BO23" s="78"/>
      <c r="BP23" s="121"/>
      <c r="BQ23" s="122"/>
      <c r="BR23" s="94"/>
      <c r="BS23" s="122"/>
      <c r="BT23" s="91"/>
      <c r="BU23" s="123"/>
      <c r="BV23" s="78"/>
      <c r="BW23" s="78"/>
      <c r="BX23" s="124"/>
      <c r="BY23" s="108"/>
      <c r="BZ23" s="78"/>
      <c r="CA23" s="78"/>
      <c r="CB23" s="108"/>
      <c r="CD23" s="3"/>
      <c r="CE23" s="2"/>
      <c r="CF23" s="13"/>
      <c r="CJ23" s="151"/>
      <c r="CK23" s="63"/>
      <c r="CL23" s="63"/>
      <c r="CM23" s="63"/>
      <c r="CN23" s="63"/>
      <c r="CO23" s="63"/>
      <c r="CP23" s="63"/>
      <c r="CQ23" s="63"/>
      <c r="CR23" s="63"/>
      <c r="CS23" s="63"/>
      <c r="CT23" s="66"/>
      <c r="CU23" s="66"/>
      <c r="CV23" s="66"/>
      <c r="CW23" s="152"/>
      <c r="CY23" s="26"/>
      <c r="CZ23" s="43"/>
      <c r="DA23" s="43"/>
      <c r="DB23" s="185"/>
      <c r="DC23" s="26"/>
      <c r="DD23" s="43"/>
      <c r="DE23" s="231"/>
      <c r="DF23" s="43"/>
      <c r="DG23" s="43"/>
      <c r="DH23" s="43"/>
      <c r="DI23" s="43"/>
      <c r="DJ23" s="43"/>
      <c r="DK23" s="43"/>
      <c r="DL23" s="19"/>
      <c r="DM23" s="19"/>
      <c r="DO23" s="233">
        <f t="shared" ref="DO23:DO26" si="78">MATCH(Z16,$DO$6:$DO$18)-1</f>
        <v>9</v>
      </c>
      <c r="EE23" s="288"/>
      <c r="EF23" s="268"/>
      <c r="EG23" s="268"/>
      <c r="EH23" s="268"/>
      <c r="EI23" s="268"/>
      <c r="EJ23" s="287"/>
      <c r="EK23" s="287"/>
      <c r="EL23" s="287"/>
      <c r="EM23" s="287"/>
      <c r="EN23" s="287"/>
      <c r="EO23" s="287"/>
      <c r="EP23" s="287"/>
    </row>
    <row r="24" spans="2:146" ht="45.6" customHeight="1">
      <c r="B24" s="274" t="s">
        <v>1</v>
      </c>
      <c r="C24" s="278" t="s">
        <v>181</v>
      </c>
      <c r="D24" s="164" t="s">
        <v>59</v>
      </c>
      <c r="E24" s="209">
        <v>33.4</v>
      </c>
      <c r="F24" s="65">
        <v>4.55</v>
      </c>
      <c r="G24" s="160" t="s">
        <v>9</v>
      </c>
      <c r="H24" s="161">
        <f>VLOOKUP(G24,$CY$6:$DK$14,2,0)</f>
        <v>8</v>
      </c>
      <c r="I24" s="161">
        <f>VLOOKUP(G24,$CY$6:$DK$14,3,0)</f>
        <v>8</v>
      </c>
      <c r="J24" s="161"/>
      <c r="K24" s="177" t="str">
        <f>VLOOKUP(G24,$CY$6:$DK$14,4,0)</f>
        <v>en angle</v>
      </c>
      <c r="L24" s="158" t="str">
        <f>+VLOOKUP(G24,$CY$6:$DK$14,5,0)</f>
        <v>monopasse</v>
      </c>
      <c r="M24" s="161" t="str">
        <f>VLOOKUP(G24,$CY$6:$DK$14,6,0)</f>
        <v>PB</v>
      </c>
      <c r="N24" s="224">
        <f>VLOOKUP(G24,$CY$6:$DK$14,7,0)</f>
        <v>25</v>
      </c>
      <c r="O24" s="294">
        <f>VLOOKUP(G24,$CY$6:$DK$14,8,0)</f>
        <v>999999</v>
      </c>
      <c r="P24" s="294">
        <f>VLOOKUP(G24,$CY$6:$DK$14,9,0)</f>
        <v>4</v>
      </c>
      <c r="Q24" s="294">
        <f>VLOOKUP(G24,$CY$6:$DK$14,10,0)</f>
        <v>16</v>
      </c>
      <c r="R24" s="294">
        <f>VLOOKUP(G24,$CY$6:$DK$14,11,0)</f>
        <v>3</v>
      </c>
      <c r="S24" s="294">
        <f>VLOOKUP(G24,$CY$6:$DK$14,12,0)</f>
        <v>10.199999999999999</v>
      </c>
      <c r="T24" s="212" t="str">
        <f t="shared" si="51"/>
        <v>&lt;=150</v>
      </c>
      <c r="U24" s="212" t="str">
        <f t="shared" si="52"/>
        <v>3,2/4</v>
      </c>
      <c r="V24" s="205">
        <f>VLOOKUP(G24,$CY$6:$DK$14,13,0)</f>
        <v>111</v>
      </c>
      <c r="W24" s="176" t="str">
        <f t="shared" si="15"/>
        <v>VRAI</v>
      </c>
      <c r="X24" s="162" t="str">
        <f t="shared" si="53"/>
        <v>VRAI</v>
      </c>
      <c r="Y24" s="125" t="s">
        <v>17</v>
      </c>
      <c r="Z24" s="221">
        <f t="shared" si="54"/>
        <v>8</v>
      </c>
      <c r="AA24" s="221">
        <f t="shared" si="55"/>
        <v>8</v>
      </c>
      <c r="AB24" s="177" t="str">
        <f t="shared" si="56"/>
        <v>en angle</v>
      </c>
      <c r="AC24" s="318" t="str">
        <f t="shared" si="57"/>
        <v>en angle</v>
      </c>
      <c r="AD24" s="221" t="str">
        <f t="shared" si="58"/>
        <v>111/111</v>
      </c>
      <c r="AE24" s="221" t="str">
        <f t="shared" si="59"/>
        <v>non</v>
      </c>
      <c r="AF24" s="221" t="str">
        <f t="shared" si="60"/>
        <v>non</v>
      </c>
      <c r="AG24" s="221" t="str">
        <f t="shared" si="61"/>
        <v>PB</v>
      </c>
      <c r="AH24" s="221" t="str">
        <f t="shared" si="62"/>
        <v>monopasse</v>
      </c>
      <c r="AI24" s="166">
        <f t="shared" si="63"/>
        <v>48.3</v>
      </c>
      <c r="AJ24" s="221">
        <f t="shared" si="64"/>
        <v>8</v>
      </c>
      <c r="AK24" s="167">
        <f t="shared" si="65"/>
        <v>5.08</v>
      </c>
      <c r="AL24" s="167">
        <f t="shared" si="66"/>
        <v>3.2</v>
      </c>
      <c r="AM24" s="167" t="str">
        <f t="shared" si="67"/>
        <v>N/A</v>
      </c>
      <c r="AN24" s="332">
        <f t="shared" si="68"/>
        <v>3</v>
      </c>
      <c r="AO24" s="321">
        <f t="shared" si="0"/>
        <v>3</v>
      </c>
      <c r="AP24" s="333">
        <f t="shared" si="69"/>
        <v>16</v>
      </c>
      <c r="AQ24" s="321">
        <f t="shared" si="70"/>
        <v>16</v>
      </c>
      <c r="AR24" s="334">
        <f t="shared" si="71"/>
        <v>3</v>
      </c>
      <c r="AS24" s="335">
        <f t="shared" si="72"/>
        <v>10.16</v>
      </c>
      <c r="AT24" s="336">
        <f t="shared" si="73"/>
        <v>24.15</v>
      </c>
      <c r="AU24" s="336"/>
      <c r="AV24" s="329"/>
      <c r="AW24" s="173" t="str">
        <f t="shared" si="74"/>
        <v>VRAI</v>
      </c>
      <c r="AX24" s="173" t="str">
        <f t="shared" si="75"/>
        <v>VRAI</v>
      </c>
      <c r="AY24" s="173" t="str">
        <f t="shared" si="23"/>
        <v>VRAI</v>
      </c>
      <c r="AZ24" s="173" t="b">
        <f t="shared" si="76"/>
        <v>1</v>
      </c>
      <c r="BA24" s="237" t="str">
        <f>INDEX($DP$7:$DZ$18,DO29,EK6)</f>
        <v>8.8</v>
      </c>
      <c r="BB24" s="238" t="b">
        <f>AND(ISNUMBER(FIND($Z$11,$BA$11)),ISNUMBER(FIND("."&amp;$AA$11,$BA$11)))</f>
        <v>1</v>
      </c>
      <c r="BC24" s="176" t="str">
        <f t="shared" si="77"/>
        <v>VRAI</v>
      </c>
      <c r="BD24" s="266" t="str">
        <f>IF(AND($H$1&gt;=AO24,$H$1&lt;=AQ24,R24&lt;=AR24,S24&gt;=AS24),"VRAI")</f>
        <v>VRAI</v>
      </c>
      <c r="BE24" s="56"/>
      <c r="BF24" s="91"/>
      <c r="BG24" s="89"/>
      <c r="BH24" s="78"/>
      <c r="BI24" s="119"/>
      <c r="BJ24" s="93"/>
      <c r="BK24" s="94"/>
      <c r="BL24" s="92"/>
      <c r="BM24" s="92"/>
      <c r="BN24" s="95"/>
      <c r="BO24" s="78"/>
      <c r="BP24" s="121"/>
      <c r="BQ24" s="122"/>
      <c r="BR24" s="94"/>
      <c r="BS24" s="122"/>
      <c r="BT24" s="91"/>
      <c r="BU24" s="123"/>
      <c r="BV24" s="78"/>
      <c r="BW24" s="78"/>
      <c r="BX24" s="124"/>
      <c r="BY24" s="108"/>
      <c r="BZ24" s="78"/>
      <c r="CA24" s="78"/>
      <c r="CB24" s="108"/>
      <c r="CD24" s="3"/>
      <c r="CE24" s="2"/>
      <c r="CF24" s="13"/>
      <c r="CJ24" s="151"/>
      <c r="CK24" s="63"/>
      <c r="CL24" s="63"/>
      <c r="CM24" s="63"/>
      <c r="CN24" s="63"/>
      <c r="CO24" s="63"/>
      <c r="CP24" s="63"/>
      <c r="CQ24" s="63"/>
      <c r="CR24" s="63"/>
      <c r="CS24" s="63"/>
      <c r="CT24" s="66"/>
      <c r="CU24" s="66"/>
      <c r="CV24" s="66"/>
      <c r="CW24" s="152"/>
      <c r="CY24" s="26"/>
      <c r="CZ24" s="43"/>
      <c r="DA24" s="43"/>
      <c r="DB24" s="185"/>
      <c r="DC24" s="26"/>
      <c r="DD24" s="43"/>
      <c r="DE24" s="231"/>
      <c r="DF24" s="43"/>
      <c r="DG24" s="43"/>
      <c r="DH24" s="43"/>
      <c r="DI24" s="43"/>
      <c r="DJ24" s="43"/>
      <c r="DK24" s="43"/>
      <c r="DL24" s="19"/>
      <c r="DM24" s="19"/>
      <c r="DO24" s="233">
        <f t="shared" si="78"/>
        <v>9</v>
      </c>
      <c r="EE24" s="288"/>
      <c r="EF24" s="268"/>
      <c r="EG24" s="268"/>
      <c r="EH24" s="268"/>
      <c r="EI24" s="268"/>
      <c r="EJ24" s="287"/>
      <c r="EK24" s="287"/>
      <c r="EL24" s="287"/>
      <c r="EM24" s="287"/>
      <c r="EN24" s="287"/>
      <c r="EO24" s="287"/>
      <c r="EP24" s="287"/>
    </row>
    <row r="25" spans="2:146" ht="46.8" customHeight="1">
      <c r="B25" s="274" t="s">
        <v>2</v>
      </c>
      <c r="C25" s="278" t="s">
        <v>181</v>
      </c>
      <c r="D25" s="164" t="s">
        <v>59</v>
      </c>
      <c r="E25" s="208">
        <v>76.099999999999994</v>
      </c>
      <c r="F25" s="157">
        <v>3.6</v>
      </c>
      <c r="G25" s="160" t="s">
        <v>9</v>
      </c>
      <c r="H25" s="161">
        <f>VLOOKUP(G25,$CY$6:$DK$14,2,0)</f>
        <v>8</v>
      </c>
      <c r="I25" s="161">
        <f>VLOOKUP(G25,$CY$6:$DK$14,3,0)</f>
        <v>8</v>
      </c>
      <c r="J25" s="161"/>
      <c r="K25" s="177" t="str">
        <f>VLOOKUP(G25,$CY$6:$DK$14,4,0)</f>
        <v>en angle</v>
      </c>
      <c r="L25" s="158" t="str">
        <f>+VLOOKUP(G25,$CY$6:$DK$14,5,0)</f>
        <v>monopasse</v>
      </c>
      <c r="M25" s="161" t="str">
        <f>VLOOKUP(G25,$CY$6:$DK$14,6,0)</f>
        <v>PB</v>
      </c>
      <c r="N25" s="224">
        <f>VLOOKUP(G25,$CY$6:$DK$14,7,0)</f>
        <v>25</v>
      </c>
      <c r="O25" s="294">
        <f>VLOOKUP(G25,$CY$6:$DK$14,8,0)</f>
        <v>999999</v>
      </c>
      <c r="P25" s="294">
        <f>VLOOKUP(G25,$CY$6:$DK$14,9,0)</f>
        <v>4</v>
      </c>
      <c r="Q25" s="294">
        <f>VLOOKUP(G25,$CY$6:$DK$14,10,0)</f>
        <v>16</v>
      </c>
      <c r="R25" s="294">
        <f>VLOOKUP(G25,$CY$6:$DK$14,11,0)</f>
        <v>3</v>
      </c>
      <c r="S25" s="294">
        <f>VLOOKUP(G25,$CY$6:$DK$14,12,0)</f>
        <v>10.199999999999999</v>
      </c>
      <c r="T25" s="212" t="str">
        <f t="shared" si="51"/>
        <v>&lt;=150</v>
      </c>
      <c r="U25" s="212" t="str">
        <f t="shared" si="52"/>
        <v>3,2/4</v>
      </c>
      <c r="V25" s="205">
        <f>VLOOKUP(G25,$CY$6:$DK$14,13,0)</f>
        <v>111</v>
      </c>
      <c r="W25" s="176" t="str">
        <f t="shared" si="15"/>
        <v>VRAI</v>
      </c>
      <c r="X25" s="162" t="b">
        <f t="shared" si="53"/>
        <v>0</v>
      </c>
      <c r="Y25" s="125" t="s">
        <v>17</v>
      </c>
      <c r="Z25" s="221">
        <f t="shared" si="54"/>
        <v>8</v>
      </c>
      <c r="AA25" s="221">
        <f t="shared" si="55"/>
        <v>8</v>
      </c>
      <c r="AB25" s="177" t="str">
        <f t="shared" si="56"/>
        <v>en angle</v>
      </c>
      <c r="AC25" s="318" t="str">
        <f t="shared" si="57"/>
        <v>en angle</v>
      </c>
      <c r="AD25" s="221" t="str">
        <f t="shared" si="58"/>
        <v>111/111</v>
      </c>
      <c r="AE25" s="221" t="str">
        <f t="shared" si="59"/>
        <v>non</v>
      </c>
      <c r="AF25" s="221" t="str">
        <f t="shared" si="60"/>
        <v>non</v>
      </c>
      <c r="AG25" s="221" t="str">
        <f t="shared" si="61"/>
        <v>PB</v>
      </c>
      <c r="AH25" s="221" t="str">
        <f t="shared" si="62"/>
        <v>monopasse</v>
      </c>
      <c r="AI25" s="166">
        <f t="shared" si="63"/>
        <v>48.3</v>
      </c>
      <c r="AJ25" s="221">
        <f t="shared" si="64"/>
        <v>8</v>
      </c>
      <c r="AK25" s="167">
        <f t="shared" si="65"/>
        <v>5.08</v>
      </c>
      <c r="AL25" s="167">
        <f t="shared" si="66"/>
        <v>3.2</v>
      </c>
      <c r="AM25" s="167" t="str">
        <f t="shared" si="67"/>
        <v>N/A</v>
      </c>
      <c r="AN25" s="332">
        <f t="shared" si="68"/>
        <v>3</v>
      </c>
      <c r="AO25" s="321">
        <f t="shared" si="0"/>
        <v>3</v>
      </c>
      <c r="AP25" s="333">
        <f t="shared" si="69"/>
        <v>16</v>
      </c>
      <c r="AQ25" s="321">
        <f t="shared" si="70"/>
        <v>16</v>
      </c>
      <c r="AR25" s="334">
        <f t="shared" si="71"/>
        <v>3</v>
      </c>
      <c r="AS25" s="335">
        <f t="shared" si="72"/>
        <v>10.16</v>
      </c>
      <c r="AT25" s="336">
        <f t="shared" si="73"/>
        <v>24.15</v>
      </c>
      <c r="AU25" s="336"/>
      <c r="AV25" s="329"/>
      <c r="AW25" s="173" t="str">
        <f t="shared" si="74"/>
        <v>VRAI</v>
      </c>
      <c r="AX25" s="173" t="str">
        <f t="shared" si="75"/>
        <v>VRAI</v>
      </c>
      <c r="AY25" s="173" t="str">
        <f t="shared" si="23"/>
        <v>VRAI</v>
      </c>
      <c r="AZ25" s="173" t="b">
        <f t="shared" si="76"/>
        <v>1</v>
      </c>
      <c r="BA25" s="237" t="str">
        <f>INDEX($DP$7:$DZ$18,DO30,EL6)</f>
        <v>8.8</v>
      </c>
      <c r="BB25" s="238" t="b">
        <f>AND(ISNUMBER(FIND($Z$11,$BA$11)),ISNUMBER(FIND("."&amp;$AA$11,$BA$11)))</f>
        <v>1</v>
      </c>
      <c r="BC25" s="176" t="str">
        <f t="shared" si="77"/>
        <v>VRAI</v>
      </c>
      <c r="BD25" s="266" t="str">
        <f>IF(AND($H$1&gt;=AO25,$H$1&lt;=AQ25,R25&lt;=AR25,S25&gt;=AS25),"VRAI")</f>
        <v>VRAI</v>
      </c>
      <c r="BE25" s="24" t="s">
        <v>30</v>
      </c>
      <c r="BF25" s="91" t="s">
        <v>29</v>
      </c>
      <c r="BG25" s="89" t="s">
        <v>5</v>
      </c>
      <c r="BH25" s="78"/>
      <c r="BI25" s="119"/>
      <c r="BJ25" s="93"/>
      <c r="BK25" s="94"/>
      <c r="BL25" s="92"/>
      <c r="BM25" s="92"/>
      <c r="BN25" s="95"/>
      <c r="BO25" s="78"/>
      <c r="BP25" s="121"/>
      <c r="BQ25" s="101"/>
      <c r="BR25" s="94"/>
      <c r="BS25" s="122"/>
      <c r="BT25" s="80"/>
      <c r="BU25" s="95"/>
      <c r="BV25" s="78"/>
      <c r="BW25" s="78"/>
      <c r="BX25" s="124"/>
      <c r="BY25" s="108"/>
      <c r="BZ25" s="78"/>
      <c r="CA25" s="78"/>
      <c r="CB25" s="108"/>
      <c r="CC25" s="2" t="s">
        <v>8</v>
      </c>
      <c r="CD25" s="3" t="s">
        <v>5</v>
      </c>
      <c r="CE25" s="2" t="s">
        <v>18</v>
      </c>
      <c r="CF25" s="13" t="s">
        <v>5</v>
      </c>
      <c r="CJ25" s="151"/>
      <c r="CK25" s="63"/>
      <c r="CL25" s="63"/>
      <c r="CM25" s="63"/>
      <c r="CN25" s="63"/>
      <c r="CO25" s="63"/>
      <c r="CP25" s="63"/>
      <c r="CQ25" s="63"/>
      <c r="CR25" s="63"/>
      <c r="CS25" s="63"/>
      <c r="CT25" s="66"/>
      <c r="CU25" s="66"/>
      <c r="CV25" s="66"/>
      <c r="CW25" s="152"/>
      <c r="CY25" s="26"/>
      <c r="CZ25" s="43"/>
      <c r="DA25" s="43"/>
      <c r="DB25" s="185"/>
      <c r="DC25" s="26"/>
      <c r="DD25" s="43"/>
      <c r="DE25" s="231"/>
      <c r="DF25" s="43"/>
      <c r="DG25" s="43"/>
      <c r="DH25" s="43"/>
      <c r="DI25" s="43"/>
      <c r="DJ25" s="43"/>
      <c r="DK25" s="43"/>
      <c r="DL25" s="19"/>
      <c r="DM25" s="19"/>
      <c r="DO25" s="233">
        <f t="shared" si="78"/>
        <v>9</v>
      </c>
      <c r="EE25" s="288"/>
      <c r="EF25" s="19"/>
      <c r="EG25" s="17"/>
      <c r="EH25" s="17"/>
      <c r="EI25" s="43"/>
      <c r="EJ25" s="19"/>
      <c r="EK25" s="19"/>
      <c r="EL25" s="19"/>
      <c r="EM25" s="19"/>
      <c r="EN25" s="19"/>
      <c r="EO25" s="19"/>
      <c r="EP25" s="19"/>
    </row>
    <row r="26" spans="2:146" ht="42.6" customHeight="1">
      <c r="B26" s="274" t="s">
        <v>3</v>
      </c>
      <c r="C26" s="278" t="s">
        <v>181</v>
      </c>
      <c r="D26" s="164" t="s">
        <v>59</v>
      </c>
      <c r="E26" s="208">
        <v>141.30000000000001</v>
      </c>
      <c r="F26" s="157">
        <v>6.55</v>
      </c>
      <c r="G26" s="160" t="s">
        <v>9</v>
      </c>
      <c r="H26" s="161">
        <f>VLOOKUP(G26,$CY$6:$DK$14,2,0)</f>
        <v>8</v>
      </c>
      <c r="I26" s="161">
        <f>VLOOKUP(G26,$CY$6:$DK$14,3,0)</f>
        <v>8</v>
      </c>
      <c r="J26" s="161"/>
      <c r="K26" s="177" t="str">
        <f>VLOOKUP(G26,$CY$6:$DK$14,4,0)</f>
        <v>en angle</v>
      </c>
      <c r="L26" s="158" t="str">
        <f>+VLOOKUP(G26,$CY$6:$DK$14,5,0)</f>
        <v>monopasse</v>
      </c>
      <c r="M26" s="161" t="str">
        <f>VLOOKUP(G26,$CY$6:$DK$14,6,0)</f>
        <v>PB</v>
      </c>
      <c r="N26" s="224">
        <f>VLOOKUP(G26,$CY$6:$DK$14,7,0)</f>
        <v>25</v>
      </c>
      <c r="O26" s="294">
        <f>VLOOKUP(G26,$CY$6:$DK$14,8,0)</f>
        <v>999999</v>
      </c>
      <c r="P26" s="294">
        <f>VLOOKUP(G26,$CY$6:$DK$14,9,0)</f>
        <v>4</v>
      </c>
      <c r="Q26" s="294">
        <f>VLOOKUP(G26,$CY$6:$DK$14,10,0)</f>
        <v>16</v>
      </c>
      <c r="R26" s="294">
        <f>VLOOKUP(G26,$CY$6:$DK$14,11,0)</f>
        <v>3</v>
      </c>
      <c r="S26" s="294">
        <f>VLOOKUP(G26,$CY$6:$DK$14,12,0)</f>
        <v>10.199999999999999</v>
      </c>
      <c r="T26" s="212" t="str">
        <f t="shared" si="51"/>
        <v>&lt;=150</v>
      </c>
      <c r="U26" s="213" t="str">
        <f t="shared" si="52"/>
        <v>3,2/4</v>
      </c>
      <c r="V26" s="205">
        <f>VLOOKUP(G26,$CY$6:$DK$14,13,0)</f>
        <v>111</v>
      </c>
      <c r="W26" s="176" t="str">
        <f t="shared" si="15"/>
        <v>VRAI</v>
      </c>
      <c r="X26" s="162" t="str">
        <f t="shared" si="53"/>
        <v>VRAI</v>
      </c>
      <c r="Y26" s="153" t="s">
        <v>17</v>
      </c>
      <c r="Z26" s="221">
        <f t="shared" si="54"/>
        <v>8</v>
      </c>
      <c r="AA26" s="221">
        <f t="shared" si="55"/>
        <v>8</v>
      </c>
      <c r="AB26" s="177" t="str">
        <f t="shared" si="56"/>
        <v>en angle</v>
      </c>
      <c r="AC26" s="318" t="str">
        <f t="shared" si="57"/>
        <v>en angle</v>
      </c>
      <c r="AD26" s="221" t="str">
        <f t="shared" si="58"/>
        <v>111/111</v>
      </c>
      <c r="AE26" s="221" t="str">
        <f t="shared" si="59"/>
        <v>non</v>
      </c>
      <c r="AF26" s="221" t="str">
        <f t="shared" si="60"/>
        <v>non</v>
      </c>
      <c r="AG26" s="221" t="str">
        <f t="shared" si="61"/>
        <v>PB</v>
      </c>
      <c r="AH26" s="221" t="str">
        <f t="shared" si="62"/>
        <v>monopasse</v>
      </c>
      <c r="AI26" s="166">
        <f t="shared" si="63"/>
        <v>48.3</v>
      </c>
      <c r="AJ26" s="221">
        <f t="shared" si="64"/>
        <v>8</v>
      </c>
      <c r="AK26" s="167">
        <f t="shared" si="65"/>
        <v>5.08</v>
      </c>
      <c r="AL26" s="167">
        <f t="shared" si="66"/>
        <v>3.2</v>
      </c>
      <c r="AM26" s="167" t="str">
        <f t="shared" si="67"/>
        <v>N/A</v>
      </c>
      <c r="AN26" s="332">
        <f t="shared" si="68"/>
        <v>3</v>
      </c>
      <c r="AO26" s="321">
        <f t="shared" si="0"/>
        <v>3</v>
      </c>
      <c r="AP26" s="333">
        <f t="shared" si="69"/>
        <v>16</v>
      </c>
      <c r="AQ26" s="321">
        <f t="shared" si="70"/>
        <v>16</v>
      </c>
      <c r="AR26" s="334">
        <f t="shared" si="71"/>
        <v>3</v>
      </c>
      <c r="AS26" s="335">
        <f t="shared" si="72"/>
        <v>10.16</v>
      </c>
      <c r="AT26" s="336">
        <f t="shared" si="73"/>
        <v>24.15</v>
      </c>
      <c r="AU26" s="336"/>
      <c r="AV26" s="329"/>
      <c r="AW26" s="173" t="str">
        <f t="shared" si="74"/>
        <v>VRAI</v>
      </c>
      <c r="AX26" s="173" t="str">
        <f t="shared" si="75"/>
        <v>VRAI</v>
      </c>
      <c r="AY26" s="173" t="str">
        <f t="shared" si="23"/>
        <v>VRAI</v>
      </c>
      <c r="AZ26" s="173" t="b">
        <f t="shared" si="76"/>
        <v>1</v>
      </c>
      <c r="BA26" s="237" t="str">
        <f>INDEX($DP$7:$DZ$18,DO31,EM6)</f>
        <v>8.8</v>
      </c>
      <c r="BB26" s="238" t="b">
        <f>AND(ISNUMBER(FIND($Z$11,$BA$11)),ISNUMBER(FIND("."&amp;$AA$11,$BA$11)))</f>
        <v>1</v>
      </c>
      <c r="BC26" s="176" t="str">
        <f t="shared" si="77"/>
        <v>VRAI</v>
      </c>
      <c r="BD26" s="266" t="str">
        <f>IF(AND($H$1&gt;=AO26,$H$1&lt;=AQ26,R26&lt;=AR26,S26&gt;=AS26),"VRAI")</f>
        <v>VRAI</v>
      </c>
      <c r="BE26" s="24" t="s">
        <v>30</v>
      </c>
      <c r="BF26" s="91" t="s">
        <v>29</v>
      </c>
      <c r="BG26" s="89" t="s">
        <v>5</v>
      </c>
      <c r="BH26" s="78"/>
      <c r="BI26" s="119"/>
      <c r="BJ26" s="93"/>
      <c r="BK26" s="94"/>
      <c r="BL26" s="120"/>
      <c r="BM26" s="91"/>
      <c r="BN26" s="95"/>
      <c r="BO26" s="78"/>
      <c r="BP26" s="121"/>
      <c r="BQ26" s="122"/>
      <c r="BR26" s="94"/>
      <c r="BS26" s="122"/>
      <c r="BT26" s="91"/>
      <c r="BU26" s="123"/>
      <c r="BV26" s="109"/>
      <c r="BW26" s="78"/>
      <c r="BX26" s="124"/>
      <c r="BY26" s="108"/>
      <c r="BZ26" s="78"/>
      <c r="CA26" s="78"/>
      <c r="CB26" s="108"/>
      <c r="CC26" t="s">
        <v>8</v>
      </c>
      <c r="CD26" s="3" t="s">
        <v>5</v>
      </c>
      <c r="CE26" s="2" t="s">
        <v>18</v>
      </c>
      <c r="CF26" s="13" t="s">
        <v>5</v>
      </c>
      <c r="CJ26" s="151"/>
      <c r="CK26" s="63"/>
      <c r="CL26" s="63"/>
      <c r="CM26" s="63"/>
      <c r="CN26" s="63"/>
      <c r="CO26" s="63"/>
      <c r="CP26" s="63"/>
      <c r="CQ26" s="63"/>
      <c r="CR26" s="63"/>
      <c r="CS26" s="63"/>
      <c r="CT26" s="66"/>
      <c r="CU26" s="66"/>
      <c r="CV26" s="66"/>
      <c r="CW26" s="152"/>
      <c r="CY26" s="26"/>
      <c r="CZ26" s="43"/>
      <c r="DA26" s="43"/>
      <c r="DB26" s="185"/>
      <c r="DC26" s="26"/>
      <c r="DD26" s="43"/>
      <c r="DE26" s="231"/>
      <c r="DF26" s="43"/>
      <c r="DG26" s="43"/>
      <c r="DH26" s="43"/>
      <c r="DI26" s="43"/>
      <c r="DJ26" s="43"/>
      <c r="DK26" s="43"/>
      <c r="DL26" s="19"/>
      <c r="DM26" s="19"/>
      <c r="DO26" s="233">
        <f t="shared" si="78"/>
        <v>9</v>
      </c>
      <c r="EE26" s="288"/>
      <c r="EF26" s="19"/>
      <c r="EG26" s="19"/>
      <c r="EH26" s="17"/>
      <c r="EI26" s="43"/>
      <c r="EJ26" s="19"/>
      <c r="EK26" s="19"/>
      <c r="EL26" s="19"/>
      <c r="EM26" s="19"/>
      <c r="EN26" s="19"/>
      <c r="EO26" s="19"/>
      <c r="EP26" s="19"/>
    </row>
    <row r="27" spans="2:146" ht="28.05" hidden="1" customHeight="1" thickBot="1">
      <c r="B27" s="169" t="s">
        <v>32</v>
      </c>
      <c r="C27" s="170"/>
      <c r="D27" s="170"/>
      <c r="E27" s="207">
        <v>33.4</v>
      </c>
      <c r="F27" s="156">
        <v>4.55</v>
      </c>
      <c r="G27" s="160" t="s">
        <v>9</v>
      </c>
      <c r="H27" s="161">
        <f>VLOOKUP(G27,$CY$5:$DK$11,2,0)</f>
        <v>8</v>
      </c>
      <c r="I27" s="161"/>
      <c r="J27" s="161"/>
      <c r="K27" s="165" t="s">
        <v>63</v>
      </c>
      <c r="L27" s="158" t="s">
        <v>67</v>
      </c>
      <c r="M27" s="154" t="s">
        <v>55</v>
      </c>
      <c r="N27" s="212">
        <v>25</v>
      </c>
      <c r="O27" s="172">
        <v>999999</v>
      </c>
      <c r="P27" s="172">
        <v>4</v>
      </c>
      <c r="Q27" s="172">
        <v>16</v>
      </c>
      <c r="R27" s="172">
        <v>3</v>
      </c>
      <c r="S27" s="172">
        <v>10.199999999999999</v>
      </c>
      <c r="T27" s="205"/>
      <c r="U27" s="205"/>
      <c r="V27" s="79">
        <v>111</v>
      </c>
      <c r="W27" s="176" t="str">
        <f t="shared" si="15"/>
        <v>VRAI</v>
      </c>
      <c r="X27" s="162" t="str">
        <f>IF(AND(F27&gt;R27,F27&lt;S27),IF(AND(H1&gt;=P27,H1&lt;=Q27),"VRAI"))</f>
        <v>VRAI</v>
      </c>
      <c r="Y27" s="124" t="s">
        <v>17</v>
      </c>
      <c r="Z27" s="84">
        <f>VLOOKUP(Y27,CI6:CU12,12,0)</f>
        <v>8</v>
      </c>
      <c r="AA27" s="221">
        <f>VLOOKUP(Y27,$CI$6:$CU$12,12,0)</f>
        <v>8</v>
      </c>
      <c r="AB27" s="178" t="str">
        <f>VLOOKUP(Y27,CI6:CU12,9,0)</f>
        <v>en angle</v>
      </c>
      <c r="AC27" s="319"/>
      <c r="AD27" s="83" t="str">
        <f>VLOOKUP(Y27,CI6:CU12,8,0)</f>
        <v>111/111</v>
      </c>
      <c r="AE27" s="84" t="str">
        <f>VLOOKUP(Y27,CI6:CU12,2,0)</f>
        <v>non</v>
      </c>
      <c r="AF27" s="84" t="str">
        <f>VLOOKUP(Y27,CI6:CU12,3,0)</f>
        <v>non</v>
      </c>
      <c r="AG27" s="84" t="str">
        <f>VLOOKUP(Y27,CI6:CU12,4,0)</f>
        <v>PB</v>
      </c>
      <c r="AH27" s="84" t="str">
        <f>VLOOKUP(Y27,CI6:CU12,10,0)</f>
        <v>monopasse</v>
      </c>
      <c r="AI27" s="85">
        <f>VLOOKUP(Y27,CI6:CU12,5,0)</f>
        <v>48.3</v>
      </c>
      <c r="AJ27" s="84">
        <f>VLOOKUP(Y27,CI6:CU12,6,0)</f>
        <v>8</v>
      </c>
      <c r="AK27" s="84">
        <f>VLOOKUP(Y27,CI6:CU12,7,0)</f>
        <v>5.08</v>
      </c>
      <c r="AL27" s="84">
        <f>VLOOKUP(Y27,CI6:CU12,11,0)</f>
        <v>3.2</v>
      </c>
      <c r="AM27" s="84"/>
      <c r="AN27" s="86">
        <f t="shared" si="16"/>
        <v>3</v>
      </c>
      <c r="AO27" s="87">
        <f t="shared" si="0"/>
        <v>3</v>
      </c>
      <c r="AP27" s="87">
        <f t="shared" si="17"/>
        <v>16</v>
      </c>
      <c r="AQ27" s="87">
        <f t="shared" si="18"/>
        <v>16</v>
      </c>
      <c r="AR27" s="86">
        <f t="shared" si="19"/>
        <v>3</v>
      </c>
      <c r="AS27" s="88">
        <f t="shared" si="20"/>
        <v>10.16</v>
      </c>
      <c r="AT27" s="222">
        <f t="shared" si="21"/>
        <v>24.15</v>
      </c>
      <c r="AU27" s="222"/>
      <c r="AV27" s="222"/>
      <c r="AW27" s="173" t="str">
        <f t="shared" si="22"/>
        <v>VRAI</v>
      </c>
      <c r="AX27" s="173" t="str">
        <f>IF(AND(AH27="monopasse",L27="monopasse"),"VRAI",IF(AND(AH27="multipasse",AF27="non",AE27="non",L27="monopasse"),"VRAI",IF(AND(AH27="multipasse",L27="multipasse"),"VRAI")))</f>
        <v>VRAI</v>
      </c>
      <c r="AY27" s="173" t="str">
        <f t="shared" si="23"/>
        <v>VRAI</v>
      </c>
      <c r="AZ27" s="174" t="str">
        <f t="shared" si="24"/>
        <v>VRAI</v>
      </c>
      <c r="BA27" s="237" t="str">
        <f>INDEX($DP$7:$DZ$18,DO34,EM6)</f>
        <v>8.8</v>
      </c>
      <c r="BB27" s="238" t="e">
        <f>IF(OR(#REF!=H27,#REF!=H27),"VRAI")</f>
        <v>#REF!</v>
      </c>
      <c r="BC27" s="175" t="str">
        <f t="shared" si="25"/>
        <v>VRAI</v>
      </c>
      <c r="BD27" s="168" t="str">
        <f>IF(AND(H1&gt;=AO27,H1&lt;AQ27,R27&lt;=AR27,S27&gt;=AS27),"VRAI")</f>
        <v>VRAI</v>
      </c>
      <c r="BE27" s="90"/>
      <c r="BF27" s="91" t="s">
        <v>29</v>
      </c>
      <c r="BG27" s="81"/>
      <c r="BH27" s="118"/>
      <c r="BI27" s="102"/>
      <c r="BJ27" s="99"/>
      <c r="BK27" s="102"/>
      <c r="BL27" s="92"/>
      <c r="BM27" s="99"/>
      <c r="BN27" s="126"/>
      <c r="BO27" s="124"/>
      <c r="BP27" s="121"/>
      <c r="BQ27" s="127"/>
      <c r="BR27" s="94"/>
      <c r="BS27" s="122"/>
      <c r="BT27" s="80"/>
      <c r="BU27" s="92"/>
      <c r="BV27" s="128"/>
      <c r="BW27" s="91"/>
      <c r="BX27" s="129"/>
      <c r="BY27" s="92"/>
      <c r="BZ27" s="112"/>
      <c r="CA27" s="109"/>
      <c r="CB27" s="104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O27" s="233">
        <f t="shared" ref="DO27" si="79">MATCH(Z17,$DO$6:$DO$18)-1</f>
        <v>9</v>
      </c>
      <c r="EE27" s="256">
        <v>4</v>
      </c>
      <c r="EF27" s="251"/>
      <c r="EG27" s="245"/>
      <c r="EH27" s="245"/>
      <c r="EI27" s="247" t="s">
        <v>175</v>
      </c>
      <c r="EJ27" s="245"/>
      <c r="EK27" s="245"/>
      <c r="EL27" s="245"/>
      <c r="EM27" s="245"/>
      <c r="EN27" s="245"/>
      <c r="EO27" s="245"/>
      <c r="EP27" s="253"/>
    </row>
    <row r="28" spans="2:146" ht="43.2" customHeight="1">
      <c r="B28" s="274" t="s">
        <v>40</v>
      </c>
      <c r="C28" s="278" t="s">
        <v>181</v>
      </c>
      <c r="D28" s="164" t="s">
        <v>59</v>
      </c>
      <c r="E28" s="208">
        <v>168.3</v>
      </c>
      <c r="F28" s="157">
        <v>7.11</v>
      </c>
      <c r="G28" s="160" t="s">
        <v>9</v>
      </c>
      <c r="H28" s="161">
        <f t="shared" ref="H28:H33" si="80">VLOOKUP(G28,$CY$6:$DK$14,2,0)</f>
        <v>8</v>
      </c>
      <c r="I28" s="161">
        <f t="shared" ref="I28:I33" si="81">VLOOKUP(G28,$CY$6:$DK$14,3,0)</f>
        <v>8</v>
      </c>
      <c r="J28" s="161"/>
      <c r="K28" s="177" t="str">
        <f t="shared" ref="K28:K33" si="82">VLOOKUP(G28,$CY$6:$DK$14,4,0)</f>
        <v>en angle</v>
      </c>
      <c r="L28" s="158" t="str">
        <f t="shared" ref="L28:L33" si="83">+VLOOKUP(G28,$CY$6:$DK$14,5,0)</f>
        <v>monopasse</v>
      </c>
      <c r="M28" s="161" t="str">
        <f t="shared" ref="M28:M33" si="84">VLOOKUP(G28,$CY$6:$DK$14,6,0)</f>
        <v>PB</v>
      </c>
      <c r="N28" s="224">
        <f t="shared" ref="N28:N33" si="85">VLOOKUP(G28,$CY$6:$DK$14,7,0)</f>
        <v>25</v>
      </c>
      <c r="O28" s="294">
        <f t="shared" ref="O28:O33" si="86">VLOOKUP(G28,$CY$6:$DK$14,8,0)</f>
        <v>999999</v>
      </c>
      <c r="P28" s="294">
        <f t="shared" ref="P28:P33" si="87">VLOOKUP(G28,$CY$6:$DK$14,9,0)</f>
        <v>4</v>
      </c>
      <c r="Q28" s="294">
        <f t="shared" ref="Q28:Q33" si="88">VLOOKUP(G28,$CY$6:$DK$14,10,0)</f>
        <v>16</v>
      </c>
      <c r="R28" s="294">
        <f t="shared" ref="R28:R33" si="89">VLOOKUP(G28,$CY$6:$DK$14,11,0)</f>
        <v>3</v>
      </c>
      <c r="S28" s="294">
        <f t="shared" ref="S28:S33" si="90">VLOOKUP(G28,$CY$6:$DK$14,12,0)</f>
        <v>10.199999999999999</v>
      </c>
      <c r="T28" s="212" t="str">
        <f t="shared" ref="T28:T33" si="91">VLOOKUP(G28,$CY$6:$DM$14,15,0)</f>
        <v>&lt;=150</v>
      </c>
      <c r="U28" s="212" t="str">
        <f t="shared" ref="U28:U33" si="92">VLOOKUP(G28,$CY$6:$DL$14,14,0)</f>
        <v>3,2/4</v>
      </c>
      <c r="V28" s="205">
        <f t="shared" ref="V28:V33" si="93">VLOOKUP(G28,$CY$6:$DK$14,13,0)</f>
        <v>111</v>
      </c>
      <c r="W28" s="176" t="str">
        <f t="shared" si="15"/>
        <v>VRAI</v>
      </c>
      <c r="X28" s="162" t="str">
        <f t="shared" ref="X28:X33" si="94">IF(AND(F28&gt;=P28,F28&lt;=Q28),IF(AND(F28&gt;=P28,F28&lt;=Q28),"VRAI"))</f>
        <v>VRAI</v>
      </c>
      <c r="Y28" s="124" t="s">
        <v>17</v>
      </c>
      <c r="Z28" s="221">
        <f t="shared" ref="Z28:Z33" si="95">VLOOKUP(Y28,$CI$6:$CU$14,12,0)</f>
        <v>8</v>
      </c>
      <c r="AA28" s="221">
        <f t="shared" ref="AA28:AA33" si="96">VLOOKUP(Y28,$CI$6:$CU$14,13,0)</f>
        <v>8</v>
      </c>
      <c r="AB28" s="177" t="str">
        <f t="shared" ref="AB28:AB33" si="97">VLOOKUP(Y28,$CI$6:$CU$14,9,0)</f>
        <v>en angle</v>
      </c>
      <c r="AC28" s="318" t="str">
        <f t="shared" ref="AC28:AC33" si="98">LEFT(AB28,11)</f>
        <v>en angle</v>
      </c>
      <c r="AD28" s="221" t="str">
        <f t="shared" ref="AD28:AD33" si="99">VLOOKUP(Y28,$CI$6:$CU$14,8,0)</f>
        <v>111/111</v>
      </c>
      <c r="AE28" s="221" t="str">
        <f t="shared" ref="AE28:AE33" si="100">VLOOKUP(Y28,$CI$6:$CU$14,2,0)</f>
        <v>non</v>
      </c>
      <c r="AF28" s="221" t="str">
        <f t="shared" ref="AF28:AF33" si="101">VLOOKUP(Y28,$CI$6:$CU$14,3,0)</f>
        <v>non</v>
      </c>
      <c r="AG28" s="221" t="str">
        <f t="shared" ref="AG28:AG33" si="102">VLOOKUP(Y28,$CI$6:$CU$14,4,0)</f>
        <v>PB</v>
      </c>
      <c r="AH28" s="221" t="str">
        <f t="shared" ref="AH28:AH33" si="103">VLOOKUP(Y28,$CI$6:$CU$14,10,0)</f>
        <v>monopasse</v>
      </c>
      <c r="AI28" s="166">
        <f t="shared" ref="AI28:AI33" si="104">VLOOKUP(Y28,$CI$6:$CU$14,5,0)</f>
        <v>48.3</v>
      </c>
      <c r="AJ28" s="221">
        <f t="shared" ref="AJ28:AJ33" si="105">VLOOKUP(Y28,$CI$6:$CU$14,6,0)</f>
        <v>8</v>
      </c>
      <c r="AK28" s="167">
        <f t="shared" ref="AK28:AK33" si="106">VLOOKUP(Y28,$CI$6:$CU$14,7,0)</f>
        <v>5.08</v>
      </c>
      <c r="AL28" s="167">
        <f t="shared" ref="AL28:AL33" si="107">VLOOKUP(Y28,$CI$6:$CU$14,11,0)</f>
        <v>3.2</v>
      </c>
      <c r="AM28" s="167" t="str">
        <f t="shared" ref="AM28:AM33" si="108">VLOOKUP(Y28,$CI$6:$CV$14,14,0)</f>
        <v>N/A</v>
      </c>
      <c r="AN28" s="332">
        <f t="shared" ref="AN28:AN33" si="109">IF(AND(AJ28&lt;=3,AB28="en angle"),0.7*AJ28,IF(AND(AJ28&lt;30,AJ28&gt;3,AB28="en angle"),3,IF(AND(AJ28&gt;=30,AB28="en angle"),"&gt;="&amp;5,IF(AND(AC28="Bout à bout",AJ28&lt;=3),0.5*AJ28,IF(AND(AC28="Bout à bout",AJ28&gt;3,AJ28&lt;=12,AH28="monopasse"),0.5*AJ28,IF(AND(AC28="Bout à bout",AJ28&gt;3,AJ28&lt;=12,AH28="multipasse"),3))))))</f>
        <v>3</v>
      </c>
      <c r="AO28" s="321">
        <f t="shared" si="0"/>
        <v>3</v>
      </c>
      <c r="AP28" s="333">
        <f t="shared" ref="AP28:AP33" si="110">IF(AND(AJ28&lt;=3,AB28="en angle"),2*AJ28,IF(AND(AJ28&lt;30,AJ28&gt;3,AB28="en angle"),2*AJ28,IF(AND(AJ28&gt;=30,AB28="en angle"),"&gt;="&amp;5,IF(AND(AC28="Bout à bout",AJ28&gt;3,AJ28&lt;=12,AH28="monopasse"),1.3*AJ28,IF(AND(AC28="Bout à bout",AJ28&gt;3,AJ28&lt;=12,AH28="multipasse"),2*AJ28,IF(AND(AC28="Bout à bout",AJ28&lt;=3),2*AJ28))))))</f>
        <v>16</v>
      </c>
      <c r="AQ28" s="321">
        <f t="shared" ref="AQ28:AQ33" si="111">IF(AP28="&gt;=5",5,AP28)</f>
        <v>16</v>
      </c>
      <c r="AR28" s="334">
        <f t="shared" ref="AR28:AR33" si="112">IF(AND(AK28&lt;=3,AB28="en angle"),0.7*AK28,IF(AND(AK28&lt;30,AK28&gt;3,AB28="en angle"),3,IF(AND(AK28&gt;=30,AB28="en angle"),"&gt;="&amp;5,IF(AND(AC28="Bout à bout",AJ28&lt;=3),0.5*AK28,IF(AND(AC28="Bout à bout",AK28&gt;3,AK28&lt;=12,AH28="monopasse"),0.5*AK28,IF(AND(AC28="Bout à bout",AK28&gt;3,AK28&lt;=12,AH28="multipasse"),3))))))</f>
        <v>3</v>
      </c>
      <c r="AS28" s="335">
        <f t="shared" ref="AS28:AS33" si="113">IF(AND(AK28&lt;=3,AB28="en angle"),2*AK28,IF(AND(AK28&lt;30,AK28&gt;3,AB28="en angle"),2*AK28,IF(AND(AK28&gt;=30,AB28="en angle"),"&gt;="&amp;5,IF(AND(AC28="Bout à bout",AK28&gt;3,AK28&lt;=12,AH28="monopasse"),1.3*AK28,IF(AND(AC28="Bout à bout",AK28&gt;3,AK28&lt;=12,AH28="multipasse"),2*AK28,IF(AND(AC28="Bout à bout",AK28&lt;=3),2*AK28))))))</f>
        <v>10.16</v>
      </c>
      <c r="AT28" s="336">
        <f t="shared" ref="AT28:AT33" si="114">IF(AI28="N/A","",AI28/2)</f>
        <v>24.15</v>
      </c>
      <c r="AU28" s="336"/>
      <c r="AV28" s="329"/>
      <c r="AW28" s="173" t="str">
        <f t="shared" ref="AW28:AW33" si="115">IF(AND(AB28="en angle",K28="en angle"),"VRAI",IF(AND(AB28="Bout à bout pleine penetration",K28="en angle"),"VRAI",IF(AND(AB28="Bout à bout pleine penetration",K28="Bout à bout pleine penetration"),"VRAI",IF(AND(AB28="Bout à bout pleine penetration",K28="Bout à bout penetration partielle"),"VRAI",IF(AND(AB28="Bout à bout pleine penetration",K28="piquage angle &gt;=60°"),"VRAI",IF(AND(AB28="Bout à bout penetration partielle",K28="piquage angle &gt;=60°"),"VRAI",IF(AND(AB28="bout à bout pleine penetration",K28="en angle et bout à bout penetration partielle"),"VRAI",IF(AND(AB28="en angle",K28="en angle et bout à bout penetration partielle"),"VRAI"))))))))</f>
        <v>VRAI</v>
      </c>
      <c r="AX28" s="173" t="str">
        <f t="shared" ref="AX28:AX33" si="116">IF(AND(AH28="monopasse",L28="monopasse"),"VRAI",IF(AND(AH28="multipasse",AF28="non",AE28="non",L28="monopasse"),"VRAI",IF(AND(AH28="multipasse",L28="multipasse"),"VRAI",IF(AND(AH28="monopasse de chaque coté",L28="monopasse de chaque coté"),"VRAI"))))</f>
        <v>VRAI</v>
      </c>
      <c r="AY28" s="173" t="str">
        <f t="shared" si="23"/>
        <v>VRAI</v>
      </c>
      <c r="AZ28" s="173" t="b">
        <f t="shared" ref="AZ28:AZ33" si="117">OR(IFERROR(RIGHT(AL28,LEN(AL28)-FIND("/",AL28&amp;"/")),FIXED(AL28,0))=IFERROR(RIGHT(U28,LEN(U28)-FIND("/",U28&amp;"/")),FIXED(U28,0)),IFERROR(LEFT(AL28,FIND("/",AL28&amp;"/")-1),FIXED(AL28,0))=IFERROR(LEFT(U28,FIND("/",U28&amp;"/")-1),FIXED(U28,0)),IFERROR(RIGHT(AL28,LEN(AL28)-FIND("/",AL28&amp;"/")),FIXED(AL28,0))=IFERROR(LEFT(U28,FIND("/",U28&amp;"/")-1),FIXED(U28,0)),IFERROR(LEFT(AL28,FIND("/",AL28&amp;"/")-1),FIXED(AL28,0))=IFERROR(RIGHT(U28,LEN(U28)-FIND("/",U28&amp;"/")),FIXED(U28,0)),IF(AND(AE28="non",AF28="non"),"VRAI"),IF(AND(AE28="oui",AF28="non"),"VRAI"),IF(AND(AE28="non",AF28="oui"),"VRAI"))</f>
        <v>1</v>
      </c>
      <c r="BA28" s="237" t="str">
        <f>INDEX($DP$7:$DZ$18,DO32,EN6)</f>
        <v>8.8</v>
      </c>
      <c r="BB28" s="238" t="b">
        <f t="shared" ref="BB28:BB33" si="118">AND(ISNUMBER(FIND($Z$11,$BA$11)),ISNUMBER(FIND("."&amp;$AA$11,$BA$11)))</f>
        <v>1</v>
      </c>
      <c r="BC28" s="176" t="str">
        <f t="shared" ref="BC28:BC32" si="119">IF(OR(AF28="non",AE28="non"),"VRAI",IF(AND(AF28="oui",AE28="non",AU28="tube",AG28="PH"),"VRAI",IF(AND(AF28="oui",AE28="non",AU28="tube",AG28="HL045"),"VRAI",IF(AND(AF28="oui",AE28="non",AU28="tube",AG28="PA"),"VRAI",IF(AND(AF28="oui",AE28="non",AU28="tole",AG28="PA"),"VRAI",IF(AND(AF28="oui",AE28="non",AU28="tole",AG28="PF"),"VRAI",IF(AND(AF28="non",AE28="oui",AU28="tole",AG28="PE"),"VRAI",IF(AND(AF28="non",AE28="oui",AU28="tole",AG28="PC"),"VRAI",IF(AND(AF28="non",AE28="oui",AU28="tole",AG28="PG"),"VRAI",IF(AND(AF28="non",AE28="oui",AU28="tube",AG28="PH"),"VRAI",IF(AND(AF28="non",AE28="oui",AU28="tube",AG28="HL045"),"VRAI",IF(AND(AF28="non",AE28="oui",AU28="tube",AG28="PC"),"VRAI",IF(AND(AF28="non",AE28="oui",AU28="tube",AG28="PJ"),"VRAI")))))))))))))</f>
        <v>VRAI</v>
      </c>
      <c r="BD28" s="266" t="str">
        <f t="shared" ref="BD28:BD33" si="120">IF(AND($H$1&gt;=AO28,$H$1&lt;=AQ28,R28&lt;=AR28,S28&gt;=AS28),"VRAI")</f>
        <v>VRAI</v>
      </c>
      <c r="BE28" s="24" t="s">
        <v>30</v>
      </c>
      <c r="BF28" s="91" t="s">
        <v>29</v>
      </c>
      <c r="BG28" s="265" t="s">
        <v>5</v>
      </c>
      <c r="BH28" s="118"/>
      <c r="BI28" s="102"/>
      <c r="BJ28" s="99"/>
      <c r="BK28" s="99"/>
      <c r="BL28" s="101"/>
      <c r="BM28" s="99"/>
      <c r="BN28" s="126"/>
      <c r="BO28" s="124"/>
      <c r="BP28" s="94"/>
      <c r="BQ28" s="127"/>
      <c r="BR28" s="94"/>
      <c r="BS28" s="122"/>
      <c r="BT28" s="91"/>
      <c r="BU28" s="92"/>
      <c r="BV28" s="124"/>
      <c r="BW28" s="103"/>
      <c r="BX28" s="78"/>
      <c r="BY28" s="99"/>
      <c r="BZ28" s="124"/>
      <c r="CA28" s="78"/>
      <c r="CB28" s="103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O28" s="233">
        <f t="shared" ref="DO28:DO74" si="121">MATCH(Z21,$DO$6:$DO$18)-1</f>
        <v>9</v>
      </c>
      <c r="EE28" s="288"/>
      <c r="EF28" s="268"/>
      <c r="EG28" s="268"/>
      <c r="EH28" s="268"/>
      <c r="EI28" s="268"/>
      <c r="EJ28" s="268"/>
      <c r="EK28" s="287"/>
      <c r="EL28" s="287"/>
      <c r="EM28" s="287"/>
      <c r="EN28" s="287"/>
      <c r="EO28" s="287"/>
      <c r="EP28" s="287"/>
    </row>
    <row r="29" spans="2:146" ht="39" customHeight="1">
      <c r="B29" s="274" t="s">
        <v>41</v>
      </c>
      <c r="C29" s="278" t="s">
        <v>181</v>
      </c>
      <c r="D29" s="164" t="s">
        <v>59</v>
      </c>
      <c r="E29" s="208">
        <v>48.3</v>
      </c>
      <c r="F29" s="157">
        <v>3.68</v>
      </c>
      <c r="G29" s="160" t="s">
        <v>9</v>
      </c>
      <c r="H29" s="161">
        <f t="shared" si="80"/>
        <v>8</v>
      </c>
      <c r="I29" s="161">
        <f t="shared" si="81"/>
        <v>8</v>
      </c>
      <c r="J29" s="161"/>
      <c r="K29" s="177" t="str">
        <f t="shared" si="82"/>
        <v>en angle</v>
      </c>
      <c r="L29" s="158" t="str">
        <f t="shared" si="83"/>
        <v>monopasse</v>
      </c>
      <c r="M29" s="161" t="str">
        <f t="shared" si="84"/>
        <v>PB</v>
      </c>
      <c r="N29" s="224">
        <f t="shared" si="85"/>
        <v>25</v>
      </c>
      <c r="O29" s="294">
        <f t="shared" si="86"/>
        <v>999999</v>
      </c>
      <c r="P29" s="294">
        <f t="shared" si="87"/>
        <v>4</v>
      </c>
      <c r="Q29" s="294">
        <f t="shared" si="88"/>
        <v>16</v>
      </c>
      <c r="R29" s="294">
        <f t="shared" si="89"/>
        <v>3</v>
      </c>
      <c r="S29" s="294">
        <f t="shared" si="90"/>
        <v>10.199999999999999</v>
      </c>
      <c r="T29" s="212" t="str">
        <f t="shared" si="91"/>
        <v>&lt;=150</v>
      </c>
      <c r="U29" s="212" t="str">
        <f t="shared" si="92"/>
        <v>3,2/4</v>
      </c>
      <c r="V29" s="205">
        <f t="shared" si="93"/>
        <v>111</v>
      </c>
      <c r="W29" s="176" t="str">
        <f t="shared" si="15"/>
        <v>VRAI</v>
      </c>
      <c r="X29" s="162" t="b">
        <f t="shared" si="94"/>
        <v>0</v>
      </c>
      <c r="Y29" s="124" t="s">
        <v>17</v>
      </c>
      <c r="Z29" s="221">
        <f t="shared" si="95"/>
        <v>8</v>
      </c>
      <c r="AA29" s="221">
        <f t="shared" si="96"/>
        <v>8</v>
      </c>
      <c r="AB29" s="177" t="str">
        <f t="shared" si="97"/>
        <v>en angle</v>
      </c>
      <c r="AC29" s="318" t="str">
        <f t="shared" si="98"/>
        <v>en angle</v>
      </c>
      <c r="AD29" s="221" t="str">
        <f t="shared" si="99"/>
        <v>111/111</v>
      </c>
      <c r="AE29" s="221" t="str">
        <f t="shared" si="100"/>
        <v>non</v>
      </c>
      <c r="AF29" s="221" t="str">
        <f t="shared" si="101"/>
        <v>non</v>
      </c>
      <c r="AG29" s="221" t="str">
        <f t="shared" si="102"/>
        <v>PB</v>
      </c>
      <c r="AH29" s="221" t="str">
        <f t="shared" si="103"/>
        <v>monopasse</v>
      </c>
      <c r="AI29" s="166">
        <f t="shared" si="104"/>
        <v>48.3</v>
      </c>
      <c r="AJ29" s="221">
        <f t="shared" si="105"/>
        <v>8</v>
      </c>
      <c r="AK29" s="167">
        <f t="shared" si="106"/>
        <v>5.08</v>
      </c>
      <c r="AL29" s="167">
        <f t="shared" si="107"/>
        <v>3.2</v>
      </c>
      <c r="AM29" s="167" t="str">
        <f t="shared" si="108"/>
        <v>N/A</v>
      </c>
      <c r="AN29" s="332">
        <f t="shared" si="109"/>
        <v>3</v>
      </c>
      <c r="AO29" s="321">
        <f t="shared" si="0"/>
        <v>3</v>
      </c>
      <c r="AP29" s="333">
        <f t="shared" si="110"/>
        <v>16</v>
      </c>
      <c r="AQ29" s="321">
        <f t="shared" si="111"/>
        <v>16</v>
      </c>
      <c r="AR29" s="334">
        <f t="shared" si="112"/>
        <v>3</v>
      </c>
      <c r="AS29" s="335">
        <f t="shared" si="113"/>
        <v>10.16</v>
      </c>
      <c r="AT29" s="336">
        <f t="shared" si="114"/>
        <v>24.15</v>
      </c>
      <c r="AU29" s="336"/>
      <c r="AV29" s="329"/>
      <c r="AW29" s="173" t="str">
        <f t="shared" si="115"/>
        <v>VRAI</v>
      </c>
      <c r="AX29" s="173" t="str">
        <f t="shared" si="116"/>
        <v>VRAI</v>
      </c>
      <c r="AY29" s="173" t="str">
        <f t="shared" si="23"/>
        <v>VRAI</v>
      </c>
      <c r="AZ29" s="173" t="b">
        <f t="shared" si="117"/>
        <v>1</v>
      </c>
      <c r="BA29" s="237" t="str">
        <f>INDEX($DP$7:$DZ$18,DO33,EO6)</f>
        <v>8.8</v>
      </c>
      <c r="BB29" s="238" t="b">
        <f t="shared" si="118"/>
        <v>1</v>
      </c>
      <c r="BC29" s="176" t="str">
        <f t="shared" si="119"/>
        <v>VRAI</v>
      </c>
      <c r="BD29" s="266" t="str">
        <f t="shared" si="120"/>
        <v>VRAI</v>
      </c>
      <c r="BE29" s="24" t="s">
        <v>30</v>
      </c>
      <c r="BF29" s="91" t="s">
        <v>29</v>
      </c>
      <c r="BG29" s="265" t="s">
        <v>5</v>
      </c>
      <c r="BH29" s="118"/>
      <c r="BI29" s="102"/>
      <c r="BJ29" s="99"/>
      <c r="BK29" s="99"/>
      <c r="BL29" s="101"/>
      <c r="BM29" s="99"/>
      <c r="BN29" s="126"/>
      <c r="BO29" s="124"/>
      <c r="BP29" s="102"/>
      <c r="BQ29" s="127"/>
      <c r="BR29" s="102"/>
      <c r="BS29" s="78"/>
      <c r="BT29" s="78"/>
      <c r="BU29" s="99"/>
      <c r="BV29" s="124"/>
      <c r="BW29" s="103"/>
      <c r="BX29" s="78"/>
      <c r="BY29" s="99"/>
      <c r="BZ29" s="124"/>
      <c r="CA29" s="78"/>
      <c r="CB29" s="103"/>
      <c r="CY29" s="56"/>
      <c r="CZ29" s="43"/>
      <c r="DA29" s="43"/>
      <c r="DB29" s="232"/>
      <c r="DC29" s="26"/>
      <c r="DD29" s="229"/>
      <c r="DE29" s="231"/>
      <c r="DF29" s="43"/>
      <c r="DG29" s="43"/>
      <c r="DH29" s="43"/>
      <c r="DI29" s="43"/>
      <c r="DJ29" s="43"/>
      <c r="DK29" s="43"/>
      <c r="DO29" s="233">
        <f t="shared" si="121"/>
        <v>9</v>
      </c>
      <c r="EE29" s="288"/>
      <c r="EF29" s="19"/>
      <c r="EG29" s="19"/>
      <c r="EH29" s="19"/>
      <c r="EI29" s="19"/>
      <c r="EJ29" s="43"/>
      <c r="EK29" s="19"/>
      <c r="EL29" s="19"/>
      <c r="EM29" s="19"/>
      <c r="EN29" s="19"/>
      <c r="EO29" s="19"/>
      <c r="EP29" s="19"/>
    </row>
    <row r="30" spans="2:146" ht="42.6" customHeight="1">
      <c r="B30" s="410" t="s">
        <v>4</v>
      </c>
      <c r="C30" s="278" t="s">
        <v>181</v>
      </c>
      <c r="D30" s="164" t="s">
        <v>59</v>
      </c>
      <c r="E30" s="210">
        <v>114.3</v>
      </c>
      <c r="F30" s="241">
        <v>4.5</v>
      </c>
      <c r="G30" s="160" t="s">
        <v>6</v>
      </c>
      <c r="H30" s="161">
        <f t="shared" si="80"/>
        <v>8</v>
      </c>
      <c r="I30" s="161">
        <f t="shared" si="81"/>
        <v>8</v>
      </c>
      <c r="J30" s="161"/>
      <c r="K30" s="177" t="str">
        <f t="shared" si="82"/>
        <v>en angle et bout à bout penetration partielle</v>
      </c>
      <c r="L30" s="158" t="str">
        <f t="shared" si="83"/>
        <v>multipasse</v>
      </c>
      <c r="M30" s="161" t="str">
        <f t="shared" si="84"/>
        <v>PA + PB</v>
      </c>
      <c r="N30" s="224">
        <f t="shared" si="85"/>
        <v>84.15</v>
      </c>
      <c r="O30" s="294">
        <f t="shared" si="86"/>
        <v>999999</v>
      </c>
      <c r="P30" s="294">
        <f t="shared" si="87"/>
        <v>3</v>
      </c>
      <c r="Q30" s="294">
        <f t="shared" si="88"/>
        <v>14.2</v>
      </c>
      <c r="R30" s="294">
        <f t="shared" si="89"/>
        <v>3</v>
      </c>
      <c r="S30" s="294">
        <f t="shared" si="90"/>
        <v>14.2</v>
      </c>
      <c r="T30" s="212" t="str">
        <f t="shared" si="91"/>
        <v>&lt;=100</v>
      </c>
      <c r="U30" s="212" t="str">
        <f t="shared" si="92"/>
        <v>3,2/4</v>
      </c>
      <c r="V30" s="205">
        <f t="shared" si="93"/>
        <v>111</v>
      </c>
      <c r="W30" s="176" t="str">
        <f t="shared" si="15"/>
        <v>VRAI</v>
      </c>
      <c r="X30" s="162" t="str">
        <f t="shared" si="94"/>
        <v>VRAI</v>
      </c>
      <c r="Y30" s="129" t="s">
        <v>16</v>
      </c>
      <c r="Z30" s="221">
        <f t="shared" si="95"/>
        <v>8</v>
      </c>
      <c r="AA30" s="221">
        <f t="shared" si="96"/>
        <v>8</v>
      </c>
      <c r="AB30" s="177" t="str">
        <f t="shared" si="97"/>
        <v>en angle</v>
      </c>
      <c r="AC30" s="318" t="str">
        <f t="shared" si="98"/>
        <v>en angle</v>
      </c>
      <c r="AD30" s="221" t="str">
        <f t="shared" si="99"/>
        <v>111/111</v>
      </c>
      <c r="AE30" s="221" t="str">
        <f t="shared" si="100"/>
        <v>non</v>
      </c>
      <c r="AF30" s="221" t="str">
        <f t="shared" si="101"/>
        <v>non</v>
      </c>
      <c r="AG30" s="221" t="str">
        <f t="shared" si="102"/>
        <v>PB</v>
      </c>
      <c r="AH30" s="221" t="str">
        <f t="shared" si="103"/>
        <v>multipasse</v>
      </c>
      <c r="AI30" s="166">
        <f t="shared" si="104"/>
        <v>88.9</v>
      </c>
      <c r="AJ30" s="221">
        <f t="shared" si="105"/>
        <v>30</v>
      </c>
      <c r="AK30" s="167">
        <f t="shared" si="106"/>
        <v>5.49</v>
      </c>
      <c r="AL30" s="167">
        <f t="shared" si="107"/>
        <v>1.2</v>
      </c>
      <c r="AM30" s="167" t="str">
        <f t="shared" si="108"/>
        <v>152/160</v>
      </c>
      <c r="AN30" s="332" t="str">
        <f t="shared" si="109"/>
        <v>&gt;=5</v>
      </c>
      <c r="AO30" s="321">
        <f t="shared" si="0"/>
        <v>5</v>
      </c>
      <c r="AP30" s="333" t="str">
        <f t="shared" si="110"/>
        <v>&gt;=5</v>
      </c>
      <c r="AQ30" s="321">
        <f t="shared" si="111"/>
        <v>5</v>
      </c>
      <c r="AR30" s="334">
        <f t="shared" si="112"/>
        <v>3</v>
      </c>
      <c r="AS30" s="335">
        <f t="shared" si="113"/>
        <v>10.98</v>
      </c>
      <c r="AT30" s="336">
        <f t="shared" si="114"/>
        <v>44.45</v>
      </c>
      <c r="AU30" s="336"/>
      <c r="AV30" s="329"/>
      <c r="AW30" s="173" t="str">
        <f t="shared" si="115"/>
        <v>VRAI</v>
      </c>
      <c r="AX30" s="173" t="str">
        <f t="shared" si="116"/>
        <v>VRAI</v>
      </c>
      <c r="AY30" s="173" t="str">
        <f t="shared" si="23"/>
        <v>VRAI</v>
      </c>
      <c r="AZ30" s="173" t="b">
        <f t="shared" si="117"/>
        <v>1</v>
      </c>
      <c r="BA30" s="237" t="str">
        <f>INDEX($DP$7:$DZ$18,DO34,EP6)</f>
        <v>8.8</v>
      </c>
      <c r="BB30" s="238" t="b">
        <f t="shared" si="118"/>
        <v>1</v>
      </c>
      <c r="BC30" s="176" t="str">
        <f t="shared" si="119"/>
        <v>VRAI</v>
      </c>
      <c r="BD30" s="266" t="str">
        <f t="shared" si="120"/>
        <v>VRAI</v>
      </c>
      <c r="BE30" s="427" t="s">
        <v>30</v>
      </c>
      <c r="BF30" s="431" t="s">
        <v>29</v>
      </c>
      <c r="BG30" s="434" t="s">
        <v>5</v>
      </c>
      <c r="BH30" s="118"/>
      <c r="BI30" s="102"/>
      <c r="BJ30" s="99"/>
      <c r="BK30" s="99"/>
      <c r="BL30" s="101"/>
      <c r="BM30" s="99"/>
      <c r="BN30" s="126"/>
      <c r="BO30" s="124"/>
      <c r="BP30" s="121"/>
      <c r="BQ30" s="127"/>
      <c r="BR30" s="94"/>
      <c r="BS30" s="122"/>
      <c r="BT30" s="91"/>
      <c r="BU30" s="92"/>
      <c r="BV30" s="128"/>
      <c r="BW30" s="91"/>
      <c r="BX30" s="128"/>
      <c r="BY30" s="105"/>
      <c r="BZ30" s="112"/>
      <c r="CA30" s="109"/>
      <c r="CB30" s="104"/>
      <c r="CY30" s="56"/>
      <c r="CZ30" s="43"/>
      <c r="DA30" s="43"/>
      <c r="DB30" s="232"/>
      <c r="DC30" s="26"/>
      <c r="DD30" s="229"/>
      <c r="DE30" s="231"/>
      <c r="DF30" s="43"/>
      <c r="DG30" s="43"/>
      <c r="DH30" s="43"/>
      <c r="DI30" s="43"/>
      <c r="DJ30" s="43"/>
      <c r="DK30" s="43"/>
      <c r="DO30" s="233">
        <f t="shared" si="121"/>
        <v>9</v>
      </c>
      <c r="EE30" s="288"/>
      <c r="EF30" s="19"/>
      <c r="EG30" s="19"/>
      <c r="EH30" s="19"/>
      <c r="EI30" s="19"/>
      <c r="EJ30" s="43"/>
      <c r="EK30" s="19"/>
      <c r="EL30" s="19"/>
      <c r="EM30" s="19"/>
      <c r="EN30" s="19"/>
      <c r="EO30" s="19"/>
      <c r="EP30" s="19"/>
    </row>
    <row r="31" spans="2:146" ht="41.4" customHeight="1">
      <c r="B31" s="411"/>
      <c r="C31" s="278" t="s">
        <v>181</v>
      </c>
      <c r="D31" s="164" t="s">
        <v>59</v>
      </c>
      <c r="E31" s="210">
        <v>114.3</v>
      </c>
      <c r="F31" s="241">
        <v>4.5</v>
      </c>
      <c r="G31" s="160" t="s">
        <v>6</v>
      </c>
      <c r="H31" s="161">
        <f t="shared" si="80"/>
        <v>8</v>
      </c>
      <c r="I31" s="161">
        <f t="shared" si="81"/>
        <v>8</v>
      </c>
      <c r="J31" s="161"/>
      <c r="K31" s="177" t="str">
        <f t="shared" si="82"/>
        <v>en angle et bout à bout penetration partielle</v>
      </c>
      <c r="L31" s="158" t="str">
        <f t="shared" si="83"/>
        <v>multipasse</v>
      </c>
      <c r="M31" s="161" t="str">
        <f t="shared" si="84"/>
        <v>PA + PB</v>
      </c>
      <c r="N31" s="224">
        <f t="shared" si="85"/>
        <v>84.15</v>
      </c>
      <c r="O31" s="294">
        <f t="shared" si="86"/>
        <v>999999</v>
      </c>
      <c r="P31" s="294">
        <f t="shared" si="87"/>
        <v>3</v>
      </c>
      <c r="Q31" s="294">
        <f t="shared" si="88"/>
        <v>14.2</v>
      </c>
      <c r="R31" s="294">
        <f t="shared" si="89"/>
        <v>3</v>
      </c>
      <c r="S31" s="294">
        <f t="shared" si="90"/>
        <v>14.2</v>
      </c>
      <c r="T31" s="212" t="str">
        <f t="shared" si="91"/>
        <v>&lt;=100</v>
      </c>
      <c r="U31" s="212" t="str">
        <f t="shared" si="92"/>
        <v>3,2/4</v>
      </c>
      <c r="V31" s="205">
        <f t="shared" si="93"/>
        <v>111</v>
      </c>
      <c r="W31" s="176" t="str">
        <f t="shared" si="15"/>
        <v>VRAI</v>
      </c>
      <c r="X31" s="162" t="str">
        <f t="shared" si="94"/>
        <v>VRAI</v>
      </c>
      <c r="Y31" s="129" t="s">
        <v>19</v>
      </c>
      <c r="Z31" s="221">
        <f t="shared" si="95"/>
        <v>8</v>
      </c>
      <c r="AA31" s="221">
        <f t="shared" si="96"/>
        <v>8</v>
      </c>
      <c r="AB31" s="177" t="str">
        <f t="shared" si="97"/>
        <v>Bout à bout pleine penetration</v>
      </c>
      <c r="AC31" s="318" t="str">
        <f t="shared" si="98"/>
        <v>Bout à bout</v>
      </c>
      <c r="AD31" s="221" t="str">
        <f t="shared" si="99"/>
        <v>141/111</v>
      </c>
      <c r="AE31" s="221" t="str">
        <f t="shared" si="100"/>
        <v>non</v>
      </c>
      <c r="AF31" s="221" t="str">
        <f t="shared" si="101"/>
        <v>oui</v>
      </c>
      <c r="AG31" s="221" t="str">
        <f t="shared" si="102"/>
        <v>PH</v>
      </c>
      <c r="AH31" s="221" t="str">
        <f t="shared" si="103"/>
        <v>multipasse</v>
      </c>
      <c r="AI31" s="166">
        <f t="shared" si="104"/>
        <v>168.3</v>
      </c>
      <c r="AJ31" s="221">
        <f t="shared" si="105"/>
        <v>7.11</v>
      </c>
      <c r="AK31" s="167">
        <f t="shared" si="106"/>
        <v>7.11</v>
      </c>
      <c r="AL31" s="325" t="str">
        <f t="shared" si="107"/>
        <v>2/2,5</v>
      </c>
      <c r="AM31" s="167">
        <f t="shared" si="108"/>
        <v>100</v>
      </c>
      <c r="AN31" s="332">
        <f t="shared" si="109"/>
        <v>3</v>
      </c>
      <c r="AO31" s="321">
        <f t="shared" si="0"/>
        <v>3</v>
      </c>
      <c r="AP31" s="333">
        <f t="shared" si="110"/>
        <v>14.22</v>
      </c>
      <c r="AQ31" s="321">
        <f t="shared" si="111"/>
        <v>14.22</v>
      </c>
      <c r="AR31" s="334">
        <f t="shared" si="112"/>
        <v>3</v>
      </c>
      <c r="AS31" s="335">
        <f t="shared" si="113"/>
        <v>14.22</v>
      </c>
      <c r="AT31" s="336">
        <f t="shared" si="114"/>
        <v>84.15</v>
      </c>
      <c r="AU31" s="336" t="str">
        <f>VLOOKUP(Y31,$CI$6:$CW$14,15,0)</f>
        <v>tube</v>
      </c>
      <c r="AV31" s="329"/>
      <c r="AW31" s="173" t="str">
        <f t="shared" si="115"/>
        <v>VRAI</v>
      </c>
      <c r="AX31" s="173" t="str">
        <f t="shared" si="116"/>
        <v>VRAI</v>
      </c>
      <c r="AY31" s="173" t="str">
        <f t="shared" si="23"/>
        <v>VRAI</v>
      </c>
      <c r="AZ31" s="173" t="b">
        <f t="shared" si="117"/>
        <v>1</v>
      </c>
      <c r="BA31" s="237" t="str">
        <f>INDEX($DP$7:$DZ$18,DO35,EQ6)</f>
        <v>8.8</v>
      </c>
      <c r="BB31" s="238" t="b">
        <f t="shared" si="118"/>
        <v>1</v>
      </c>
      <c r="BC31" s="176" t="str">
        <f t="shared" si="119"/>
        <v>VRAI</v>
      </c>
      <c r="BD31" s="266" t="b">
        <f t="shared" si="120"/>
        <v>0</v>
      </c>
      <c r="BE31" s="428"/>
      <c r="BF31" s="432"/>
      <c r="BG31" s="435"/>
      <c r="BH31" s="118"/>
      <c r="BI31" s="102"/>
      <c r="BJ31" s="99"/>
      <c r="BK31" s="99"/>
      <c r="BL31" s="101"/>
      <c r="BM31" s="99"/>
      <c r="BN31" s="126"/>
      <c r="BO31" s="124"/>
      <c r="BP31" s="121"/>
      <c r="BQ31" s="127"/>
      <c r="BR31" s="94"/>
      <c r="BS31" s="122"/>
      <c r="BT31" s="91"/>
      <c r="BU31" s="92"/>
      <c r="BV31" s="128"/>
      <c r="BW31" s="91"/>
      <c r="BX31" s="128"/>
      <c r="BY31" s="105"/>
      <c r="BZ31" s="112"/>
      <c r="CA31" s="109"/>
      <c r="CB31" s="104"/>
      <c r="CF31" s="47"/>
      <c r="DO31" s="233">
        <f t="shared" si="121"/>
        <v>9</v>
      </c>
      <c r="EE31" s="288"/>
      <c r="EF31" s="268"/>
      <c r="EG31" s="268"/>
      <c r="EH31" s="268"/>
      <c r="EI31" s="268"/>
      <c r="EJ31" s="268"/>
      <c r="EK31" s="268"/>
      <c r="EL31" s="287"/>
      <c r="EM31" s="287"/>
      <c r="EN31" s="287"/>
      <c r="EO31" s="287"/>
      <c r="EP31" s="287"/>
    </row>
    <row r="32" spans="2:146" ht="38.4" customHeight="1">
      <c r="B32" s="410" t="s">
        <v>33</v>
      </c>
      <c r="C32" s="278" t="s">
        <v>181</v>
      </c>
      <c r="D32" s="164" t="s">
        <v>59</v>
      </c>
      <c r="E32" s="208">
        <v>168.3</v>
      </c>
      <c r="F32" s="183">
        <v>7.11</v>
      </c>
      <c r="G32" s="281" t="s">
        <v>6</v>
      </c>
      <c r="H32" s="161">
        <f t="shared" si="80"/>
        <v>8</v>
      </c>
      <c r="I32" s="161">
        <f t="shared" si="81"/>
        <v>8</v>
      </c>
      <c r="J32" s="161"/>
      <c r="K32" s="177" t="str">
        <f t="shared" si="82"/>
        <v>en angle et bout à bout penetration partielle</v>
      </c>
      <c r="L32" s="158" t="str">
        <f t="shared" si="83"/>
        <v>multipasse</v>
      </c>
      <c r="M32" s="161" t="str">
        <f t="shared" si="84"/>
        <v>PA + PB</v>
      </c>
      <c r="N32" s="224">
        <f t="shared" si="85"/>
        <v>84.15</v>
      </c>
      <c r="O32" s="294">
        <f t="shared" si="86"/>
        <v>999999</v>
      </c>
      <c r="P32" s="294">
        <f t="shared" si="87"/>
        <v>3</v>
      </c>
      <c r="Q32" s="294">
        <f t="shared" si="88"/>
        <v>14.2</v>
      </c>
      <c r="R32" s="294">
        <f t="shared" si="89"/>
        <v>3</v>
      </c>
      <c r="S32" s="294">
        <f t="shared" si="90"/>
        <v>14.2</v>
      </c>
      <c r="T32" s="212" t="str">
        <f t="shared" si="91"/>
        <v>&lt;=100</v>
      </c>
      <c r="U32" s="213" t="str">
        <f t="shared" si="92"/>
        <v>3,2/4</v>
      </c>
      <c r="V32" s="205">
        <f t="shared" si="93"/>
        <v>111</v>
      </c>
      <c r="W32" s="176" t="str">
        <f t="shared" si="15"/>
        <v>VRAI</v>
      </c>
      <c r="X32" s="162" t="str">
        <f t="shared" si="94"/>
        <v>VRAI</v>
      </c>
      <c r="Y32" s="186" t="s">
        <v>16</v>
      </c>
      <c r="Z32" s="221">
        <f t="shared" si="95"/>
        <v>8</v>
      </c>
      <c r="AA32" s="221">
        <f t="shared" si="96"/>
        <v>8</v>
      </c>
      <c r="AB32" s="177" t="str">
        <f t="shared" si="97"/>
        <v>en angle</v>
      </c>
      <c r="AC32" s="318" t="str">
        <f t="shared" si="98"/>
        <v>en angle</v>
      </c>
      <c r="AD32" s="221" t="str">
        <f t="shared" si="99"/>
        <v>111/111</v>
      </c>
      <c r="AE32" s="221" t="str">
        <f t="shared" si="100"/>
        <v>non</v>
      </c>
      <c r="AF32" s="221" t="str">
        <f t="shared" si="101"/>
        <v>non</v>
      </c>
      <c r="AG32" s="221" t="str">
        <f t="shared" si="102"/>
        <v>PB</v>
      </c>
      <c r="AH32" s="221" t="str">
        <f t="shared" si="103"/>
        <v>multipasse</v>
      </c>
      <c r="AI32" s="166">
        <f t="shared" si="104"/>
        <v>88.9</v>
      </c>
      <c r="AJ32" s="221">
        <f t="shared" si="105"/>
        <v>30</v>
      </c>
      <c r="AK32" s="167">
        <f t="shared" si="106"/>
        <v>5.49</v>
      </c>
      <c r="AL32" s="167">
        <f t="shared" si="107"/>
        <v>1.2</v>
      </c>
      <c r="AM32" s="167" t="str">
        <f t="shared" si="108"/>
        <v>152/160</v>
      </c>
      <c r="AN32" s="332" t="str">
        <f t="shared" si="109"/>
        <v>&gt;=5</v>
      </c>
      <c r="AO32" s="321">
        <f t="shared" si="0"/>
        <v>5</v>
      </c>
      <c r="AP32" s="333" t="str">
        <f t="shared" si="110"/>
        <v>&gt;=5</v>
      </c>
      <c r="AQ32" s="321">
        <f t="shared" si="111"/>
        <v>5</v>
      </c>
      <c r="AR32" s="334">
        <f t="shared" si="112"/>
        <v>3</v>
      </c>
      <c r="AS32" s="335">
        <f t="shared" si="113"/>
        <v>10.98</v>
      </c>
      <c r="AT32" s="336">
        <f t="shared" si="114"/>
        <v>44.45</v>
      </c>
      <c r="AU32" s="336"/>
      <c r="AV32" s="329"/>
      <c r="AW32" s="173" t="str">
        <f t="shared" si="115"/>
        <v>VRAI</v>
      </c>
      <c r="AX32" s="173" t="str">
        <f t="shared" si="116"/>
        <v>VRAI</v>
      </c>
      <c r="AY32" s="173" t="str">
        <f t="shared" si="23"/>
        <v>VRAI</v>
      </c>
      <c r="AZ32" s="173" t="b">
        <f t="shared" si="117"/>
        <v>1</v>
      </c>
      <c r="BA32" s="237" t="e">
        <f>INDEX($DP$7:$DZ$18,DO65,ER6)</f>
        <v>#N/A</v>
      </c>
      <c r="BB32" s="238" t="b">
        <f t="shared" si="118"/>
        <v>1</v>
      </c>
      <c r="BC32" s="176" t="str">
        <f t="shared" si="119"/>
        <v>VRAI</v>
      </c>
      <c r="BD32" s="266" t="str">
        <f t="shared" si="120"/>
        <v>VRAI</v>
      </c>
      <c r="BE32" s="429" t="s">
        <v>30</v>
      </c>
      <c r="BF32" s="431" t="s">
        <v>29</v>
      </c>
      <c r="BG32" s="434" t="s">
        <v>5</v>
      </c>
      <c r="BH32" s="188"/>
      <c r="BI32" s="189"/>
      <c r="BJ32" s="190"/>
      <c r="BK32" s="190"/>
      <c r="BL32" s="191"/>
      <c r="BM32" s="190"/>
      <c r="BN32" s="192"/>
      <c r="BO32" s="193"/>
      <c r="BP32" s="194"/>
      <c r="BQ32" s="195"/>
      <c r="BR32" s="196"/>
      <c r="BS32" s="197"/>
      <c r="BT32" s="187"/>
      <c r="BU32" s="198"/>
      <c r="BV32" s="199"/>
      <c r="BW32" s="187"/>
      <c r="BX32" s="199"/>
      <c r="BY32" s="200"/>
      <c r="BZ32" s="201"/>
      <c r="CA32" s="202"/>
      <c r="CB32" s="203"/>
      <c r="CF32" s="55"/>
      <c r="DO32" s="233">
        <f t="shared" si="121"/>
        <v>9</v>
      </c>
      <c r="EE32" s="288"/>
      <c r="EF32" s="19"/>
      <c r="EG32" s="43"/>
      <c r="EH32" s="43"/>
      <c r="EI32" s="43"/>
      <c r="EJ32" s="43"/>
      <c r="EK32" s="43"/>
      <c r="EL32" s="19"/>
      <c r="EM32" s="19"/>
      <c r="EN32" s="19"/>
      <c r="EO32" s="19"/>
      <c r="EP32" s="19"/>
    </row>
    <row r="33" spans="2:146" ht="27.6" customHeight="1" thickBot="1">
      <c r="B33" s="412"/>
      <c r="C33" s="280" t="s">
        <v>181</v>
      </c>
      <c r="D33" s="277" t="s">
        <v>59</v>
      </c>
      <c r="E33" s="211">
        <v>168.3</v>
      </c>
      <c r="F33" s="243">
        <v>7.11</v>
      </c>
      <c r="G33" s="282" t="s">
        <v>6</v>
      </c>
      <c r="H33" s="150">
        <f t="shared" si="80"/>
        <v>8</v>
      </c>
      <c r="I33" s="150">
        <f t="shared" si="81"/>
        <v>8</v>
      </c>
      <c r="J33" s="150"/>
      <c r="K33" s="179" t="str">
        <f t="shared" si="82"/>
        <v>en angle et bout à bout penetration partielle</v>
      </c>
      <c r="L33" s="159" t="str">
        <f t="shared" si="83"/>
        <v>multipasse</v>
      </c>
      <c r="M33" s="150" t="str">
        <f t="shared" si="84"/>
        <v>PA + PB</v>
      </c>
      <c r="N33" s="283">
        <f t="shared" si="85"/>
        <v>84.15</v>
      </c>
      <c r="O33" s="150">
        <f t="shared" si="86"/>
        <v>999999</v>
      </c>
      <c r="P33" s="150">
        <f t="shared" si="87"/>
        <v>3</v>
      </c>
      <c r="Q33" s="150">
        <f t="shared" si="88"/>
        <v>14.2</v>
      </c>
      <c r="R33" s="150">
        <f t="shared" si="89"/>
        <v>3</v>
      </c>
      <c r="S33" s="150">
        <f t="shared" si="90"/>
        <v>14.2</v>
      </c>
      <c r="T33" s="324" t="str">
        <f t="shared" si="91"/>
        <v>&lt;=100</v>
      </c>
      <c r="U33" s="324" t="str">
        <f t="shared" si="92"/>
        <v>3,2/4</v>
      </c>
      <c r="V33" s="150">
        <f t="shared" si="93"/>
        <v>111</v>
      </c>
      <c r="W33" s="180" t="str">
        <f t="shared" si="15"/>
        <v>VRAI</v>
      </c>
      <c r="X33" s="267" t="str">
        <f t="shared" si="94"/>
        <v>VRAI</v>
      </c>
      <c r="Y33" s="130" t="s">
        <v>19</v>
      </c>
      <c r="Z33" s="131">
        <f t="shared" si="95"/>
        <v>8</v>
      </c>
      <c r="AA33" s="131">
        <f t="shared" si="96"/>
        <v>8</v>
      </c>
      <c r="AB33" s="179" t="str">
        <f t="shared" si="97"/>
        <v>Bout à bout pleine penetration</v>
      </c>
      <c r="AC33" s="320" t="str">
        <f t="shared" si="98"/>
        <v>Bout à bout</v>
      </c>
      <c r="AD33" s="131" t="str">
        <f t="shared" si="99"/>
        <v>141/111</v>
      </c>
      <c r="AE33" s="131" t="str">
        <f t="shared" si="100"/>
        <v>non</v>
      </c>
      <c r="AF33" s="131" t="str">
        <f t="shared" si="101"/>
        <v>oui</v>
      </c>
      <c r="AG33" s="131" t="str">
        <f t="shared" si="102"/>
        <v>PH</v>
      </c>
      <c r="AH33" s="131" t="str">
        <f t="shared" si="103"/>
        <v>multipasse</v>
      </c>
      <c r="AI33" s="132">
        <f t="shared" si="104"/>
        <v>168.3</v>
      </c>
      <c r="AJ33" s="131">
        <f t="shared" si="105"/>
        <v>7.11</v>
      </c>
      <c r="AK33" s="276">
        <f t="shared" si="106"/>
        <v>7.11</v>
      </c>
      <c r="AL33" s="276" t="str">
        <f t="shared" si="107"/>
        <v>2/2,5</v>
      </c>
      <c r="AM33" s="131">
        <f t="shared" si="108"/>
        <v>100</v>
      </c>
      <c r="AN33" s="337">
        <f t="shared" si="109"/>
        <v>3</v>
      </c>
      <c r="AO33" s="338">
        <f t="shared" si="0"/>
        <v>3</v>
      </c>
      <c r="AP33" s="338">
        <f t="shared" si="110"/>
        <v>14.22</v>
      </c>
      <c r="AQ33" s="339">
        <f t="shared" si="111"/>
        <v>14.22</v>
      </c>
      <c r="AR33" s="339">
        <f t="shared" si="112"/>
        <v>3</v>
      </c>
      <c r="AS33" s="339">
        <f t="shared" si="113"/>
        <v>14.22</v>
      </c>
      <c r="AT33" s="340">
        <f t="shared" si="114"/>
        <v>84.15</v>
      </c>
      <c r="AU33" s="340"/>
      <c r="AV33" s="330"/>
      <c r="AW33" s="180" t="str">
        <f t="shared" si="115"/>
        <v>VRAI</v>
      </c>
      <c r="AX33" s="180" t="str">
        <f t="shared" si="116"/>
        <v>VRAI</v>
      </c>
      <c r="AY33" s="180" t="str">
        <f t="shared" si="23"/>
        <v>VRAI</v>
      </c>
      <c r="AZ33" s="180" t="b">
        <f t="shared" si="117"/>
        <v>1</v>
      </c>
      <c r="BA33" s="296" t="e">
        <f>INDEX($DP$7:$DZ$18,DO66,ES6)</f>
        <v>#N/A</v>
      </c>
      <c r="BB33" s="239" t="b">
        <f t="shared" si="118"/>
        <v>1</v>
      </c>
      <c r="BC33" s="180" t="str">
        <f t="shared" ref="BC33" si="122">IF(OR(AF33="non",AE33="non"),"VRAI",IF(AND(AF33="oui",AE33="non",AU33="tube",AG33="PH"),"VRAI",IF(AND(AF33="oui",AE33="non",AU33="tube",AG33="HL045"),"VRAI",IF(AND(AF33="oui",AE33="non",AU33="tube",AG33="PA"),"VRAI",IF(AND(AF33="oui",AE33="non",AU33="tole",AG33="PA"),"VRAI",IF(AND(AF33="oui",AE33="non",AU33="tole",AG33="PF"),"VRAI",IF(AND(AF33="non",AE33="oui",AU33="tole",AG33="PE"),"VRAI",IF(AND(AF33="non",AE33="oui",AU33="tole",AG33="PC"),"VRAI",IF(AND(AF33="non",AE33="oui",AU33="tole",AG33="PG"),"VRAI",IF(AND(AF33="non",AE33="oui",AU33="tube",AG33="PH"),"VRAI",IF(AND(AF33="non",AE33="oui",AU33="tube",AG33="HL045"),"VRAI",IF(AND(AF33="non",AE33="oui",AU33="tube",AG33="PC"),"VRAI",IF(AND(AF33="non",AE33="oui",AU33="tube",AG33="PJ"),"VRAI")))))))))))))</f>
        <v>VRAI</v>
      </c>
      <c r="BD33" s="215" t="b">
        <f t="shared" si="120"/>
        <v>0</v>
      </c>
      <c r="BE33" s="430"/>
      <c r="BF33" s="433"/>
      <c r="BG33" s="436"/>
      <c r="BH33" s="133"/>
      <c r="BI33" s="134"/>
      <c r="BJ33" s="135"/>
      <c r="BK33" s="135"/>
      <c r="BL33" s="136"/>
      <c r="BM33" s="135"/>
      <c r="BN33" s="137"/>
      <c r="BO33" s="138"/>
      <c r="BP33" s="134"/>
      <c r="BQ33" s="139"/>
      <c r="BR33" s="134"/>
      <c r="BS33" s="140"/>
      <c r="BT33" s="141"/>
      <c r="BU33" s="142"/>
      <c r="BV33" s="143"/>
      <c r="BW33" s="144"/>
      <c r="BX33" s="143"/>
      <c r="BY33" s="145"/>
      <c r="BZ33" s="146"/>
      <c r="CA33" s="147"/>
      <c r="CB33" s="144"/>
      <c r="DO33" s="233">
        <f t="shared" si="121"/>
        <v>9</v>
      </c>
      <c r="EE33" s="288"/>
      <c r="EF33" s="19"/>
      <c r="EG33" s="19"/>
      <c r="EH33" s="43"/>
      <c r="EI33" s="43"/>
      <c r="EJ33" s="43"/>
      <c r="EK33" s="43"/>
      <c r="EL33" s="19"/>
      <c r="EM33" s="19"/>
      <c r="EN33" s="19"/>
      <c r="EO33" s="19"/>
      <c r="EP33" s="19"/>
    </row>
    <row r="34" spans="2:146">
      <c r="BD34" s="15"/>
      <c r="DO34" s="233">
        <f t="shared" si="121"/>
        <v>9</v>
      </c>
      <c r="EE34" s="288"/>
      <c r="EF34" s="19"/>
      <c r="EG34" s="19"/>
      <c r="EH34" s="19"/>
      <c r="EI34" s="43"/>
      <c r="EJ34" s="43"/>
      <c r="EK34" s="43"/>
      <c r="EL34" s="19"/>
      <c r="EM34" s="19"/>
      <c r="EN34" s="19"/>
      <c r="EO34" s="19"/>
      <c r="EP34" s="19"/>
    </row>
    <row r="35" spans="2:146">
      <c r="BD35" s="24"/>
      <c r="DO35" s="233">
        <f t="shared" si="121"/>
        <v>9</v>
      </c>
      <c r="EE35" s="288"/>
      <c r="EF35" s="19"/>
      <c r="EG35" s="19"/>
      <c r="EH35" s="19"/>
      <c r="EI35" s="19"/>
      <c r="EJ35" s="43"/>
      <c r="EK35" s="43"/>
      <c r="EL35" s="19"/>
      <c r="EM35" s="19"/>
      <c r="EN35" s="19"/>
      <c r="EO35" s="19"/>
      <c r="EP35" s="19"/>
    </row>
    <row r="36" spans="2:146">
      <c r="BD36" s="24"/>
      <c r="CF36" s="290"/>
      <c r="DO36" s="233">
        <f t="shared" si="121"/>
        <v>9</v>
      </c>
      <c r="EE36" s="288"/>
      <c r="EF36" s="19"/>
      <c r="EG36" s="19"/>
      <c r="EH36" s="19"/>
      <c r="EI36" s="19"/>
      <c r="EJ36" s="43"/>
      <c r="EK36" s="43"/>
      <c r="EL36" s="19"/>
      <c r="EM36" s="19"/>
      <c r="EN36" s="19"/>
      <c r="EO36" s="19"/>
      <c r="EP36" s="19"/>
    </row>
    <row r="37" spans="2:146">
      <c r="BD37" s="24"/>
      <c r="CF37" s="290"/>
      <c r="DO37" s="233">
        <f t="shared" si="121"/>
        <v>9</v>
      </c>
      <c r="EE37" s="288"/>
      <c r="EF37" s="19"/>
      <c r="EG37" s="19"/>
      <c r="EH37" s="19"/>
      <c r="EI37" s="19"/>
      <c r="EJ37" s="43"/>
      <c r="EK37" s="43"/>
      <c r="EL37" s="19"/>
      <c r="EM37" s="19"/>
      <c r="EN37" s="19"/>
      <c r="EO37" s="19"/>
      <c r="EP37" s="19"/>
    </row>
    <row r="38" spans="2:146">
      <c r="BD38" s="24"/>
      <c r="CF38" s="290"/>
      <c r="DO38" s="233">
        <f t="shared" si="121"/>
        <v>9</v>
      </c>
      <c r="EE38" s="288"/>
      <c r="EF38" s="19"/>
      <c r="EG38" s="19"/>
      <c r="EH38" s="19"/>
      <c r="EI38" s="19"/>
      <c r="EJ38" s="43"/>
      <c r="EK38" s="43"/>
      <c r="EL38" s="19"/>
      <c r="EM38" s="19"/>
      <c r="EN38" s="19"/>
      <c r="EO38" s="19"/>
      <c r="EP38" s="19"/>
    </row>
    <row r="39" spans="2:146">
      <c r="BD39" s="24"/>
      <c r="CF39" s="290"/>
      <c r="DO39" s="233">
        <f t="shared" si="121"/>
        <v>9</v>
      </c>
      <c r="EE39" s="288"/>
      <c r="EF39" s="19"/>
      <c r="EG39" s="19"/>
      <c r="EH39" s="19"/>
      <c r="EI39" s="19"/>
      <c r="EJ39" s="43"/>
      <c r="EK39" s="43"/>
      <c r="EL39" s="19"/>
      <c r="EM39" s="19"/>
      <c r="EN39" s="19"/>
      <c r="EO39" s="19"/>
      <c r="EP39" s="19"/>
    </row>
    <row r="40" spans="2:146">
      <c r="BD40" s="24"/>
      <c r="CF40" s="290"/>
      <c r="DO40" s="233">
        <f t="shared" si="121"/>
        <v>9</v>
      </c>
      <c r="EE40" s="288"/>
      <c r="EF40" s="19"/>
      <c r="EG40" s="19"/>
      <c r="EH40" s="19"/>
      <c r="EI40" s="19"/>
      <c r="EJ40" s="43"/>
      <c r="EK40" s="43"/>
      <c r="EL40" s="19"/>
      <c r="EM40" s="19"/>
      <c r="EN40" s="19"/>
      <c r="EO40" s="19"/>
      <c r="EP40" s="19"/>
    </row>
    <row r="41" spans="2:146">
      <c r="BD41" s="24"/>
      <c r="CF41" s="290"/>
      <c r="DO41" s="233" t="e">
        <f t="shared" si="121"/>
        <v>#N/A</v>
      </c>
      <c r="EE41" s="288"/>
      <c r="EF41" s="19"/>
      <c r="EG41" s="19"/>
      <c r="EH41" s="19"/>
      <c r="EI41" s="19"/>
      <c r="EJ41" s="43"/>
      <c r="EK41" s="43"/>
      <c r="EL41" s="19"/>
      <c r="EM41" s="19"/>
      <c r="EN41" s="19"/>
      <c r="EO41" s="19"/>
      <c r="EP41" s="19"/>
    </row>
    <row r="42" spans="2:146">
      <c r="BD42" s="24"/>
      <c r="CF42" s="290"/>
      <c r="DO42" s="233" t="e">
        <f t="shared" si="121"/>
        <v>#N/A</v>
      </c>
      <c r="EE42" s="288"/>
      <c r="EF42" s="19"/>
      <c r="EG42" s="19"/>
      <c r="EH42" s="19"/>
      <c r="EI42" s="19"/>
      <c r="EJ42" s="43"/>
      <c r="EK42" s="43"/>
      <c r="EL42" s="19"/>
      <c r="EM42" s="19"/>
      <c r="EN42" s="19"/>
      <c r="EO42" s="19"/>
      <c r="EP42" s="19"/>
    </row>
    <row r="43" spans="2:146">
      <c r="BD43" s="24"/>
      <c r="CF43" s="290"/>
      <c r="DO43" s="233" t="e">
        <f t="shared" si="121"/>
        <v>#N/A</v>
      </c>
      <c r="EE43" s="288"/>
      <c r="EF43" s="19"/>
      <c r="EG43" s="19"/>
      <c r="EH43" s="19"/>
      <c r="EI43" s="19"/>
      <c r="EJ43" s="43"/>
      <c r="EK43" s="43"/>
      <c r="EL43" s="19"/>
      <c r="EM43" s="19"/>
      <c r="EN43" s="19"/>
      <c r="EO43" s="19"/>
      <c r="EP43" s="19"/>
    </row>
    <row r="44" spans="2:146">
      <c r="BD44" s="24"/>
      <c r="CF44" s="290"/>
      <c r="DO44" s="233" t="e">
        <f t="shared" si="121"/>
        <v>#N/A</v>
      </c>
      <c r="EE44" s="288"/>
      <c r="EF44" s="19"/>
      <c r="EG44" s="19"/>
      <c r="EH44" s="19"/>
      <c r="EI44" s="19"/>
      <c r="EJ44" s="43"/>
      <c r="EK44" s="43"/>
      <c r="EL44" s="19"/>
      <c r="EM44" s="19"/>
      <c r="EN44" s="19"/>
      <c r="EO44" s="19"/>
      <c r="EP44" s="19"/>
    </row>
    <row r="45" spans="2:146">
      <c r="BD45" s="24"/>
      <c r="CF45" s="290"/>
      <c r="DO45" s="233" t="e">
        <f t="shared" si="121"/>
        <v>#N/A</v>
      </c>
      <c r="EE45" s="288"/>
      <c r="EF45" s="19"/>
      <c r="EG45" s="19"/>
      <c r="EH45" s="19"/>
      <c r="EI45" s="19"/>
      <c r="EJ45" s="43"/>
      <c r="EK45" s="43"/>
      <c r="EL45" s="19"/>
      <c r="EM45" s="19"/>
      <c r="EN45" s="19"/>
      <c r="EO45" s="19"/>
      <c r="EP45" s="19"/>
    </row>
    <row r="46" spans="2:146">
      <c r="BD46" s="24"/>
      <c r="CF46" s="290"/>
      <c r="DO46" s="233" t="e">
        <f t="shared" si="121"/>
        <v>#N/A</v>
      </c>
      <c r="EE46" s="288"/>
      <c r="EF46" s="19"/>
      <c r="EG46" s="19"/>
      <c r="EH46" s="19"/>
      <c r="EI46" s="19"/>
      <c r="EJ46" s="43"/>
      <c r="EK46" s="43"/>
      <c r="EL46" s="19"/>
      <c r="EM46" s="19"/>
      <c r="EN46" s="19"/>
      <c r="EO46" s="19"/>
      <c r="EP46" s="19"/>
    </row>
    <row r="47" spans="2:146">
      <c r="BD47" s="24"/>
      <c r="CF47" s="290"/>
      <c r="DO47" s="233" t="e">
        <f t="shared" si="121"/>
        <v>#N/A</v>
      </c>
      <c r="EE47" s="288"/>
      <c r="EF47" s="19"/>
      <c r="EG47" s="19"/>
      <c r="EH47" s="19"/>
      <c r="EI47" s="19"/>
      <c r="EJ47" s="43"/>
      <c r="EK47" s="43"/>
      <c r="EL47" s="19"/>
      <c r="EM47" s="19"/>
      <c r="EN47" s="19"/>
      <c r="EO47" s="19"/>
      <c r="EP47" s="19"/>
    </row>
    <row r="48" spans="2:146">
      <c r="BD48" s="24"/>
      <c r="CF48" s="290"/>
      <c r="DO48" s="233" t="e">
        <f t="shared" si="121"/>
        <v>#N/A</v>
      </c>
      <c r="EE48" s="288"/>
      <c r="EF48" s="19"/>
      <c r="EG48" s="19"/>
      <c r="EH48" s="19"/>
      <c r="EI48" s="19"/>
      <c r="EJ48" s="43"/>
      <c r="EK48" s="43"/>
      <c r="EL48" s="19"/>
      <c r="EM48" s="19"/>
      <c r="EN48" s="19"/>
      <c r="EO48" s="19"/>
      <c r="EP48" s="19"/>
    </row>
    <row r="49" spans="56:146">
      <c r="BD49" s="24"/>
      <c r="CF49" s="290"/>
      <c r="DO49" s="233" t="e">
        <f t="shared" si="121"/>
        <v>#N/A</v>
      </c>
      <c r="EE49" s="288"/>
      <c r="EF49" s="19"/>
      <c r="EG49" s="19"/>
      <c r="EH49" s="19"/>
      <c r="EI49" s="19"/>
      <c r="EJ49" s="43"/>
      <c r="EK49" s="43"/>
      <c r="EL49" s="19"/>
      <c r="EM49" s="19"/>
      <c r="EN49" s="19"/>
      <c r="EO49" s="19"/>
      <c r="EP49" s="19"/>
    </row>
    <row r="50" spans="56:146">
      <c r="BD50" s="24"/>
      <c r="CF50" s="290"/>
      <c r="DO50" s="233" t="e">
        <f t="shared" si="121"/>
        <v>#N/A</v>
      </c>
      <c r="EE50" s="288"/>
      <c r="EF50" s="19"/>
      <c r="EG50" s="19"/>
      <c r="EH50" s="19"/>
      <c r="EI50" s="19"/>
      <c r="EJ50" s="43"/>
      <c r="EK50" s="43"/>
      <c r="EL50" s="19"/>
      <c r="EM50" s="19"/>
      <c r="EN50" s="19"/>
      <c r="EO50" s="19"/>
      <c r="EP50" s="19"/>
    </row>
    <row r="51" spans="56:146">
      <c r="BD51" s="24"/>
      <c r="CF51" s="290"/>
      <c r="DO51" s="233" t="e">
        <f t="shared" si="121"/>
        <v>#N/A</v>
      </c>
      <c r="EE51" s="288"/>
      <c r="EF51" s="19"/>
      <c r="EG51" s="19"/>
      <c r="EH51" s="19"/>
      <c r="EI51" s="19"/>
      <c r="EJ51" s="43"/>
      <c r="EK51" s="43"/>
      <c r="EL51" s="19"/>
      <c r="EM51" s="19"/>
      <c r="EN51" s="19"/>
      <c r="EO51" s="19"/>
      <c r="EP51" s="19"/>
    </row>
    <row r="52" spans="56:146">
      <c r="BD52" s="24"/>
      <c r="CF52" s="290"/>
      <c r="DO52" s="233" t="e">
        <f t="shared" si="121"/>
        <v>#N/A</v>
      </c>
      <c r="EE52" s="288"/>
      <c r="EF52" s="19"/>
      <c r="EG52" s="19"/>
      <c r="EH52" s="19"/>
      <c r="EI52" s="19"/>
      <c r="EJ52" s="43"/>
      <c r="EK52" s="43"/>
      <c r="EL52" s="19"/>
      <c r="EM52" s="19"/>
      <c r="EN52" s="19"/>
      <c r="EO52" s="19"/>
      <c r="EP52" s="19"/>
    </row>
    <row r="53" spans="56:146">
      <c r="BD53" s="24"/>
      <c r="CF53" s="290"/>
      <c r="DO53" s="233" t="e">
        <f t="shared" si="121"/>
        <v>#N/A</v>
      </c>
      <c r="EE53" s="288"/>
      <c r="EF53" s="19"/>
      <c r="EG53" s="19"/>
      <c r="EH53" s="19"/>
      <c r="EI53" s="19"/>
      <c r="EJ53" s="43"/>
      <c r="EK53" s="43"/>
      <c r="EL53" s="19"/>
      <c r="EM53" s="19"/>
      <c r="EN53" s="19"/>
      <c r="EO53" s="19"/>
      <c r="EP53" s="19"/>
    </row>
    <row r="54" spans="56:146">
      <c r="BD54" s="24"/>
      <c r="CF54" s="290"/>
      <c r="DO54" s="233" t="e">
        <f t="shared" si="121"/>
        <v>#N/A</v>
      </c>
      <c r="EE54" s="288"/>
      <c r="EF54" s="19"/>
      <c r="EG54" s="19"/>
      <c r="EH54" s="19"/>
      <c r="EI54" s="19"/>
      <c r="EJ54" s="43"/>
      <c r="EK54" s="43"/>
      <c r="EL54" s="19"/>
      <c r="EM54" s="19"/>
      <c r="EN54" s="19"/>
      <c r="EO54" s="19"/>
      <c r="EP54" s="19"/>
    </row>
    <row r="55" spans="56:146">
      <c r="BD55" s="24"/>
      <c r="CF55" s="290"/>
      <c r="DO55" s="233" t="e">
        <f t="shared" si="121"/>
        <v>#N/A</v>
      </c>
      <c r="EE55" s="288"/>
      <c r="EF55" s="19"/>
      <c r="EG55" s="19"/>
      <c r="EH55" s="19"/>
      <c r="EI55" s="19"/>
      <c r="EJ55" s="43"/>
      <c r="EK55" s="43"/>
      <c r="EL55" s="19"/>
      <c r="EM55" s="19"/>
      <c r="EN55" s="19"/>
      <c r="EO55" s="19"/>
      <c r="EP55" s="19"/>
    </row>
    <row r="56" spans="56:146">
      <c r="BD56" s="24"/>
      <c r="CF56" s="290"/>
      <c r="DO56" s="233" t="e">
        <f t="shared" si="121"/>
        <v>#N/A</v>
      </c>
      <c r="EE56" s="288"/>
      <c r="EF56" s="19"/>
      <c r="EG56" s="19"/>
      <c r="EH56" s="19"/>
      <c r="EI56" s="19"/>
      <c r="EJ56" s="43"/>
      <c r="EK56" s="43"/>
      <c r="EL56" s="19"/>
      <c r="EM56" s="19"/>
      <c r="EN56" s="19"/>
      <c r="EO56" s="19"/>
      <c r="EP56" s="19"/>
    </row>
    <row r="57" spans="56:146">
      <c r="BD57" s="24"/>
      <c r="CF57" s="290"/>
      <c r="DO57" s="233" t="e">
        <f t="shared" si="121"/>
        <v>#N/A</v>
      </c>
      <c r="EE57" s="288"/>
      <c r="EF57" s="19"/>
      <c r="EG57" s="19"/>
      <c r="EH57" s="19"/>
      <c r="EI57" s="19"/>
      <c r="EJ57" s="43"/>
      <c r="EK57" s="43"/>
      <c r="EL57" s="19"/>
      <c r="EM57" s="19"/>
      <c r="EN57" s="19"/>
      <c r="EO57" s="19"/>
      <c r="EP57" s="19"/>
    </row>
    <row r="58" spans="56:146">
      <c r="BD58" s="24"/>
      <c r="CF58" s="290"/>
      <c r="DO58" s="233" t="e">
        <f t="shared" si="121"/>
        <v>#N/A</v>
      </c>
      <c r="EE58" s="288"/>
      <c r="EF58" s="19"/>
      <c r="EG58" s="19"/>
      <c r="EH58" s="19"/>
      <c r="EI58" s="19"/>
      <c r="EJ58" s="43"/>
      <c r="EK58" s="43"/>
      <c r="EL58" s="19"/>
      <c r="EM58" s="19"/>
      <c r="EN58" s="19"/>
      <c r="EO58" s="19"/>
      <c r="EP58" s="19"/>
    </row>
    <row r="59" spans="56:146">
      <c r="BD59" s="24"/>
      <c r="CF59" s="290"/>
      <c r="DO59" s="233" t="e">
        <f t="shared" si="121"/>
        <v>#N/A</v>
      </c>
      <c r="EE59" s="288"/>
      <c r="EF59" s="19"/>
      <c r="EG59" s="19"/>
      <c r="EH59" s="19"/>
      <c r="EI59" s="19"/>
      <c r="EJ59" s="43"/>
      <c r="EK59" s="43"/>
      <c r="EL59" s="19"/>
      <c r="EM59" s="19"/>
      <c r="EN59" s="19"/>
      <c r="EO59" s="19"/>
      <c r="EP59" s="19"/>
    </row>
    <row r="60" spans="56:146">
      <c r="BD60" s="24"/>
      <c r="CF60" s="290"/>
      <c r="DO60" s="233" t="e">
        <f t="shared" si="121"/>
        <v>#N/A</v>
      </c>
      <c r="EE60" s="288"/>
      <c r="EF60" s="19"/>
      <c r="EG60" s="19"/>
      <c r="EH60" s="19"/>
      <c r="EI60" s="19"/>
      <c r="EJ60" s="43"/>
      <c r="EK60" s="43"/>
      <c r="EL60" s="19"/>
      <c r="EM60" s="19"/>
      <c r="EN60" s="19"/>
      <c r="EO60" s="19"/>
      <c r="EP60" s="19"/>
    </row>
    <row r="61" spans="56:146">
      <c r="BD61" s="24"/>
      <c r="CF61" s="290"/>
      <c r="DO61" s="233" t="e">
        <f t="shared" si="121"/>
        <v>#N/A</v>
      </c>
      <c r="EE61" s="288"/>
      <c r="EF61" s="19"/>
      <c r="EG61" s="19"/>
      <c r="EH61" s="19"/>
      <c r="EI61" s="19"/>
      <c r="EJ61" s="43"/>
      <c r="EK61" s="43"/>
      <c r="EL61" s="19"/>
      <c r="EM61" s="19"/>
      <c r="EN61" s="19"/>
      <c r="EO61" s="19"/>
      <c r="EP61" s="19"/>
    </row>
    <row r="62" spans="56:146">
      <c r="BD62" s="24"/>
      <c r="CF62" s="290"/>
      <c r="DO62" s="233" t="e">
        <f t="shared" si="121"/>
        <v>#N/A</v>
      </c>
      <c r="EE62" s="288"/>
      <c r="EF62" s="19"/>
      <c r="EG62" s="19"/>
      <c r="EH62" s="19"/>
      <c r="EI62" s="19"/>
      <c r="EJ62" s="43"/>
      <c r="EK62" s="43"/>
      <c r="EL62" s="19"/>
      <c r="EM62" s="19"/>
      <c r="EN62" s="19"/>
      <c r="EO62" s="19"/>
      <c r="EP62" s="19"/>
    </row>
    <row r="63" spans="56:146">
      <c r="BD63" s="24"/>
      <c r="CF63" s="290"/>
      <c r="DO63" s="233" t="e">
        <f t="shared" si="121"/>
        <v>#N/A</v>
      </c>
      <c r="EE63" s="288"/>
      <c r="EF63" s="19"/>
      <c r="EG63" s="19"/>
      <c r="EH63" s="19"/>
      <c r="EI63" s="19"/>
      <c r="EJ63" s="43"/>
      <c r="EK63" s="43"/>
      <c r="EL63" s="19"/>
      <c r="EM63" s="19"/>
      <c r="EN63" s="19"/>
      <c r="EO63" s="19"/>
      <c r="EP63" s="19"/>
    </row>
    <row r="64" spans="56:146">
      <c r="BD64" s="24"/>
      <c r="CF64" s="290"/>
      <c r="DO64" s="233" t="e">
        <f t="shared" si="121"/>
        <v>#N/A</v>
      </c>
      <c r="EE64" s="288"/>
      <c r="EF64" s="19"/>
      <c r="EG64" s="19"/>
      <c r="EH64" s="19"/>
      <c r="EI64" s="19"/>
      <c r="EJ64" s="43"/>
      <c r="EK64" s="43"/>
      <c r="EL64" s="19"/>
      <c r="EM64" s="19"/>
      <c r="EN64" s="19"/>
      <c r="EO64" s="19"/>
      <c r="EP64" s="19"/>
    </row>
    <row r="65" spans="1:146">
      <c r="AD65" s="226"/>
      <c r="AH65" s="226"/>
      <c r="BD65" s="15"/>
      <c r="DO65" s="233" t="e">
        <f t="shared" si="121"/>
        <v>#N/A</v>
      </c>
      <c r="EE65" s="288"/>
      <c r="EF65" s="19"/>
      <c r="EG65" s="19"/>
      <c r="EH65" s="19"/>
      <c r="EI65" s="19"/>
      <c r="EJ65" s="19"/>
      <c r="EK65" s="43"/>
      <c r="EL65" s="19"/>
      <c r="EM65" s="19"/>
      <c r="EN65" s="19"/>
      <c r="EO65" s="19"/>
      <c r="EP65" s="19"/>
    </row>
    <row r="66" spans="1:146">
      <c r="BD66" s="15"/>
      <c r="DO66" s="233" t="e">
        <f t="shared" si="121"/>
        <v>#N/A</v>
      </c>
      <c r="EE66" s="288"/>
      <c r="EF66" s="268"/>
      <c r="EG66" s="268"/>
      <c r="EH66" s="268"/>
      <c r="EI66" s="268"/>
      <c r="EJ66" s="268"/>
      <c r="EK66" s="268"/>
      <c r="EL66" s="268"/>
      <c r="EM66" s="287"/>
      <c r="EN66" s="287"/>
      <c r="EO66" s="287"/>
      <c r="EP66" s="287"/>
    </row>
    <row r="67" spans="1:146" ht="15" thickBot="1">
      <c r="BD67" s="15"/>
      <c r="DO67" s="233" t="e">
        <f t="shared" si="121"/>
        <v>#N/A</v>
      </c>
      <c r="EE67" s="288"/>
      <c r="EF67" s="19"/>
      <c r="EG67" s="34"/>
      <c r="EH67" s="43"/>
      <c r="EI67" s="19"/>
      <c r="EJ67" s="19"/>
      <c r="EK67" s="17"/>
      <c r="EL67" s="19"/>
      <c r="EM67" s="19"/>
      <c r="EN67" s="19"/>
      <c r="EO67" s="19"/>
      <c r="EP67" s="19"/>
    </row>
    <row r="68" spans="1:146" ht="15" thickBot="1">
      <c r="A68" s="408"/>
      <c r="B68" s="409"/>
      <c r="C68" s="34"/>
      <c r="D68" s="34"/>
      <c r="E68" s="34"/>
      <c r="F68" s="34"/>
      <c r="BD68" s="15"/>
      <c r="DO68" s="233" t="e">
        <f t="shared" si="121"/>
        <v>#N/A</v>
      </c>
      <c r="EE68" s="288"/>
      <c r="EF68" s="19"/>
      <c r="EG68" s="19"/>
      <c r="EH68" s="43"/>
      <c r="EI68" s="19"/>
      <c r="EJ68" s="19"/>
      <c r="EK68" s="19"/>
      <c r="EL68" s="19"/>
      <c r="EM68" s="19"/>
      <c r="EN68" s="19"/>
      <c r="EO68" s="19"/>
      <c r="EP68" s="19"/>
    </row>
    <row r="69" spans="1:146" ht="67.2" customHeight="1" thickBot="1">
      <c r="A69" s="37" t="s">
        <v>31</v>
      </c>
      <c r="B69" s="9" t="s">
        <v>10</v>
      </c>
      <c r="C69" s="26"/>
      <c r="D69" s="26"/>
      <c r="E69" s="26"/>
      <c r="F69" s="26"/>
      <c r="BD69" s="15"/>
      <c r="DO69" s="233" t="e">
        <f t="shared" si="121"/>
        <v>#N/A</v>
      </c>
      <c r="EE69" s="288"/>
      <c r="EF69" s="268"/>
      <c r="EG69" s="268"/>
      <c r="EH69" s="268"/>
      <c r="EI69" s="268"/>
      <c r="EJ69" s="268"/>
      <c r="EK69" s="268"/>
      <c r="EL69" s="268"/>
      <c r="EM69" s="268"/>
      <c r="EN69" s="287"/>
      <c r="EO69" s="287"/>
      <c r="EP69" s="287"/>
    </row>
    <row r="70" spans="1:146" ht="68.400000000000006" customHeight="1">
      <c r="A70" s="24" t="s">
        <v>29</v>
      </c>
      <c r="B70" s="28" t="s">
        <v>42</v>
      </c>
      <c r="C70" s="42"/>
      <c r="D70" s="42"/>
      <c r="E70" s="42"/>
      <c r="F70" s="4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DO70" s="233" t="e">
        <f t="shared" si="121"/>
        <v>#N/A</v>
      </c>
      <c r="EE70" s="288"/>
      <c r="EF70" s="19"/>
      <c r="EG70" s="43"/>
      <c r="EH70" s="43"/>
      <c r="EI70" s="19"/>
      <c r="EJ70" s="43"/>
      <c r="EK70" s="43"/>
      <c r="EL70" s="19"/>
      <c r="EM70" s="19"/>
      <c r="EN70" s="19"/>
      <c r="EO70" s="19"/>
      <c r="EP70" s="19"/>
    </row>
    <row r="71" spans="1:146" ht="25.8" customHeight="1">
      <c r="A71" s="24" t="s">
        <v>29</v>
      </c>
      <c r="B71" s="16" t="s">
        <v>5</v>
      </c>
      <c r="C71" s="42"/>
      <c r="D71" s="42"/>
      <c r="E71" s="42"/>
      <c r="F71" s="4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DO71" s="233" t="e">
        <f t="shared" si="121"/>
        <v>#N/A</v>
      </c>
      <c r="EE71" s="288"/>
      <c r="EF71" s="19"/>
      <c r="EG71" s="19"/>
      <c r="EH71" s="43"/>
      <c r="EI71" s="19"/>
      <c r="EJ71" s="43"/>
      <c r="EK71" s="43"/>
      <c r="EL71" s="19"/>
      <c r="EM71" s="19"/>
      <c r="EN71" s="19"/>
      <c r="EO71" s="19"/>
      <c r="EP71" s="19"/>
    </row>
    <row r="72" spans="1:146" ht="30" customHeight="1">
      <c r="A72" s="24" t="s">
        <v>29</v>
      </c>
      <c r="B72" s="16" t="s">
        <v>5</v>
      </c>
      <c r="C72" s="42"/>
      <c r="D72" s="42"/>
      <c r="E72" s="42"/>
      <c r="F72" s="42"/>
      <c r="DO72" s="233" t="e">
        <f t="shared" si="121"/>
        <v>#N/A</v>
      </c>
      <c r="EE72" s="288"/>
      <c r="EF72" s="19"/>
      <c r="EG72" s="19"/>
      <c r="EH72" s="19"/>
      <c r="EI72" s="19"/>
      <c r="EJ72" s="43"/>
      <c r="EK72" s="43"/>
      <c r="EL72" s="19"/>
      <c r="EM72" s="19"/>
      <c r="EN72" s="19"/>
      <c r="EO72" s="19"/>
      <c r="EP72" s="19"/>
    </row>
    <row r="73" spans="1:146">
      <c r="A73" s="24" t="s">
        <v>29</v>
      </c>
      <c r="B73" s="14" t="s">
        <v>5</v>
      </c>
      <c r="C73" s="33"/>
      <c r="D73" s="33"/>
      <c r="E73" s="33"/>
      <c r="F73" s="33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DO73" s="233" t="e">
        <f t="shared" si="121"/>
        <v>#N/A</v>
      </c>
      <c r="EE73" s="288"/>
      <c r="EF73" s="19"/>
      <c r="EG73" s="19"/>
      <c r="EH73" s="19"/>
      <c r="EI73" s="19"/>
      <c r="EJ73" s="43"/>
      <c r="EK73" s="43"/>
      <c r="EL73" s="19"/>
      <c r="EM73" s="19"/>
      <c r="EN73" s="19"/>
      <c r="EO73" s="19"/>
      <c r="EP73" s="19"/>
    </row>
    <row r="74" spans="1:146" ht="28.2" customHeight="1">
      <c r="A74" s="24" t="s">
        <v>29</v>
      </c>
      <c r="B74" s="16" t="s">
        <v>42</v>
      </c>
      <c r="C74" s="42"/>
      <c r="D74" s="42"/>
      <c r="E74" s="42"/>
      <c r="F74" s="4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DO74" s="233" t="e">
        <f t="shared" si="121"/>
        <v>#N/A</v>
      </c>
      <c r="EE74" s="288"/>
      <c r="EF74" s="19"/>
      <c r="EG74" s="19"/>
      <c r="EH74" s="19"/>
      <c r="EI74" s="19"/>
      <c r="EJ74" s="43"/>
      <c r="EK74" s="43"/>
      <c r="EL74" s="19"/>
      <c r="EM74" s="19"/>
      <c r="EN74" s="19"/>
      <c r="EO74" s="19"/>
      <c r="EP74" s="19"/>
    </row>
    <row r="75" spans="1:146" ht="34.200000000000003" customHeight="1">
      <c r="A75" s="24" t="s">
        <v>29</v>
      </c>
      <c r="B75" s="16" t="s">
        <v>42</v>
      </c>
      <c r="C75" s="42"/>
      <c r="D75" s="42"/>
      <c r="E75" s="42"/>
      <c r="F75" s="4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DO75" s="233"/>
      <c r="EE75" s="288"/>
      <c r="EF75" s="268"/>
      <c r="EG75" s="268"/>
      <c r="EH75" s="268"/>
      <c r="EI75" s="268"/>
      <c r="EJ75" s="268"/>
      <c r="EK75" s="268"/>
      <c r="EL75" s="268"/>
      <c r="EM75" s="268"/>
      <c r="EN75" s="268"/>
      <c r="EO75" s="287"/>
      <c r="EP75" s="287"/>
    </row>
    <row r="76" spans="1:146">
      <c r="A76" s="24" t="s">
        <v>29</v>
      </c>
      <c r="B76" s="14" t="s">
        <v>5</v>
      </c>
      <c r="C76" s="33"/>
      <c r="D76" s="33"/>
      <c r="E76" s="33"/>
      <c r="F76" s="33"/>
      <c r="DO76" s="233"/>
      <c r="EE76" s="288"/>
      <c r="EF76" s="19"/>
      <c r="EG76" s="34"/>
      <c r="EH76" s="34"/>
      <c r="EI76" s="19"/>
      <c r="EJ76" s="19"/>
      <c r="EK76" s="19"/>
      <c r="EL76" s="19"/>
      <c r="EM76" s="19"/>
      <c r="EN76" s="19"/>
      <c r="EO76" s="19"/>
      <c r="EP76" s="19"/>
    </row>
    <row r="77" spans="1:146" ht="17.399999999999999" customHeight="1">
      <c r="A77" s="24" t="s">
        <v>29</v>
      </c>
      <c r="B77" s="14" t="s">
        <v>5</v>
      </c>
      <c r="C77" s="33"/>
      <c r="D77" s="33"/>
      <c r="E77" s="33"/>
      <c r="F77" s="33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DO77" s="233"/>
      <c r="EE77" s="288"/>
      <c r="EF77" s="19"/>
      <c r="EG77" s="19"/>
      <c r="EH77" s="34"/>
      <c r="EI77" s="19"/>
      <c r="EJ77" s="19"/>
      <c r="EK77" s="19"/>
      <c r="EL77" s="19"/>
      <c r="EM77" s="19"/>
      <c r="EN77" s="19"/>
      <c r="EO77" s="19"/>
      <c r="EP77" s="19"/>
    </row>
    <row r="78" spans="1:146">
      <c r="A78" s="24" t="s">
        <v>29</v>
      </c>
      <c r="B78" s="16" t="s">
        <v>5</v>
      </c>
      <c r="C78" s="42"/>
      <c r="D78" s="42"/>
      <c r="E78" s="42"/>
      <c r="F78" s="4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EE78" s="288"/>
      <c r="EF78" s="268"/>
      <c r="EG78" s="268"/>
      <c r="EH78" s="268"/>
      <c r="EI78" s="268"/>
      <c r="EJ78" s="268"/>
      <c r="EK78" s="268"/>
      <c r="EL78" s="268"/>
      <c r="EM78" s="268"/>
      <c r="EN78" s="268"/>
      <c r="EO78" s="268"/>
      <c r="EP78" s="287"/>
    </row>
    <row r="79" spans="1:146" ht="28.8" customHeight="1">
      <c r="A79" s="24" t="s">
        <v>29</v>
      </c>
      <c r="B79" s="16" t="s">
        <v>42</v>
      </c>
      <c r="C79" s="42"/>
      <c r="D79" s="42"/>
      <c r="E79" s="42"/>
      <c r="F79" s="42"/>
      <c r="EE79" s="288"/>
      <c r="EF79" s="19"/>
      <c r="EG79" s="43"/>
      <c r="EH79" s="43"/>
      <c r="EI79" s="19"/>
      <c r="EJ79" s="43"/>
      <c r="EK79" s="43"/>
      <c r="EL79" s="19"/>
      <c r="EM79" s="19"/>
      <c r="EN79" s="19"/>
      <c r="EO79" s="19"/>
      <c r="EP79" s="19"/>
    </row>
    <row r="80" spans="1:146">
      <c r="A80" s="24"/>
      <c r="B80" s="16"/>
      <c r="C80" s="42"/>
      <c r="D80" s="42"/>
      <c r="E80" s="42"/>
      <c r="F80" s="42"/>
      <c r="EE80" s="288"/>
      <c r="EF80" s="19"/>
      <c r="EG80" s="19"/>
      <c r="EH80" s="43"/>
      <c r="EI80" s="19"/>
      <c r="EJ80" s="43"/>
      <c r="EK80" s="43"/>
      <c r="EL80" s="19"/>
      <c r="EM80" s="19"/>
      <c r="EN80" s="19"/>
      <c r="EO80" s="19"/>
      <c r="EP80" s="19"/>
    </row>
    <row r="81" spans="1:146">
      <c r="A81" s="19"/>
      <c r="B81" s="4"/>
      <c r="C81" s="19"/>
      <c r="D81" s="19"/>
      <c r="E81" s="19"/>
      <c r="F81" s="19"/>
      <c r="EE81" s="288"/>
      <c r="EF81" s="19"/>
      <c r="EG81" s="19"/>
      <c r="EH81" s="19"/>
      <c r="EI81" s="19"/>
      <c r="EJ81" s="43"/>
      <c r="EK81" s="43"/>
      <c r="EL81" s="19"/>
      <c r="EM81" s="19"/>
      <c r="EN81" s="19"/>
      <c r="EO81" s="19"/>
      <c r="EP81" s="19"/>
    </row>
    <row r="82" spans="1:146">
      <c r="A82" s="19"/>
      <c r="B82" s="4"/>
      <c r="C82" s="19"/>
      <c r="D82" s="19"/>
      <c r="E82" s="19"/>
      <c r="F82" s="19"/>
      <c r="EE82" s="288"/>
      <c r="EF82" s="19"/>
      <c r="EG82" s="19"/>
      <c r="EH82" s="19"/>
      <c r="EI82" s="19"/>
      <c r="EJ82" s="43"/>
      <c r="EK82" s="19"/>
      <c r="EL82" s="19"/>
      <c r="EM82" s="19"/>
      <c r="EN82" s="19"/>
      <c r="EO82" s="19"/>
      <c r="EP82" s="19"/>
    </row>
    <row r="83" spans="1:146">
      <c r="A83" s="19"/>
      <c r="B83" s="4"/>
      <c r="C83" s="19"/>
      <c r="D83" s="19"/>
      <c r="E83" s="19"/>
      <c r="F83" s="19"/>
      <c r="EE83" s="288"/>
      <c r="EF83" s="19"/>
      <c r="EG83" s="19"/>
      <c r="EH83" s="19"/>
      <c r="EI83" s="19"/>
      <c r="EJ83" s="43"/>
      <c r="EK83" s="19"/>
      <c r="EL83" s="19"/>
      <c r="EM83" s="19"/>
      <c r="EN83" s="19"/>
      <c r="EO83" s="19"/>
      <c r="EP83" s="19"/>
    </row>
    <row r="84" spans="1:146" ht="15" thickBot="1">
      <c r="A84" s="6"/>
      <c r="B84" s="8"/>
      <c r="C84" s="19"/>
      <c r="D84" s="19"/>
      <c r="E84" s="19"/>
      <c r="F84" s="19"/>
      <c r="EE84" s="288"/>
      <c r="EF84" s="268"/>
      <c r="EG84" s="268"/>
      <c r="EH84" s="268"/>
      <c r="EI84" s="268"/>
      <c r="EJ84" s="268"/>
      <c r="EK84" s="268"/>
      <c r="EL84" s="268"/>
      <c r="EM84" s="268"/>
      <c r="EN84" s="268"/>
      <c r="EO84" s="268"/>
      <c r="EP84" s="268"/>
    </row>
    <row r="85" spans="1:146">
      <c r="EE85" s="288"/>
      <c r="EF85" s="34"/>
      <c r="EG85" s="34"/>
      <c r="EH85" s="34"/>
      <c r="EI85" s="19"/>
      <c r="EJ85" s="19"/>
      <c r="EK85" s="19"/>
      <c r="EL85" s="19"/>
      <c r="EM85" s="19"/>
      <c r="EN85" s="19"/>
      <c r="EO85" s="19"/>
      <c r="EP85" s="268"/>
    </row>
    <row r="86" spans="1:146">
      <c r="EE86" s="288"/>
      <c r="EF86" s="19"/>
      <c r="EG86" s="19"/>
      <c r="EH86" s="34"/>
      <c r="EI86" s="19"/>
      <c r="EJ86" s="19"/>
      <c r="EK86" s="19"/>
      <c r="EL86" s="19"/>
      <c r="EM86" s="19"/>
      <c r="EN86" s="19"/>
      <c r="EO86" s="19"/>
      <c r="EP86" s="34"/>
    </row>
    <row r="87" spans="1:146">
      <c r="EE87" s="227"/>
    </row>
    <row r="88" spans="1:146">
      <c r="EE88" s="227"/>
    </row>
    <row r="89" spans="1:146">
      <c r="EE89" s="227"/>
    </row>
    <row r="90" spans="1:146">
      <c r="EE90" s="227"/>
    </row>
    <row r="91" spans="1:146">
      <c r="EE91" s="227"/>
    </row>
    <row r="92" spans="1:146">
      <c r="EE92" s="227"/>
    </row>
    <row r="93" spans="1:146">
      <c r="EE93" s="227"/>
    </row>
    <row r="94" spans="1:146">
      <c r="EE94" s="227"/>
    </row>
    <row r="95" spans="1:146">
      <c r="EE95" s="227"/>
    </row>
    <row r="96" spans="1:146">
      <c r="EE96" s="227"/>
    </row>
    <row r="97" spans="135:135">
      <c r="EE97" s="227"/>
    </row>
    <row r="98" spans="135:135">
      <c r="EE98" s="227"/>
    </row>
    <row r="99" spans="135:135">
      <c r="EE99" s="227"/>
    </row>
    <row r="100" spans="135:135">
      <c r="EE100" s="227"/>
    </row>
    <row r="101" spans="135:135">
      <c r="EE101" s="227"/>
    </row>
    <row r="102" spans="135:135">
      <c r="EE102" s="227"/>
    </row>
    <row r="103" spans="135:135">
      <c r="EE103" s="227"/>
    </row>
    <row r="104" spans="135:135">
      <c r="EE104" s="227"/>
    </row>
    <row r="105" spans="135:135">
      <c r="EE105" s="227"/>
    </row>
    <row r="106" spans="135:135">
      <c r="EE106" s="227"/>
    </row>
    <row r="107" spans="135:135">
      <c r="EE107" s="227"/>
    </row>
    <row r="108" spans="135:135">
      <c r="EE108" s="227"/>
    </row>
    <row r="109" spans="135:135">
      <c r="EE109" s="227"/>
    </row>
    <row r="110" spans="135:135">
      <c r="EE110" s="227"/>
    </row>
  </sheetData>
  <mergeCells count="101">
    <mergeCell ref="AU8:AU9"/>
    <mergeCell ref="CW6:CW7"/>
    <mergeCell ref="CJ3:CW3"/>
    <mergeCell ref="BE30:BE31"/>
    <mergeCell ref="BE32:BE33"/>
    <mergeCell ref="BF30:BF31"/>
    <mergeCell ref="BF32:BF33"/>
    <mergeCell ref="BG30:BG31"/>
    <mergeCell ref="BG32:BG33"/>
    <mergeCell ref="BA8:BB8"/>
    <mergeCell ref="AW8:AW9"/>
    <mergeCell ref="CS6:CS7"/>
    <mergeCell ref="CU6:CU7"/>
    <mergeCell ref="CR6:CR7"/>
    <mergeCell ref="CP6:CP7"/>
    <mergeCell ref="CQ6:CQ7"/>
    <mergeCell ref="DO3:DZ3"/>
    <mergeCell ref="CY11:CY12"/>
    <mergeCell ref="CZ11:CZ12"/>
    <mergeCell ref="DD11:DD12"/>
    <mergeCell ref="DK11:DK12"/>
    <mergeCell ref="CY6:CY7"/>
    <mergeCell ref="DI6:DJ6"/>
    <mergeCell ref="DK6:DK7"/>
    <mergeCell ref="CZ6:CZ7"/>
    <mergeCell ref="DB6:DB7"/>
    <mergeCell ref="DC6:DC7"/>
    <mergeCell ref="DD6:DD7"/>
    <mergeCell ref="DA6:DA7"/>
    <mergeCell ref="DA11:DA12"/>
    <mergeCell ref="DL11:DL12"/>
    <mergeCell ref="DM6:DM7"/>
    <mergeCell ref="DM11:DM12"/>
    <mergeCell ref="DG6:DH6"/>
    <mergeCell ref="DE6:DF6"/>
    <mergeCell ref="I8:I9"/>
    <mergeCell ref="J8:J9"/>
    <mergeCell ref="U8:U9"/>
    <mergeCell ref="M8:M9"/>
    <mergeCell ref="X8:X9"/>
    <mergeCell ref="K8:K9"/>
    <mergeCell ref="A68:B68"/>
    <mergeCell ref="B17:B18"/>
    <mergeCell ref="B19:B20"/>
    <mergeCell ref="B30:B31"/>
    <mergeCell ref="H8:H9"/>
    <mergeCell ref="B22:B23"/>
    <mergeCell ref="D8:D9"/>
    <mergeCell ref="B32:B33"/>
    <mergeCell ref="F8:F9"/>
    <mergeCell ref="C8:C9"/>
    <mergeCell ref="P8:Q8"/>
    <mergeCell ref="W8:W9"/>
    <mergeCell ref="AA8:AA9"/>
    <mergeCell ref="Z8:Z9"/>
    <mergeCell ref="CY3:DM3"/>
    <mergeCell ref="Y6:BD6"/>
    <mergeCell ref="AT8:AT9"/>
    <mergeCell ref="BC8:BC9"/>
    <mergeCell ref="AZ8:AZ9"/>
    <mergeCell ref="G5:BG5"/>
    <mergeCell ref="DL6:DL7"/>
    <mergeCell ref="BV5:CB5"/>
    <mergeCell ref="BH5:BN5"/>
    <mergeCell ref="BO5:BU5"/>
    <mergeCell ref="AN8:AQ8"/>
    <mergeCell ref="R8:S8"/>
    <mergeCell ref="G6:X6"/>
    <mergeCell ref="AR8:AS8"/>
    <mergeCell ref="AJ8:AJ9"/>
    <mergeCell ref="AK8:AK9"/>
    <mergeCell ref="AI8:AI9"/>
    <mergeCell ref="AG8:AG9"/>
    <mergeCell ref="AF8:AF9"/>
    <mergeCell ref="AE8:AE9"/>
    <mergeCell ref="Y8:Y9"/>
    <mergeCell ref="G8:G9"/>
    <mergeCell ref="E1:G1"/>
    <mergeCell ref="AB8:AC9"/>
    <mergeCell ref="T8:T9"/>
    <mergeCell ref="CV6:CV7"/>
    <mergeCell ref="AM8:AM9"/>
    <mergeCell ref="AV8:AV9"/>
    <mergeCell ref="CM6:CM7"/>
    <mergeCell ref="CN6:CN7"/>
    <mergeCell ref="CT6:CT7"/>
    <mergeCell ref="E8:E9"/>
    <mergeCell ref="C6:F6"/>
    <mergeCell ref="BD8:BD9"/>
    <mergeCell ref="AL8:AL9"/>
    <mergeCell ref="AY8:AY9"/>
    <mergeCell ref="AX8:AX9"/>
    <mergeCell ref="AD8:AD9"/>
    <mergeCell ref="AH8:AH9"/>
    <mergeCell ref="N8:O8"/>
    <mergeCell ref="V8:V9"/>
    <mergeCell ref="L8:L9"/>
    <mergeCell ref="CO6:CO7"/>
    <mergeCell ref="CJ6:CJ7"/>
    <mergeCell ref="CK6:CK7"/>
    <mergeCell ref="CL6:CL7"/>
  </mergeCells>
  <conditionalFormatting sqref="W10:X33 AV10:AZ33 BB11:BD33">
    <cfRule type="containsText" dxfId="1" priority="9" operator="containsText" text="FAUX">
      <formula>NOT(ISERROR(SEARCH("FAUX",W10)))</formula>
    </cfRule>
  </conditionalFormatting>
  <conditionalFormatting sqref="AZ10:AZ33">
    <cfRule type="containsText" dxfId="0" priority="1" operator="containsText" text="FAUX">
      <formula>NOT(ISERROR(SEARCH("FAUX",AZ10)))</formula>
    </cfRule>
  </conditionalFormatting>
  <dataValidations count="6">
    <dataValidation type="list" allowBlank="1" showInputMessage="1" showErrorMessage="1" sqref="Y10:Y11">
      <formula1>$CI$8:$CI88</formula1>
    </dataValidation>
    <dataValidation type="list" allowBlank="1" showInputMessage="1" showErrorMessage="1" sqref="Y12:Y33">
      <formula1>$CI$8:$CI$12</formula1>
    </dataValidation>
    <dataValidation type="list" allowBlank="1" showInputMessage="1" showErrorMessage="1" sqref="G13 G19:G21 G27">
      <formula1>$CY$8:$CY$12</formula1>
    </dataValidation>
    <dataValidation type="list" allowBlank="1" showInputMessage="1" showErrorMessage="1" sqref="D10:D12 D28:D33 D22:D26 D14:D18">
      <formula1>$CZ$16:$CZ$17</formula1>
    </dataValidation>
    <dataValidation type="list" allowBlank="1" showInputMessage="1" showErrorMessage="1" sqref="C10:C12 C14:C18 C22:C26 C28:C33">
      <formula1>$DA$16:$DA$18</formula1>
    </dataValidation>
    <dataValidation type="list" allowBlank="1" showInputMessage="1" showErrorMessage="1" sqref="G10:G12 G14:G18 G22:G26 G28:G33">
      <formula1>$CY$8:$CY$14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VERIFICATION CAHIER DE SOUDAGE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S722422</dc:creator>
  <cp:lastModifiedBy>S722422</cp:lastModifiedBy>
  <dcterms:created xsi:type="dcterms:W3CDTF">2023-03-15T10:50:40Z</dcterms:created>
  <dcterms:modified xsi:type="dcterms:W3CDTF">2023-07-10T20:25:51Z</dcterms:modified>
</cp:coreProperties>
</file>