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.tir\Documents\"/>
    </mc:Choice>
  </mc:AlternateContent>
  <xr:revisionPtr revIDLastSave="0" documentId="13_ncr:1_{5CE88A93-4945-4C31-8BB8-2184748CB03E}" xr6:coauthVersionLast="47" xr6:coauthVersionMax="47" xr10:uidLastSave="{00000000-0000-0000-0000-000000000000}"/>
  <bookViews>
    <workbookView xWindow="28680" yWindow="-120" windowWidth="38640" windowHeight="21240" xr2:uid="{E85D3745-37F7-4701-8A2B-7C9F4B8B138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24" i="1" l="1" a="1"/>
  <c r="AE24" i="1" s="1"/>
  <c r="AA24" i="1" a="1"/>
  <c r="AA24" i="1" s="1"/>
  <c r="X24" i="1" a="1"/>
  <c r="X24" i="1" s="1"/>
  <c r="V24" i="1" a="1"/>
  <c r="V24" i="1" s="1"/>
  <c r="U24" i="1" a="1"/>
  <c r="U24" i="1" s="1"/>
  <c r="S24" i="1" a="1"/>
  <c r="S24" i="1" s="1"/>
  <c r="R24" i="1" a="1"/>
  <c r="R24" i="1" s="1"/>
  <c r="P24" i="1" a="1"/>
  <c r="P24" i="1" s="1"/>
  <c r="L24" i="1" a="1"/>
  <c r="L24" i="1" s="1"/>
  <c r="K24" i="1" a="1"/>
  <c r="K24" i="1" s="1"/>
  <c r="I24" i="1"/>
  <c r="G24" i="1" a="1"/>
  <c r="G24" i="1" s="1"/>
  <c r="AE23" i="1" a="1"/>
  <c r="AE23" i="1" s="1"/>
  <c r="AA23" i="1" a="1"/>
  <c r="AA23" i="1" s="1"/>
  <c r="X23" i="1" a="1"/>
  <c r="X23" i="1" s="1"/>
  <c r="V23" i="1" a="1"/>
  <c r="V23" i="1" s="1"/>
  <c r="U23" i="1" a="1"/>
  <c r="U23" i="1" s="1"/>
  <c r="S23" i="1" a="1"/>
  <c r="S23" i="1" s="1"/>
  <c r="R23" i="1" a="1"/>
  <c r="R23" i="1" s="1"/>
  <c r="P23" i="1" a="1"/>
  <c r="P23" i="1" s="1"/>
  <c r="L23" i="1" a="1"/>
  <c r="L23" i="1" s="1"/>
  <c r="K23" i="1" a="1"/>
  <c r="K23" i="1" s="1"/>
  <c r="I23" i="1"/>
  <c r="G23" i="1" a="1"/>
  <c r="G23" i="1" s="1"/>
  <c r="AE22" i="1" a="1"/>
  <c r="AE22" i="1" s="1"/>
  <c r="AA22" i="1" a="1"/>
  <c r="AA22" i="1" s="1"/>
  <c r="X22" i="1" a="1"/>
  <c r="X22" i="1" s="1"/>
  <c r="V22" i="1" a="1"/>
  <c r="V22" i="1" s="1"/>
  <c r="U22" i="1" a="1"/>
  <c r="U22" i="1" s="1"/>
  <c r="S22" i="1" a="1"/>
  <c r="S22" i="1" s="1"/>
  <c r="R22" i="1" a="1"/>
  <c r="R22" i="1" s="1"/>
  <c r="P22" i="1" a="1"/>
  <c r="P22" i="1" s="1"/>
  <c r="L22" i="1" a="1"/>
  <c r="L22" i="1" s="1"/>
  <c r="K22" i="1" a="1"/>
  <c r="K22" i="1" s="1"/>
  <c r="I22" i="1"/>
  <c r="G22" i="1" a="1"/>
  <c r="G22" i="1" s="1"/>
  <c r="AE21" i="1" a="1"/>
  <c r="AE21" i="1" s="1"/>
  <c r="AA21" i="1" a="1"/>
  <c r="AA21" i="1" s="1"/>
  <c r="X21" i="1" a="1"/>
  <c r="X21" i="1" s="1"/>
  <c r="V21" i="1" a="1"/>
  <c r="V21" i="1" s="1"/>
  <c r="U21" i="1" a="1"/>
  <c r="U21" i="1" s="1"/>
  <c r="S21" i="1" a="1"/>
  <c r="S21" i="1" s="1"/>
  <c r="R21" i="1" a="1"/>
  <c r="R21" i="1" s="1"/>
  <c r="P21" i="1" a="1"/>
  <c r="P21" i="1" s="1"/>
  <c r="L21" i="1" a="1"/>
  <c r="L21" i="1" s="1"/>
  <c r="K21" i="1" a="1"/>
  <c r="K21" i="1" s="1"/>
  <c r="I21" i="1"/>
  <c r="G21" i="1" a="1"/>
  <c r="G21" i="1" s="1"/>
  <c r="DU20" i="1"/>
  <c r="G20" i="1" s="1" a="1"/>
  <c r="G20" i="1" s="1"/>
  <c r="AE20" i="1" a="1"/>
  <c r="AE20" i="1" s="1"/>
  <c r="K20" i="1" a="1"/>
  <c r="K20" i="1" s="1"/>
  <c r="AE19" i="1" a="1"/>
  <c r="AE19" i="1" s="1"/>
  <c r="AA19" i="1" a="1"/>
  <c r="AA19" i="1" s="1"/>
  <c r="X19" i="1" a="1"/>
  <c r="X19" i="1" s="1"/>
  <c r="V19" i="1" a="1"/>
  <c r="V19" i="1" s="1"/>
  <c r="U19" i="1" a="1"/>
  <c r="U19" i="1" s="1"/>
  <c r="S19" i="1" a="1"/>
  <c r="S19" i="1" s="1"/>
  <c r="R19" i="1" a="1"/>
  <c r="R19" i="1" s="1"/>
  <c r="P19" i="1" a="1"/>
  <c r="P19" i="1" s="1"/>
  <c r="L19" i="1" a="1"/>
  <c r="L19" i="1" s="1"/>
  <c r="K19" i="1" a="1"/>
  <c r="K19" i="1" s="1"/>
  <c r="I19" i="1"/>
  <c r="G19" i="1" a="1"/>
  <c r="G19" i="1" s="1"/>
  <c r="AE18" i="1" a="1"/>
  <c r="AE18" i="1" s="1"/>
  <c r="AA18" i="1" a="1"/>
  <c r="AA18" i="1" s="1"/>
  <c r="X18" i="1" a="1"/>
  <c r="X18" i="1" s="1"/>
  <c r="V18" i="1" a="1"/>
  <c r="V18" i="1" s="1"/>
  <c r="U18" i="1" a="1"/>
  <c r="U18" i="1" s="1"/>
  <c r="S18" i="1" a="1"/>
  <c r="S18" i="1" s="1"/>
  <c r="R18" i="1" a="1"/>
  <c r="R18" i="1" s="1"/>
  <c r="P18" i="1" a="1"/>
  <c r="P18" i="1" s="1"/>
  <c r="L18" i="1" a="1"/>
  <c r="L18" i="1" s="1"/>
  <c r="N18" i="1" s="1"/>
  <c r="K18" i="1" a="1"/>
  <c r="K18" i="1" s="1"/>
  <c r="I18" i="1"/>
  <c r="G18" i="1" a="1"/>
  <c r="G18" i="1" s="1"/>
  <c r="AE17" i="1" a="1"/>
  <c r="AE17" i="1" s="1"/>
  <c r="AA17" i="1" a="1"/>
  <c r="AA17" i="1" s="1"/>
  <c r="X17" i="1" a="1"/>
  <c r="X17" i="1" s="1"/>
  <c r="V17" i="1" a="1"/>
  <c r="V17" i="1" s="1"/>
  <c r="U17" i="1"/>
  <c r="U17" i="1" a="1"/>
  <c r="S17" i="1" a="1"/>
  <c r="S17" i="1" s="1"/>
  <c r="R17" i="1" a="1"/>
  <c r="R17" i="1" s="1"/>
  <c r="P17" i="1" a="1"/>
  <c r="P17" i="1" s="1"/>
  <c r="L17" i="1" a="1"/>
  <c r="L17" i="1" s="1"/>
  <c r="K17" i="1" a="1"/>
  <c r="K17" i="1" s="1"/>
  <c r="I17" i="1"/>
  <c r="G17" i="1" a="1"/>
  <c r="G17" i="1" s="1"/>
  <c r="AE16" i="1" a="1"/>
  <c r="AE16" i="1" s="1"/>
  <c r="AA16" i="1" a="1"/>
  <c r="AA16" i="1" s="1"/>
  <c r="X16" i="1" a="1"/>
  <c r="X16" i="1" s="1"/>
  <c r="V16" i="1" a="1"/>
  <c r="V16" i="1" s="1"/>
  <c r="U16" i="1" a="1"/>
  <c r="U16" i="1" s="1"/>
  <c r="S16" i="1" a="1"/>
  <c r="S16" i="1" s="1"/>
  <c r="R16" i="1" a="1"/>
  <c r="R16" i="1" s="1"/>
  <c r="P16" i="1" a="1"/>
  <c r="P16" i="1" s="1"/>
  <c r="L16" i="1" a="1"/>
  <c r="L16" i="1" s="1"/>
  <c r="K16" i="1" a="1"/>
  <c r="K16" i="1" s="1"/>
  <c r="I16" i="1"/>
  <c r="G16" i="1" a="1"/>
  <c r="G16" i="1" s="1"/>
  <c r="DO15" i="1"/>
  <c r="DQ15" i="1" s="1"/>
  <c r="DE15" i="1"/>
  <c r="DG15" i="1" s="1"/>
  <c r="CP15" i="1"/>
  <c r="CR15" i="1" s="1"/>
  <c r="AE15" i="1" a="1"/>
  <c r="AE15" i="1" s="1"/>
  <c r="AA15" i="1" a="1"/>
  <c r="AA15" i="1" s="1"/>
  <c r="X15" i="1" a="1"/>
  <c r="X15" i="1" s="1"/>
  <c r="V15" i="1" a="1"/>
  <c r="V15" i="1" s="1"/>
  <c r="U15" i="1" a="1"/>
  <c r="U15" i="1" s="1"/>
  <c r="S15" i="1" a="1"/>
  <c r="S15" i="1" s="1"/>
  <c r="R15" i="1" a="1"/>
  <c r="R15" i="1" s="1"/>
  <c r="P15" i="1" a="1"/>
  <c r="P15" i="1" s="1"/>
  <c r="L15" i="1" a="1"/>
  <c r="L15" i="1" s="1"/>
  <c r="K15" i="1" a="1"/>
  <c r="K15" i="1" s="1"/>
  <c r="I15" i="1"/>
  <c r="G15" i="1" a="1"/>
  <c r="G15" i="1" s="1"/>
  <c r="AG9" i="1"/>
  <c r="BO8" i="1"/>
  <c r="BV19" i="1" s="1"/>
  <c r="BX19" i="1" s="1"/>
  <c r="EB7" i="1"/>
  <c r="CS7" i="1"/>
  <c r="DJ16" i="1" s="1"/>
  <c r="DL16" i="1" s="1"/>
  <c r="AP7" i="1"/>
  <c r="BB16" i="1" s="1"/>
  <c r="BD16" i="1" s="1"/>
  <c r="DS4" i="1"/>
  <c r="CJ4" i="1"/>
  <c r="BF4" i="1"/>
  <c r="AG4" i="1"/>
  <c r="N15" i="1" l="1"/>
  <c r="CK16" i="1"/>
  <c r="CM16" i="1" s="1"/>
  <c r="L20" i="1" a="1"/>
  <c r="L20" i="1" s="1"/>
  <c r="P20" i="1" a="1"/>
  <c r="P20" i="1" s="1"/>
  <c r="S20" i="1" a="1"/>
  <c r="S20" i="1" s="1"/>
  <c r="X20" i="1" a="1"/>
  <c r="X20" i="1" s="1"/>
  <c r="N22" i="1"/>
  <c r="DO16" i="1"/>
  <c r="DQ16" i="1" s="1"/>
  <c r="N19" i="1"/>
  <c r="AW15" i="1"/>
  <c r="AY15" i="1" s="1"/>
  <c r="AH17" i="1"/>
  <c r="AJ17" i="1" s="1"/>
  <c r="AM18" i="1"/>
  <c r="AO18" i="1" s="1"/>
  <c r="AC21" i="1"/>
  <c r="AD21" i="1" s="1"/>
  <c r="AC16" i="1"/>
  <c r="AD16" i="1" s="1"/>
  <c r="AB16" i="1"/>
  <c r="AC23" i="1"/>
  <c r="AD23" i="1" s="1"/>
  <c r="AB21" i="1"/>
  <c r="CF16" i="1"/>
  <c r="CH16" i="1" s="1"/>
  <c r="ED18" i="1"/>
  <c r="EF18" i="1" s="1"/>
  <c r="EN16" i="1"/>
  <c r="EP16" i="1" s="1"/>
  <c r="CK15" i="1"/>
  <c r="CM15" i="1" s="1"/>
  <c r="R20" i="1" a="1"/>
  <c r="R20" i="1" s="1"/>
  <c r="AC20" i="1" s="1"/>
  <c r="AB20" i="1" s="1"/>
  <c r="BG19" i="1"/>
  <c r="BI19" i="1" s="1"/>
  <c r="ED19" i="1"/>
  <c r="EF19" i="1" s="1"/>
  <c r="V20" i="1" a="1"/>
  <c r="V20" i="1" s="1"/>
  <c r="BG16" i="1"/>
  <c r="BI16" i="1" s="1"/>
  <c r="BL17" i="1"/>
  <c r="BN17" i="1" s="1"/>
  <c r="BQ18" i="1"/>
  <c r="BS18" i="1" s="1"/>
  <c r="EI15" i="1"/>
  <c r="EK15" i="1" s="1"/>
  <c r="CP16" i="1"/>
  <c r="CR16" i="1" s="1"/>
  <c r="CP17" i="1"/>
  <c r="CR17" i="1" s="1"/>
  <c r="BV18" i="1"/>
  <c r="BX18" i="1" s="1"/>
  <c r="CZ17" i="1"/>
  <c r="DB17" i="1" s="1"/>
  <c r="CU18" i="1"/>
  <c r="CW18" i="1" s="1"/>
  <c r="CZ16" i="1"/>
  <c r="DB16" i="1" s="1"/>
  <c r="DT17" i="1"/>
  <c r="DV17" i="1" s="1"/>
  <c r="CZ18" i="1"/>
  <c r="DB18" i="1" s="1"/>
  <c r="ED17" i="1"/>
  <c r="EF17" i="1" s="1"/>
  <c r="DY18" i="1"/>
  <c r="EA18" i="1" s="1"/>
  <c r="CA15" i="1"/>
  <c r="CC15" i="1" s="1"/>
  <c r="N17" i="1"/>
  <c r="AC15" i="1"/>
  <c r="AD15" i="1" s="1"/>
  <c r="N16" i="1"/>
  <c r="AC17" i="1"/>
  <c r="AB17" i="1" s="1"/>
  <c r="N21" i="1"/>
  <c r="AC22" i="1"/>
  <c r="AD22" i="1" s="1"/>
  <c r="DJ24" i="1"/>
  <c r="DL24" i="1" s="1"/>
  <c r="DJ21" i="1"/>
  <c r="DL21" i="1" s="1"/>
  <c r="DE20" i="1"/>
  <c r="DG20" i="1" s="1"/>
  <c r="DE19" i="1"/>
  <c r="DG19" i="1" s="1"/>
  <c r="CZ23" i="1"/>
  <c r="DB23" i="1" s="1"/>
  <c r="DO22" i="1"/>
  <c r="DQ22" i="1" s="1"/>
  <c r="CK22" i="1"/>
  <c r="CM22" i="1" s="1"/>
  <c r="DE24" i="1"/>
  <c r="DG24" i="1" s="1"/>
  <c r="DE21" i="1"/>
  <c r="DG21" i="1" s="1"/>
  <c r="CZ20" i="1"/>
  <c r="DB20" i="1" s="1"/>
  <c r="CU23" i="1"/>
  <c r="CW23" i="1" s="1"/>
  <c r="DJ22" i="1"/>
  <c r="DL22" i="1" s="1"/>
  <c r="CZ24" i="1"/>
  <c r="DB24" i="1" s="1"/>
  <c r="CZ21" i="1"/>
  <c r="DB21" i="1" s="1"/>
  <c r="CU20" i="1"/>
  <c r="CW20" i="1" s="1"/>
  <c r="CU19" i="1"/>
  <c r="CW19" i="1" s="1"/>
  <c r="CP23" i="1"/>
  <c r="CR23" i="1" s="1"/>
  <c r="DE22" i="1"/>
  <c r="DG22" i="1" s="1"/>
  <c r="CU24" i="1"/>
  <c r="CW24" i="1" s="1"/>
  <c r="CU21" i="1"/>
  <c r="CW21" i="1" s="1"/>
  <c r="CP20" i="1"/>
  <c r="CR20" i="1" s="1"/>
  <c r="CP19" i="1"/>
  <c r="CR19" i="1" s="1"/>
  <c r="DO23" i="1"/>
  <c r="DQ23" i="1" s="1"/>
  <c r="CK23" i="1"/>
  <c r="CM23" i="1" s="1"/>
  <c r="CZ22" i="1"/>
  <c r="DB22" i="1" s="1"/>
  <c r="CP24" i="1"/>
  <c r="CR24" i="1" s="1"/>
  <c r="CP21" i="1"/>
  <c r="CR21" i="1" s="1"/>
  <c r="DO20" i="1"/>
  <c r="DQ20" i="1" s="1"/>
  <c r="CK20" i="1"/>
  <c r="CM20" i="1" s="1"/>
  <c r="DJ23" i="1"/>
  <c r="DL23" i="1" s="1"/>
  <c r="CU22" i="1"/>
  <c r="CW22" i="1" s="1"/>
  <c r="DO24" i="1"/>
  <c r="DQ24" i="1" s="1"/>
  <c r="CK24" i="1"/>
  <c r="CM24" i="1" s="1"/>
  <c r="DO21" i="1"/>
  <c r="DQ21" i="1" s="1"/>
  <c r="CK21" i="1"/>
  <c r="CM21" i="1" s="1"/>
  <c r="DJ20" i="1"/>
  <c r="DL20" i="1" s="1"/>
  <c r="DJ19" i="1"/>
  <c r="DL19" i="1" s="1"/>
  <c r="BB15" i="1"/>
  <c r="BD15" i="1" s="1"/>
  <c r="CF15" i="1"/>
  <c r="CH15" i="1" s="1"/>
  <c r="DJ15" i="1"/>
  <c r="DL15" i="1" s="1"/>
  <c r="EN15" i="1"/>
  <c r="EP15" i="1" s="1"/>
  <c r="AM17" i="1"/>
  <c r="AO17" i="1" s="1"/>
  <c r="BQ17" i="1"/>
  <c r="BS17" i="1" s="1"/>
  <c r="CU17" i="1"/>
  <c r="CW17" i="1" s="1"/>
  <c r="DY17" i="1"/>
  <c r="EA17" i="1" s="1"/>
  <c r="AC19" i="1"/>
  <c r="AB19" i="1" s="1"/>
  <c r="N24" i="1"/>
  <c r="N23" i="1"/>
  <c r="EN24" i="1"/>
  <c r="EP24" i="1" s="1"/>
  <c r="EN21" i="1"/>
  <c r="EP21" i="1" s="1"/>
  <c r="EI19" i="1"/>
  <c r="EK19" i="1" s="1"/>
  <c r="ED23" i="1"/>
  <c r="EF23" i="1" s="1"/>
  <c r="ED20" i="1"/>
  <c r="EF20" i="1" s="1"/>
  <c r="EI24" i="1"/>
  <c r="EK24" i="1" s="1"/>
  <c r="EI21" i="1"/>
  <c r="EK21" i="1" s="1"/>
  <c r="DY23" i="1"/>
  <c r="EA23" i="1" s="1"/>
  <c r="EN22" i="1"/>
  <c r="EP22" i="1" s="1"/>
  <c r="DY20" i="1"/>
  <c r="EA20" i="1" s="1"/>
  <c r="ED24" i="1"/>
  <c r="EF24" i="1" s="1"/>
  <c r="ED21" i="1"/>
  <c r="EF21" i="1" s="1"/>
  <c r="DY19" i="1"/>
  <c r="EA19" i="1" s="1"/>
  <c r="DT23" i="1"/>
  <c r="DV23" i="1" s="1"/>
  <c r="EI22" i="1"/>
  <c r="EK22" i="1" s="1"/>
  <c r="DY24" i="1"/>
  <c r="EA24" i="1" s="1"/>
  <c r="DY21" i="1"/>
  <c r="EA21" i="1" s="1"/>
  <c r="DT19" i="1"/>
  <c r="DV19" i="1" s="1"/>
  <c r="ED22" i="1"/>
  <c r="EF22" i="1" s="1"/>
  <c r="DT24" i="1"/>
  <c r="DV24" i="1" s="1"/>
  <c r="DT21" i="1"/>
  <c r="DV21" i="1" s="1"/>
  <c r="EN23" i="1"/>
  <c r="EP23" i="1" s="1"/>
  <c r="DY22" i="1"/>
  <c r="EA22" i="1" s="1"/>
  <c r="EN20" i="1"/>
  <c r="EP20" i="1" s="1"/>
  <c r="EN19" i="1"/>
  <c r="EP19" i="1" s="1"/>
  <c r="AH16" i="1"/>
  <c r="BL16" i="1"/>
  <c r="BN16" i="1" s="1"/>
  <c r="DT16" i="1"/>
  <c r="DV16" i="1" s="1"/>
  <c r="AW18" i="1"/>
  <c r="AY18" i="1" s="1"/>
  <c r="CA18" i="1"/>
  <c r="CC18" i="1" s="1"/>
  <c r="DE18" i="1"/>
  <c r="DG18" i="1" s="1"/>
  <c r="EI18" i="1"/>
  <c r="EK18" i="1" s="1"/>
  <c r="CF24" i="1"/>
  <c r="CH24" i="1" s="1"/>
  <c r="CF21" i="1"/>
  <c r="CH21" i="1" s="1"/>
  <c r="CA20" i="1"/>
  <c r="CC20" i="1" s="1"/>
  <c r="CA19" i="1"/>
  <c r="CC19" i="1" s="1"/>
  <c r="BV23" i="1"/>
  <c r="BX23" i="1" s="1"/>
  <c r="BG22" i="1"/>
  <c r="BI22" i="1" s="1"/>
  <c r="CA24" i="1"/>
  <c r="CC24" i="1" s="1"/>
  <c r="CA21" i="1"/>
  <c r="CC21" i="1" s="1"/>
  <c r="BV20" i="1"/>
  <c r="BX20" i="1" s="1"/>
  <c r="BQ23" i="1"/>
  <c r="BS23" i="1" s="1"/>
  <c r="CF22" i="1"/>
  <c r="CH22" i="1" s="1"/>
  <c r="BV24" i="1"/>
  <c r="BX24" i="1" s="1"/>
  <c r="BV21" i="1"/>
  <c r="BX21" i="1" s="1"/>
  <c r="BQ20" i="1"/>
  <c r="BS20" i="1" s="1"/>
  <c r="BQ19" i="1"/>
  <c r="BS19" i="1" s="1"/>
  <c r="BL23" i="1"/>
  <c r="BN23" i="1" s="1"/>
  <c r="CA22" i="1"/>
  <c r="CC22" i="1" s="1"/>
  <c r="BQ24" i="1"/>
  <c r="BS24" i="1" s="1"/>
  <c r="BQ21" i="1"/>
  <c r="BS21" i="1" s="1"/>
  <c r="BL20" i="1"/>
  <c r="BN20" i="1" s="1"/>
  <c r="BL19" i="1"/>
  <c r="BN19" i="1" s="1"/>
  <c r="BG23" i="1"/>
  <c r="BI23" i="1" s="1"/>
  <c r="BV22" i="1"/>
  <c r="BX22" i="1" s="1"/>
  <c r="BL24" i="1"/>
  <c r="BN24" i="1" s="1"/>
  <c r="BL21" i="1"/>
  <c r="BN21" i="1" s="1"/>
  <c r="BG20" i="1"/>
  <c r="BI20" i="1" s="1"/>
  <c r="CF23" i="1"/>
  <c r="CH23" i="1" s="1"/>
  <c r="BQ22" i="1"/>
  <c r="BS22" i="1" s="1"/>
  <c r="BG24" i="1"/>
  <c r="BI24" i="1" s="1"/>
  <c r="BG21" i="1"/>
  <c r="BI21" i="1" s="1"/>
  <c r="CF20" i="1"/>
  <c r="CH20" i="1" s="1"/>
  <c r="CF19" i="1"/>
  <c r="CH19" i="1" s="1"/>
  <c r="AH22" i="1"/>
  <c r="BG15" i="1"/>
  <c r="BI15" i="1" s="1"/>
  <c r="AM16" i="1"/>
  <c r="AO16" i="1" s="1"/>
  <c r="BQ16" i="1"/>
  <c r="BS16" i="1" s="1"/>
  <c r="CU16" i="1"/>
  <c r="CW16" i="1" s="1"/>
  <c r="DY16" i="1"/>
  <c r="EA16" i="1" s="1"/>
  <c r="AC18" i="1"/>
  <c r="AB18" i="1" s="1"/>
  <c r="BB18" i="1"/>
  <c r="BD18" i="1" s="1"/>
  <c r="CF18" i="1"/>
  <c r="CH18" i="1" s="1"/>
  <c r="DJ18" i="1"/>
  <c r="DL18" i="1" s="1"/>
  <c r="EN18" i="1"/>
  <c r="EP18" i="1" s="1"/>
  <c r="CK19" i="1"/>
  <c r="CM19" i="1" s="1"/>
  <c r="EI20" i="1"/>
  <c r="EK20" i="1" s="1"/>
  <c r="BL22" i="1"/>
  <c r="BN22" i="1" s="1"/>
  <c r="AR17" i="1"/>
  <c r="AT17" i="1" s="1"/>
  <c r="AH15" i="1"/>
  <c r="BL15" i="1"/>
  <c r="BN15" i="1" s="1"/>
  <c r="DT15" i="1"/>
  <c r="DV15" i="1" s="1"/>
  <c r="AW17" i="1"/>
  <c r="AY17" i="1" s="1"/>
  <c r="CA17" i="1"/>
  <c r="CC17" i="1" s="1"/>
  <c r="DE17" i="1"/>
  <c r="DG17" i="1" s="1"/>
  <c r="EI17" i="1"/>
  <c r="EK17" i="1" s="1"/>
  <c r="CP22" i="1"/>
  <c r="CR22" i="1" s="1"/>
  <c r="AW23" i="1"/>
  <c r="AY23" i="1" s="1"/>
  <c r="BV17" i="1"/>
  <c r="BX17" i="1" s="1"/>
  <c r="AR16" i="1"/>
  <c r="AT16" i="1" s="1"/>
  <c r="BV16" i="1"/>
  <c r="BX16" i="1" s="1"/>
  <c r="ED16" i="1"/>
  <c r="EF16" i="1" s="1"/>
  <c r="BG18" i="1"/>
  <c r="BI18" i="1" s="1"/>
  <c r="CK18" i="1"/>
  <c r="CM18" i="1" s="1"/>
  <c r="DO18" i="1"/>
  <c r="DQ18" i="1" s="1"/>
  <c r="DT22" i="1"/>
  <c r="DV22" i="1" s="1"/>
  <c r="CA23" i="1"/>
  <c r="CC23" i="1" s="1"/>
  <c r="BB24" i="1"/>
  <c r="BD24" i="1" s="1"/>
  <c r="BB21" i="1"/>
  <c r="BD21" i="1" s="1"/>
  <c r="AW20" i="1"/>
  <c r="AY20" i="1" s="1"/>
  <c r="AW19" i="1"/>
  <c r="AY19" i="1" s="1"/>
  <c r="AR23" i="1"/>
  <c r="AT23" i="1" s="1"/>
  <c r="AW24" i="1"/>
  <c r="AY24" i="1" s="1"/>
  <c r="AW21" i="1"/>
  <c r="AY21" i="1" s="1"/>
  <c r="AR20" i="1"/>
  <c r="AT20" i="1" s="1"/>
  <c r="AM23" i="1"/>
  <c r="AO23" i="1" s="1"/>
  <c r="BB22" i="1"/>
  <c r="BD22" i="1" s="1"/>
  <c r="AR24" i="1"/>
  <c r="AT24" i="1" s="1"/>
  <c r="AR21" i="1"/>
  <c r="AT21" i="1" s="1"/>
  <c r="AM20" i="1"/>
  <c r="AO20" i="1" s="1"/>
  <c r="AM19" i="1"/>
  <c r="AO19" i="1" s="1"/>
  <c r="AH23" i="1"/>
  <c r="AW22" i="1"/>
  <c r="AY22" i="1" s="1"/>
  <c r="AM24" i="1"/>
  <c r="AO24" i="1" s="1"/>
  <c r="AM21" i="1"/>
  <c r="AO21" i="1" s="1"/>
  <c r="AH20" i="1"/>
  <c r="AH19" i="1"/>
  <c r="AR22" i="1"/>
  <c r="AT22" i="1" s="1"/>
  <c r="AH24" i="1"/>
  <c r="AH21" i="1"/>
  <c r="BB23" i="1"/>
  <c r="BD23" i="1" s="1"/>
  <c r="AM22" i="1"/>
  <c r="AO22" i="1" s="1"/>
  <c r="BB20" i="1"/>
  <c r="BD20" i="1" s="1"/>
  <c r="BB19" i="1"/>
  <c r="BD19" i="1" s="1"/>
  <c r="AM15" i="1"/>
  <c r="AO15" i="1" s="1"/>
  <c r="BQ15" i="1"/>
  <c r="BS15" i="1" s="1"/>
  <c r="CU15" i="1"/>
  <c r="CW15" i="1" s="1"/>
  <c r="DY15" i="1"/>
  <c r="EA15" i="1" s="1"/>
  <c r="BB17" i="1"/>
  <c r="BD17" i="1" s="1"/>
  <c r="CF17" i="1"/>
  <c r="CH17" i="1" s="1"/>
  <c r="DJ17" i="1"/>
  <c r="DL17" i="1" s="1"/>
  <c r="EN17" i="1"/>
  <c r="EP17" i="1" s="1"/>
  <c r="CZ19" i="1"/>
  <c r="DB19" i="1" s="1"/>
  <c r="DE23" i="1"/>
  <c r="DG23" i="1" s="1"/>
  <c r="AC24" i="1"/>
  <c r="AB24" i="1" s="1"/>
  <c r="AR18" i="1"/>
  <c r="AT18" i="1" s="1"/>
  <c r="AW16" i="1"/>
  <c r="AY16" i="1" s="1"/>
  <c r="CA16" i="1"/>
  <c r="CC16" i="1" s="1"/>
  <c r="DE16" i="1"/>
  <c r="DG16" i="1" s="1"/>
  <c r="EI16" i="1"/>
  <c r="EK16" i="1" s="1"/>
  <c r="AH18" i="1"/>
  <c r="BL18" i="1"/>
  <c r="BN18" i="1" s="1"/>
  <c r="CP18" i="1"/>
  <c r="CR18" i="1" s="1"/>
  <c r="DT18" i="1"/>
  <c r="DV18" i="1" s="1"/>
  <c r="EI23" i="1"/>
  <c r="EK23" i="1" s="1"/>
  <c r="AR15" i="1"/>
  <c r="AT15" i="1" s="1"/>
  <c r="BV15" i="1"/>
  <c r="BX15" i="1" s="1"/>
  <c r="CZ15" i="1"/>
  <c r="DB15" i="1" s="1"/>
  <c r="ED15" i="1"/>
  <c r="EF15" i="1" s="1"/>
  <c r="BG17" i="1"/>
  <c r="BI17" i="1" s="1"/>
  <c r="CK17" i="1"/>
  <c r="CM17" i="1" s="1"/>
  <c r="DO17" i="1"/>
  <c r="DQ17" i="1" s="1"/>
  <c r="AR19" i="1"/>
  <c r="AT19" i="1" s="1"/>
  <c r="DO19" i="1"/>
  <c r="DQ19" i="1" s="1"/>
  <c r="I20" i="1"/>
  <c r="N20" i="1" s="1"/>
  <c r="DT20" i="1"/>
  <c r="DV20" i="1" s="1"/>
  <c r="U20" i="1" a="1"/>
  <c r="U20" i="1" s="1"/>
  <c r="AA20" i="1" a="1"/>
  <c r="AA20" i="1" s="1"/>
  <c r="Z17" i="1" l="1" a="1"/>
  <c r="Z17" i="1" s="1"/>
  <c r="AB15" i="1"/>
  <c r="AD17" i="1"/>
  <c r="AB23" i="1"/>
  <c r="AD24" i="1"/>
  <c r="AD19" i="1"/>
  <c r="D17" i="1" a="1"/>
  <c r="D17" i="1" s="1"/>
  <c r="M17" i="1" s="1"/>
  <c r="J17" i="1" s="1"/>
  <c r="F17" i="1"/>
  <c r="T17" i="1" a="1"/>
  <c r="T17" i="1" s="1"/>
  <c r="Q17" i="1" a="1"/>
  <c r="Q17" i="1" s="1"/>
  <c r="AJ16" i="1"/>
  <c r="Z16" i="1" s="1" a="1"/>
  <c r="Z16" i="1" s="1"/>
  <c r="Y17" i="1" a="1"/>
  <c r="Y17" i="1" s="1"/>
  <c r="E17" i="1" a="1"/>
  <c r="E17" i="1" s="1"/>
  <c r="Z21" i="1" a="1"/>
  <c r="Z21" i="1" s="1"/>
  <c r="E21" i="1" a="1"/>
  <c r="E21" i="1" s="1"/>
  <c r="AJ21" i="1"/>
  <c r="Y21" i="1" s="1" a="1"/>
  <c r="Y21" i="1" s="1"/>
  <c r="D21" i="1" a="1"/>
  <c r="D21" i="1" s="1"/>
  <c r="M21" i="1" s="1"/>
  <c r="W21" i="1" a="1"/>
  <c r="W21" i="1" s="1"/>
  <c r="Q21" i="1" a="1"/>
  <c r="Q21" i="1" s="1"/>
  <c r="AJ23" i="1"/>
  <c r="D23" i="1" s="1" a="1"/>
  <c r="D23" i="1" s="1"/>
  <c r="M23" i="1" s="1"/>
  <c r="AJ15" i="1"/>
  <c r="T15" i="1" s="1" a="1"/>
  <c r="T15" i="1" s="1"/>
  <c r="D15" i="1" a="1"/>
  <c r="D15" i="1" s="1"/>
  <c r="M15" i="1" s="1"/>
  <c r="AD18" i="1"/>
  <c r="F21" i="1"/>
  <c r="AB22" i="1"/>
  <c r="W17" i="1" a="1"/>
  <c r="W17" i="1" s="1"/>
  <c r="T21" i="1" a="1"/>
  <c r="T21" i="1" s="1"/>
  <c r="AD20" i="1"/>
  <c r="AJ24" i="1"/>
  <c r="D24" i="1" s="1" a="1"/>
  <c r="D24" i="1" s="1"/>
  <c r="M24" i="1" s="1"/>
  <c r="O21" i="1" a="1"/>
  <c r="O21" i="1" s="1"/>
  <c r="AJ20" i="1"/>
  <c r="O20" i="1" s="1" a="1"/>
  <c r="O20" i="1" s="1"/>
  <c r="AJ18" i="1"/>
  <c r="D18" i="1" s="1" a="1"/>
  <c r="D18" i="1" s="1"/>
  <c r="M18" i="1" s="1"/>
  <c r="AJ19" i="1"/>
  <c r="Z19" i="1" s="1" a="1"/>
  <c r="Z19" i="1" s="1"/>
  <c r="O17" i="1" a="1"/>
  <c r="O17" i="1" s="1"/>
  <c r="AJ22" i="1"/>
  <c r="W22" i="1" s="1" a="1"/>
  <c r="W22" i="1" s="1"/>
  <c r="D22" i="1" a="1"/>
  <c r="D22" i="1" s="1"/>
  <c r="M22" i="1" s="1"/>
  <c r="O23" i="1" l="1" a="1"/>
  <c r="O23" i="1" s="1"/>
  <c r="W20" i="1" a="1"/>
  <c r="W20" i="1" s="1"/>
  <c r="F20" i="1"/>
  <c r="E23" i="1" a="1"/>
  <c r="E23" i="1" s="1"/>
  <c r="D20" i="1" a="1"/>
  <c r="D20" i="1" s="1"/>
  <c r="M20" i="1" s="1"/>
  <c r="Q20" i="1" a="1"/>
  <c r="Q20" i="1" s="1"/>
  <c r="Q23" i="1" a="1"/>
  <c r="Q23" i="1" s="1"/>
  <c r="H17" i="1"/>
  <c r="T18" i="1" a="1"/>
  <c r="T18" i="1" s="1"/>
  <c r="E22" i="1" a="1"/>
  <c r="E22" i="1" s="1"/>
  <c r="Z22" i="1" a="1"/>
  <c r="Z22" i="1" s="1"/>
  <c r="Y23" i="1" a="1"/>
  <c r="Y23" i="1" s="1"/>
  <c r="Z23" i="1" a="1"/>
  <c r="Z23" i="1" s="1"/>
  <c r="J24" i="1"/>
  <c r="H24" i="1"/>
  <c r="J18" i="1"/>
  <c r="H18" i="1"/>
  <c r="F18" i="1"/>
  <c r="Q18" i="1" a="1"/>
  <c r="Q18" i="1" s="1"/>
  <c r="T16" i="1" a="1"/>
  <c r="T16" i="1" s="1"/>
  <c r="Q16" i="1" a="1"/>
  <c r="Q16" i="1" s="1"/>
  <c r="Q19" i="1" a="1"/>
  <c r="Q19" i="1" s="1"/>
  <c r="T19" i="1" a="1"/>
  <c r="T19" i="1" s="1"/>
  <c r="E16" i="1" a="1"/>
  <c r="E16" i="1" s="1"/>
  <c r="Y18" i="1" a="1"/>
  <c r="Y18" i="1" s="1"/>
  <c r="W24" i="1" a="1"/>
  <c r="W24" i="1" s="1"/>
  <c r="F24" i="1"/>
  <c r="Q24" i="1" a="1"/>
  <c r="Q24" i="1" s="1"/>
  <c r="T24" i="1" a="1"/>
  <c r="T24" i="1" s="1"/>
  <c r="O24" i="1" a="1"/>
  <c r="O24" i="1" s="1"/>
  <c r="Z24" i="1" a="1"/>
  <c r="Z24" i="1" s="1"/>
  <c r="Y24" i="1" a="1"/>
  <c r="Y24" i="1" s="1"/>
  <c r="H15" i="1"/>
  <c r="J15" i="1"/>
  <c r="W18" i="1" a="1"/>
  <c r="W18" i="1" s="1"/>
  <c r="J21" i="1"/>
  <c r="H21" i="1"/>
  <c r="D16" i="1" a="1"/>
  <c r="D16" i="1" s="1"/>
  <c r="M16" i="1" s="1"/>
  <c r="E24" i="1" a="1"/>
  <c r="E24" i="1" s="1"/>
  <c r="Y16" i="1" a="1"/>
  <c r="Y16" i="1" s="1"/>
  <c r="E15" i="1" a="1"/>
  <c r="E15" i="1" s="1"/>
  <c r="W16" i="1" a="1"/>
  <c r="W16" i="1" s="1"/>
  <c r="O16" i="1" a="1"/>
  <c r="O16" i="1" s="1"/>
  <c r="Y19" i="1" a="1"/>
  <c r="Y19" i="1" s="1"/>
  <c r="D19" i="1" a="1"/>
  <c r="D19" i="1" s="1"/>
  <c r="M19" i="1" s="1"/>
  <c r="T20" i="1" a="1"/>
  <c r="T20" i="1" s="1"/>
  <c r="Y20" i="1" a="1"/>
  <c r="Y20" i="1" s="1"/>
  <c r="O19" i="1" a="1"/>
  <c r="O19" i="1" s="1"/>
  <c r="Z18" i="1" a="1"/>
  <c r="Z18" i="1" s="1"/>
  <c r="Z20" i="1" a="1"/>
  <c r="Z20" i="1" s="1"/>
  <c r="J22" i="1"/>
  <c r="H22" i="1"/>
  <c r="E19" i="1" a="1"/>
  <c r="E19" i="1" s="1"/>
  <c r="E18" i="1" a="1"/>
  <c r="E18" i="1" s="1"/>
  <c r="J23" i="1"/>
  <c r="H23" i="1"/>
  <c r="O18" i="1" a="1"/>
  <c r="O18" i="1" s="1"/>
  <c r="O22" i="1" a="1"/>
  <c r="O22" i="1" s="1"/>
  <c r="F22" i="1"/>
  <c r="Q22" i="1" a="1"/>
  <c r="Q22" i="1" s="1"/>
  <c r="T22" i="1" a="1"/>
  <c r="T22" i="1" s="1"/>
  <c r="Y22" i="1" a="1"/>
  <c r="Y22" i="1" s="1"/>
  <c r="F19" i="1"/>
  <c r="E20" i="1" a="1"/>
  <c r="E20" i="1" s="1"/>
  <c r="W23" i="1" a="1"/>
  <c r="W23" i="1" s="1"/>
  <c r="T23" i="1" a="1"/>
  <c r="T23" i="1" s="1"/>
  <c r="F23" i="1"/>
  <c r="F16" i="1"/>
  <c r="W19" i="1" a="1"/>
  <c r="W19" i="1" s="1"/>
  <c r="H20" i="1" l="1"/>
  <c r="J20" i="1"/>
  <c r="J19" i="1"/>
  <c r="H19" i="1"/>
  <c r="H16" i="1"/>
  <c r="J1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tc={709B5B40-D6D7-4D83-B507-23CFA34ED048}</author>
    <author>tc={BC04C637-E552-4577-A066-1394C23356C8}</author>
    <author>tc={16AB3BF8-EA3B-4768-AD56-219F2D2A8FFB}</author>
    <author>tc={2F919089-C4B2-4AD2-8809-81C8734FB994}</author>
    <author>tc={A282A643-7427-4688-A284-037FAAB2EE85}</author>
    <author>tc={20B94020-7D6A-4D12-8A08-95970DED82A3}</author>
    <author>tc={CC522877-76B7-43E1-88B3-E36F54FB68AB}</author>
    <author>tc={6C62BC60-6922-4B79-B142-2A40937781F1}</author>
    <author>tc={60F69F3F-D893-4346-9031-122032B094D7}</author>
    <author>tc={7440CAC5-A250-4A07-88C2-FF80D1EF5741}</author>
    <author>tc={4A6024D2-EA77-434B-A133-0C6FEB121F8B}</author>
    <author>tc={A53E0E47-2F0B-4E4F-AF5D-08D698DD7DE9}</author>
  </authors>
  <commentList>
    <comment ref="AF3" authorId="0" shapeId="0" xr:uid="{709B5B40-D6D7-4D83-B507-23CFA34ED04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Mois d'établissement de l'offre</t>
      </text>
    </comment>
    <comment ref="AI4" authorId="1" shapeId="0" xr:uid="{BC04C637-E552-4577-A066-1394C23356C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L'index de référence</t>
      </text>
    </comment>
    <comment ref="CN4" authorId="2" shapeId="0" xr:uid="{16AB3BF8-EA3B-4768-AD56-219F2D2A8FF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Tous corps d'état</t>
      </text>
    </comment>
    <comment ref="DW4" authorId="3" shapeId="0" xr:uid="{2F919089-C4B2-4AD2-8809-81C8734FB994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Tous corps d'état</t>
      </text>
    </comment>
    <comment ref="AF5" authorId="4" shapeId="0" xr:uid="{A282A643-7427-4688-A284-037FAAB2EE85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Valeurs de l’index de révision des prix </t>
      </text>
    </comment>
    <comment ref="G13" authorId="5" shapeId="0" xr:uid="{20B94020-7D6A-4D12-8A08-95970DED82A3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La valeur la plus fréquente d'une série </t>
      </text>
    </comment>
    <comment ref="J13" authorId="6" shapeId="0" xr:uid="{CC522877-76B7-43E1-88B3-E36F54FB68AB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Intervalle de Confiance = [Estimateur ± (Coefficient Critique × Erreur Standard)]. </t>
      </text>
    </comment>
    <comment ref="K13" authorId="7" shapeId="0" xr:uid="{6C62BC60-6922-4B79-B142-2A40937781F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Valeur centrale</t>
      </text>
    </comment>
    <comment ref="L13" authorId="8" shapeId="0" xr:uid="{60F69F3F-D893-4346-9031-122032B094D7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Une mesure da dispersion, ou l'étalement, d'un ensemble de valeurs autour de leur moyenne. Plus l'écart-type est faible, plus la population est homogène. </t>
      </text>
    </comment>
    <comment ref="M13" authorId="9" shapeId="0" xr:uid="{7440CAC5-A250-4A07-88C2-FF80D1EF5741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Elle représente le degré de fiabilité de la moyenne de l'échantillon par rapport à la moyenne de l'ensemble d'une population. Plus l'échantillon est grand, plus l'erreur type est faible et plus la moyenne de l'échantillon se rapproche de la moyenne de la population d'origine </t>
      </text>
    </comment>
    <comment ref="N13" authorId="10" shapeId="0" xr:uid="{4A6024D2-EA77-434B-A133-0C6FEB121F8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=Ecart-type / Moyenne arithmétique</t>
      </text>
    </comment>
    <comment ref="BR16" authorId="11" shapeId="0" xr:uid="{A53E0E47-2F0B-4E4F-AF5D-08D698DD7DE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Part à charge FERIEL non récupéré au compte prorata uniquement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<sst xmlns="http://schemas.openxmlformats.org/spreadsheetml/2006/main" count="411" uniqueCount="92">
  <si>
    <t>F. Actu</t>
  </si>
  <si>
    <t>Pm=P0[0,15+0.85(lm/l0)]</t>
  </si>
  <si>
    <t>Pm = Po [0,15 + 0,85 (Im/ Io)]</t>
  </si>
  <si>
    <t>M0</t>
  </si>
  <si>
    <t>Ma</t>
  </si>
  <si>
    <t>Nb mois</t>
  </si>
  <si>
    <t>BT01</t>
  </si>
  <si>
    <t>K1</t>
  </si>
  <si>
    <t>Titulaire</t>
  </si>
  <si>
    <t>EIFFAGE</t>
  </si>
  <si>
    <t>I0</t>
  </si>
  <si>
    <t>BT</t>
  </si>
  <si>
    <t>K2</t>
  </si>
  <si>
    <t>Im</t>
  </si>
  <si>
    <t>K3</t>
  </si>
  <si>
    <t>P0</t>
  </si>
  <si>
    <t>K1+K2+K3</t>
  </si>
  <si>
    <t>k1+k2+k3</t>
  </si>
  <si>
    <t>P0 BPU</t>
  </si>
  <si>
    <t>K4</t>
  </si>
  <si>
    <t>k4</t>
  </si>
  <si>
    <t>Pm</t>
  </si>
  <si>
    <t>Quantile (Quartile &amp; centile)</t>
  </si>
  <si>
    <t>N°</t>
  </si>
  <si>
    <t>DESIGNATION</t>
  </si>
  <si>
    <t>NB d'échantillon (n)</t>
  </si>
  <si>
    <t>NB échantillon distinct</t>
  </si>
  <si>
    <t>Moyennes</t>
  </si>
  <si>
    <t>Ecarts</t>
  </si>
  <si>
    <t>Min Brut (0%)</t>
  </si>
  <si>
    <t>25% (Inclus)</t>
  </si>
  <si>
    <t>Centile 40%
(Inclus les Extrémitées)</t>
  </si>
  <si>
    <t>50% (Médiane)</t>
  </si>
  <si>
    <t>Centile 60%
(Inclus les Extrémitées)</t>
  </si>
  <si>
    <t>75% (inclus)</t>
  </si>
  <si>
    <t>100%</t>
  </si>
  <si>
    <t>Boite de Tukey</t>
  </si>
  <si>
    <t>Unité</t>
  </si>
  <si>
    <t>Qté Mode</t>
  </si>
  <si>
    <t>Mode</t>
  </si>
  <si>
    <t>Intervalle de confiance (-) 95%</t>
  </si>
  <si>
    <t>Moyenne arithmétique</t>
  </si>
  <si>
    <t>Intervalle de confiance (+) 95%</t>
  </si>
  <si>
    <t>Médiane</t>
  </si>
  <si>
    <t>Ecart type</t>
  </si>
  <si>
    <t>Erreur type</t>
  </si>
  <si>
    <t>Coefficient de variation</t>
  </si>
  <si>
    <t>Qté 
0%</t>
  </si>
  <si>
    <t>Q0</t>
  </si>
  <si>
    <t>Qté 
1-25%</t>
  </si>
  <si>
    <t>Q1</t>
  </si>
  <si>
    <t>Qté 
26-50%</t>
  </si>
  <si>
    <t>Q2</t>
  </si>
  <si>
    <t>Qté 
51-75%</t>
  </si>
  <si>
    <t>Q3</t>
  </si>
  <si>
    <t>Qté 
76-99%</t>
  </si>
  <si>
    <t>Qté 
100%</t>
  </si>
  <si>
    <t>Q4</t>
  </si>
  <si>
    <t>Q1-1,5*IQR</t>
  </si>
  <si>
    <t>IQR</t>
  </si>
  <si>
    <t>Q3+1,5*IQR</t>
  </si>
  <si>
    <t>U</t>
  </si>
  <si>
    <t>Qté</t>
  </si>
  <si>
    <t>D.S</t>
  </si>
  <si>
    <t>P.U</t>
  </si>
  <si>
    <t>D.S.A</t>
  </si>
  <si>
    <t>TGE</t>
  </si>
  <si>
    <t>TACHES GENERALES</t>
  </si>
  <si>
    <t>FRAIS D'INSTALLATIONS DE CHANTIER</t>
  </si>
  <si>
    <t>Gardiennage</t>
  </si>
  <si>
    <t>mois</t>
  </si>
  <si>
    <t>inclut ci-dessous</t>
  </si>
  <si>
    <t>cis ci-dessous</t>
  </si>
  <si>
    <t>Préchauffage</t>
  </si>
  <si>
    <t>Accès et clôtures</t>
  </si>
  <si>
    <t>ens</t>
  </si>
  <si>
    <t>Equipements</t>
  </si>
  <si>
    <t>Installations Générales</t>
  </si>
  <si>
    <t>Encadrement de chantier pour tous les ouvrages</t>
  </si>
  <si>
    <t>cis DPF Gare</t>
  </si>
  <si>
    <t>cis</t>
  </si>
  <si>
    <t>inclus</t>
  </si>
  <si>
    <t>Préparation des fournitures et stocks</t>
  </si>
  <si>
    <t>item</t>
  </si>
  <si>
    <t>G</t>
  </si>
  <si>
    <t>OA</t>
  </si>
  <si>
    <t>Prestations</t>
  </si>
  <si>
    <t xml:space="preserve">Réalisation des documents 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</si>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</sst>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5" formatCode="yyyy\-mm\-dd;@"/>
    <numFmt numFmtId="166" formatCode="0.0000"/>
    <numFmt numFmtId="167" formatCode="0.00000"/>
    <numFmt numFmtId="168" formatCode="0.0"/>
    <numFmt numFmtId="169" formatCode="_(* #,##0.00000_);_(* \(#,##0.00000\);_(* &quot;-&quot;??_);_(@_)"/>
    <numFmt numFmtId="170" formatCode="#,##0.0000"/>
    <numFmt numFmtId="171" formatCode="_-* #,##0.00\ [$€-40C]_-;\-* #,##0.00\ [$€-40C]_-;_-* &quot;-&quot;??\ [$€-40C]_-;_-@_-"/>
    <numFmt numFmtId="172" formatCode="_-* #,##0.00\ _€_-;\-* #,##0.00\ _€_-;_-* &quot;-&quot;??\ _€_-;_-@_-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8"/>
      <name val="Arial"/>
      <family val="2"/>
    </font>
    <font>
      <b/>
      <sz val="11"/>
      <color theme="1"/>
      <name val="Times New Roman"/>
      <family val="1"/>
    </font>
    <font>
      <sz val="1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1"/>
      <name val="Aptos Narrow"/>
      <family val="2"/>
      <scheme val="minor"/>
    </font>
    <font>
      <sz val="13"/>
      <color indexed="30"/>
      <name val="Arial"/>
      <family val="2"/>
    </font>
    <font>
      <b/>
      <sz val="10"/>
      <name val="Aptos Narrow"/>
      <family val="2"/>
      <scheme val="minor"/>
    </font>
    <font>
      <sz val="9"/>
      <color indexed="81"/>
      <name val="Tahoma"/>
      <charset val="1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</cellStyleXfs>
  <cellXfs count="207">
    <xf numFmtId="0" fontId="0" fillId="0" borderId="0" xfId="0"/>
    <xf numFmtId="0" fontId="0" fillId="0" borderId="0" xfId="0" applyAlignment="1">
      <alignment horizontal="center" vertical="center"/>
    </xf>
    <xf numFmtId="43" fontId="0" fillId="0" borderId="0" xfId="1" applyFont="1" applyAlignment="1">
      <alignment horizontal="center" vertical="center" wrapText="1"/>
    </xf>
    <xf numFmtId="43" fontId="0" fillId="0" borderId="0" xfId="1" applyFont="1" applyAlignment="1">
      <alignment horizontal="right" vertical="center" wrapText="1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" fontId="0" fillId="0" borderId="0" xfId="0" applyNumberFormat="1" applyAlignment="1">
      <alignment horizontal="right" vertical="center"/>
    </xf>
    <xf numFmtId="4" fontId="0" fillId="0" borderId="0" xfId="0" applyNumberFormat="1" applyAlignment="1">
      <alignment horizontal="center"/>
    </xf>
    <xf numFmtId="4" fontId="0" fillId="0" borderId="0" xfId="0" applyNumberFormat="1"/>
    <xf numFmtId="0" fontId="0" fillId="0" borderId="0" xfId="0" applyAlignment="1">
      <alignment vertical="center"/>
    </xf>
    <xf numFmtId="2" fontId="0" fillId="0" borderId="0" xfId="0" applyNumberFormat="1" applyAlignment="1">
      <alignment vertical="center"/>
    </xf>
    <xf numFmtId="43" fontId="0" fillId="0" borderId="0" xfId="1" applyFont="1" applyAlignment="1">
      <alignment vertical="center"/>
    </xf>
    <xf numFmtId="43" fontId="0" fillId="0" borderId="0" xfId="1" applyFont="1" applyAlignment="1">
      <alignment horizontal="center"/>
    </xf>
    <xf numFmtId="43" fontId="0" fillId="0" borderId="0" xfId="1" applyFont="1" applyAlignment="1">
      <alignment horizontal="right" vertical="center"/>
    </xf>
    <xf numFmtId="2" fontId="0" fillId="0" borderId="0" xfId="0" applyNumberFormat="1"/>
    <xf numFmtId="43" fontId="0" fillId="0" borderId="0" xfId="1" applyFont="1" applyAlignment="1">
      <alignment horizontal="right"/>
    </xf>
    <xf numFmtId="2" fontId="0" fillId="0" borderId="0" xfId="0" applyNumberFormat="1" applyAlignment="1">
      <alignment horizontal="center" vertical="center"/>
    </xf>
    <xf numFmtId="43" fontId="0" fillId="0" borderId="0" xfId="1" applyFont="1"/>
    <xf numFmtId="2" fontId="0" fillId="0" borderId="0" xfId="0" applyNumberFormat="1" applyAlignment="1">
      <alignment horizontal="center"/>
    </xf>
    <xf numFmtId="43" fontId="0" fillId="0" borderId="0" xfId="1" applyFont="1" applyAlignment="1">
      <alignment horizontal="center" vertical="center"/>
    </xf>
    <xf numFmtId="43" fontId="3" fillId="0" borderId="0" xfId="1" applyFont="1" applyFill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165" fontId="0" fillId="0" borderId="2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4" fontId="0" fillId="0" borderId="0" xfId="2" applyNumberFormat="1" applyFont="1" applyBorder="1" applyAlignment="1">
      <alignment horizontal="center" vertical="center"/>
    </xf>
    <xf numFmtId="4" fontId="0" fillId="0" borderId="0" xfId="2" applyNumberFormat="1" applyFont="1" applyBorder="1" applyAlignment="1">
      <alignment horizontal="right" vertical="center"/>
    </xf>
    <xf numFmtId="10" fontId="0" fillId="0" borderId="0" xfId="2" applyNumberFormat="1" applyFont="1" applyBorder="1" applyAlignment="1">
      <alignment horizontal="center"/>
    </xf>
    <xf numFmtId="4" fontId="0" fillId="0" borderId="0" xfId="2" applyNumberFormat="1" applyFont="1" applyBorder="1" applyAlignment="1">
      <alignment horizontal="center"/>
    </xf>
    <xf numFmtId="2" fontId="0" fillId="0" borderId="0" xfId="2" applyNumberFormat="1" applyFont="1" applyBorder="1" applyAlignment="1">
      <alignment horizontal="center"/>
    </xf>
    <xf numFmtId="43" fontId="0" fillId="0" borderId="0" xfId="1" applyFont="1" applyBorder="1" applyAlignment="1">
      <alignment horizontal="right"/>
    </xf>
    <xf numFmtId="10" fontId="0" fillId="0" borderId="0" xfId="2" applyNumberFormat="1" applyFont="1" applyBorder="1" applyAlignment="1">
      <alignment horizontal="center" vertical="center"/>
    </xf>
    <xf numFmtId="2" fontId="0" fillId="0" borderId="0" xfId="2" applyNumberFormat="1" applyFont="1" applyBorder="1" applyAlignment="1">
      <alignment horizontal="center" vertical="center"/>
    </xf>
    <xf numFmtId="43" fontId="0" fillId="0" borderId="0" xfId="1" applyFont="1" applyBorder="1" applyAlignment="1">
      <alignment horizontal="center" vertical="center"/>
    </xf>
    <xf numFmtId="43" fontId="0" fillId="0" borderId="0" xfId="1" applyFont="1" applyBorder="1" applyAlignment="1">
      <alignment horizontal="center"/>
    </xf>
    <xf numFmtId="14" fontId="0" fillId="0" borderId="0" xfId="0" applyNumberFormat="1"/>
    <xf numFmtId="2" fontId="0" fillId="0" borderId="0" xfId="0" applyNumberFormat="1" applyAlignment="1">
      <alignment horizontal="right"/>
    </xf>
    <xf numFmtId="4" fontId="2" fillId="0" borderId="2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9" fontId="2" fillId="0" borderId="2" xfId="0" applyNumberFormat="1" applyFont="1" applyBorder="1" applyAlignment="1">
      <alignment horizontal="center"/>
    </xf>
    <xf numFmtId="9" fontId="2" fillId="0" borderId="4" xfId="0" applyNumberFormat="1" applyFont="1" applyBorder="1" applyAlignment="1">
      <alignment horizontal="center"/>
    </xf>
    <xf numFmtId="9" fontId="2" fillId="0" borderId="4" xfId="0" applyNumberFormat="1" applyFont="1" applyBorder="1" applyAlignment="1">
      <alignment horizontal="center"/>
    </xf>
    <xf numFmtId="0" fontId="0" fillId="0" borderId="1" xfId="0" applyBorder="1"/>
    <xf numFmtId="16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3" fontId="2" fillId="0" borderId="1" xfId="1" applyFont="1" applyBorder="1" applyAlignment="1">
      <alignment horizontal="center" vertical="center"/>
    </xf>
    <xf numFmtId="43" fontId="2" fillId="0" borderId="2" xfId="1" applyFont="1" applyBorder="1" applyAlignment="1">
      <alignment horizontal="center" vertical="center"/>
    </xf>
    <xf numFmtId="10" fontId="4" fillId="2" borderId="1" xfId="2" applyNumberFormat="1" applyFont="1" applyFill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3" fontId="0" fillId="0" borderId="0" xfId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/>
    </xf>
    <xf numFmtId="10" fontId="2" fillId="0" borderId="2" xfId="0" applyNumberFormat="1" applyFont="1" applyBorder="1" applyAlignment="1">
      <alignment horizontal="center"/>
    </xf>
    <xf numFmtId="10" fontId="2" fillId="0" borderId="4" xfId="0" applyNumberFormat="1" applyFont="1" applyBorder="1" applyAlignment="1">
      <alignment horizontal="center"/>
    </xf>
    <xf numFmtId="10" fontId="2" fillId="0" borderId="4" xfId="0" applyNumberFormat="1" applyFont="1" applyBorder="1" applyAlignment="1">
      <alignment horizontal="center"/>
    </xf>
    <xf numFmtId="166" fontId="2" fillId="0" borderId="1" xfId="2" applyNumberFormat="1" applyFont="1" applyBorder="1" applyAlignment="1">
      <alignment horizontal="center" vertical="center"/>
    </xf>
    <xf numFmtId="15" fontId="0" fillId="0" borderId="0" xfId="2" applyNumberFormat="1" applyFont="1" applyBorder="1" applyAlignment="1">
      <alignment horizontal="left" vertical="center"/>
    </xf>
    <xf numFmtId="15" fontId="0" fillId="0" borderId="0" xfId="2" applyNumberFormat="1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43" fontId="2" fillId="0" borderId="1" xfId="1" applyFont="1" applyBorder="1" applyAlignment="1">
      <alignment horizontal="center"/>
    </xf>
    <xf numFmtId="43" fontId="2" fillId="0" borderId="2" xfId="1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7" fontId="4" fillId="2" borderId="1" xfId="2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6" fontId="1" fillId="0" borderId="1" xfId="2" applyNumberFormat="1" applyFont="1" applyBorder="1" applyAlignment="1">
      <alignment horizontal="center" vertical="center"/>
    </xf>
    <xf numFmtId="168" fontId="2" fillId="0" borderId="1" xfId="0" applyNumberFormat="1" applyFont="1" applyBorder="1" applyAlignment="1">
      <alignment horizontal="center"/>
    </xf>
    <xf numFmtId="4" fontId="0" fillId="0" borderId="0" xfId="2" applyNumberFormat="1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168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169" fontId="0" fillId="0" borderId="0" xfId="1" applyNumberFormat="1" applyFont="1" applyAlignment="1">
      <alignment horizontal="right" vertical="center" wrapText="1"/>
    </xf>
    <xf numFmtId="43" fontId="0" fillId="0" borderId="0" xfId="1" applyFont="1" applyFill="1" applyBorder="1" applyAlignment="1">
      <alignment horizontal="right" vertical="center" wrapText="1"/>
    </xf>
    <xf numFmtId="43" fontId="2" fillId="0" borderId="2" xfId="1" applyFont="1" applyBorder="1" applyAlignment="1">
      <alignment horizontal="center"/>
    </xf>
    <xf numFmtId="43" fontId="2" fillId="0" borderId="3" xfId="1" applyFont="1" applyBorder="1" applyAlignment="1">
      <alignment horizontal="center"/>
    </xf>
    <xf numFmtId="43" fontId="2" fillId="0" borderId="4" xfId="1" applyFont="1" applyBorder="1" applyAlignment="1">
      <alignment horizontal="center"/>
    </xf>
    <xf numFmtId="43" fontId="2" fillId="0" borderId="4" xfId="1" applyFont="1" applyBorder="1" applyAlignment="1">
      <alignment horizontal="center"/>
    </xf>
    <xf numFmtId="166" fontId="2" fillId="0" borderId="0" xfId="2" applyNumberFormat="1" applyFont="1" applyBorder="1" applyAlignment="1">
      <alignment vertical="center"/>
    </xf>
    <xf numFmtId="43" fontId="2" fillId="0" borderId="2" xfId="1" applyFont="1" applyFill="1" applyBorder="1" applyAlignment="1">
      <alignment horizontal="center"/>
    </xf>
    <xf numFmtId="43" fontId="2" fillId="0" borderId="3" xfId="1" applyFont="1" applyFill="1" applyBorder="1" applyAlignment="1">
      <alignment horizontal="center"/>
    </xf>
    <xf numFmtId="43" fontId="2" fillId="0" borderId="4" xfId="1" applyFont="1" applyFill="1" applyBorder="1" applyAlignment="1">
      <alignment horizontal="center"/>
    </xf>
    <xf numFmtId="43" fontId="2" fillId="0" borderId="4" xfId="1" applyFont="1" applyFill="1" applyBorder="1" applyAlignment="1">
      <alignment horizontal="center"/>
    </xf>
    <xf numFmtId="43" fontId="6" fillId="0" borderId="0" xfId="1" applyFont="1" applyFill="1" applyBorder="1" applyAlignment="1">
      <alignment horizontal="center" vertical="center" wrapText="1"/>
    </xf>
    <xf numFmtId="43" fontId="6" fillId="0" borderId="0" xfId="1" applyFont="1" applyFill="1" applyBorder="1" applyAlignment="1">
      <alignment horizontal="right" vertical="center" wrapText="1"/>
    </xf>
    <xf numFmtId="4" fontId="2" fillId="0" borderId="2" xfId="1" applyNumberFormat="1" applyFont="1" applyBorder="1" applyAlignment="1">
      <alignment horizontal="right"/>
    </xf>
    <xf numFmtId="4" fontId="2" fillId="0" borderId="3" xfId="1" applyNumberFormat="1" applyFont="1" applyBorder="1" applyAlignment="1">
      <alignment horizontal="right"/>
    </xf>
    <xf numFmtId="4" fontId="2" fillId="0" borderId="4" xfId="1" applyNumberFormat="1" applyFont="1" applyBorder="1" applyAlignment="1">
      <alignment horizontal="right"/>
    </xf>
    <xf numFmtId="4" fontId="2" fillId="0" borderId="4" xfId="1" applyNumberFormat="1" applyFont="1" applyBorder="1" applyAlignment="1">
      <alignment horizontal="right"/>
    </xf>
    <xf numFmtId="43" fontId="0" fillId="0" borderId="0" xfId="1" applyFont="1" applyFill="1" applyBorder="1" applyAlignment="1">
      <alignment horizontal="right" vertical="center"/>
    </xf>
    <xf numFmtId="43" fontId="7" fillId="0" borderId="1" xfId="1" applyFont="1" applyBorder="1" applyAlignment="1">
      <alignment horizontal="center" vertical="center"/>
    </xf>
    <xf numFmtId="43" fontId="7" fillId="0" borderId="1" xfId="1" applyFont="1" applyBorder="1" applyAlignment="1">
      <alignment horizontal="center" vertical="center"/>
    </xf>
    <xf numFmtId="4" fontId="0" fillId="0" borderId="1" xfId="0" applyNumberFormat="1" applyBorder="1" applyAlignment="1">
      <alignment vertical="center"/>
    </xf>
    <xf numFmtId="170" fontId="0" fillId="0" borderId="0" xfId="0" applyNumberFormat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43" fontId="7" fillId="0" borderId="1" xfId="1" applyFont="1" applyFill="1" applyBorder="1" applyAlignment="1">
      <alignment horizontal="center" vertical="center"/>
    </xf>
    <xf numFmtId="43" fontId="7" fillId="0" borderId="1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  <xf numFmtId="43" fontId="8" fillId="0" borderId="0" xfId="1" applyFont="1" applyBorder="1" applyAlignment="1">
      <alignment horizontal="center" vertical="center" wrapText="1"/>
    </xf>
    <xf numFmtId="43" fontId="8" fillId="0" borderId="0" xfId="1" applyFont="1" applyBorder="1" applyAlignment="1">
      <alignment horizontal="right" vertical="center" wrapText="1"/>
    </xf>
    <xf numFmtId="43" fontId="8" fillId="0" borderId="2" xfId="1" applyFont="1" applyBorder="1" applyAlignment="1">
      <alignment horizontal="center" vertical="center" wrapText="1"/>
    </xf>
    <xf numFmtId="43" fontId="8" fillId="0" borderId="3" xfId="1" applyFont="1" applyBorder="1" applyAlignment="1">
      <alignment horizontal="center" vertical="center" wrapText="1"/>
    </xf>
    <xf numFmtId="43" fontId="8" fillId="0" borderId="4" xfId="1" applyFont="1" applyBorder="1" applyAlignment="1">
      <alignment horizontal="center" vertical="center" wrapText="1"/>
    </xf>
    <xf numFmtId="43" fontId="8" fillId="0" borderId="1" xfId="1" applyFont="1" applyBorder="1" applyAlignment="1">
      <alignment vertical="center" wrapText="1"/>
    </xf>
    <xf numFmtId="0" fontId="8" fillId="0" borderId="1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43" fontId="8" fillId="3" borderId="7" xfId="1" applyFont="1" applyFill="1" applyBorder="1" applyAlignment="1">
      <alignment horizontal="center" vertical="center" wrapText="1"/>
    </xf>
    <xf numFmtId="43" fontId="8" fillId="4" borderId="2" xfId="1" applyFont="1" applyFill="1" applyBorder="1" applyAlignment="1">
      <alignment horizontal="center" vertical="center" wrapText="1"/>
    </xf>
    <xf numFmtId="43" fontId="8" fillId="4" borderId="3" xfId="1" applyFont="1" applyFill="1" applyBorder="1" applyAlignment="1">
      <alignment horizontal="center" vertical="center" wrapText="1"/>
    </xf>
    <xf numFmtId="43" fontId="8" fillId="5" borderId="2" xfId="1" applyFont="1" applyFill="1" applyBorder="1" applyAlignment="1">
      <alignment horizontal="center" vertical="center" wrapText="1"/>
    </xf>
    <xf numFmtId="43" fontId="8" fillId="5" borderId="4" xfId="1" applyFont="1" applyFill="1" applyBorder="1" applyAlignment="1">
      <alignment horizontal="center" vertical="center" wrapText="1"/>
    </xf>
    <xf numFmtId="49" fontId="8" fillId="6" borderId="1" xfId="1" applyNumberFormat="1" applyFont="1" applyFill="1" applyBorder="1" applyAlignment="1">
      <alignment horizontal="center" vertical="center" wrapText="1"/>
    </xf>
    <xf numFmtId="49" fontId="8" fillId="7" borderId="7" xfId="1" applyNumberFormat="1" applyFont="1" applyFill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49" fontId="8" fillId="8" borderId="1" xfId="1" applyNumberFormat="1" applyFont="1" applyFill="1" applyBorder="1" applyAlignment="1">
      <alignment horizontal="center" vertical="center" wrapText="1"/>
    </xf>
    <xf numFmtId="49" fontId="8" fillId="9" borderId="1" xfId="1" applyNumberFormat="1" applyFont="1" applyFill="1" applyBorder="1" applyAlignment="1">
      <alignment horizontal="center" vertical="center" wrapText="1"/>
    </xf>
    <xf numFmtId="49" fontId="8" fillId="0" borderId="1" xfId="1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43" fontId="8" fillId="3" borderId="11" xfId="1" applyFont="1" applyFill="1" applyBorder="1" applyAlignment="1">
      <alignment horizontal="center" vertical="center" wrapText="1"/>
    </xf>
    <xf numFmtId="43" fontId="8" fillId="3" borderId="1" xfId="1" applyFont="1" applyFill="1" applyBorder="1" applyAlignment="1">
      <alignment horizontal="center" vertical="center" wrapText="1"/>
    </xf>
    <xf numFmtId="43" fontId="8" fillId="5" borderId="1" xfId="1" applyFont="1" applyFill="1" applyBorder="1" applyAlignment="1">
      <alignment horizontal="center" vertical="center" wrapText="1"/>
    </xf>
    <xf numFmtId="43" fontId="8" fillId="6" borderId="1" xfId="1" applyFont="1" applyFill="1" applyBorder="1" applyAlignment="1">
      <alignment horizontal="center" vertical="center" wrapText="1"/>
    </xf>
    <xf numFmtId="49" fontId="8" fillId="7" borderId="11" xfId="1" applyNumberFormat="1" applyFont="1" applyFill="1" applyBorder="1" applyAlignment="1">
      <alignment horizontal="center" vertical="center" wrapText="1"/>
    </xf>
    <xf numFmtId="43" fontId="8" fillId="8" borderId="1" xfId="1" applyFont="1" applyFill="1" applyBorder="1" applyAlignment="1">
      <alignment horizontal="center" vertical="center" wrapText="1"/>
    </xf>
    <xf numFmtId="43" fontId="8" fillId="9" borderId="1" xfId="1" applyFont="1" applyFill="1" applyBorder="1" applyAlignment="1">
      <alignment horizontal="center" vertical="center" wrapText="1"/>
    </xf>
    <xf numFmtId="43" fontId="8" fillId="0" borderId="11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43" fontId="8" fillId="0" borderId="1" xfId="1" applyFont="1" applyBorder="1" applyAlignment="1">
      <alignment horizontal="center" vertical="center"/>
    </xf>
    <xf numFmtId="43" fontId="8" fillId="0" borderId="2" xfId="1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171" fontId="8" fillId="0" borderId="1" xfId="1" applyNumberFormat="1" applyFont="1" applyBorder="1" applyAlignment="1">
      <alignment horizontal="center" vertical="center"/>
    </xf>
    <xf numFmtId="43" fontId="8" fillId="0" borderId="4" xfId="1" applyFont="1" applyFill="1" applyBorder="1" applyAlignment="1">
      <alignment horizontal="center" vertical="center"/>
    </xf>
    <xf numFmtId="4" fontId="8" fillId="0" borderId="5" xfId="0" applyNumberFormat="1" applyFont="1" applyBorder="1" applyAlignment="1">
      <alignment horizontal="center" vertical="center"/>
    </xf>
    <xf numFmtId="0" fontId="8" fillId="10" borderId="3" xfId="0" quotePrefix="1" applyFont="1" applyFill="1" applyBorder="1" applyAlignment="1">
      <alignment horizontal="left"/>
    </xf>
    <xf numFmtId="0" fontId="8" fillId="10" borderId="4" xfId="0" quotePrefix="1" applyFont="1" applyFill="1" applyBorder="1" applyAlignment="1">
      <alignment horizontal="left"/>
    </xf>
    <xf numFmtId="43" fontId="8" fillId="10" borderId="1" xfId="1" quotePrefix="1" applyFont="1" applyFill="1" applyBorder="1" applyAlignment="1">
      <alignment horizontal="center" vertical="center"/>
    </xf>
    <xf numFmtId="43" fontId="8" fillId="10" borderId="1" xfId="1" quotePrefix="1" applyFont="1" applyFill="1" applyBorder="1" applyAlignment="1">
      <alignment horizontal="right" vertical="center"/>
    </xf>
    <xf numFmtId="0" fontId="8" fillId="10" borderId="1" xfId="0" quotePrefix="1" applyFont="1" applyFill="1" applyBorder="1"/>
    <xf numFmtId="4" fontId="8" fillId="10" borderId="1" xfId="0" quotePrefix="1" applyNumberFormat="1" applyFont="1" applyFill="1" applyBorder="1" applyAlignment="1">
      <alignment horizontal="center"/>
    </xf>
    <xf numFmtId="4" fontId="8" fillId="10" borderId="1" xfId="0" quotePrefix="1" applyNumberFormat="1" applyFont="1" applyFill="1" applyBorder="1"/>
    <xf numFmtId="0" fontId="8" fillId="10" borderId="1" xfId="0" quotePrefix="1" applyFont="1" applyFill="1" applyBorder="1" applyAlignment="1">
      <alignment vertical="center"/>
    </xf>
    <xf numFmtId="2" fontId="8" fillId="10" borderId="1" xfId="0" quotePrefix="1" applyNumberFormat="1" applyFont="1" applyFill="1" applyBorder="1" applyAlignment="1">
      <alignment vertical="center"/>
    </xf>
    <xf numFmtId="43" fontId="8" fillId="10" borderId="1" xfId="1" quotePrefix="1" applyFont="1" applyFill="1" applyBorder="1" applyAlignment="1">
      <alignment vertical="center"/>
    </xf>
    <xf numFmtId="0" fontId="8" fillId="10" borderId="1" xfId="0" quotePrefix="1" applyFont="1" applyFill="1" applyBorder="1" applyAlignment="1">
      <alignment horizontal="center" vertical="center"/>
    </xf>
    <xf numFmtId="43" fontId="8" fillId="10" borderId="1" xfId="1" quotePrefix="1" applyFont="1" applyFill="1" applyBorder="1" applyAlignment="1">
      <alignment horizontal="center"/>
    </xf>
    <xf numFmtId="2" fontId="8" fillId="10" borderId="1" xfId="0" quotePrefix="1" applyNumberFormat="1" applyFont="1" applyFill="1" applyBorder="1"/>
    <xf numFmtId="43" fontId="8" fillId="10" borderId="1" xfId="1" quotePrefix="1" applyFont="1" applyFill="1" applyBorder="1" applyAlignment="1">
      <alignment horizontal="right"/>
    </xf>
    <xf numFmtId="2" fontId="8" fillId="10" borderId="1" xfId="0" quotePrefix="1" applyNumberFormat="1" applyFont="1" applyFill="1" applyBorder="1" applyAlignment="1">
      <alignment horizontal="center" vertical="center"/>
    </xf>
    <xf numFmtId="43" fontId="8" fillId="10" borderId="1" xfId="1" quotePrefix="1" applyFont="1" applyFill="1" applyBorder="1"/>
    <xf numFmtId="0" fontId="8" fillId="10" borderId="1" xfId="0" quotePrefix="1" applyFont="1" applyFill="1" applyBorder="1" applyAlignment="1">
      <alignment horizontal="center"/>
    </xf>
    <xf numFmtId="43" fontId="8" fillId="10" borderId="2" xfId="1" quotePrefix="1" applyFont="1" applyFill="1" applyBorder="1" applyAlignment="1">
      <alignment horizontal="center" vertical="center"/>
    </xf>
    <xf numFmtId="43" fontId="8" fillId="10" borderId="5" xfId="1" quotePrefix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10" fillId="11" borderId="2" xfId="3" applyNumberFormat="1" applyFont="1" applyFill="1" applyBorder="1" applyAlignment="1">
      <alignment horizontal="left" vertical="top" wrapText="1"/>
    </xf>
    <xf numFmtId="43" fontId="6" fillId="12" borderId="1" xfId="1" applyFont="1" applyFill="1" applyBorder="1" applyAlignment="1">
      <alignment horizontal="center" vertical="center" wrapText="1"/>
    </xf>
    <xf numFmtId="10" fontId="6" fillId="12" borderId="1" xfId="1" applyNumberFormat="1" applyFont="1" applyFill="1" applyBorder="1" applyAlignment="1">
      <alignment horizontal="center" vertical="center" wrapText="1"/>
    </xf>
    <xf numFmtId="0" fontId="6" fillId="12" borderId="1" xfId="1" applyNumberFormat="1" applyFont="1" applyFill="1" applyBorder="1" applyAlignment="1">
      <alignment horizontal="center" vertical="center" wrapText="1"/>
    </xf>
    <xf numFmtId="43" fontId="10" fillId="12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4" fontId="6" fillId="2" borderId="1" xfId="3" applyNumberFormat="1" applyFont="1" applyFill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quotePrefix="1" applyNumberFormat="1" applyFont="1" applyBorder="1" applyAlignment="1">
      <alignment horizontal="center" vertical="center"/>
    </xf>
    <xf numFmtId="43" fontId="6" fillId="0" borderId="1" xfId="1" applyFont="1" applyBorder="1" applyAlignment="1">
      <alignment horizontal="center" vertical="center"/>
    </xf>
    <xf numFmtId="43" fontId="6" fillId="0" borderId="1" xfId="1" applyFont="1" applyFill="1" applyBorder="1" applyAlignment="1">
      <alignment horizontal="center" vertical="center"/>
    </xf>
    <xf numFmtId="43" fontId="6" fillId="0" borderId="2" xfId="1" applyFont="1" applyBorder="1" applyAlignment="1">
      <alignment horizontal="center" vertical="center"/>
    </xf>
    <xf numFmtId="4" fontId="6" fillId="2" borderId="5" xfId="3" applyNumberFormat="1" applyFont="1" applyFill="1" applyBorder="1" applyAlignment="1">
      <alignment horizontal="center" vertical="center"/>
    </xf>
    <xf numFmtId="3" fontId="6" fillId="2" borderId="2" xfId="3" applyNumberFormat="1" applyFont="1" applyFill="1" applyBorder="1" applyAlignment="1">
      <alignment vertical="top" wrapText="1"/>
    </xf>
    <xf numFmtId="3" fontId="6" fillId="2" borderId="1" xfId="3" applyNumberFormat="1" applyFont="1" applyFill="1" applyBorder="1" applyAlignment="1">
      <alignment horizontal="center" vertical="center"/>
    </xf>
    <xf numFmtId="43" fontId="6" fillId="2" borderId="1" xfId="1" applyFont="1" applyFill="1" applyBorder="1" applyAlignment="1">
      <alignment horizontal="center" vertical="center"/>
    </xf>
    <xf numFmtId="172" fontId="6" fillId="0" borderId="1" xfId="0" applyNumberFormat="1" applyFont="1" applyBorder="1" applyAlignment="1">
      <alignment horizontal="center" vertical="center"/>
    </xf>
    <xf numFmtId="3" fontId="6" fillId="2" borderId="0" xfId="3" applyNumberFormat="1" applyFont="1" applyFill="1" applyAlignment="1">
      <alignment vertical="top"/>
    </xf>
    <xf numFmtId="43" fontId="0" fillId="0" borderId="1" xfId="1" applyFont="1" applyBorder="1" applyAlignment="1">
      <alignment vertical="center"/>
    </xf>
    <xf numFmtId="4" fontId="6" fillId="0" borderId="1" xfId="3" applyNumberFormat="1" applyFont="1" applyBorder="1" applyAlignment="1">
      <alignment horizontal="center" vertical="center"/>
    </xf>
    <xf numFmtId="3" fontId="6" fillId="0" borderId="1" xfId="3" applyNumberFormat="1" applyFont="1" applyBorder="1" applyAlignment="1">
      <alignment horizontal="center" vertical="center"/>
    </xf>
    <xf numFmtId="3" fontId="6" fillId="2" borderId="2" xfId="3" applyNumberFormat="1" applyFont="1" applyFill="1" applyBorder="1" applyAlignment="1">
      <alignment vertical="top"/>
    </xf>
    <xf numFmtId="4" fontId="6" fillId="0" borderId="1" xfId="1" applyNumberFormat="1" applyFont="1" applyBorder="1" applyAlignment="1">
      <alignment horizontal="center" vertical="center"/>
    </xf>
    <xf numFmtId="4" fontId="6" fillId="2" borderId="1" xfId="1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3" fontId="6" fillId="0" borderId="2" xfId="3" applyNumberFormat="1" applyFont="1" applyBorder="1" applyAlignment="1">
      <alignment vertical="top"/>
    </xf>
    <xf numFmtId="0" fontId="3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</cellXfs>
  <cellStyles count="4">
    <cellStyle name="Milliers" xfId="1" builtinId="3"/>
    <cellStyle name="Normal" xfId="0" builtinId="0"/>
    <cellStyle name="Normal_avec reprise ESTIMATION LOT 1A v1" xfId="3" xr:uid="{632DB5E3-9194-48FE-BDDD-EBD3DC3252B0}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TIR Mehdi" id="{7EF59A48-98C9-43A0-83E3-3B4010B24F27}" userId="S::mehdi.tir@egis-group.com::a7fcfa9f-8051-4c8a-8c42-4e63cb2853a3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F3" dT="2024-05-31T10:31:07.23" personId="{7EF59A48-98C9-43A0-83E3-3B4010B24F27}" id="{709B5B40-D6D7-4D83-B507-23CFA34ED048}">
    <text>Mois d'établissement de l'offre</text>
  </threadedComment>
  <threadedComment ref="AI4" dT="2024-05-31T10:30:49.63" personId="{7EF59A48-98C9-43A0-83E3-3B4010B24F27}" id="{BC04C637-E552-4577-A066-1394C23356C8}">
    <text>L'index de référence</text>
  </threadedComment>
  <threadedComment ref="CN4" dT="2024-04-16T12:48:05.77" personId="{7EF59A48-98C9-43A0-83E3-3B4010B24F27}" id="{16AB3BF8-EA3B-4768-AD56-219F2D2A8FFB}">
    <text>Tous corps d'état</text>
  </threadedComment>
  <threadedComment ref="DW4" dT="2024-04-16T12:48:05.77" personId="{7EF59A48-98C9-43A0-83E3-3B4010B24F27}" id="{2F919089-C4B2-4AD2-8809-81C8734FB994}">
    <text>Tous corps d'état</text>
  </threadedComment>
  <threadedComment ref="AF5" dT="2024-05-31T10:32:35.67" personId="{7EF59A48-98C9-43A0-83E3-3B4010B24F27}" id="{A282A643-7427-4688-A284-037FAAB2EE85}">
    <text xml:space="preserve">Valeurs de l’index de révision des prix </text>
  </threadedComment>
  <threadedComment ref="G13" dT="2024-06-10T13:51:19.71" personId="{7EF59A48-98C9-43A0-83E3-3B4010B24F27}" id="{20B94020-7D6A-4D12-8A08-95970DED82A3}">
    <text xml:space="preserve">La valeur la plus fréquente d'une série </text>
  </threadedComment>
  <threadedComment ref="J13" dT="2024-06-13T12:36:11.58" personId="{7EF59A48-98C9-43A0-83E3-3B4010B24F27}" id="{CC522877-76B7-43E1-88B3-E36F54FB68AB}">
    <text xml:space="preserve">Intervalle de Confiance = [Estimateur ± (Coefficient Critique × Erreur Standard)]. </text>
  </threadedComment>
  <threadedComment ref="K13" dT="2024-06-10T09:19:57.37" personId="{7EF59A48-98C9-43A0-83E3-3B4010B24F27}" id="{6C62BC60-6922-4B79-B142-2A40937781F1}">
    <text>Valeur centrale</text>
  </threadedComment>
  <threadedComment ref="L13" dT="2024-06-10T13:25:45.88" personId="{7EF59A48-98C9-43A0-83E3-3B4010B24F27}" id="{60F69F3F-D893-4346-9031-122032B094D7}">
    <text xml:space="preserve">Une mesure da dispersion, ou l'étalement, d'un ensemble de valeurs autour de leur moyenne. Plus l'écart-type est faible, plus la population est homogène. </text>
  </threadedComment>
  <threadedComment ref="M13" dT="2024-06-14T10:04:43.59" personId="{7EF59A48-98C9-43A0-83E3-3B4010B24F27}" id="{7440CAC5-A250-4A07-88C2-FF80D1EF5741}">
    <text xml:space="preserve">Elle représente le degré de fiabilité de la moyenne de l'échantillon par rapport à la moyenne de l'ensemble d'une population. Plus l'échantillon est grand, plus l'erreur type est faible et plus la moyenne de l'échantillon se rapproche de la moyenne de la population d'origine </text>
  </threadedComment>
  <threadedComment ref="N13" dT="2024-06-10T13:26:30.58" personId="{7EF59A48-98C9-43A0-83E3-3B4010B24F27}" id="{4A6024D2-EA77-434B-A133-0C6FEB121F8B}">
    <text>=Ecart-type / Moyenne arithmétique</text>
  </threadedComment>
  <threadedComment ref="BR16" dT="2024-04-11T15:21:37.81" personId="{7EF59A48-98C9-43A0-83E3-3B4010B24F27}" id="{A53E0E47-2F0B-4E4F-AF5D-08D698DD7DE9}">
    <text>Part à charge FERIEL non récupéré au compte prorata uniquement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2AAC6-4C79-440F-B8CB-799317DCA2BB}">
  <dimension ref="A1:EP24"/>
  <sheetViews>
    <sheetView tabSelected="1" workbookViewId="0">
      <selection activeCell="C28" sqref="C28"/>
    </sheetView>
  </sheetViews>
  <sheetFormatPr baseColWidth="10" defaultRowHeight="14.5" x14ac:dyDescent="0.35"/>
  <cols>
    <col min="3" max="3" width="60.26953125" customWidth="1"/>
  </cols>
  <sheetData>
    <row r="1" spans="1:146" x14ac:dyDescent="0.35">
      <c r="A1" s="1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2"/>
      <c r="AF1" s="1"/>
      <c r="AG1" s="4"/>
      <c r="AH1" s="4"/>
      <c r="AI1" s="5"/>
      <c r="AJ1" s="5"/>
      <c r="AK1" s="1"/>
      <c r="AL1" s="4"/>
      <c r="AM1" s="4"/>
      <c r="AN1" s="5"/>
      <c r="AO1" s="5"/>
      <c r="AP1" s="1"/>
      <c r="AQ1" s="4"/>
      <c r="AR1" s="4"/>
      <c r="AS1" s="6"/>
      <c r="AT1" s="6"/>
      <c r="AV1" s="7"/>
      <c r="AW1" s="7"/>
      <c r="AX1" s="6"/>
      <c r="AY1" s="6"/>
      <c r="BA1" s="8"/>
      <c r="BB1" s="8"/>
      <c r="BC1" s="8"/>
      <c r="BD1" s="8"/>
      <c r="BE1" s="9"/>
      <c r="BF1" s="10"/>
      <c r="BG1" s="10"/>
      <c r="BH1" s="11"/>
      <c r="BI1" s="11"/>
      <c r="BJ1" s="1"/>
      <c r="BK1" s="12"/>
      <c r="BL1" s="12"/>
      <c r="BM1" s="13"/>
      <c r="BN1" s="13"/>
      <c r="BP1" s="14"/>
      <c r="BQ1" s="14"/>
      <c r="BR1" s="15"/>
      <c r="BS1" s="15"/>
      <c r="BT1" s="1"/>
      <c r="BU1" s="16"/>
      <c r="BV1" s="16"/>
      <c r="BW1" s="11"/>
      <c r="BX1" s="11"/>
      <c r="BZ1" s="14"/>
      <c r="CA1" s="14"/>
      <c r="CB1" s="17"/>
      <c r="CC1" s="17"/>
      <c r="CE1" s="14"/>
      <c r="CF1" s="14"/>
      <c r="CG1" s="14"/>
      <c r="CH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7"/>
      <c r="CU1" s="17"/>
      <c r="CV1" s="17"/>
      <c r="CW1" s="17"/>
      <c r="CX1" s="14"/>
      <c r="CY1" s="14"/>
      <c r="CZ1" s="14"/>
      <c r="DA1" s="17"/>
      <c r="DB1" s="17"/>
      <c r="DC1" s="14"/>
      <c r="DD1" s="14"/>
      <c r="DE1" s="14"/>
      <c r="DF1" s="14"/>
      <c r="DG1" s="14"/>
      <c r="DH1" s="14"/>
      <c r="DI1" s="14"/>
      <c r="DJ1" s="14"/>
      <c r="DK1" s="14"/>
      <c r="DL1" s="14"/>
      <c r="DN1" s="14"/>
      <c r="DO1" s="14"/>
      <c r="DP1" s="17"/>
      <c r="DQ1" s="17"/>
      <c r="DS1" s="18"/>
      <c r="DT1" s="18"/>
      <c r="DU1" s="19"/>
      <c r="DV1" s="19"/>
      <c r="DW1" s="20"/>
      <c r="DX1" s="18"/>
      <c r="DY1" s="18"/>
      <c r="DZ1" s="17"/>
      <c r="EA1" s="17"/>
      <c r="EB1" s="16"/>
      <c r="EC1" s="16"/>
      <c r="ED1" s="16"/>
      <c r="EE1" s="19"/>
      <c r="EF1" s="19"/>
      <c r="EG1" s="16"/>
      <c r="EH1" s="16"/>
      <c r="EI1" s="16"/>
      <c r="EJ1" s="19"/>
      <c r="EK1" s="19"/>
      <c r="EL1" s="1"/>
      <c r="EM1" s="16"/>
      <c r="EN1" s="16"/>
      <c r="EO1" s="19"/>
      <c r="EP1" s="19"/>
    </row>
    <row r="2" spans="1:146" x14ac:dyDescent="0.35">
      <c r="A2" s="1"/>
      <c r="C2" s="21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2"/>
      <c r="AF2" s="22" t="s">
        <v>0</v>
      </c>
      <c r="AG2" s="23" t="s">
        <v>1</v>
      </c>
      <c r="AH2" s="24"/>
      <c r="AI2" s="24"/>
      <c r="AJ2" s="24"/>
      <c r="AK2" s="24"/>
      <c r="AL2" s="24"/>
      <c r="AM2" s="24"/>
      <c r="AN2" s="24"/>
      <c r="AO2" s="24"/>
      <c r="AP2" s="25"/>
      <c r="AQ2" s="4"/>
      <c r="AR2" s="4"/>
      <c r="AS2" s="6"/>
      <c r="AT2" s="6"/>
      <c r="AU2" s="26"/>
      <c r="AV2" s="7"/>
      <c r="AW2" s="7"/>
      <c r="AX2" s="6"/>
      <c r="AY2" s="6"/>
      <c r="AZ2" s="26"/>
      <c r="BA2" s="7"/>
      <c r="BB2" s="7"/>
      <c r="BC2" s="7"/>
      <c r="BD2" s="7"/>
      <c r="BE2" s="22" t="s">
        <v>0</v>
      </c>
      <c r="BF2" s="23" t="s">
        <v>2</v>
      </c>
      <c r="BG2" s="24"/>
      <c r="BH2" s="24"/>
      <c r="BI2" s="24"/>
      <c r="BJ2" s="24"/>
      <c r="BK2" s="24"/>
      <c r="BL2" s="24"/>
      <c r="BM2" s="24"/>
      <c r="BN2" s="24"/>
      <c r="BO2" s="25"/>
      <c r="BP2" s="14"/>
      <c r="BQ2" s="14"/>
      <c r="BR2" s="15"/>
      <c r="BS2" s="15"/>
      <c r="BT2" s="1"/>
      <c r="BU2" s="16"/>
      <c r="BV2" s="16"/>
      <c r="BW2" s="11"/>
      <c r="BX2" s="11"/>
      <c r="BZ2" s="14"/>
      <c r="CA2" s="14"/>
      <c r="CB2" s="17"/>
      <c r="CC2" s="17"/>
      <c r="CE2" s="14"/>
      <c r="CF2" s="14"/>
      <c r="CG2" s="14"/>
      <c r="CH2" s="14"/>
      <c r="CI2" s="22" t="s">
        <v>0</v>
      </c>
      <c r="CJ2" s="23" t="s">
        <v>2</v>
      </c>
      <c r="CK2" s="24"/>
      <c r="CL2" s="24"/>
      <c r="CM2" s="24"/>
      <c r="CN2" s="24"/>
      <c r="CO2" s="24"/>
      <c r="CP2" s="24"/>
      <c r="CQ2" s="24"/>
      <c r="CR2" s="24"/>
      <c r="CS2" s="25"/>
      <c r="CT2" s="17"/>
      <c r="CU2" s="17"/>
      <c r="CV2" s="17"/>
      <c r="CW2" s="17"/>
      <c r="CX2" s="14"/>
      <c r="CY2" s="14"/>
      <c r="CZ2" s="14"/>
      <c r="DA2" s="17"/>
      <c r="DB2" s="17"/>
      <c r="DC2" s="14"/>
      <c r="DD2" s="14"/>
      <c r="DE2" s="14"/>
      <c r="DF2" s="14"/>
      <c r="DG2" s="14"/>
      <c r="DH2" s="14"/>
      <c r="DI2" s="14"/>
      <c r="DJ2" s="14"/>
      <c r="DK2" s="14"/>
      <c r="DL2" s="14"/>
      <c r="DN2" s="14"/>
      <c r="DO2" s="14"/>
      <c r="DP2" s="17"/>
      <c r="DQ2" s="17"/>
      <c r="DR2" s="22" t="s">
        <v>0</v>
      </c>
      <c r="DS2" s="23" t="s">
        <v>2</v>
      </c>
      <c r="DT2" s="24"/>
      <c r="DU2" s="24"/>
      <c r="DV2" s="24"/>
      <c r="DW2" s="24"/>
      <c r="DX2" s="24"/>
      <c r="DY2" s="24"/>
      <c r="DZ2" s="24"/>
      <c r="EA2" s="24"/>
      <c r="EB2" s="25"/>
      <c r="EC2" s="16"/>
      <c r="ED2" s="16"/>
      <c r="EE2" s="19"/>
      <c r="EF2" s="19"/>
      <c r="EG2" s="16"/>
      <c r="EH2" s="16"/>
      <c r="EI2" s="16"/>
      <c r="EJ2" s="19"/>
      <c r="EK2" s="19"/>
      <c r="EL2" s="1"/>
      <c r="EM2" s="16"/>
      <c r="EN2" s="16"/>
      <c r="EO2" s="19"/>
      <c r="EP2" s="19"/>
    </row>
    <row r="3" spans="1:146" x14ac:dyDescent="0.35">
      <c r="A3" s="1"/>
      <c r="C3" s="21"/>
      <c r="D3" s="2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2"/>
      <c r="AF3" s="22" t="s">
        <v>3</v>
      </c>
      <c r="AG3" s="27">
        <v>43770</v>
      </c>
      <c r="AH3" s="28"/>
      <c r="AI3" s="28"/>
      <c r="AJ3" s="28"/>
      <c r="AK3" s="29"/>
      <c r="AL3" s="22" t="s">
        <v>4</v>
      </c>
      <c r="AM3" s="30"/>
      <c r="AN3" s="27">
        <v>44927</v>
      </c>
      <c r="AO3" s="28"/>
      <c r="AP3" s="29"/>
      <c r="AQ3" s="31"/>
      <c r="AR3" s="31"/>
      <c r="AS3" s="32"/>
      <c r="AT3" s="32"/>
      <c r="AU3" s="33"/>
      <c r="AV3" s="34"/>
      <c r="AW3" s="34"/>
      <c r="AX3" s="32"/>
      <c r="AY3" s="32"/>
      <c r="AZ3" s="33"/>
      <c r="BA3" s="34"/>
      <c r="BB3" s="34"/>
      <c r="BC3" s="34"/>
      <c r="BD3" s="34"/>
      <c r="BE3" s="22" t="s">
        <v>3</v>
      </c>
      <c r="BF3" s="27">
        <v>43983</v>
      </c>
      <c r="BG3" s="28"/>
      <c r="BH3" s="28"/>
      <c r="BI3" s="28"/>
      <c r="BJ3" s="29"/>
      <c r="BK3" s="22" t="s">
        <v>4</v>
      </c>
      <c r="BL3" s="30"/>
      <c r="BM3" s="27">
        <v>44927</v>
      </c>
      <c r="BN3" s="28"/>
      <c r="BO3" s="29"/>
      <c r="BP3" s="35"/>
      <c r="BQ3" s="35"/>
      <c r="BR3" s="36"/>
      <c r="BS3" s="36"/>
      <c r="BT3" s="37"/>
      <c r="BU3" s="38"/>
      <c r="BV3" s="38"/>
      <c r="BW3" s="39"/>
      <c r="BX3" s="39"/>
      <c r="BY3" s="33"/>
      <c r="BZ3" s="35"/>
      <c r="CA3" s="35"/>
      <c r="CB3" s="40"/>
      <c r="CC3" s="40"/>
      <c r="CD3" s="33"/>
      <c r="CE3" s="35"/>
      <c r="CF3" s="35"/>
      <c r="CG3" s="14"/>
      <c r="CH3" s="14"/>
      <c r="CI3" s="22" t="s">
        <v>3</v>
      </c>
      <c r="CJ3" s="27">
        <v>43922</v>
      </c>
      <c r="CK3" s="28"/>
      <c r="CL3" s="28"/>
      <c r="CM3" s="28"/>
      <c r="CN3" s="29"/>
      <c r="CO3" s="22" t="s">
        <v>4</v>
      </c>
      <c r="CP3" s="30"/>
      <c r="CQ3" s="27">
        <v>44927</v>
      </c>
      <c r="CR3" s="28"/>
      <c r="CS3" s="29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2"/>
      <c r="DO3" s="42"/>
      <c r="DP3" s="40"/>
      <c r="DQ3" s="40"/>
      <c r="DR3" s="22" t="s">
        <v>3</v>
      </c>
      <c r="DS3" s="27">
        <v>43983</v>
      </c>
      <c r="DT3" s="28"/>
      <c r="DU3" s="28"/>
      <c r="DV3" s="28"/>
      <c r="DW3" s="29"/>
      <c r="DX3" s="22" t="s">
        <v>4</v>
      </c>
      <c r="DY3" s="30"/>
      <c r="DZ3" s="27">
        <v>44927</v>
      </c>
      <c r="EA3" s="28"/>
      <c r="EB3" s="29"/>
      <c r="EC3" s="41"/>
      <c r="ED3" s="41"/>
      <c r="EE3" s="41"/>
      <c r="EF3" s="41"/>
      <c r="EG3" s="41"/>
      <c r="EH3" s="41"/>
      <c r="EI3" s="41"/>
      <c r="EJ3" s="41"/>
      <c r="EK3" s="41"/>
      <c r="EL3" s="41"/>
      <c r="EM3" s="16"/>
      <c r="EN3" s="16"/>
      <c r="EO3" s="39"/>
      <c r="EP3" s="39"/>
    </row>
    <row r="4" spans="1:146" x14ac:dyDescent="0.35">
      <c r="A4" s="1"/>
      <c r="C4" s="21"/>
      <c r="D4" s="2"/>
      <c r="E4" s="2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2"/>
      <c r="AF4" s="22" t="s">
        <v>5</v>
      </c>
      <c r="AG4" s="43">
        <f>DATEDIF(AG3,AN3,"M")</f>
        <v>38</v>
      </c>
      <c r="AH4" s="43"/>
      <c r="AI4" s="44" t="s">
        <v>6</v>
      </c>
      <c r="AJ4" s="45"/>
      <c r="AK4" s="46">
        <v>1</v>
      </c>
      <c r="AL4" s="47"/>
      <c r="AM4" s="48"/>
      <c r="AN4" s="49" t="s">
        <v>7</v>
      </c>
      <c r="AO4" s="49"/>
      <c r="AP4" s="50">
        <v>9.7000000000000003E-2</v>
      </c>
      <c r="AQ4" s="31"/>
      <c r="AR4" s="31"/>
      <c r="AS4" s="32"/>
      <c r="AT4" s="32"/>
      <c r="AU4" s="33"/>
      <c r="AV4" s="34"/>
      <c r="AW4" s="34"/>
      <c r="AX4" s="32"/>
      <c r="AY4" s="32"/>
      <c r="AZ4" s="33"/>
      <c r="BA4" s="34"/>
      <c r="BB4" s="34"/>
      <c r="BC4" s="34"/>
      <c r="BD4" s="34"/>
      <c r="BE4" s="22" t="s">
        <v>5</v>
      </c>
      <c r="BF4" s="51">
        <f>DATEDIF(BF3,BM3,"M")</f>
        <v>31</v>
      </c>
      <c r="BG4" s="51"/>
      <c r="BH4" s="52" t="s">
        <v>6</v>
      </c>
      <c r="BI4" s="53"/>
      <c r="BJ4" s="46">
        <v>1</v>
      </c>
      <c r="BK4" s="47"/>
      <c r="BL4" s="48"/>
      <c r="BM4" s="49" t="s">
        <v>8</v>
      </c>
      <c r="BN4" s="49"/>
      <c r="BO4" s="54" t="s">
        <v>9</v>
      </c>
      <c r="BP4" s="35"/>
      <c r="BQ4" s="35"/>
      <c r="BR4" s="36"/>
      <c r="BS4" s="36"/>
      <c r="BT4" s="37"/>
      <c r="BU4" s="38"/>
      <c r="BV4" s="38"/>
      <c r="BW4" s="39"/>
      <c r="BX4" s="39"/>
      <c r="BY4" s="33"/>
      <c r="BZ4" s="35"/>
      <c r="CA4" s="35"/>
      <c r="CB4" s="40"/>
      <c r="CC4" s="40"/>
      <c r="CD4" s="33"/>
      <c r="CE4" s="35"/>
      <c r="CF4" s="35"/>
      <c r="CG4" s="14"/>
      <c r="CH4" s="14"/>
      <c r="CI4" s="22" t="s">
        <v>5</v>
      </c>
      <c r="CJ4" s="55">
        <f>DATEDIF(CJ3,CQ3,"M")</f>
        <v>33</v>
      </c>
      <c r="CK4" s="55"/>
      <c r="CL4" s="56" t="s">
        <v>6</v>
      </c>
      <c r="CM4" s="57"/>
      <c r="CN4" s="46">
        <v>1</v>
      </c>
      <c r="CO4" s="47"/>
      <c r="CP4" s="48"/>
      <c r="CQ4" s="49" t="s">
        <v>7</v>
      </c>
      <c r="CR4" s="49"/>
      <c r="CS4" s="58">
        <v>0.39100000000000001</v>
      </c>
      <c r="DN4" s="42"/>
      <c r="DO4" s="42"/>
      <c r="DP4" s="40"/>
      <c r="DQ4" s="40"/>
      <c r="DR4" s="22" t="s">
        <v>5</v>
      </c>
      <c r="DS4" s="51">
        <f>DATEDIF(DS3,DZ3,"M")</f>
        <v>31</v>
      </c>
      <c r="DT4" s="51"/>
      <c r="DU4" s="56" t="s">
        <v>6</v>
      </c>
      <c r="DV4" s="57"/>
      <c r="DW4" s="46">
        <v>1</v>
      </c>
      <c r="DX4" s="47"/>
      <c r="DY4" s="48"/>
      <c r="DZ4" s="49" t="s">
        <v>7</v>
      </c>
      <c r="EA4" s="49"/>
      <c r="EB4" s="59">
        <v>7.0699999999999999E-2</v>
      </c>
      <c r="EM4" s="16"/>
      <c r="EN4" s="16"/>
      <c r="EO4" s="39"/>
      <c r="EP4" s="39"/>
    </row>
    <row r="5" spans="1:146" x14ac:dyDescent="0.35">
      <c r="A5" s="1"/>
      <c r="C5" s="21"/>
      <c r="D5" s="2"/>
      <c r="E5" s="2"/>
      <c r="F5" s="3"/>
      <c r="G5" s="3"/>
      <c r="H5" s="3"/>
      <c r="I5" s="3"/>
      <c r="J5" s="3"/>
      <c r="K5" s="3"/>
      <c r="L5" s="3"/>
      <c r="N5" s="3"/>
      <c r="O5" s="3"/>
      <c r="P5" s="3"/>
      <c r="Q5" s="3"/>
      <c r="R5" s="60"/>
      <c r="S5" s="60"/>
      <c r="T5" s="60"/>
      <c r="U5" s="60"/>
      <c r="V5" s="60"/>
      <c r="W5" s="60"/>
      <c r="X5" s="60"/>
      <c r="Y5" s="3"/>
      <c r="Z5" s="3"/>
      <c r="AA5" s="3"/>
      <c r="AB5" s="3"/>
      <c r="AC5" s="3"/>
      <c r="AD5" s="3"/>
      <c r="AE5" s="2"/>
      <c r="AF5" s="61" t="s">
        <v>10</v>
      </c>
      <c r="AG5" s="43">
        <v>111.3</v>
      </c>
      <c r="AH5" s="43"/>
      <c r="AI5" s="62" t="s">
        <v>11</v>
      </c>
      <c r="AJ5" s="43"/>
      <c r="AK5" s="63"/>
      <c r="AL5" s="64"/>
      <c r="AM5" s="65"/>
      <c r="AN5" s="49" t="s">
        <v>12</v>
      </c>
      <c r="AO5" s="49"/>
      <c r="AP5" s="66">
        <v>9.3299999999999994E-2</v>
      </c>
      <c r="AQ5" s="67"/>
      <c r="AR5" s="68"/>
      <c r="AS5" s="32"/>
      <c r="AT5" s="32"/>
      <c r="AU5" s="69"/>
      <c r="AV5" s="69"/>
      <c r="AW5" s="34"/>
      <c r="AX5" s="32"/>
      <c r="AY5" s="32"/>
      <c r="AZ5" s="33"/>
      <c r="BA5" s="34"/>
      <c r="BB5" s="34"/>
      <c r="BC5" s="34"/>
      <c r="BD5" s="34"/>
      <c r="BE5" s="56" t="s">
        <v>10</v>
      </c>
      <c r="BF5" s="51">
        <v>112</v>
      </c>
      <c r="BG5" s="51"/>
      <c r="BH5" s="70" t="s">
        <v>11</v>
      </c>
      <c r="BI5" s="71"/>
      <c r="BJ5" s="72"/>
      <c r="BK5" s="73"/>
      <c r="BL5" s="74"/>
      <c r="BM5" s="49" t="s">
        <v>7</v>
      </c>
      <c r="BN5" s="49"/>
      <c r="BO5" s="75">
        <v>0.36007</v>
      </c>
      <c r="BP5" s="35"/>
      <c r="BQ5" s="35"/>
      <c r="BR5" s="36"/>
      <c r="BS5" s="36"/>
      <c r="BT5" s="37"/>
      <c r="BU5" s="38"/>
      <c r="BV5" s="38"/>
      <c r="BW5" s="39"/>
      <c r="BX5" s="39"/>
      <c r="BY5" s="33"/>
      <c r="BZ5" s="35"/>
      <c r="CA5" s="35"/>
      <c r="CB5" s="40"/>
      <c r="CC5" s="40"/>
      <c r="CD5" s="33"/>
      <c r="CE5" s="35"/>
      <c r="CF5" s="35"/>
      <c r="CG5" s="14"/>
      <c r="CH5" s="14"/>
      <c r="CI5" s="56" t="s">
        <v>10</v>
      </c>
      <c r="CJ5" s="55">
        <v>111.5</v>
      </c>
      <c r="CK5" s="55"/>
      <c r="CL5" s="76" t="s">
        <v>11</v>
      </c>
      <c r="CM5" s="51"/>
      <c r="CN5" s="72"/>
      <c r="CO5" s="73"/>
      <c r="CP5" s="74"/>
      <c r="CQ5" s="49" t="s">
        <v>12</v>
      </c>
      <c r="CR5" s="49"/>
      <c r="CS5" s="77">
        <v>0.1673</v>
      </c>
      <c r="DN5" s="42"/>
      <c r="DO5" s="42"/>
      <c r="DP5" s="40"/>
      <c r="DQ5" s="40"/>
      <c r="DR5" s="56" t="s">
        <v>10</v>
      </c>
      <c r="DS5" s="78">
        <v>112</v>
      </c>
      <c r="DT5" s="78"/>
      <c r="DU5" s="76" t="s">
        <v>11</v>
      </c>
      <c r="DV5" s="51"/>
      <c r="DW5" s="72"/>
      <c r="DX5" s="73"/>
      <c r="DY5" s="74"/>
      <c r="DZ5" s="49" t="s">
        <v>12</v>
      </c>
      <c r="EA5" s="49"/>
      <c r="EB5" s="59">
        <v>0.18</v>
      </c>
      <c r="EM5" s="16"/>
      <c r="EN5" s="16"/>
      <c r="EO5" s="39"/>
      <c r="EP5" s="39"/>
    </row>
    <row r="6" spans="1:146" x14ac:dyDescent="0.35">
      <c r="A6" s="1"/>
      <c r="C6" s="21"/>
      <c r="D6" s="2"/>
      <c r="E6" s="2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60"/>
      <c r="S6" s="60"/>
      <c r="T6" s="60"/>
      <c r="U6" s="60"/>
      <c r="V6" s="60"/>
      <c r="W6" s="60"/>
      <c r="X6" s="60"/>
      <c r="Y6" s="3"/>
      <c r="Z6" s="3"/>
      <c r="AA6" s="3"/>
      <c r="AB6" s="3"/>
      <c r="AC6" s="3"/>
      <c r="AD6" s="3"/>
      <c r="AE6" s="2"/>
      <c r="AF6" s="61" t="s">
        <v>13</v>
      </c>
      <c r="AG6" s="43">
        <v>128.4</v>
      </c>
      <c r="AH6" s="43"/>
      <c r="AI6" s="62" t="s">
        <v>11</v>
      </c>
      <c r="AJ6" s="43"/>
      <c r="AK6" s="63"/>
      <c r="AL6" s="64"/>
      <c r="AM6" s="65"/>
      <c r="AN6" s="49" t="s">
        <v>14</v>
      </c>
      <c r="AO6" s="49"/>
      <c r="AP6" s="66">
        <v>5.5199999999999999E-2</v>
      </c>
      <c r="AQ6" s="79"/>
      <c r="AR6" s="31"/>
      <c r="AS6" s="32"/>
      <c r="AT6" s="32"/>
      <c r="AU6" s="33"/>
      <c r="AV6" s="34"/>
      <c r="AW6" s="34"/>
      <c r="AX6" s="32"/>
      <c r="AY6" s="32"/>
      <c r="AZ6" s="33"/>
      <c r="BA6" s="34"/>
      <c r="BB6" s="34"/>
      <c r="BC6" s="34"/>
      <c r="BD6" s="34"/>
      <c r="BE6" s="56" t="s">
        <v>13</v>
      </c>
      <c r="BF6" s="43">
        <v>128.4</v>
      </c>
      <c r="BG6" s="80"/>
      <c r="BH6" s="70" t="s">
        <v>11</v>
      </c>
      <c r="BI6" s="71"/>
      <c r="BJ6" s="72"/>
      <c r="BK6" s="73"/>
      <c r="BL6" s="74"/>
      <c r="BM6" s="49" t="s">
        <v>12</v>
      </c>
      <c r="BN6" s="49"/>
      <c r="BO6" s="75">
        <v>0.16739999999999999</v>
      </c>
      <c r="BP6" s="35"/>
      <c r="BQ6" s="35"/>
      <c r="BR6" s="36"/>
      <c r="BS6" s="36"/>
      <c r="BT6" s="37"/>
      <c r="BU6" s="38"/>
      <c r="BV6" s="38"/>
      <c r="BW6" s="39"/>
      <c r="BX6" s="39"/>
      <c r="BY6" s="33"/>
      <c r="BZ6" s="35"/>
      <c r="CA6" s="35"/>
      <c r="CB6" s="40"/>
      <c r="CC6" s="40"/>
      <c r="CD6" s="33"/>
      <c r="CE6" s="35"/>
      <c r="CF6" s="35"/>
      <c r="CG6" s="14"/>
      <c r="CH6" s="14"/>
      <c r="CI6" s="56" t="s">
        <v>13</v>
      </c>
      <c r="CJ6" s="43">
        <v>128.4</v>
      </c>
      <c r="CK6" s="81"/>
      <c r="CL6" s="76" t="s">
        <v>11</v>
      </c>
      <c r="CM6" s="51"/>
      <c r="CN6" s="72"/>
      <c r="CO6" s="73"/>
      <c r="CP6" s="74"/>
      <c r="CQ6" s="49" t="s">
        <v>14</v>
      </c>
      <c r="CR6" s="49"/>
      <c r="CS6" s="77">
        <v>3.61E-2</v>
      </c>
      <c r="CT6" s="12"/>
      <c r="CU6" s="12"/>
      <c r="CV6" s="12"/>
      <c r="CW6" s="12"/>
      <c r="CX6" s="26"/>
      <c r="CY6" s="26"/>
      <c r="CZ6" s="26"/>
      <c r="DA6" s="12"/>
      <c r="DB6" s="12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42"/>
      <c r="DO6" s="42"/>
      <c r="DP6" s="40"/>
      <c r="DQ6" s="40"/>
      <c r="DR6" s="56" t="s">
        <v>13</v>
      </c>
      <c r="DS6" s="43">
        <v>128.4</v>
      </c>
      <c r="DT6" s="82"/>
      <c r="DU6" s="83"/>
      <c r="DV6" s="84"/>
      <c r="DW6" s="72"/>
      <c r="DX6" s="73"/>
      <c r="DY6" s="74"/>
      <c r="DZ6" s="49" t="s">
        <v>14</v>
      </c>
      <c r="EA6" s="49"/>
      <c r="EB6" s="59">
        <v>0.05</v>
      </c>
      <c r="EC6" s="1"/>
      <c r="ED6" s="1"/>
      <c r="EE6" s="19"/>
      <c r="EF6" s="19"/>
      <c r="EG6" s="1"/>
      <c r="EH6" s="1"/>
      <c r="EI6" s="1"/>
      <c r="EJ6" s="19"/>
      <c r="EK6" s="19"/>
      <c r="EL6" s="1"/>
      <c r="EM6" s="16"/>
      <c r="EN6" s="16"/>
      <c r="EO6" s="39"/>
      <c r="EP6" s="39"/>
    </row>
    <row r="7" spans="1:146" x14ac:dyDescent="0.35">
      <c r="A7" s="1"/>
      <c r="C7" s="21"/>
      <c r="D7" s="2"/>
      <c r="E7" s="2"/>
      <c r="F7" s="3"/>
      <c r="G7" s="3"/>
      <c r="H7" s="3"/>
      <c r="I7" s="85"/>
      <c r="J7" s="3"/>
      <c r="K7" s="3"/>
      <c r="L7" s="3"/>
      <c r="M7" s="3"/>
      <c r="N7" s="3"/>
      <c r="O7" s="3"/>
      <c r="P7" s="3"/>
      <c r="Q7" s="3"/>
      <c r="R7" s="86"/>
      <c r="S7" s="86"/>
      <c r="T7" s="86"/>
      <c r="U7" s="86"/>
      <c r="V7" s="86"/>
      <c r="W7" s="86"/>
      <c r="X7" s="86"/>
      <c r="Y7" s="3"/>
      <c r="Z7" s="3"/>
      <c r="AA7" s="3"/>
      <c r="AB7" s="3"/>
      <c r="AC7" s="3"/>
      <c r="AD7" s="3"/>
      <c r="AE7" s="2"/>
      <c r="AF7" s="56" t="s">
        <v>15</v>
      </c>
      <c r="AG7" s="87"/>
      <c r="AH7" s="88"/>
      <c r="AI7" s="88"/>
      <c r="AJ7" s="88"/>
      <c r="AK7" s="88"/>
      <c r="AL7" s="89"/>
      <c r="AM7" s="90"/>
      <c r="AN7" s="49" t="s">
        <v>16</v>
      </c>
      <c r="AO7" s="49"/>
      <c r="AP7" s="66">
        <f>SUM(AP4:AP6)</f>
        <v>0.2455</v>
      </c>
      <c r="AQ7" s="79"/>
      <c r="AR7" s="31"/>
      <c r="AS7" s="32"/>
      <c r="AT7" s="32"/>
      <c r="AU7" s="33"/>
      <c r="AV7" s="34"/>
      <c r="AW7" s="34"/>
      <c r="AX7" s="32"/>
      <c r="AY7" s="32"/>
      <c r="AZ7" s="33"/>
      <c r="BA7" s="34"/>
      <c r="BB7" s="34"/>
      <c r="BC7" s="34"/>
      <c r="BD7" s="34"/>
      <c r="BE7" s="56"/>
      <c r="BF7" s="87"/>
      <c r="BG7" s="88"/>
      <c r="BH7" s="88"/>
      <c r="BI7" s="88"/>
      <c r="BJ7" s="88"/>
      <c r="BK7" s="89"/>
      <c r="BL7" s="90"/>
      <c r="BM7" s="49" t="s">
        <v>14</v>
      </c>
      <c r="BN7" s="49"/>
      <c r="BO7" s="75">
        <v>3.5999999999999997E-2</v>
      </c>
      <c r="BP7" s="35"/>
      <c r="BQ7" s="35"/>
      <c r="BR7" s="36"/>
      <c r="BS7" s="36"/>
      <c r="BT7" s="37"/>
      <c r="BU7" s="38"/>
      <c r="BV7" s="38"/>
      <c r="BW7" s="39"/>
      <c r="BX7" s="39"/>
      <c r="BY7" s="33"/>
      <c r="BZ7" s="35"/>
      <c r="CA7" s="35"/>
      <c r="CB7" s="40"/>
      <c r="CC7" s="40"/>
      <c r="CD7" s="33"/>
      <c r="CE7" s="35"/>
      <c r="CF7" s="35"/>
      <c r="CG7" s="14"/>
      <c r="CH7" s="14"/>
      <c r="CI7" s="56"/>
      <c r="CJ7" s="87"/>
      <c r="CK7" s="88"/>
      <c r="CL7" s="88"/>
      <c r="CM7" s="88"/>
      <c r="CN7" s="88"/>
      <c r="CO7" s="89"/>
      <c r="CP7" s="90"/>
      <c r="CQ7" s="14" t="s">
        <v>16</v>
      </c>
      <c r="CR7" s="14"/>
      <c r="CS7" s="66">
        <f>SUM(CS4:CS6)</f>
        <v>0.59440000000000004</v>
      </c>
      <c r="CT7" s="91"/>
      <c r="CU7" s="12"/>
      <c r="CV7" s="12"/>
      <c r="CW7" s="12"/>
      <c r="CX7" s="26"/>
      <c r="CY7" s="26"/>
      <c r="CZ7" s="26"/>
      <c r="DA7" s="12"/>
      <c r="DB7" s="12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42"/>
      <c r="DO7" s="42"/>
      <c r="DP7" s="40"/>
      <c r="DQ7" s="40"/>
      <c r="DR7" s="56"/>
      <c r="DS7" s="92"/>
      <c r="DT7" s="93"/>
      <c r="DU7" s="93"/>
      <c r="DV7" s="93"/>
      <c r="DW7" s="93"/>
      <c r="DX7" s="94"/>
      <c r="DY7" s="95"/>
      <c r="DZ7" s="49" t="s">
        <v>17</v>
      </c>
      <c r="EA7" s="49"/>
      <c r="EB7" s="66">
        <f>SUM(EB4:EB6)</f>
        <v>0.30069999999999997</v>
      </c>
      <c r="EC7" s="1"/>
      <c r="ED7" s="1"/>
      <c r="EE7" s="19"/>
      <c r="EF7" s="19"/>
      <c r="EG7" s="1"/>
      <c r="EH7" s="1"/>
      <c r="EI7" s="1"/>
      <c r="EJ7" s="19"/>
      <c r="EK7" s="19"/>
      <c r="EL7" s="1"/>
      <c r="EM7" s="16"/>
      <c r="EN7" s="16"/>
      <c r="EO7" s="39"/>
      <c r="EP7" s="39"/>
    </row>
    <row r="8" spans="1:146" x14ac:dyDescent="0.35">
      <c r="A8" s="1"/>
      <c r="C8" s="21"/>
      <c r="D8" s="2"/>
      <c r="E8" s="2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96"/>
      <c r="S8" s="97"/>
      <c r="T8" s="86"/>
      <c r="U8" s="86"/>
      <c r="V8" s="86"/>
      <c r="W8" s="86"/>
      <c r="X8" s="86"/>
      <c r="Y8" s="3"/>
      <c r="Z8" s="3"/>
      <c r="AA8" s="3"/>
      <c r="AB8" s="3"/>
      <c r="AC8" s="3"/>
      <c r="AD8" s="3"/>
      <c r="AE8" s="2"/>
      <c r="AF8" s="56" t="s">
        <v>18</v>
      </c>
      <c r="AG8" s="98"/>
      <c r="AH8" s="99"/>
      <c r="AI8" s="99"/>
      <c r="AJ8" s="99"/>
      <c r="AK8" s="99"/>
      <c r="AL8" s="100"/>
      <c r="AM8" s="101"/>
      <c r="AN8" s="49" t="s">
        <v>19</v>
      </c>
      <c r="AO8" s="49"/>
      <c r="AP8" s="66">
        <v>0.2455</v>
      </c>
      <c r="AQ8" s="31"/>
      <c r="AR8" s="31"/>
      <c r="AS8" s="32"/>
      <c r="AT8" s="32"/>
      <c r="AU8" s="33"/>
      <c r="AV8" s="34"/>
      <c r="AW8" s="34"/>
      <c r="AX8" s="32"/>
      <c r="AY8" s="32"/>
      <c r="AZ8" s="33"/>
      <c r="BA8" s="34"/>
      <c r="BB8" s="34"/>
      <c r="BC8" s="34"/>
      <c r="BD8" s="34"/>
      <c r="BE8" s="56"/>
      <c r="BF8" s="87"/>
      <c r="BG8" s="88"/>
      <c r="BH8" s="88"/>
      <c r="BI8" s="88"/>
      <c r="BJ8" s="88"/>
      <c r="BK8" s="89"/>
      <c r="BL8" s="90"/>
      <c r="BM8" s="49" t="s">
        <v>16</v>
      </c>
      <c r="BN8" s="49"/>
      <c r="BO8" s="75">
        <f>SUM(BO5:BO7)</f>
        <v>0.56347000000000003</v>
      </c>
      <c r="BP8" s="35"/>
      <c r="BQ8" s="35"/>
      <c r="BR8" s="36"/>
      <c r="BS8" s="36"/>
      <c r="BT8" s="37"/>
      <c r="BU8" s="38"/>
      <c r="BV8" s="38"/>
      <c r="BW8" s="39"/>
      <c r="BX8" s="39"/>
      <c r="BY8" s="33"/>
      <c r="BZ8" s="35"/>
      <c r="CA8" s="35"/>
      <c r="CB8" s="40"/>
      <c r="CC8" s="40"/>
      <c r="CD8" s="33"/>
      <c r="CE8" s="35"/>
      <c r="CF8" s="35"/>
      <c r="CG8" s="14"/>
      <c r="CH8" s="14"/>
      <c r="CI8" s="56"/>
      <c r="CJ8" s="87"/>
      <c r="CK8" s="88"/>
      <c r="CL8" s="88"/>
      <c r="CM8" s="88"/>
      <c r="CN8" s="88"/>
      <c r="CO8" s="89"/>
      <c r="CP8" s="90"/>
      <c r="CQ8" s="49" t="s">
        <v>19</v>
      </c>
      <c r="CR8" s="49"/>
      <c r="CS8" s="77">
        <v>0.19889999999999999</v>
      </c>
      <c r="CT8" s="12"/>
      <c r="CU8" s="12"/>
      <c r="CV8" s="12"/>
      <c r="CW8" s="12"/>
      <c r="CX8" s="26"/>
      <c r="CY8" s="26"/>
      <c r="CZ8" s="26"/>
      <c r="DA8" s="12"/>
      <c r="DB8" s="12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42"/>
      <c r="DO8" s="42"/>
      <c r="DP8" s="40"/>
      <c r="DQ8" s="17"/>
      <c r="DR8" s="56"/>
      <c r="DS8" s="92"/>
      <c r="DT8" s="93"/>
      <c r="DU8" s="93"/>
      <c r="DV8" s="93"/>
      <c r="DW8" s="93"/>
      <c r="DX8" s="94"/>
      <c r="DY8" s="95"/>
      <c r="DZ8" s="49" t="s">
        <v>20</v>
      </c>
      <c r="EA8" s="49"/>
      <c r="EB8" s="59">
        <v>0.23</v>
      </c>
      <c r="EC8" s="1"/>
      <c r="ED8" s="1"/>
      <c r="EE8" s="19"/>
      <c r="EF8" s="19"/>
      <c r="EG8" s="1"/>
      <c r="EH8" s="1"/>
      <c r="EI8" s="1"/>
      <c r="EJ8" s="19"/>
      <c r="EK8" s="19"/>
      <c r="EL8" s="1"/>
      <c r="EM8" s="16"/>
      <c r="EN8" s="16"/>
      <c r="EO8" s="39"/>
      <c r="EP8" s="39"/>
    </row>
    <row r="9" spans="1:146" x14ac:dyDescent="0.35">
      <c r="A9" s="1"/>
      <c r="C9" s="21"/>
      <c r="D9" s="2"/>
      <c r="E9" s="2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86"/>
      <c r="S9" s="86"/>
      <c r="T9" s="86"/>
      <c r="U9" s="102"/>
      <c r="V9" s="86"/>
      <c r="W9" s="102"/>
      <c r="X9" s="86"/>
      <c r="Y9" s="3"/>
      <c r="Z9" s="3"/>
      <c r="AA9" s="3"/>
      <c r="AB9" s="3"/>
      <c r="AC9" s="3"/>
      <c r="AD9" s="3"/>
      <c r="AE9" s="2"/>
      <c r="AF9" s="44" t="s">
        <v>21</v>
      </c>
      <c r="AG9" s="103">
        <f>BF7*(0.15+0.85*(AG6/AG5))</f>
        <v>0</v>
      </c>
      <c r="AH9" s="103"/>
      <c r="AI9" s="103"/>
      <c r="AJ9" s="103"/>
      <c r="AK9" s="103"/>
      <c r="AL9" s="103"/>
      <c r="AM9" s="104"/>
      <c r="AN9" s="105"/>
      <c r="AO9" s="105"/>
      <c r="AP9" s="22"/>
      <c r="AQ9" s="106"/>
      <c r="AR9" s="4"/>
      <c r="AS9" s="6"/>
      <c r="AT9" s="6"/>
      <c r="AV9" s="7"/>
      <c r="AW9" s="7"/>
      <c r="AX9" s="6"/>
      <c r="AY9" s="6"/>
      <c r="BA9" s="8"/>
      <c r="BB9" s="8"/>
      <c r="BC9" s="8"/>
      <c r="BD9" s="8"/>
      <c r="BE9" s="44"/>
      <c r="BF9" s="103"/>
      <c r="BG9" s="103"/>
      <c r="BH9" s="103"/>
      <c r="BI9" s="103"/>
      <c r="BJ9" s="103"/>
      <c r="BK9" s="103"/>
      <c r="BL9" s="104"/>
      <c r="BM9" s="49" t="s">
        <v>19</v>
      </c>
      <c r="BN9" s="49"/>
      <c r="BO9" s="75">
        <v>0.19889000000000001</v>
      </c>
      <c r="BP9" s="35"/>
      <c r="BQ9" s="14"/>
      <c r="BR9" s="15"/>
      <c r="BS9" s="15"/>
      <c r="BT9" s="1"/>
      <c r="BU9" s="16"/>
      <c r="BV9" s="16"/>
      <c r="BW9" s="11"/>
      <c r="BX9" s="11"/>
      <c r="BZ9" s="14"/>
      <c r="CA9" s="14"/>
      <c r="CB9" s="17"/>
      <c r="CC9" s="17"/>
      <c r="CE9" s="14"/>
      <c r="CF9" s="14"/>
      <c r="CG9" s="14"/>
      <c r="CH9" s="14"/>
      <c r="CI9" s="44"/>
      <c r="CJ9" s="103"/>
      <c r="CK9" s="103"/>
      <c r="CL9" s="103"/>
      <c r="CM9" s="103"/>
      <c r="CN9" s="103"/>
      <c r="CO9" s="103"/>
      <c r="CP9" s="104"/>
      <c r="CQ9" s="105"/>
      <c r="CR9" s="105"/>
      <c r="CS9" s="107"/>
      <c r="CT9" s="17"/>
      <c r="CU9" s="17"/>
      <c r="CV9" s="17"/>
      <c r="CW9" s="17"/>
      <c r="CX9" s="14"/>
      <c r="CY9" s="14"/>
      <c r="CZ9" s="14"/>
      <c r="DA9" s="17"/>
      <c r="DB9" s="17"/>
      <c r="DC9" s="14"/>
      <c r="DD9" s="14"/>
      <c r="DE9" s="14"/>
      <c r="DF9" s="14"/>
      <c r="DG9" s="14"/>
      <c r="DH9" s="14"/>
      <c r="DI9" s="14"/>
      <c r="DJ9" s="14"/>
      <c r="DK9" s="14"/>
      <c r="DL9" s="14"/>
      <c r="DN9" s="14"/>
      <c r="DO9" s="14"/>
      <c r="DP9" s="17"/>
      <c r="DQ9" s="17"/>
      <c r="DR9" s="44"/>
      <c r="DS9" s="108"/>
      <c r="DT9" s="108"/>
      <c r="DU9" s="108"/>
      <c r="DV9" s="108"/>
      <c r="DW9" s="108"/>
      <c r="DX9" s="108"/>
      <c r="DY9" s="109"/>
      <c r="DZ9" s="105"/>
      <c r="EA9" s="105"/>
      <c r="EB9" s="22"/>
      <c r="EC9" s="16"/>
      <c r="ED9" s="16"/>
      <c r="EE9" s="19"/>
      <c r="EF9" s="19"/>
      <c r="EG9" s="16"/>
      <c r="EH9" s="16"/>
      <c r="EI9" s="16"/>
      <c r="EJ9" s="19"/>
      <c r="EK9" s="19"/>
      <c r="EL9" s="1"/>
      <c r="EM9" s="16"/>
      <c r="EN9" s="16"/>
      <c r="EO9" s="19"/>
      <c r="EP9" s="19"/>
    </row>
    <row r="10" spans="1:146" x14ac:dyDescent="0.35">
      <c r="A10" s="1"/>
      <c r="C10" s="21"/>
      <c r="D10" s="2"/>
      <c r="E10" s="2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96"/>
      <c r="S10" s="96"/>
      <c r="T10" s="86"/>
      <c r="U10" s="86"/>
      <c r="V10" s="86"/>
      <c r="W10" s="86"/>
      <c r="X10" s="86"/>
      <c r="Y10" s="3"/>
      <c r="Z10" s="3"/>
      <c r="AA10" s="3"/>
      <c r="AB10" s="3"/>
      <c r="AC10" s="3"/>
      <c r="AD10" s="3"/>
      <c r="AE10" s="2"/>
      <c r="AF10" s="1"/>
      <c r="AG10" s="4"/>
      <c r="AH10" s="4"/>
      <c r="AI10" s="5"/>
      <c r="AJ10" s="5"/>
      <c r="AK10" s="1"/>
      <c r="AL10" s="4"/>
      <c r="AM10" s="4"/>
      <c r="AN10" s="5"/>
      <c r="AO10" s="5"/>
      <c r="AP10" s="1"/>
      <c r="AQ10" s="4"/>
      <c r="AR10" s="4"/>
      <c r="AS10" s="6"/>
      <c r="AT10" s="6"/>
      <c r="AV10" s="7"/>
      <c r="AW10" s="7"/>
      <c r="AX10" s="6"/>
      <c r="AY10" s="6"/>
      <c r="BA10" s="8"/>
      <c r="BB10" s="8"/>
      <c r="BC10" s="8"/>
      <c r="BD10" s="8"/>
      <c r="BE10" s="9"/>
      <c r="BF10" s="10"/>
      <c r="BG10" s="10"/>
      <c r="BH10" s="11"/>
      <c r="BI10" s="11"/>
      <c r="BJ10" s="1"/>
      <c r="BK10" s="12"/>
      <c r="BL10" s="12"/>
      <c r="BM10" s="13"/>
      <c r="BN10" s="13"/>
      <c r="BP10" s="14"/>
      <c r="BQ10" s="14"/>
      <c r="BR10" s="15"/>
      <c r="BS10" s="15"/>
      <c r="BT10" s="1"/>
      <c r="BU10" s="16"/>
      <c r="BV10" s="16"/>
      <c r="BW10" s="11"/>
      <c r="BX10" s="11"/>
      <c r="BZ10" s="14"/>
      <c r="CA10" s="14"/>
      <c r="CB10" s="17"/>
      <c r="CC10" s="17"/>
      <c r="CE10" s="14"/>
      <c r="CF10" s="14"/>
      <c r="CG10" s="14"/>
      <c r="CH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7"/>
      <c r="CU10" s="17"/>
      <c r="CV10" s="17"/>
      <c r="CW10" s="17"/>
      <c r="CX10" s="14"/>
      <c r="CY10" s="14"/>
      <c r="CZ10" s="14"/>
      <c r="DA10" s="17"/>
      <c r="DB10" s="17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N10" s="14"/>
      <c r="DO10" s="14"/>
      <c r="DP10" s="17"/>
      <c r="DQ10" s="17"/>
      <c r="DS10" s="18"/>
      <c r="DT10" s="18"/>
      <c r="DU10" s="19"/>
      <c r="DV10" s="19"/>
      <c r="DW10" s="20"/>
      <c r="DX10" s="18"/>
      <c r="DY10" s="18"/>
      <c r="DZ10" s="17"/>
      <c r="EA10" s="17"/>
      <c r="EB10" s="16"/>
      <c r="EC10" s="16"/>
      <c r="ED10" s="16"/>
      <c r="EE10" s="19"/>
      <c r="EF10" s="19"/>
      <c r="EG10" s="16"/>
      <c r="EH10" s="16"/>
      <c r="EI10" s="16"/>
      <c r="EJ10" s="19"/>
      <c r="EK10" s="19"/>
      <c r="EL10" s="1"/>
      <c r="EM10" s="16"/>
      <c r="EN10" s="16"/>
      <c r="EO10" s="19"/>
      <c r="EP10" s="19"/>
    </row>
    <row r="11" spans="1:146" x14ac:dyDescent="0.35">
      <c r="A11" s="110"/>
      <c r="B11" s="111"/>
      <c r="C11" s="112"/>
      <c r="D11" s="113"/>
      <c r="E11" s="113"/>
      <c r="F11" s="114"/>
      <c r="G11" s="114"/>
      <c r="H11" s="114"/>
      <c r="I11" s="114"/>
      <c r="J11" s="114"/>
      <c r="K11" s="114"/>
      <c r="L11" s="114"/>
      <c r="M11" s="114"/>
      <c r="N11" s="114"/>
      <c r="O11" s="115" t="s">
        <v>22</v>
      </c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7"/>
      <c r="AE11" s="118"/>
      <c r="AF11" s="119" t="s">
        <v>88</v>
      </c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  <c r="AW11" s="119"/>
      <c r="AX11" s="119"/>
      <c r="AY11" s="119"/>
      <c r="AZ11" s="119"/>
      <c r="BA11" s="119"/>
      <c r="BB11" s="119"/>
      <c r="BC11" s="119"/>
      <c r="BD11" s="119"/>
      <c r="BE11" s="119" t="s">
        <v>89</v>
      </c>
      <c r="BF11" s="119"/>
      <c r="BG11" s="119"/>
      <c r="BH11" s="119"/>
      <c r="BI11" s="119"/>
      <c r="BJ11" s="119"/>
      <c r="BK11" s="119"/>
      <c r="BL11" s="119"/>
      <c r="BM11" s="119"/>
      <c r="BN11" s="119"/>
      <c r="BO11" s="119"/>
      <c r="BP11" s="119"/>
      <c r="BQ11" s="119"/>
      <c r="BR11" s="119"/>
      <c r="BS11" s="119"/>
      <c r="BT11" s="119"/>
      <c r="BU11" s="119"/>
      <c r="BV11" s="119"/>
      <c r="BW11" s="119"/>
      <c r="BX11" s="119"/>
      <c r="BY11" s="119"/>
      <c r="BZ11" s="119"/>
      <c r="CA11" s="119"/>
      <c r="CB11" s="119"/>
      <c r="CC11" s="119"/>
      <c r="CD11" s="119"/>
      <c r="CE11" s="119"/>
      <c r="CF11" s="119"/>
      <c r="CG11" s="119"/>
      <c r="CH11" s="119"/>
      <c r="CI11" s="119" t="s">
        <v>90</v>
      </c>
      <c r="CJ11" s="119"/>
      <c r="CK11" s="119"/>
      <c r="CL11" s="119"/>
      <c r="CM11" s="119"/>
      <c r="CN11" s="119"/>
      <c r="CO11" s="119"/>
      <c r="CP11" s="119"/>
      <c r="CQ11" s="119"/>
      <c r="CR11" s="119"/>
      <c r="CS11" s="119"/>
      <c r="CT11" s="119"/>
      <c r="CU11" s="119"/>
      <c r="CV11" s="119"/>
      <c r="CW11" s="119"/>
      <c r="CX11" s="119"/>
      <c r="CY11" s="119"/>
      <c r="CZ11" s="119"/>
      <c r="DA11" s="119"/>
      <c r="DB11" s="119"/>
      <c r="DC11" s="119"/>
      <c r="DD11" s="119"/>
      <c r="DE11" s="119"/>
      <c r="DF11" s="119"/>
      <c r="DG11" s="119"/>
      <c r="DH11" s="119"/>
      <c r="DI11" s="119"/>
      <c r="DJ11" s="119"/>
      <c r="DK11" s="119"/>
      <c r="DL11" s="119"/>
      <c r="DM11" s="119"/>
      <c r="DN11" s="119"/>
      <c r="DO11" s="119"/>
      <c r="DP11" s="119"/>
      <c r="DQ11" s="119"/>
      <c r="DR11" s="119" t="s">
        <v>91</v>
      </c>
      <c r="DS11" s="119"/>
      <c r="DT11" s="119"/>
      <c r="DU11" s="119"/>
      <c r="DV11" s="119"/>
      <c r="DW11" s="119"/>
      <c r="DX11" s="119"/>
      <c r="DY11" s="119"/>
      <c r="DZ11" s="119"/>
      <c r="EA11" s="119"/>
      <c r="EB11" s="119"/>
      <c r="EC11" s="119"/>
      <c r="ED11" s="119"/>
      <c r="EE11" s="119"/>
      <c r="EF11" s="119"/>
      <c r="EG11" s="119"/>
      <c r="EH11" s="119"/>
      <c r="EI11" s="119"/>
      <c r="EJ11" s="119"/>
      <c r="EK11" s="119"/>
      <c r="EL11" s="119"/>
      <c r="EM11" s="119"/>
      <c r="EN11" s="119"/>
      <c r="EO11" s="119"/>
      <c r="EP11" s="120"/>
    </row>
    <row r="12" spans="1:146" x14ac:dyDescent="0.35">
      <c r="A12" s="204" t="s">
        <v>83</v>
      </c>
      <c r="B12" s="205" t="s">
        <v>23</v>
      </c>
      <c r="C12" s="206" t="s">
        <v>24</v>
      </c>
      <c r="D12" s="121" t="s">
        <v>25</v>
      </c>
      <c r="E12" s="121" t="s">
        <v>26</v>
      </c>
      <c r="F12" s="115" t="s">
        <v>27</v>
      </c>
      <c r="G12" s="116"/>
      <c r="H12" s="116"/>
      <c r="I12" s="116"/>
      <c r="J12" s="116"/>
      <c r="K12" s="117"/>
      <c r="L12" s="122" t="s">
        <v>28</v>
      </c>
      <c r="M12" s="123"/>
      <c r="N12" s="123"/>
      <c r="O12" s="124" t="s">
        <v>29</v>
      </c>
      <c r="P12" s="125"/>
      <c r="Q12" s="126" t="s">
        <v>30</v>
      </c>
      <c r="R12" s="126"/>
      <c r="S12" s="127" t="s">
        <v>31</v>
      </c>
      <c r="T12" s="128" t="s">
        <v>32</v>
      </c>
      <c r="U12" s="128"/>
      <c r="V12" s="127" t="s">
        <v>33</v>
      </c>
      <c r="W12" s="129" t="s">
        <v>34</v>
      </c>
      <c r="X12" s="129"/>
      <c r="Y12" s="130" t="s">
        <v>35</v>
      </c>
      <c r="Z12" s="130"/>
      <c r="AA12" s="130"/>
      <c r="AB12" s="131" t="s">
        <v>36</v>
      </c>
      <c r="AC12" s="131"/>
      <c r="AD12" s="131"/>
      <c r="AE12" s="121" t="s">
        <v>37</v>
      </c>
      <c r="AF12" s="132" t="s">
        <v>84</v>
      </c>
      <c r="AG12" s="133"/>
      <c r="AH12" s="133"/>
      <c r="AI12" s="133"/>
      <c r="AJ12" s="134"/>
      <c r="AK12" s="135" t="s">
        <v>85</v>
      </c>
      <c r="AL12" s="136"/>
      <c r="AM12" s="136"/>
      <c r="AN12" s="136"/>
      <c r="AO12" s="137"/>
      <c r="AP12" s="135" t="s">
        <v>85</v>
      </c>
      <c r="AQ12" s="136"/>
      <c r="AR12" s="136"/>
      <c r="AS12" s="136"/>
      <c r="AT12" s="137"/>
      <c r="AU12" s="135" t="s">
        <v>85</v>
      </c>
      <c r="AV12" s="136"/>
      <c r="AW12" s="136"/>
      <c r="AX12" s="136"/>
      <c r="AY12" s="137"/>
      <c r="AZ12" s="135" t="s">
        <v>85</v>
      </c>
      <c r="BA12" s="136"/>
      <c r="BB12" s="136"/>
      <c r="BC12" s="136"/>
      <c r="BD12" s="137"/>
      <c r="BE12" s="119" t="s">
        <v>84</v>
      </c>
      <c r="BF12" s="119"/>
      <c r="BG12" s="119"/>
      <c r="BH12" s="119"/>
      <c r="BI12" s="119"/>
      <c r="BJ12" s="135" t="s">
        <v>85</v>
      </c>
      <c r="BK12" s="136"/>
      <c r="BL12" s="136"/>
      <c r="BM12" s="136"/>
      <c r="BN12" s="137"/>
      <c r="BO12" s="135" t="s">
        <v>85</v>
      </c>
      <c r="BP12" s="136"/>
      <c r="BQ12" s="136"/>
      <c r="BR12" s="136"/>
      <c r="BS12" s="137"/>
      <c r="BT12" s="135" t="s">
        <v>85</v>
      </c>
      <c r="BU12" s="136"/>
      <c r="BV12" s="136"/>
      <c r="BW12" s="136"/>
      <c r="BX12" s="137"/>
      <c r="BY12" s="135" t="s">
        <v>85</v>
      </c>
      <c r="BZ12" s="136"/>
      <c r="CA12" s="136"/>
      <c r="CB12" s="136"/>
      <c r="CC12" s="137"/>
      <c r="CD12" s="135" t="s">
        <v>85</v>
      </c>
      <c r="CE12" s="136"/>
      <c r="CF12" s="136"/>
      <c r="CG12" s="136"/>
      <c r="CH12" s="137"/>
      <c r="CI12" s="119" t="s">
        <v>84</v>
      </c>
      <c r="CJ12" s="119"/>
      <c r="CK12" s="119"/>
      <c r="CL12" s="119"/>
      <c r="CM12" s="119"/>
      <c r="CN12" s="135" t="s">
        <v>85</v>
      </c>
      <c r="CO12" s="136"/>
      <c r="CP12" s="136"/>
      <c r="CQ12" s="136"/>
      <c r="CR12" s="137"/>
      <c r="CS12" s="135" t="s">
        <v>85</v>
      </c>
      <c r="CT12" s="136"/>
      <c r="CU12" s="136"/>
      <c r="CV12" s="136"/>
      <c r="CW12" s="137"/>
      <c r="CX12" s="135" t="s">
        <v>85</v>
      </c>
      <c r="CY12" s="136"/>
      <c r="CZ12" s="136"/>
      <c r="DA12" s="136"/>
      <c r="DB12" s="137"/>
      <c r="DC12" s="135" t="s">
        <v>85</v>
      </c>
      <c r="DD12" s="136"/>
      <c r="DE12" s="136"/>
      <c r="DF12" s="136"/>
      <c r="DG12" s="137"/>
      <c r="DH12" s="135" t="s">
        <v>85</v>
      </c>
      <c r="DI12" s="136"/>
      <c r="DJ12" s="136"/>
      <c r="DK12" s="136"/>
      <c r="DL12" s="137"/>
      <c r="DM12" s="135" t="s">
        <v>85</v>
      </c>
      <c r="DN12" s="136"/>
      <c r="DO12" s="136"/>
      <c r="DP12" s="136"/>
      <c r="DQ12" s="137"/>
      <c r="DR12" s="119" t="s">
        <v>84</v>
      </c>
      <c r="DS12" s="119"/>
      <c r="DT12" s="119"/>
      <c r="DU12" s="119"/>
      <c r="DV12" s="119"/>
      <c r="DW12" s="135" t="s">
        <v>85</v>
      </c>
      <c r="DX12" s="136"/>
      <c r="DY12" s="136"/>
      <c r="DZ12" s="136"/>
      <c r="EA12" s="137"/>
      <c r="EB12" s="135" t="s">
        <v>85</v>
      </c>
      <c r="EC12" s="136"/>
      <c r="ED12" s="136"/>
      <c r="EE12" s="136"/>
      <c r="EF12" s="137"/>
      <c r="EG12" s="135" t="s">
        <v>85</v>
      </c>
      <c r="EH12" s="136"/>
      <c r="EI12" s="136"/>
      <c r="EJ12" s="136"/>
      <c r="EK12" s="137"/>
      <c r="EL12" s="135" t="s">
        <v>85</v>
      </c>
      <c r="EM12" s="136"/>
      <c r="EN12" s="136"/>
      <c r="EO12" s="136"/>
      <c r="EP12" s="137"/>
    </row>
    <row r="13" spans="1:146" ht="58" x14ac:dyDescent="0.35">
      <c r="A13" s="204"/>
      <c r="B13" s="205"/>
      <c r="C13" s="206"/>
      <c r="D13" s="138"/>
      <c r="E13" s="138"/>
      <c r="F13" s="139" t="s">
        <v>38</v>
      </c>
      <c r="G13" s="139" t="s">
        <v>39</v>
      </c>
      <c r="H13" s="139" t="s">
        <v>40</v>
      </c>
      <c r="I13" s="139" t="s">
        <v>41</v>
      </c>
      <c r="J13" s="139" t="s">
        <v>42</v>
      </c>
      <c r="K13" s="139" t="s">
        <v>43</v>
      </c>
      <c r="L13" s="139" t="s">
        <v>44</v>
      </c>
      <c r="M13" s="139" t="s">
        <v>45</v>
      </c>
      <c r="N13" s="139" t="s">
        <v>46</v>
      </c>
      <c r="O13" s="140" t="s">
        <v>47</v>
      </c>
      <c r="P13" s="140" t="s">
        <v>48</v>
      </c>
      <c r="Q13" s="141" t="s">
        <v>49</v>
      </c>
      <c r="R13" s="141" t="s">
        <v>50</v>
      </c>
      <c r="S13" s="142"/>
      <c r="T13" s="139" t="s">
        <v>51</v>
      </c>
      <c r="U13" s="139" t="s">
        <v>52</v>
      </c>
      <c r="V13" s="142"/>
      <c r="W13" s="143" t="s">
        <v>53</v>
      </c>
      <c r="X13" s="143" t="s">
        <v>54</v>
      </c>
      <c r="Y13" s="144" t="s">
        <v>55</v>
      </c>
      <c r="Z13" s="144" t="s">
        <v>56</v>
      </c>
      <c r="AA13" s="144" t="s">
        <v>57</v>
      </c>
      <c r="AB13" s="145" t="s">
        <v>58</v>
      </c>
      <c r="AC13" s="145" t="s">
        <v>59</v>
      </c>
      <c r="AD13" s="145" t="s">
        <v>60</v>
      </c>
      <c r="AE13" s="138"/>
      <c r="AF13" s="146" t="s">
        <v>61</v>
      </c>
      <c r="AG13" s="147" t="s">
        <v>62</v>
      </c>
      <c r="AH13" s="147" t="s">
        <v>63</v>
      </c>
      <c r="AI13" s="147" t="s">
        <v>64</v>
      </c>
      <c r="AJ13" s="147" t="s">
        <v>65</v>
      </c>
      <c r="AK13" s="146" t="s">
        <v>61</v>
      </c>
      <c r="AL13" s="147" t="s">
        <v>62</v>
      </c>
      <c r="AM13" s="147" t="s">
        <v>63</v>
      </c>
      <c r="AN13" s="147" t="s">
        <v>64</v>
      </c>
      <c r="AO13" s="147" t="s">
        <v>65</v>
      </c>
      <c r="AP13" s="146" t="s">
        <v>61</v>
      </c>
      <c r="AQ13" s="147" t="s">
        <v>62</v>
      </c>
      <c r="AR13" s="147" t="s">
        <v>63</v>
      </c>
      <c r="AS13" s="147" t="s">
        <v>64</v>
      </c>
      <c r="AT13" s="147" t="s">
        <v>65</v>
      </c>
      <c r="AU13" s="146" t="s">
        <v>61</v>
      </c>
      <c r="AV13" s="147" t="s">
        <v>62</v>
      </c>
      <c r="AW13" s="147" t="s">
        <v>63</v>
      </c>
      <c r="AX13" s="147" t="s">
        <v>64</v>
      </c>
      <c r="AY13" s="147" t="s">
        <v>65</v>
      </c>
      <c r="AZ13" s="146" t="s">
        <v>61</v>
      </c>
      <c r="BA13" s="147" t="s">
        <v>62</v>
      </c>
      <c r="BB13" s="147" t="s">
        <v>63</v>
      </c>
      <c r="BC13" s="147" t="s">
        <v>64</v>
      </c>
      <c r="BD13" s="147" t="s">
        <v>65</v>
      </c>
      <c r="BE13" s="148" t="s">
        <v>61</v>
      </c>
      <c r="BF13" s="149" t="s">
        <v>62</v>
      </c>
      <c r="BG13" s="147" t="s">
        <v>63</v>
      </c>
      <c r="BH13" s="150" t="s">
        <v>64</v>
      </c>
      <c r="BI13" s="147" t="s">
        <v>65</v>
      </c>
      <c r="BJ13" s="148" t="s">
        <v>61</v>
      </c>
      <c r="BK13" s="150" t="s">
        <v>62</v>
      </c>
      <c r="BL13" s="147" t="s">
        <v>63</v>
      </c>
      <c r="BM13" s="151" t="s">
        <v>64</v>
      </c>
      <c r="BN13" s="147" t="s">
        <v>65</v>
      </c>
      <c r="BO13" s="148" t="s">
        <v>61</v>
      </c>
      <c r="BP13" s="149" t="s">
        <v>62</v>
      </c>
      <c r="BQ13" s="147" t="s">
        <v>63</v>
      </c>
      <c r="BR13" s="150" t="s">
        <v>64</v>
      </c>
      <c r="BS13" s="147" t="s">
        <v>65</v>
      </c>
      <c r="BT13" s="148" t="s">
        <v>61</v>
      </c>
      <c r="BU13" s="149" t="s">
        <v>62</v>
      </c>
      <c r="BV13" s="147" t="s">
        <v>63</v>
      </c>
      <c r="BW13" s="151" t="s">
        <v>64</v>
      </c>
      <c r="BX13" s="147" t="s">
        <v>65</v>
      </c>
      <c r="BY13" s="148" t="s">
        <v>61</v>
      </c>
      <c r="BZ13" s="149" t="s">
        <v>62</v>
      </c>
      <c r="CA13" s="147" t="s">
        <v>63</v>
      </c>
      <c r="CB13" s="151" t="s">
        <v>64</v>
      </c>
      <c r="CC13" s="147" t="s">
        <v>65</v>
      </c>
      <c r="CD13" s="148" t="s">
        <v>61</v>
      </c>
      <c r="CE13" s="149" t="s">
        <v>62</v>
      </c>
      <c r="CF13" s="147" t="s">
        <v>63</v>
      </c>
      <c r="CG13" s="152" t="s">
        <v>64</v>
      </c>
      <c r="CH13" s="147" t="s">
        <v>65</v>
      </c>
      <c r="CI13" s="148" t="s">
        <v>61</v>
      </c>
      <c r="CJ13" s="149" t="s">
        <v>62</v>
      </c>
      <c r="CK13" s="147" t="s">
        <v>63</v>
      </c>
      <c r="CL13" s="149" t="s">
        <v>64</v>
      </c>
      <c r="CM13" s="147" t="s">
        <v>65</v>
      </c>
      <c r="CN13" s="146" t="s">
        <v>61</v>
      </c>
      <c r="CO13" s="149" t="s">
        <v>62</v>
      </c>
      <c r="CP13" s="147" t="s">
        <v>63</v>
      </c>
      <c r="CQ13" s="149" t="s">
        <v>64</v>
      </c>
      <c r="CR13" s="147" t="s">
        <v>65</v>
      </c>
      <c r="CS13" s="146" t="s">
        <v>61</v>
      </c>
      <c r="CT13" s="150" t="s">
        <v>62</v>
      </c>
      <c r="CU13" s="147" t="s">
        <v>63</v>
      </c>
      <c r="CV13" s="153" t="s">
        <v>64</v>
      </c>
      <c r="CW13" s="147" t="s">
        <v>65</v>
      </c>
      <c r="CX13" s="146" t="s">
        <v>61</v>
      </c>
      <c r="CY13" s="149" t="s">
        <v>62</v>
      </c>
      <c r="CZ13" s="147" t="s">
        <v>63</v>
      </c>
      <c r="DA13" s="150" t="s">
        <v>64</v>
      </c>
      <c r="DB13" s="147" t="s">
        <v>65</v>
      </c>
      <c r="DC13" s="146" t="s">
        <v>61</v>
      </c>
      <c r="DD13" s="149" t="s">
        <v>62</v>
      </c>
      <c r="DE13" s="147" t="s">
        <v>63</v>
      </c>
      <c r="DF13" s="149" t="s">
        <v>64</v>
      </c>
      <c r="DG13" s="147" t="s">
        <v>65</v>
      </c>
      <c r="DH13" s="146" t="s">
        <v>61</v>
      </c>
      <c r="DI13" s="149" t="s">
        <v>62</v>
      </c>
      <c r="DJ13" s="147" t="s">
        <v>63</v>
      </c>
      <c r="DK13" s="149" t="s">
        <v>64</v>
      </c>
      <c r="DL13" s="147" t="s">
        <v>65</v>
      </c>
      <c r="DM13" s="146" t="s">
        <v>61</v>
      </c>
      <c r="DN13" s="149" t="s">
        <v>62</v>
      </c>
      <c r="DO13" s="147" t="s">
        <v>63</v>
      </c>
      <c r="DP13" s="151" t="s">
        <v>64</v>
      </c>
      <c r="DQ13" s="147" t="s">
        <v>65</v>
      </c>
      <c r="DR13" s="148" t="s">
        <v>61</v>
      </c>
      <c r="DS13" s="149" t="s">
        <v>62</v>
      </c>
      <c r="DT13" s="147" t="s">
        <v>63</v>
      </c>
      <c r="DU13" s="151" t="s">
        <v>64</v>
      </c>
      <c r="DV13" s="147" t="s">
        <v>65</v>
      </c>
      <c r="DW13" s="154" t="s">
        <v>61</v>
      </c>
      <c r="DX13" s="149" t="s">
        <v>62</v>
      </c>
      <c r="DY13" s="147" t="s">
        <v>63</v>
      </c>
      <c r="DZ13" s="150" t="s">
        <v>64</v>
      </c>
      <c r="EA13" s="147" t="s">
        <v>65</v>
      </c>
      <c r="EB13" s="146" t="s">
        <v>61</v>
      </c>
      <c r="EC13" s="149" t="s">
        <v>62</v>
      </c>
      <c r="ED13" s="147" t="s">
        <v>63</v>
      </c>
      <c r="EE13" s="150" t="s">
        <v>64</v>
      </c>
      <c r="EF13" s="147" t="s">
        <v>65</v>
      </c>
      <c r="EG13" s="146" t="s">
        <v>61</v>
      </c>
      <c r="EH13" s="149" t="s">
        <v>62</v>
      </c>
      <c r="EI13" s="147" t="s">
        <v>63</v>
      </c>
      <c r="EJ13" s="150" t="s">
        <v>64</v>
      </c>
      <c r="EK13" s="147" t="s">
        <v>65</v>
      </c>
      <c r="EL13" s="146" t="s">
        <v>61</v>
      </c>
      <c r="EM13" s="149" t="s">
        <v>62</v>
      </c>
      <c r="EN13" s="147" t="s">
        <v>63</v>
      </c>
      <c r="EO13" s="151" t="s">
        <v>64</v>
      </c>
      <c r="EP13" s="155" t="s">
        <v>65</v>
      </c>
    </row>
    <row r="14" spans="1:146" x14ac:dyDescent="0.35">
      <c r="A14" s="22" t="s">
        <v>66</v>
      </c>
      <c r="B14" s="156" t="s">
        <v>67</v>
      </c>
      <c r="C14" s="157"/>
      <c r="D14" s="158"/>
      <c r="E14" s="158"/>
      <c r="F14" s="159"/>
      <c r="G14" s="159"/>
      <c r="H14" s="159"/>
      <c r="I14" s="159"/>
      <c r="J14" s="159"/>
      <c r="K14" s="159"/>
      <c r="L14" s="159"/>
      <c r="M14" s="159"/>
      <c r="N14" s="159"/>
      <c r="O14" s="159"/>
      <c r="P14" s="159"/>
      <c r="Q14" s="159"/>
      <c r="R14" s="159"/>
      <c r="S14" s="159"/>
      <c r="T14" s="159"/>
      <c r="U14" s="159"/>
      <c r="V14" s="159"/>
      <c r="W14" s="159"/>
      <c r="X14" s="159"/>
      <c r="Y14" s="159"/>
      <c r="Z14" s="159"/>
      <c r="AA14" s="159"/>
      <c r="AB14" s="159"/>
      <c r="AC14" s="159"/>
      <c r="AD14" s="159"/>
      <c r="AE14" s="158"/>
      <c r="AF14" s="160"/>
      <c r="AG14" s="161"/>
      <c r="AH14" s="161"/>
      <c r="AI14" s="162"/>
      <c r="AJ14" s="162"/>
      <c r="AK14" s="160"/>
      <c r="AL14" s="162"/>
      <c r="AM14" s="162"/>
      <c r="AN14" s="162"/>
      <c r="AO14" s="162"/>
      <c r="AP14" s="160"/>
      <c r="AQ14" s="162"/>
      <c r="AR14" s="162"/>
      <c r="AS14" s="162"/>
      <c r="AT14" s="162"/>
      <c r="AU14" s="160"/>
      <c r="AV14" s="162"/>
      <c r="AW14" s="162"/>
      <c r="AX14" s="162"/>
      <c r="AY14" s="162"/>
      <c r="AZ14" s="160"/>
      <c r="BA14" s="162"/>
      <c r="BB14" s="162"/>
      <c r="BC14" s="162"/>
      <c r="BD14" s="162"/>
      <c r="BE14" s="163"/>
      <c r="BF14" s="164"/>
      <c r="BG14" s="164"/>
      <c r="BH14" s="165"/>
      <c r="BI14" s="165"/>
      <c r="BJ14" s="166"/>
      <c r="BK14" s="167"/>
      <c r="BL14" s="167"/>
      <c r="BM14" s="159"/>
      <c r="BN14" s="159"/>
      <c r="BO14" s="160"/>
      <c r="BP14" s="168"/>
      <c r="BQ14" s="168"/>
      <c r="BR14" s="169"/>
      <c r="BS14" s="169"/>
      <c r="BT14" s="166"/>
      <c r="BU14" s="170"/>
      <c r="BV14" s="170"/>
      <c r="BW14" s="165"/>
      <c r="BX14" s="165"/>
      <c r="BY14" s="160"/>
      <c r="BZ14" s="168"/>
      <c r="CA14" s="168"/>
      <c r="CB14" s="171"/>
      <c r="CC14" s="171"/>
      <c r="CD14" s="160"/>
      <c r="CE14" s="168"/>
      <c r="CF14" s="168"/>
      <c r="CG14" s="168"/>
      <c r="CH14" s="168"/>
      <c r="CI14" s="160"/>
      <c r="CJ14" s="168"/>
      <c r="CK14" s="168"/>
      <c r="CL14" s="160"/>
      <c r="CM14" s="160"/>
      <c r="CN14" s="160"/>
      <c r="CO14" s="160"/>
      <c r="CP14" s="160"/>
      <c r="CQ14" s="160"/>
      <c r="CR14" s="160"/>
      <c r="CS14" s="160"/>
      <c r="CT14" s="171"/>
      <c r="CU14" s="171"/>
      <c r="CV14" s="171"/>
      <c r="CW14" s="171"/>
      <c r="CX14" s="160"/>
      <c r="CY14" s="160"/>
      <c r="CZ14" s="160"/>
      <c r="DA14" s="171"/>
      <c r="DB14" s="171"/>
      <c r="DC14" s="160"/>
      <c r="DD14" s="160"/>
      <c r="DE14" s="160"/>
      <c r="DF14" s="160"/>
      <c r="DG14" s="160"/>
      <c r="DH14" s="160"/>
      <c r="DI14" s="160"/>
      <c r="DJ14" s="160"/>
      <c r="DK14" s="160"/>
      <c r="DL14" s="160"/>
      <c r="DM14" s="160"/>
      <c r="DN14" s="160"/>
      <c r="DO14" s="160"/>
      <c r="DP14" s="171"/>
      <c r="DQ14" s="171"/>
      <c r="DR14" s="160"/>
      <c r="DS14" s="172"/>
      <c r="DT14" s="172"/>
      <c r="DU14" s="158"/>
      <c r="DV14" s="158"/>
      <c r="DW14" s="158"/>
      <c r="DX14" s="172"/>
      <c r="DY14" s="172"/>
      <c r="DZ14" s="171"/>
      <c r="EA14" s="171"/>
      <c r="EB14" s="166"/>
      <c r="EC14" s="166"/>
      <c r="ED14" s="166"/>
      <c r="EE14" s="158"/>
      <c r="EF14" s="158"/>
      <c r="EG14" s="166"/>
      <c r="EH14" s="166"/>
      <c r="EI14" s="166"/>
      <c r="EJ14" s="158"/>
      <c r="EK14" s="158"/>
      <c r="EL14" s="166"/>
      <c r="EM14" s="166"/>
      <c r="EN14" s="166"/>
      <c r="EO14" s="173"/>
      <c r="EP14" s="174"/>
    </row>
    <row r="15" spans="1:146" x14ac:dyDescent="0.35">
      <c r="A15" s="22" t="s">
        <v>66</v>
      </c>
      <c r="B15" s="175" t="s">
        <v>66</v>
      </c>
      <c r="C15" s="176" t="s">
        <v>68</v>
      </c>
      <c r="D15" s="177" cm="1">
        <f t="array" ref="D15">COUNT(_xlfn._xlws.FILTER(AF15:EO15,($AF$13:$EO$13="P.U")*(ISNUMBER(AF15:EO15)),""))</f>
        <v>0</v>
      </c>
      <c r="E15" s="177" cm="1">
        <f t="array" ref="E15">COUNT(_xlfn.UNIQUE(_xlfn._xlws.FILTER(AF15:EO15,($AF$13:$EO$13="P.U")*(ISNUMBER(AF15:EO15))),1))</f>
        <v>0</v>
      </c>
      <c r="F15" s="177"/>
      <c r="G15" s="177" t="str" cm="1">
        <f t="array" ref="G15">IFERROR(_xlfn.MODE.SNGL(_xlfn._xlws.FILTER($AI15:$EO15,$AI$13:$EO$13="P.U")),"-")</f>
        <v>-</v>
      </c>
      <c r="H15" s="177" t="str">
        <f t="shared" ref="H15:H24" si="0">IFERROR(I15-(1.96*M15), "-")</f>
        <v>-</v>
      </c>
      <c r="I15" s="177" t="str">
        <f t="shared" ref="I15:I18" si="1">IFERROR(AVERAGEIFS(15:15,$13:$13,"P.U"), "-")</f>
        <v>-</v>
      </c>
      <c r="J15" s="177" t="str">
        <f t="shared" ref="J15:J24" si="2">IFERROR(I15+(1.96*M15), "-")</f>
        <v>-</v>
      </c>
      <c r="K15" s="177" t="str" cm="1">
        <f t="array" ref="K15">IFERROR(MEDIAN(_xlfn._xlws.FILTER($AI15:$EO15,$AI$13:$EO$13="P.U")),"-")</f>
        <v>-</v>
      </c>
      <c r="L15" s="177" t="str" cm="1">
        <f t="array" ref="L15">IFERROR(_xlfn.STDEV.P(_xlfn._xlws.FILTER($AI15:$EO15,$AI$13:$EO$13="P.U")),"-")</f>
        <v>-</v>
      </c>
      <c r="M15" s="177" t="str">
        <f t="shared" ref="M15:M24" si="3">IFERROR(L15/(D15^(1/2)), "-")</f>
        <v>-</v>
      </c>
      <c r="N15" s="178" t="str">
        <f t="shared" ref="N15:N24" si="4">IFERROR(($L15/$I15),"-")</f>
        <v>-</v>
      </c>
      <c r="O15" s="177"/>
      <c r="P15" s="177" t="str" cm="1">
        <f t="array" ref="P15">IFERROR(_xlfn.QUARTILE.INC(_xlfn._xlws.FILTER($AI15:$EO15,$AI$13:$EO$13="P.U"),0),"-")</f>
        <v>-</v>
      </c>
      <c r="Q15" s="177"/>
      <c r="R15" s="177" t="str" cm="1">
        <f t="array" ref="R15">IFERROR(_xlfn.QUARTILE.INC(_xlfn._xlws.FILTER($AI15:$EO15,$AI$13:$EO$13="P.U"),1),"-")</f>
        <v>-</v>
      </c>
      <c r="S15" s="177" t="str" cm="1">
        <f t="array" ref="S15">IFERROR(_xlfn.PERCENTILE.INC(_xlfn._xlws.FILTER($AI15:$EO15,$AI$13:$EO$13="P.U"),0.4),"-")</f>
        <v>-</v>
      </c>
      <c r="T15" s="177" cm="1">
        <f t="array" ref="T15">_xlfn.LET(_xlpm.p,AF15:EO15,COUNT(_xlfn._xlws.FILTER(_xlpm.p,($AF$13:$EO$13="P.U")*(_xlpm.p&lt;=U15)*(_xlpm.p&gt;R15))))</f>
        <v>0</v>
      </c>
      <c r="U15" s="177" t="str" cm="1">
        <f t="array" ref="U15">IFERROR(_xlfn.QUARTILE.INC(_xlfn._xlws.FILTER($AI15:$EO15,$AI$13:$EO$13="P.U"),2),"-")</f>
        <v>-</v>
      </c>
      <c r="V15" s="177" t="str" cm="1">
        <f t="array" ref="V15">IFERROR(_xlfn.PERCENTILE.INC(_xlfn._xlws.FILTER($AI15:$EO15,$AI$13:$EO$13="P.U"),0.6),"-")</f>
        <v>-</v>
      </c>
      <c r="W15" s="177"/>
      <c r="X15" s="177" t="str" cm="1">
        <f t="array" ref="X15">IFERROR(_xlfn.QUARTILE.INC(_xlfn._xlws.FILTER($AI15:$EO15,$AI$13:$EO$13="P.U"),3),"-")</f>
        <v>-</v>
      </c>
      <c r="Y15" s="177"/>
      <c r="Z15" s="177"/>
      <c r="AA15" s="177" t="str" cm="1">
        <f t="array" ref="AA15">IFERROR(_xlfn.QUARTILE.INC(_xlfn._xlws.FILTER($AI15:$EO15,$AI$13:$EO$13="P.U"),4),"-")</f>
        <v>-</v>
      </c>
      <c r="AB15" s="177" t="str">
        <f>IFERROR((R15-(1.5*AC15)), "-")</f>
        <v>-</v>
      </c>
      <c r="AC15" s="179" t="str">
        <f>IFERROR((X15-R15), "-")</f>
        <v>-</v>
      </c>
      <c r="AD15" s="177" t="str">
        <f>IFERROR((X15+(1.5*AC15)), "-")</f>
        <v>-</v>
      </c>
      <c r="AE15" s="180" t="str" cm="1">
        <f t="array" ref="AE15">_xlfn.LET(_xlpm.p,_xlfn.UNIQUE(_xlfn._xlws.FILTER(AF15:EL15,$AF$13:$EL$13="U"),1),_xlpm.f,_xlfn._xlws.FILTER(_xlpm.p,_xlpm.p&lt;&gt;"",""),IF(COUNTA(_xlpm.f)=1,_xlpm.f,"différentes"))</f>
        <v/>
      </c>
      <c r="AF15" s="181"/>
      <c r="AG15" s="182"/>
      <c r="AH15" s="182">
        <f t="shared" ref="AH15:AH24" si="5">IFERROR((AI15/(1+$AP$7)),"-")</f>
        <v>0</v>
      </c>
      <c r="AI15" s="182"/>
      <c r="AJ15" s="183">
        <f>AH15*(0.15+0.85*($AG$6/$AG$5))</f>
        <v>0</v>
      </c>
      <c r="AK15" s="181"/>
      <c r="AL15" s="182"/>
      <c r="AM15" s="182">
        <f t="shared" ref="AM15:AM24" si="6">IFERROR((AN15/(1+$AP$7)),"-")</f>
        <v>0</v>
      </c>
      <c r="AN15" s="182"/>
      <c r="AO15" s="183">
        <f>AM15*(0.15+0.85*($AG$6/$AG$5))</f>
        <v>0</v>
      </c>
      <c r="AP15" s="181"/>
      <c r="AQ15" s="182"/>
      <c r="AR15" s="182">
        <f t="shared" ref="AR15:AR24" si="7">IFERROR((AS15/(1+$AP$7)),"-")</f>
        <v>0</v>
      </c>
      <c r="AS15" s="182"/>
      <c r="AT15" s="183">
        <f>AR15*(0.15+0.85*($AG$6/$AG$5))</f>
        <v>0</v>
      </c>
      <c r="AU15" s="181"/>
      <c r="AV15" s="182"/>
      <c r="AW15" s="182">
        <f>IFERROR((AX15/(1+$AP$7)),"-")</f>
        <v>0</v>
      </c>
      <c r="AX15" s="182"/>
      <c r="AY15" s="183">
        <f>AW15*(0.15+0.85*($AG$6/$AG$5))</f>
        <v>0</v>
      </c>
      <c r="AZ15" s="181"/>
      <c r="BA15" s="182"/>
      <c r="BB15" s="182">
        <f>IFERROR((BC15/(1+$AP$7)),"-")</f>
        <v>0</v>
      </c>
      <c r="BC15" s="182"/>
      <c r="BD15" s="183">
        <f>BB15*(0.15+0.85*($AG$6/$AG$5))</f>
        <v>0</v>
      </c>
      <c r="BE15" s="181"/>
      <c r="BF15" s="184"/>
      <c r="BG15" s="185">
        <f>IFERROR((BH15/(1+$BO$8)),"-")</f>
        <v>0</v>
      </c>
      <c r="BH15" s="186"/>
      <c r="BI15" s="183">
        <f>BG15*(0.15+0.85*($BF$6/$BF$5))</f>
        <v>0</v>
      </c>
      <c r="BJ15" s="181"/>
      <c r="BK15" s="186"/>
      <c r="BL15" s="185">
        <f>IFERROR((BM15/(1+$BO$8)),"-")</f>
        <v>0</v>
      </c>
      <c r="BM15" s="186"/>
      <c r="BN15" s="183">
        <f>BL15*(0.15+0.85*($BF$6/$BF$5))</f>
        <v>0</v>
      </c>
      <c r="BO15" s="181"/>
      <c r="BP15" s="184"/>
      <c r="BQ15" s="185">
        <f>IFERROR((BR15/(1+$BO$8)),"-")</f>
        <v>0</v>
      </c>
      <c r="BR15" s="186"/>
      <c r="BS15" s="183">
        <f>BQ15*(0.15+0.85*($BF$6/$BF$5))</f>
        <v>0</v>
      </c>
      <c r="BT15" s="181"/>
      <c r="BU15" s="184"/>
      <c r="BV15" s="185">
        <f>IFERROR((BW15/(1+$BO$8)),"-")</f>
        <v>0</v>
      </c>
      <c r="BW15" s="186"/>
      <c r="BX15" s="183">
        <f>BV15*(0.15+0.85*($BF$6/$BF$5))</f>
        <v>0</v>
      </c>
      <c r="BY15" s="181"/>
      <c r="BZ15" s="184"/>
      <c r="CA15" s="185">
        <f>IFERROR((CB15/(1+$BO$8)),"-")</f>
        <v>0</v>
      </c>
      <c r="CB15" s="186"/>
      <c r="CC15" s="183">
        <f>CA15*(0.15+0.85*($BF$6/$BF$5))</f>
        <v>0</v>
      </c>
      <c r="CD15" s="181"/>
      <c r="CE15" s="184"/>
      <c r="CF15" s="185">
        <f>IFERROR((CG15/(1+$BO$8)),"-")</f>
        <v>0</v>
      </c>
      <c r="CG15" s="184"/>
      <c r="CH15" s="183">
        <f>CF15*(0.15+0.85*($BF$6/$BF$5))</f>
        <v>0</v>
      </c>
      <c r="CI15" s="181"/>
      <c r="CJ15" s="184"/>
      <c r="CK15" s="185">
        <f>IFERROR((CL15/(1+$CS$7)),"-")</f>
        <v>0</v>
      </c>
      <c r="CL15" s="184"/>
      <c r="CM15" s="183">
        <f>CK15*(0.15+0.85*($CJ$6/$CJ$5))</f>
        <v>0</v>
      </c>
      <c r="CN15" s="184"/>
      <c r="CO15" s="184"/>
      <c r="CP15" s="185">
        <f>IFERROR((CQ15/(1+$CS$7)),"-")</f>
        <v>0</v>
      </c>
      <c r="CQ15" s="184"/>
      <c r="CR15" s="183">
        <f>CP15*(0.15+0.85*($CJ$6/$CJ$5))</f>
        <v>0</v>
      </c>
      <c r="CS15" s="184"/>
      <c r="CT15" s="186"/>
      <c r="CU15" s="185">
        <f>IFERROR((CV15/(1+$CS$7)),"-")</f>
        <v>0</v>
      </c>
      <c r="CV15" s="186"/>
      <c r="CW15" s="183">
        <f>CU15*(0.15+0.85*($CJ$6/$CJ$5))</f>
        <v>0</v>
      </c>
      <c r="CX15" s="184"/>
      <c r="CY15" s="184"/>
      <c r="CZ15" s="185">
        <f>IFERROR((DA15/(1+$CS$7)),"-")</f>
        <v>0</v>
      </c>
      <c r="DA15" s="186"/>
      <c r="DB15" s="183">
        <f>CZ15*(0.15+0.85*($CJ$6/$CJ$5))</f>
        <v>0</v>
      </c>
      <c r="DC15" s="184"/>
      <c r="DD15" s="184"/>
      <c r="DE15" s="185">
        <f>IFERROR((DF15/(1+$CS$7)),"-")</f>
        <v>0</v>
      </c>
      <c r="DF15" s="184"/>
      <c r="DG15" s="183">
        <f>DE15*(0.15+0.85*($CJ$6/$CJ$5))</f>
        <v>0</v>
      </c>
      <c r="DH15" s="184"/>
      <c r="DI15" s="184"/>
      <c r="DJ15" s="185">
        <f>IFERROR((DK15/(1+$CS$7)),"-")</f>
        <v>0</v>
      </c>
      <c r="DK15" s="184"/>
      <c r="DL15" s="183">
        <f>DJ15*(0.15+0.85*($CJ$6/$CJ$5))</f>
        <v>0</v>
      </c>
      <c r="DM15" s="181"/>
      <c r="DN15" s="184"/>
      <c r="DO15" s="185">
        <f>IFERROR((DP15/(1+$CS$7)),"-")</f>
        <v>0</v>
      </c>
      <c r="DP15" s="186"/>
      <c r="DQ15" s="183">
        <f>DO15*(0.15+0.85*($CJ$6/$CJ$5))</f>
        <v>0</v>
      </c>
      <c r="DR15" s="181"/>
      <c r="DS15" s="184"/>
      <c r="DT15" s="185">
        <f t="shared" ref="DT15:DT24" si="8">IFERROR((DU15/(1+$EB$7)),"-")</f>
        <v>0</v>
      </c>
      <c r="DU15" s="186"/>
      <c r="DV15" s="183">
        <f>IFERROR(DT15*(0.15+0.85*($DS$6/$DS$5)),"-")</f>
        <v>0</v>
      </c>
      <c r="DW15" s="187"/>
      <c r="DX15" s="184"/>
      <c r="DY15" s="185">
        <f t="shared" ref="DY15:DY24" si="9">IFERROR((DZ15/(1+$EB$7)),"-")</f>
        <v>0</v>
      </c>
      <c r="DZ15" s="186"/>
      <c r="EA15" s="183">
        <f t="shared" ref="EA15:EA24" si="10">IFERROR(DY15*(0.15+0.85*($DS$6/$DS$5)),"-")</f>
        <v>0</v>
      </c>
      <c r="EB15" s="184"/>
      <c r="EC15" s="184"/>
      <c r="ED15" s="185">
        <f t="shared" ref="ED15:ED24" si="11">IFERROR((EE15/(1+$EB$7)),"-")</f>
        <v>0</v>
      </c>
      <c r="EE15" s="186"/>
      <c r="EF15" s="183">
        <f>IFERROR(ED15*(0.15+0.85*($DS$6/$DS$5)),"-")</f>
        <v>0</v>
      </c>
      <c r="EG15" s="184"/>
      <c r="EH15" s="184"/>
      <c r="EI15" s="185">
        <f>IFERROR((EJ15/(1+$EB$7)),"-")</f>
        <v>0</v>
      </c>
      <c r="EJ15" s="186"/>
      <c r="EK15" s="183">
        <f t="shared" ref="EK15:EK24" si="12">IFERROR(EI15*(0.15+0.85*($DS$6/$DS$5)),"-")</f>
        <v>0</v>
      </c>
      <c r="EL15" s="181"/>
      <c r="EM15" s="184"/>
      <c r="EN15" s="185">
        <f>IFERROR((EO15/(1+$EB$7)),"-")</f>
        <v>0</v>
      </c>
      <c r="EO15" s="188"/>
      <c r="EP15" s="189">
        <f>IFERROR(EN15*(0.15+0.85*($DS$6/$DS$5)),"-")</f>
        <v>0</v>
      </c>
    </row>
    <row r="16" spans="1:146" x14ac:dyDescent="0.35">
      <c r="A16" s="22" t="s">
        <v>66</v>
      </c>
      <c r="B16" s="175" t="s">
        <v>66</v>
      </c>
      <c r="C16" s="190" t="s">
        <v>69</v>
      </c>
      <c r="D16" s="177" cm="1">
        <f t="array" ref="D16">COUNT(_xlfn._xlws.FILTER(AF16:EO16,($AF$13:$EO$13="D.S.A")*(ISNUMBER(AF16:EO16)),""))</f>
        <v>18</v>
      </c>
      <c r="E16" s="177" cm="1">
        <f t="array" ref="E16">COUNT(_xlfn.UNIQUE(_xlfn._xlws.FILTER(AF16:EO16,($AF$13:$EO$13="P.U")*(ISNUMBER(AF16:EO16))),1))</f>
        <v>11</v>
      </c>
      <c r="F16" s="177">
        <f t="shared" ref="F16:F24" si="13">COUNTIF(AF16:EO16,G16)</f>
        <v>4</v>
      </c>
      <c r="G16" s="177" cm="1">
        <f t="array" ref="G16">IFERROR(_xlfn.MODE.SNGL(_xlfn._xlws.FILTER($AI16:$EO16,$AI$13:$EO$13="P.U")),"-")</f>
        <v>10333.837600000001</v>
      </c>
      <c r="H16" s="177">
        <f t="shared" si="0"/>
        <v>8285.7029755748481</v>
      </c>
      <c r="I16" s="177">
        <f t="shared" si="1"/>
        <v>10602.876066666668</v>
      </c>
      <c r="J16" s="177">
        <f t="shared" si="2"/>
        <v>12920.049157758487</v>
      </c>
      <c r="K16" s="177" cm="1">
        <f t="array" ref="K16">IFERROR(MEDIAN(_xlfn._xlws.FILTER($AI16:$EO16,$AI$13:$EO$13="P.U")),"-")</f>
        <v>10134.818800000001</v>
      </c>
      <c r="L16" s="177" cm="1">
        <f t="array" ref="L16">IFERROR(_xlfn.STDEV.P(_xlfn._xlws.FILTER($AI16:$EO16,$AI$13:$EO$13="P.U")),"-")</f>
        <v>5015.782058859244</v>
      </c>
      <c r="M16" s="177">
        <f t="shared" si="3"/>
        <v>1182.2311689243982</v>
      </c>
      <c r="N16" s="178">
        <f t="shared" si="4"/>
        <v>0.47305863308426899</v>
      </c>
      <c r="O16" s="177" cm="1">
        <f t="array" ref="O16">_xlfn.LET(_xlpm.p,AF16:EO16,COUNT(_xlfn._xlws.FILTER(_xlpm.p,($AF$13:$EO$13="P.U")*(_xlpm.p=P16))))</f>
        <v>1</v>
      </c>
      <c r="P16" s="177" cm="1">
        <f t="array" ref="P16">IFERROR(_xlfn.QUARTILE.INC(_xlfn._xlws.FILTER($AI16:$EO16,$AI$13:$EO$13="P.U"),0),"-")</f>
        <v>5631.7</v>
      </c>
      <c r="Q16" s="177" cm="1">
        <f t="array" ref="Q16">_xlfn.LET(_xlpm.p,AF16:EO16,COUNT(_xlfn._xlws.FILTER(_xlpm.p,($AF$13:$EO$13="P.U")*(_xlpm.p&lt;=R16)*(_xlpm.p&gt;P16))))</f>
        <v>5</v>
      </c>
      <c r="R16" s="177" cm="1">
        <f t="array" ref="R16">IFERROR(_xlfn.QUARTILE.INC(_xlfn._xlws.FILTER($AI16:$EO16,$AI$13:$EO$13="P.U"),1),"-")</f>
        <v>8484.6</v>
      </c>
      <c r="S16" s="177" cm="1">
        <f t="array" ref="S16">IFERROR(_xlfn.PERCENTILE.INC(_xlfn._xlws.FILTER($AI16:$EO16,$AI$13:$EO$13="P.U"),0.4),"-")</f>
        <v>8935.92</v>
      </c>
      <c r="T16" s="177" cm="1">
        <f t="array" ref="T16">_xlfn.LET(_xlpm.p,AF16:EO16,COUNT(_xlfn._xlws.FILTER(_xlpm.p,($AF$13:$EO$13="P.U")*(_xlpm.p&lt;=U16)*(_xlpm.p&gt;R16))))</f>
        <v>3</v>
      </c>
      <c r="U16" s="177" cm="1">
        <f t="array" ref="U16">IFERROR(_xlfn.QUARTILE.INC(_xlfn._xlws.FILTER($AI16:$EO16,$AI$13:$EO$13="P.U"),2),"-")</f>
        <v>10134.818800000001</v>
      </c>
      <c r="V16" s="177" cm="1">
        <f t="array" ref="V16">IFERROR(_xlfn.PERCENTILE.INC(_xlfn._xlws.FILTER($AI16:$EO16,$AI$13:$EO$13="P.U"),0.6),"-")</f>
        <v>10333.837600000001</v>
      </c>
      <c r="W16" s="177" cm="1">
        <f t="array" ref="W16">_xlfn.LET(_xlpm.p,AF16:EO16,COUNT(_xlfn._xlws.FILTER(_xlpm.p,($AF$13:$EO$13="P.U")*(_xlpm.p&lt;=X16)*(_xlpm.p&gt;U16))))</f>
        <v>4</v>
      </c>
      <c r="X16" s="177" cm="1">
        <f t="array" ref="X16">IFERROR(_xlfn.QUARTILE.INC(_xlfn._xlws.FILTER($AI16:$EO16,$AI$13:$EO$13="P.U"),3),"-")</f>
        <v>11406.609400000001</v>
      </c>
      <c r="Y16" s="177" cm="1">
        <f t="array" ref="Y16">_xlfn.LET(_xlpm.p,AF16:EO16,COUNT(_xlfn._xlws.FILTER(_xlpm.p,($AF$13:$EO$13="P.U")*(_xlpm.p&lt;AA16)*(_xlpm.p&gt;X16))))</f>
        <v>4</v>
      </c>
      <c r="Z16" s="177" cm="1">
        <f t="array" ref="Z16">_xlfn.LET(_xlpm.p,AF16:EO16,COUNT(_xlfn._xlws.FILTER(_xlpm.p,($AF$13:$EO$13="P.U")*(_xlpm.p=AA16))))</f>
        <v>1</v>
      </c>
      <c r="AA16" s="177" cm="1">
        <f t="array" ref="AA16">IFERROR(_xlfn.QUARTILE.INC(_xlfn._xlws.FILTER($AI16:$EO16,$AI$13:$EO$13="P.U"),4),"-")</f>
        <v>29754.1188</v>
      </c>
      <c r="AB16" s="177">
        <f t="shared" ref="AB16:AB24" si="14">IFERROR((R16-(1.5*AC16)), "-")</f>
        <v>4101.5858999999991</v>
      </c>
      <c r="AC16" s="179">
        <f t="shared" ref="AC16:AC24" si="15">IFERROR((X16-R16), "-")</f>
        <v>2922.0094000000008</v>
      </c>
      <c r="AD16" s="177">
        <f t="shared" ref="AD16:AD24" si="16">IFERROR((X16+(1.5*AC16)), "-")</f>
        <v>15789.623500000002</v>
      </c>
      <c r="AE16" s="180" t="str" cm="1">
        <f t="array" ref="AE16">_xlfn.LET(_xlpm.p,_xlfn.UNIQUE(_xlfn._xlws.FILTER(AF16:EL16,$AF$13:$EL$13="U"),1),_xlpm.f,_xlfn._xlws.FILTER(_xlpm.p,_xlpm.p&lt;&gt;"",""),IF(COUNTA(_xlpm.f)=1,_xlpm.f,"différentes"))</f>
        <v>mois</v>
      </c>
      <c r="AF16" s="181" t="s">
        <v>70</v>
      </c>
      <c r="AG16" s="182">
        <v>14</v>
      </c>
      <c r="AH16" s="182">
        <f t="shared" si="5"/>
        <v>23889.296507426734</v>
      </c>
      <c r="AI16" s="183">
        <v>29754.1188</v>
      </c>
      <c r="AJ16" s="183">
        <f t="shared" ref="AJ16:AJ24" si="17">AH16*(0.15+0.85*($AG$6/$AG$5))</f>
        <v>27009.071213046213</v>
      </c>
      <c r="AK16" s="191" t="s">
        <v>70</v>
      </c>
      <c r="AL16" s="182">
        <v>17</v>
      </c>
      <c r="AM16" s="182">
        <f t="shared" si="6"/>
        <v>8296.939060618226</v>
      </c>
      <c r="AN16" s="183">
        <v>10333.837600000001</v>
      </c>
      <c r="AO16" s="183">
        <f t="shared" ref="AO16:AO24" si="18">AM16*(0.15+0.85*($AG$6/$AG$5))</f>
        <v>9380.4611562703922</v>
      </c>
      <c r="AP16" s="191" t="s">
        <v>70</v>
      </c>
      <c r="AQ16" s="183">
        <v>11</v>
      </c>
      <c r="AR16" s="182">
        <f t="shared" si="7"/>
        <v>8296.939060618226</v>
      </c>
      <c r="AS16" s="183">
        <v>10333.837600000001</v>
      </c>
      <c r="AT16" s="183">
        <f t="shared" ref="AT16:AT24" si="19">AR16*(0.15+0.85*($AG$6/$AG$5))</f>
        <v>9380.4611562703922</v>
      </c>
      <c r="AU16" s="191" t="s">
        <v>70</v>
      </c>
      <c r="AV16" s="183">
        <v>17</v>
      </c>
      <c r="AW16" s="182">
        <f t="shared" ref="AW16:AW24" si="20">IFERROR((AX16/(1+$AP$7)),"-")</f>
        <v>8296.939060618226</v>
      </c>
      <c r="AX16" s="183">
        <v>10333.837600000001</v>
      </c>
      <c r="AY16" s="183">
        <f t="shared" ref="AY16:AY24" si="21">AW16*(0.15+0.85*($AG$6/$AG$5))</f>
        <v>9380.4611562703922</v>
      </c>
      <c r="AZ16" s="183" t="s">
        <v>70</v>
      </c>
      <c r="BA16" s="183">
        <v>12</v>
      </c>
      <c r="BB16" s="182">
        <f t="shared" ref="BB16:BB24" si="22">IFERROR((BC16/(1+$AP$7)),"-")</f>
        <v>8296.939060618226</v>
      </c>
      <c r="BC16" s="183">
        <v>10333.837600000001</v>
      </c>
      <c r="BD16" s="183">
        <f t="shared" ref="BD16:BD24" si="23">BB16*(0.15+0.85*($AG$6/$AG$5))</f>
        <v>9380.4611562703922</v>
      </c>
      <c r="BE16" s="181" t="s">
        <v>70</v>
      </c>
      <c r="BF16" s="184">
        <v>34</v>
      </c>
      <c r="BG16" s="185">
        <f t="shared" ref="BG16:BG24" si="24">IFERROR((BH16/(1+$BO$8)),"-")</f>
        <v>8026.0574235514587</v>
      </c>
      <c r="BH16" s="192">
        <v>12548.5</v>
      </c>
      <c r="BI16" s="183">
        <f t="shared" ref="BI16:BI24" si="25">BG16*(0.15+0.85*($BF$6/$BF$5))</f>
        <v>9025.0149278756307</v>
      </c>
      <c r="BJ16" s="181" t="s">
        <v>70</v>
      </c>
      <c r="BK16" s="192">
        <v>22</v>
      </c>
      <c r="BL16" s="185">
        <f t="shared" ref="BL16:BL24" si="26">IFERROR((BM16/(1+$BO$8)),"-")</f>
        <v>7524.4168420244714</v>
      </c>
      <c r="BM16" s="192">
        <v>11764.2</v>
      </c>
      <c r="BN16" s="183">
        <f t="shared" ref="BN16:BN24" si="27">BL16*(0.15+0.85*($BF$6/$BF$5))</f>
        <v>8460.9380096835885</v>
      </c>
      <c r="BO16" s="181" t="s">
        <v>70</v>
      </c>
      <c r="BP16" s="184">
        <v>11</v>
      </c>
      <c r="BQ16" s="185">
        <f t="shared" ref="BQ16:BQ24" si="28">IFERROR((BR16/(1+$BO$8)),"-")</f>
        <v>7524.4168420244714</v>
      </c>
      <c r="BR16" s="192">
        <v>11764.2</v>
      </c>
      <c r="BS16" s="183">
        <f t="shared" ref="BS16:BS24" si="29">BQ16*(0.15+0.85*($BF$6/$BF$5))</f>
        <v>8460.9380096835885</v>
      </c>
      <c r="BT16" s="181" t="s">
        <v>70</v>
      </c>
      <c r="BU16" s="184">
        <v>24</v>
      </c>
      <c r="BV16" s="185">
        <f t="shared" ref="BV16:BV24" si="30">IFERROR((BW16/(1+$BO$8)),"-")</f>
        <v>7524.4168420244714</v>
      </c>
      <c r="BW16" s="192">
        <v>11764.2</v>
      </c>
      <c r="BX16" s="183">
        <f t="shared" ref="BX16:BX24" si="31">BV16*(0.15+0.85*($BF$6/$BF$5))</f>
        <v>8460.9380096835885</v>
      </c>
      <c r="BY16" s="181" t="s">
        <v>70</v>
      </c>
      <c r="BZ16" s="184">
        <v>32</v>
      </c>
      <c r="CA16" s="185">
        <f t="shared" ref="CA16:CA24" si="32">IFERROR((CB16/(1+$BO$8)),"-")</f>
        <v>5775.4226176389693</v>
      </c>
      <c r="CB16" s="192">
        <v>9029.7000000000007</v>
      </c>
      <c r="CC16" s="183">
        <f t="shared" ref="CC16:CC24" si="33">CA16*(0.15+0.85*($BF$6/$BF$5))</f>
        <v>6494.2564684415338</v>
      </c>
      <c r="CD16" s="181" t="s">
        <v>70</v>
      </c>
      <c r="CE16" s="191">
        <v>28</v>
      </c>
      <c r="CF16" s="185">
        <f t="shared" ref="CF16:CF24" si="34">IFERROR((CG16/(1+$BO$8)),"-")</f>
        <v>4812.884161512533</v>
      </c>
      <c r="CG16" s="183">
        <v>7524.8</v>
      </c>
      <c r="CH16" s="183">
        <f t="shared" ref="CH16:CH24" si="35">CF16*(0.15+0.85*($BF$6/$BF$5))</f>
        <v>5411.9163509007894</v>
      </c>
      <c r="CI16" s="181" t="s">
        <v>70</v>
      </c>
      <c r="CJ16" s="184">
        <v>17</v>
      </c>
      <c r="CK16" s="185">
        <f t="shared" ref="CK16:CK24" si="36">IFERROR((CL16/(1+$CS$7)),"-")</f>
        <v>6231.6859006522827</v>
      </c>
      <c r="CL16" s="183">
        <v>9935.7999999999993</v>
      </c>
      <c r="CM16" s="183">
        <f>CK16*(0.15+0.85*($CJ$6/$CJ$5))</f>
        <v>7034.539424982956</v>
      </c>
      <c r="CN16" s="184" t="s">
        <v>70</v>
      </c>
      <c r="CO16" s="184">
        <v>25</v>
      </c>
      <c r="CP16" s="185">
        <f t="shared" ref="CP16:CP24" si="37">IFERROR((CQ16/(1+$CS$7)),"-")</f>
        <v>5369.2925238334165</v>
      </c>
      <c r="CQ16" s="183">
        <v>8560.7999999999993</v>
      </c>
      <c r="CR16" s="183">
        <f t="shared" ref="CR16:CR24" si="38">CP16*(0.15+0.85*($CJ$6/$CJ$5))</f>
        <v>6061.0403902447797</v>
      </c>
      <c r="CS16" s="184" t="s">
        <v>70</v>
      </c>
      <c r="CT16" s="186">
        <v>12</v>
      </c>
      <c r="CU16" s="185">
        <f t="shared" ref="CU16:CU24" si="39">IFERROR((CV16/(1+$CS$7)),"-")</f>
        <v>3532.1751128951328</v>
      </c>
      <c r="CV16" s="192">
        <v>5631.7</v>
      </c>
      <c r="CW16" s="183">
        <f t="shared" ref="CW16:CW24" si="40">CU16*(0.15+0.85*($CJ$6/$CJ$5))</f>
        <v>3987.2396464981693</v>
      </c>
      <c r="CX16" s="184" t="s">
        <v>70</v>
      </c>
      <c r="CY16" s="184">
        <v>18</v>
      </c>
      <c r="CZ16" s="185">
        <f t="shared" ref="CZ16:CZ24" si="41">IFERROR((DA16/(1+$CS$7)),"-")</f>
        <v>5321.5002508780735</v>
      </c>
      <c r="DA16" s="192">
        <v>8484.6</v>
      </c>
      <c r="DB16" s="183">
        <f t="shared" ref="DB16:DB24" si="42">CZ16*(0.15+0.85*($CJ$6/$CJ$5))</f>
        <v>6007.0908437378366</v>
      </c>
      <c r="DC16" s="184" t="s">
        <v>70</v>
      </c>
      <c r="DD16" s="184">
        <v>24</v>
      </c>
      <c r="DE16" s="185">
        <f t="shared" ref="DE16:DE24" si="43">IFERROR((DF16/(1+$CS$7)),"-")</f>
        <v>5321.5002508780735</v>
      </c>
      <c r="DF16" s="183">
        <v>8484.6</v>
      </c>
      <c r="DG16" s="183">
        <f t="shared" ref="DG16:DG24" si="44">DE16*(0.15+0.85*($CJ$6/$CJ$5))</f>
        <v>6007.0908437378366</v>
      </c>
      <c r="DH16" s="184" t="s">
        <v>70</v>
      </c>
      <c r="DI16" s="184">
        <v>12</v>
      </c>
      <c r="DJ16" s="185">
        <f t="shared" ref="DJ16:DJ24" si="45">IFERROR((DK16/(1+$CS$7)),"-")</f>
        <v>3628.0732563973911</v>
      </c>
      <c r="DK16" s="184">
        <v>5784.6</v>
      </c>
      <c r="DL16" s="183">
        <f t="shared" ref="DL16:DL24" si="46">DJ16*(0.15+0.85*($CJ$6/$CJ$5))</f>
        <v>4095.4927391610549</v>
      </c>
      <c r="DM16" s="181" t="s">
        <v>70</v>
      </c>
      <c r="DN16" s="184">
        <v>14</v>
      </c>
      <c r="DO16" s="185">
        <f t="shared" ref="DO16:DO24" si="47">IFERROR((DP16/(1+$CS$7)),"-")</f>
        <v>5321.5002508780735</v>
      </c>
      <c r="DP16" s="192">
        <v>8484.6</v>
      </c>
      <c r="DQ16" s="183">
        <f t="shared" ref="DQ16:DQ24" si="48">DO16*(0.15+0.85*($CJ$6/$CJ$5))</f>
        <v>6007.0908437378366</v>
      </c>
      <c r="DR16" s="191" t="s">
        <v>70</v>
      </c>
      <c r="DS16" s="184">
        <v>27</v>
      </c>
      <c r="DT16" s="185" t="str">
        <f t="shared" si="8"/>
        <v>-</v>
      </c>
      <c r="DU16" s="186" t="s">
        <v>71</v>
      </c>
      <c r="DV16" s="183" t="str">
        <f t="shared" ref="DV16:DV24" si="49">IFERROR(DT16*(0.15+0.85*($DS$6/$DS$5)),"-")</f>
        <v>-</v>
      </c>
      <c r="DW16" s="187" t="s">
        <v>70</v>
      </c>
      <c r="DX16" s="184">
        <v>26</v>
      </c>
      <c r="DY16" s="185" t="str">
        <f t="shared" si="9"/>
        <v>-</v>
      </c>
      <c r="DZ16" s="184" t="s">
        <v>72</v>
      </c>
      <c r="EA16" s="183" t="str">
        <f t="shared" si="10"/>
        <v>-</v>
      </c>
      <c r="EB16" s="184" t="s">
        <v>70</v>
      </c>
      <c r="EC16" s="184">
        <v>22</v>
      </c>
      <c r="ED16" s="185" t="str">
        <f t="shared" si="11"/>
        <v>-</v>
      </c>
      <c r="EE16" s="186" t="s">
        <v>72</v>
      </c>
      <c r="EF16" s="183" t="str">
        <f t="shared" ref="EF16:EF24" si="50">IFERROR(ED16*(0.15+0.85*($DS$6/$DS$5)),"-")</f>
        <v>-</v>
      </c>
      <c r="EG16" s="184" t="s">
        <v>70</v>
      </c>
      <c r="EH16" s="183">
        <v>31</v>
      </c>
      <c r="EI16" s="185" t="str">
        <f t="shared" ref="EI16:EI24" si="51">IFERROR((EJ16/(1+$EB$7)),"-")</f>
        <v>-</v>
      </c>
      <c r="EJ16" s="186" t="s">
        <v>72</v>
      </c>
      <c r="EK16" s="183" t="str">
        <f t="shared" si="12"/>
        <v>-</v>
      </c>
      <c r="EL16" s="193" t="s">
        <v>70</v>
      </c>
      <c r="EM16" s="184">
        <v>1</v>
      </c>
      <c r="EN16" s="185" t="str">
        <f t="shared" ref="EN16:EN24" si="52">IFERROR((EO16/(1+$EB$7)),"-")</f>
        <v>-</v>
      </c>
      <c r="EO16" s="188" t="s">
        <v>72</v>
      </c>
      <c r="EP16" s="189" t="str">
        <f t="shared" ref="EP16:EP24" si="53">IFERROR(EN16*(0.15+0.85*($DS$6/$DS$5)),"-")</f>
        <v>-</v>
      </c>
    </row>
    <row r="17" spans="1:146" x14ac:dyDescent="0.35">
      <c r="A17" s="22" t="s">
        <v>66</v>
      </c>
      <c r="B17" s="175" t="s">
        <v>66</v>
      </c>
      <c r="C17" s="194" t="s">
        <v>73</v>
      </c>
      <c r="D17" s="177" cm="1">
        <f t="array" ref="D17">COUNT(_xlfn._xlws.FILTER(AF17:EO17,($AF$13:$EO$13="D.S.A")*(ISNUMBER(AF17:EO17)),""))</f>
        <v>22</v>
      </c>
      <c r="E17" s="177" cm="1">
        <f t="array" ref="E17">COUNT(_xlfn.UNIQUE(_xlfn._xlws.FILTER(AF17:EO17,($AF$13:$EO$13="P.U")*(ISNUMBER(AF17:EO17))),1))</f>
        <v>1</v>
      </c>
      <c r="F17" s="177">
        <f t="shared" si="13"/>
        <v>7</v>
      </c>
      <c r="G17" s="177" cm="1">
        <f t="array" ref="G17">IFERROR(_xlfn.MODE.SNGL(_xlfn._xlws.FILTER($AI17:$EO17,$AI$13:$EO$13="P.U")),"-")</f>
        <v>5584.6</v>
      </c>
      <c r="H17" s="177">
        <f t="shared" si="0"/>
        <v>5584.5999999999995</v>
      </c>
      <c r="I17" s="177">
        <f t="shared" si="1"/>
        <v>5584.5999999999995</v>
      </c>
      <c r="J17" s="177">
        <f t="shared" si="2"/>
        <v>5584.5999999999995</v>
      </c>
      <c r="K17" s="177" cm="1">
        <f t="array" ref="K17">IFERROR(MEDIAN(_xlfn._xlws.FILTER($AI17:$EO17,$AI$13:$EO$13="P.U")),"-")</f>
        <v>5584.6</v>
      </c>
      <c r="L17" s="177" cm="1">
        <f t="array" ref="L17">IFERROR(_xlfn.STDEV.P(_xlfn._xlws.FILTER($AI17:$EO17,$AI$13:$EO$13="P.U")),"-")</f>
        <v>9.0949470177292824E-13</v>
      </c>
      <c r="M17" s="177">
        <f t="shared" si="3"/>
        <v>1.9390492193962056E-13</v>
      </c>
      <c r="N17" s="178">
        <f t="shared" si="4"/>
        <v>1.6285762664701649E-16</v>
      </c>
      <c r="O17" s="177" cm="1">
        <f t="array" ref="O17">_xlfn.LET(_xlpm.p,AF17:EO17,COUNT(_xlfn._xlws.FILTER(_xlpm.p,($AF$13:$EO$13="P.U")*(_xlpm.p=P17))))</f>
        <v>7</v>
      </c>
      <c r="P17" s="177" cm="1">
        <f t="array" ref="P17">IFERROR(_xlfn.QUARTILE.INC(_xlfn._xlws.FILTER($AI17:$EO17,$AI$13:$EO$13="P.U"),0),"-")</f>
        <v>5584.6</v>
      </c>
      <c r="Q17" s="177" cm="1">
        <f t="array" ref="Q17">_xlfn.LET(_xlpm.p,AF17:EO17,COUNT(_xlfn._xlws.FILTER(_xlpm.p,($AF$13:$EO$13="P.U")*(_xlpm.p&lt;=R17)*(_xlpm.p&gt;P17))))</f>
        <v>0</v>
      </c>
      <c r="R17" s="177" cm="1">
        <f t="array" ref="R17">IFERROR(_xlfn.QUARTILE.INC(_xlfn._xlws.FILTER($AI17:$EO17,$AI$13:$EO$13="P.U"),1),"-")</f>
        <v>5584.6</v>
      </c>
      <c r="S17" s="177" cm="1">
        <f t="array" ref="S17">IFERROR(_xlfn.PERCENTILE.INC(_xlfn._xlws.FILTER($AI17:$EO17,$AI$13:$EO$13="P.U"),0.4),"-")</f>
        <v>5584.6</v>
      </c>
      <c r="T17" s="177" cm="1">
        <f t="array" ref="T17">_xlfn.LET(_xlpm.p,AF17:EO17,COUNT(_xlfn._xlws.FILTER(_xlpm.p,($AF$13:$EO$13="P.U")*(_xlpm.p&lt;=U17)*(_xlpm.p&gt;R17))))</f>
        <v>0</v>
      </c>
      <c r="U17" s="177" cm="1">
        <f t="array" ref="U17">IFERROR(_xlfn.QUARTILE.INC(_xlfn._xlws.FILTER($AI17:$EO17,$AI$13:$EO$13="P.U"),2),"-")</f>
        <v>5584.6</v>
      </c>
      <c r="V17" s="177" cm="1">
        <f t="array" ref="V17">IFERROR(_xlfn.PERCENTILE.INC(_xlfn._xlws.FILTER($AI17:$EO17,$AI$13:$EO$13="P.U"),0.6),"-")</f>
        <v>5584.6</v>
      </c>
      <c r="W17" s="177" cm="1">
        <f t="array" ref="W17">_xlfn.LET(_xlpm.p,AF17:EO17,COUNT(_xlfn._xlws.FILTER(_xlpm.p,($AF$13:$EO$13="P.U")*(_xlpm.p&lt;=X17)*(_xlpm.p&gt;U17))))</f>
        <v>0</v>
      </c>
      <c r="X17" s="177" cm="1">
        <f t="array" ref="X17">IFERROR(_xlfn.QUARTILE.INC(_xlfn._xlws.FILTER($AI17:$EO17,$AI$13:$EO$13="P.U"),3),"-")</f>
        <v>5584.6</v>
      </c>
      <c r="Y17" s="177" cm="1">
        <f t="array" ref="Y17">_xlfn.LET(_xlpm.p,AF17:EO17,COUNT(_xlfn._xlws.FILTER(_xlpm.p,($AF$13:$EO$13="P.U")*(_xlpm.p&lt;AA17)*(_xlpm.p&gt;X17))))</f>
        <v>0</v>
      </c>
      <c r="Z17" s="177" cm="1">
        <f t="array" ref="Z17">_xlfn.LET(_xlpm.p,AF17:EO17,COUNT(_xlfn._xlws.FILTER(_xlpm.p,($AF$13:$EO$13="P.U")*(_xlpm.p=AA17))))</f>
        <v>7</v>
      </c>
      <c r="AA17" s="177" cm="1">
        <f t="array" ref="AA17">IFERROR(_xlfn.QUARTILE.INC(_xlfn._xlws.FILTER($AI17:$EO17,$AI$13:$EO$13="P.U"),4),"-")</f>
        <v>5584.6</v>
      </c>
      <c r="AB17" s="177">
        <f t="shared" si="14"/>
        <v>5584.6</v>
      </c>
      <c r="AC17" s="179">
        <f t="shared" si="15"/>
        <v>0</v>
      </c>
      <c r="AD17" s="177">
        <f t="shared" si="16"/>
        <v>5584.6</v>
      </c>
      <c r="AE17" s="180" t="str" cm="1">
        <f t="array" ref="AE17">_xlfn.LET(_xlpm.p,_xlfn.UNIQUE(_xlfn._xlws.FILTER(AF17:EL17,$AF$13:$EL$13="U"),1),_xlpm.f,_xlfn._xlws.FILTER(_xlpm.p,_xlpm.p&lt;&gt;"",""),IF(COUNTA(_xlpm.f)=1,_xlpm.f,"différentes"))</f>
        <v>mois</v>
      </c>
      <c r="AF17" s="191" t="s">
        <v>70</v>
      </c>
      <c r="AG17" s="182"/>
      <c r="AH17" s="182">
        <f t="shared" si="5"/>
        <v>0</v>
      </c>
      <c r="AI17" s="183"/>
      <c r="AJ17" s="183">
        <f t="shared" si="17"/>
        <v>0</v>
      </c>
      <c r="AK17" s="191"/>
      <c r="AL17" s="182"/>
      <c r="AM17" s="182">
        <f t="shared" si="6"/>
        <v>0</v>
      </c>
      <c r="AN17" s="183"/>
      <c r="AO17" s="183">
        <f t="shared" si="18"/>
        <v>0</v>
      </c>
      <c r="AP17" s="181"/>
      <c r="AQ17" s="182"/>
      <c r="AR17" s="182">
        <f t="shared" si="7"/>
        <v>0</v>
      </c>
      <c r="AS17" s="182"/>
      <c r="AT17" s="183">
        <f t="shared" si="19"/>
        <v>0</v>
      </c>
      <c r="AU17" s="181"/>
      <c r="AV17" s="182"/>
      <c r="AW17" s="182">
        <f t="shared" si="20"/>
        <v>0</v>
      </c>
      <c r="AX17" s="182"/>
      <c r="AY17" s="183">
        <f t="shared" si="21"/>
        <v>0</v>
      </c>
      <c r="AZ17" s="183"/>
      <c r="BA17" s="182"/>
      <c r="BB17" s="182">
        <f t="shared" si="22"/>
        <v>0</v>
      </c>
      <c r="BC17" s="182"/>
      <c r="BD17" s="183">
        <f t="shared" si="23"/>
        <v>0</v>
      </c>
      <c r="BE17" s="181"/>
      <c r="BF17" s="184"/>
      <c r="BG17" s="185">
        <f t="shared" si="24"/>
        <v>0</v>
      </c>
      <c r="BH17" s="195"/>
      <c r="BI17" s="183">
        <f t="shared" si="25"/>
        <v>0</v>
      </c>
      <c r="BJ17" s="181"/>
      <c r="BK17" s="186"/>
      <c r="BL17" s="185">
        <f t="shared" si="26"/>
        <v>0</v>
      </c>
      <c r="BM17" s="186"/>
      <c r="BN17" s="183">
        <f t="shared" si="27"/>
        <v>0</v>
      </c>
      <c r="BO17" s="181"/>
      <c r="BP17" s="184"/>
      <c r="BQ17" s="185">
        <f t="shared" si="28"/>
        <v>0</v>
      </c>
      <c r="BR17" s="186"/>
      <c r="BS17" s="183">
        <f t="shared" si="29"/>
        <v>0</v>
      </c>
      <c r="BT17" s="181"/>
      <c r="BU17" s="184"/>
      <c r="BV17" s="185">
        <f t="shared" si="30"/>
        <v>0</v>
      </c>
      <c r="BW17" s="186"/>
      <c r="BX17" s="183">
        <f t="shared" si="31"/>
        <v>0</v>
      </c>
      <c r="BY17" s="181"/>
      <c r="BZ17" s="184"/>
      <c r="CA17" s="185">
        <f t="shared" si="32"/>
        <v>0</v>
      </c>
      <c r="CB17" s="186"/>
      <c r="CC17" s="183">
        <f t="shared" si="33"/>
        <v>0</v>
      </c>
      <c r="CD17" s="181"/>
      <c r="CE17" s="184"/>
      <c r="CF17" s="185">
        <f t="shared" si="34"/>
        <v>0</v>
      </c>
      <c r="CG17" s="184"/>
      <c r="CH17" s="183">
        <f t="shared" si="35"/>
        <v>0</v>
      </c>
      <c r="CI17" s="181" t="s">
        <v>70</v>
      </c>
      <c r="CJ17" s="184">
        <v>8</v>
      </c>
      <c r="CK17" s="185">
        <f t="shared" si="36"/>
        <v>3502.6342197691924</v>
      </c>
      <c r="CL17" s="196">
        <v>5584.6</v>
      </c>
      <c r="CM17" s="183">
        <f t="shared" ref="CM17:CM24" si="54">CK17*(0.15+0.85*($CJ$6/$CJ$5))</f>
        <v>3953.8928795627749</v>
      </c>
      <c r="CN17" s="184" t="s">
        <v>70</v>
      </c>
      <c r="CO17" s="184">
        <v>14</v>
      </c>
      <c r="CP17" s="185">
        <f t="shared" si="37"/>
        <v>3502.6342197691924</v>
      </c>
      <c r="CQ17" s="183">
        <v>5584.6</v>
      </c>
      <c r="CR17" s="183">
        <f t="shared" si="38"/>
        <v>3953.8928795627749</v>
      </c>
      <c r="CS17" s="184" t="s">
        <v>70</v>
      </c>
      <c r="CT17" s="186">
        <v>7</v>
      </c>
      <c r="CU17" s="185">
        <f t="shared" si="39"/>
        <v>3502.6342197691924</v>
      </c>
      <c r="CV17" s="192">
        <v>5584.6</v>
      </c>
      <c r="CW17" s="183">
        <f t="shared" si="40"/>
        <v>3953.8928795627749</v>
      </c>
      <c r="CX17" s="184" t="s">
        <v>70</v>
      </c>
      <c r="CY17" s="184">
        <v>14</v>
      </c>
      <c r="CZ17" s="185">
        <f t="shared" si="41"/>
        <v>3502.6342197691924</v>
      </c>
      <c r="DA17" s="192">
        <v>5584.6</v>
      </c>
      <c r="DB17" s="183">
        <f t="shared" si="42"/>
        <v>3953.8928795627749</v>
      </c>
      <c r="DC17" s="184" t="s">
        <v>70</v>
      </c>
      <c r="DD17" s="184">
        <v>12</v>
      </c>
      <c r="DE17" s="185">
        <f t="shared" si="43"/>
        <v>3502.6342197691924</v>
      </c>
      <c r="DF17" s="183">
        <v>5584.6</v>
      </c>
      <c r="DG17" s="183">
        <f t="shared" si="44"/>
        <v>3953.8928795627749</v>
      </c>
      <c r="DH17" s="184" t="s">
        <v>70</v>
      </c>
      <c r="DI17" s="184">
        <v>6</v>
      </c>
      <c r="DJ17" s="185">
        <f t="shared" si="45"/>
        <v>3502.6342197691924</v>
      </c>
      <c r="DK17" s="184">
        <v>5584.6</v>
      </c>
      <c r="DL17" s="183">
        <f t="shared" si="46"/>
        <v>3953.8928795627749</v>
      </c>
      <c r="DM17" s="181" t="s">
        <v>70</v>
      </c>
      <c r="DN17" s="184">
        <v>8</v>
      </c>
      <c r="DO17" s="185">
        <f t="shared" si="47"/>
        <v>3502.6342197691924</v>
      </c>
      <c r="DP17" s="192">
        <v>5584.6</v>
      </c>
      <c r="DQ17" s="183">
        <f t="shared" si="48"/>
        <v>3953.8928795627749</v>
      </c>
      <c r="DR17" s="181"/>
      <c r="DS17" s="184"/>
      <c r="DT17" s="185">
        <f t="shared" si="8"/>
        <v>0</v>
      </c>
      <c r="DU17" s="186"/>
      <c r="DV17" s="183">
        <f t="shared" si="49"/>
        <v>0</v>
      </c>
      <c r="DW17" s="187"/>
      <c r="DX17" s="184"/>
      <c r="DY17" s="185">
        <f t="shared" si="9"/>
        <v>0</v>
      </c>
      <c r="DZ17" s="186"/>
      <c r="EA17" s="183">
        <f t="shared" si="10"/>
        <v>0</v>
      </c>
      <c r="EB17" s="184"/>
      <c r="EC17" s="184"/>
      <c r="ED17" s="185">
        <f t="shared" si="11"/>
        <v>0</v>
      </c>
      <c r="EE17" s="186"/>
      <c r="EF17" s="183">
        <f t="shared" si="50"/>
        <v>0</v>
      </c>
      <c r="EG17" s="184"/>
      <c r="EH17" s="184"/>
      <c r="EI17" s="185">
        <f t="shared" si="51"/>
        <v>0</v>
      </c>
      <c r="EJ17" s="186"/>
      <c r="EK17" s="183">
        <f t="shared" si="12"/>
        <v>0</v>
      </c>
      <c r="EL17" s="193"/>
      <c r="EM17" s="184"/>
      <c r="EN17" s="185">
        <f t="shared" si="52"/>
        <v>0</v>
      </c>
      <c r="EO17" s="188"/>
      <c r="EP17" s="189">
        <f t="shared" si="53"/>
        <v>0</v>
      </c>
    </row>
    <row r="18" spans="1:146" x14ac:dyDescent="0.35">
      <c r="A18" s="22" t="s">
        <v>66</v>
      </c>
      <c r="B18" s="175" t="s">
        <v>66</v>
      </c>
      <c r="C18" s="190" t="s">
        <v>74</v>
      </c>
      <c r="D18" s="177" cm="1">
        <f t="array" ref="D18">COUNT(_xlfn._xlws.FILTER(AF18:EO18,($AF$13:$EO$13="P.U")*(ISNUMBER(AF18:EO18)),""))</f>
        <v>0</v>
      </c>
      <c r="E18" s="177" cm="1">
        <f t="array" ref="E18">COUNT(_xlfn.UNIQUE(_xlfn._xlws.FILTER(AF18:EO18,($AF$13:$EO$13="P.U")*(ISNUMBER(AF18:EO18))),1))</f>
        <v>0</v>
      </c>
      <c r="F18" s="177">
        <f t="shared" si="13"/>
        <v>0</v>
      </c>
      <c r="G18" s="177" t="str" cm="1">
        <f t="array" ref="G18">IFERROR(_xlfn.MODE.SNGL(_xlfn._xlws.FILTER($AI18:$EO18,$AI$13:$EO$13="P.U")),"-")</f>
        <v>-</v>
      </c>
      <c r="H18" s="177" t="str">
        <f t="shared" si="0"/>
        <v>-</v>
      </c>
      <c r="I18" s="177" t="str">
        <f t="shared" si="1"/>
        <v>-</v>
      </c>
      <c r="J18" s="177" t="str">
        <f t="shared" si="2"/>
        <v>-</v>
      </c>
      <c r="K18" s="177" t="str" cm="1">
        <f t="array" ref="K18">IFERROR(MEDIAN(_xlfn._xlws.FILTER($AI18:$EO18,$AI$13:$EO$13="P.U")),"-")</f>
        <v>-</v>
      </c>
      <c r="L18" s="177" t="str" cm="1">
        <f t="array" ref="L18">IFERROR(_xlfn.STDEV.P(_xlfn._xlws.FILTER($AI18:$EO18,$AI$13:$EO$13="P.U")),"-")</f>
        <v>-</v>
      </c>
      <c r="M18" s="177" t="str">
        <f t="shared" si="3"/>
        <v>-</v>
      </c>
      <c r="N18" s="178" t="str">
        <f t="shared" si="4"/>
        <v>-</v>
      </c>
      <c r="O18" s="177" cm="1">
        <f t="array" ref="O18">_xlfn.LET(_xlpm.p,AF18:EO18,COUNT(_xlfn._xlws.FILTER(_xlpm.p,($AF$13:$EO$13="P.U")*(_xlpm.p=P18))))</f>
        <v>0</v>
      </c>
      <c r="P18" s="177" t="str" cm="1">
        <f t="array" ref="P18">IFERROR(_xlfn.QUARTILE.INC(_xlfn._xlws.FILTER($AI18:$EO18,$AI$13:$EO$13="P.U"),0),"-")</f>
        <v>-</v>
      </c>
      <c r="Q18" s="177" cm="1">
        <f t="array" ref="Q18">_xlfn.LET(_xlpm.p,AF18:EO18,COUNT(_xlfn._xlws.FILTER(_xlpm.p,($AF$13:$EO$13="P.U")*(_xlpm.p&lt;=R18)*(_xlpm.p&gt;P18))))</f>
        <v>0</v>
      </c>
      <c r="R18" s="177" t="str" cm="1">
        <f t="array" ref="R18">IFERROR(_xlfn.QUARTILE.INC(_xlfn._xlws.FILTER($AI18:$EO18,$AI$13:$EO$13="P.U"),1),"-")</f>
        <v>-</v>
      </c>
      <c r="S18" s="177" t="str" cm="1">
        <f t="array" ref="S18">IFERROR(_xlfn.PERCENTILE.INC(_xlfn._xlws.FILTER($AI18:$EO18,$AI$13:$EO$13="P.U"),0.4),"-")</f>
        <v>-</v>
      </c>
      <c r="T18" s="177" cm="1">
        <f t="array" ref="T18">_xlfn.LET(_xlpm.p,AF18:EO18,COUNT(_xlfn._xlws.FILTER(_xlpm.p,($AF$13:$EO$13="P.U")*(_xlpm.p&lt;=U18)*(_xlpm.p&gt;R18))))</f>
        <v>0</v>
      </c>
      <c r="U18" s="177" t="str" cm="1">
        <f t="array" ref="U18">IFERROR(_xlfn.QUARTILE.INC(_xlfn._xlws.FILTER($AI18:$EO18,$AI$13:$EO$13="P.U"),2),"-")</f>
        <v>-</v>
      </c>
      <c r="V18" s="177" t="str" cm="1">
        <f t="array" ref="V18">IFERROR(_xlfn.PERCENTILE.INC(_xlfn._xlws.FILTER($AI18:$EO18,$AI$13:$EO$13="P.U"),0.6),"-")</f>
        <v>-</v>
      </c>
      <c r="W18" s="177" cm="1">
        <f t="array" ref="W18">_xlfn.LET(_xlpm.p,AF18:EO18,COUNT(_xlfn._xlws.FILTER(_xlpm.p,($AF$13:$EO$13="P.U")*(_xlpm.p&lt;=X18)*(_xlpm.p&gt;U18))))</f>
        <v>0</v>
      </c>
      <c r="X18" s="177" t="str" cm="1">
        <f t="array" ref="X18">IFERROR(_xlfn.QUARTILE.INC(_xlfn._xlws.FILTER($AI18:$EO18,$AI$13:$EO$13="P.U"),3),"-")</f>
        <v>-</v>
      </c>
      <c r="Y18" s="177" cm="1">
        <f t="array" ref="Y18">_xlfn.LET(_xlpm.p,AF18:EO18,COUNT(_xlfn._xlws.FILTER(_xlpm.p,($AF$13:$EO$13="P.U")*(_xlpm.p&lt;AA18)*(_xlpm.p&gt;X18))))</f>
        <v>0</v>
      </c>
      <c r="Z18" s="177" cm="1">
        <f t="array" ref="Z18">_xlfn.LET(_xlpm.p,AF18:EO18,COUNT(_xlfn._xlws.FILTER(_xlpm.p,($AF$13:$EO$13="P.U")*(_xlpm.p=AA18))))</f>
        <v>0</v>
      </c>
      <c r="AA18" s="177" t="str" cm="1">
        <f t="array" ref="AA18">IFERROR(_xlfn.QUARTILE.INC(_xlfn._xlws.FILTER($AI18:$EO18,$AI$13:$EO$13="P.U"),4),"-")</f>
        <v>-</v>
      </c>
      <c r="AB18" s="177" t="str">
        <f t="shared" si="14"/>
        <v>-</v>
      </c>
      <c r="AC18" s="179" t="str">
        <f t="shared" si="15"/>
        <v>-</v>
      </c>
      <c r="AD18" s="177" t="str">
        <f t="shared" si="16"/>
        <v>-</v>
      </c>
      <c r="AE18" s="180" t="str" cm="1">
        <f t="array" ref="AE18">_xlfn.LET(_xlpm.p,_xlfn.UNIQUE(_xlfn._xlws.FILTER(AF18:EL18,$AF$13:$EL$13="U"),1),_xlpm.f,_xlfn._xlws.FILTER(_xlpm.p,_xlpm.p&lt;&gt;"",""),IF(COUNTA(_xlpm.f)=1,_xlpm.f,"différentes"))</f>
        <v>ens</v>
      </c>
      <c r="AF18" s="181" t="s">
        <v>75</v>
      </c>
      <c r="AG18" s="182"/>
      <c r="AH18" s="182">
        <f t="shared" si="5"/>
        <v>0</v>
      </c>
      <c r="AI18" s="183"/>
      <c r="AJ18" s="183">
        <f t="shared" si="17"/>
        <v>0</v>
      </c>
      <c r="AK18" s="191"/>
      <c r="AL18" s="182"/>
      <c r="AM18" s="182">
        <f t="shared" si="6"/>
        <v>0</v>
      </c>
      <c r="AN18" s="183"/>
      <c r="AO18" s="183">
        <f t="shared" si="18"/>
        <v>0</v>
      </c>
      <c r="AP18" s="181"/>
      <c r="AQ18" s="182"/>
      <c r="AR18" s="182">
        <f t="shared" si="7"/>
        <v>0</v>
      </c>
      <c r="AS18" s="182"/>
      <c r="AT18" s="183">
        <f t="shared" si="19"/>
        <v>0</v>
      </c>
      <c r="AU18" s="181"/>
      <c r="AV18" s="182"/>
      <c r="AW18" s="182">
        <f t="shared" si="20"/>
        <v>0</v>
      </c>
      <c r="AX18" s="182"/>
      <c r="AY18" s="183">
        <f t="shared" si="21"/>
        <v>0</v>
      </c>
      <c r="AZ18" s="183"/>
      <c r="BA18" s="182"/>
      <c r="BB18" s="182">
        <f t="shared" si="22"/>
        <v>0</v>
      </c>
      <c r="BC18" s="183"/>
      <c r="BD18" s="183">
        <f t="shared" si="23"/>
        <v>0</v>
      </c>
      <c r="BE18" s="181"/>
      <c r="BF18" s="184"/>
      <c r="BG18" s="185">
        <f t="shared" si="24"/>
        <v>0</v>
      </c>
      <c r="BH18" s="186"/>
      <c r="BI18" s="183">
        <f t="shared" si="25"/>
        <v>0</v>
      </c>
      <c r="BJ18" s="181"/>
      <c r="BK18" s="186"/>
      <c r="BL18" s="185">
        <f t="shared" si="26"/>
        <v>0</v>
      </c>
      <c r="BM18" s="186"/>
      <c r="BN18" s="183">
        <f t="shared" si="27"/>
        <v>0</v>
      </c>
      <c r="BO18" s="181"/>
      <c r="BP18" s="184"/>
      <c r="BQ18" s="185">
        <f t="shared" si="28"/>
        <v>0</v>
      </c>
      <c r="BR18" s="186"/>
      <c r="BS18" s="183">
        <f t="shared" si="29"/>
        <v>0</v>
      </c>
      <c r="BT18" s="181"/>
      <c r="BU18" s="184"/>
      <c r="BV18" s="185">
        <f t="shared" si="30"/>
        <v>0</v>
      </c>
      <c r="BW18" s="186"/>
      <c r="BX18" s="183">
        <f t="shared" si="31"/>
        <v>0</v>
      </c>
      <c r="BY18" s="181"/>
      <c r="BZ18" s="184"/>
      <c r="CA18" s="185">
        <f t="shared" si="32"/>
        <v>0</v>
      </c>
      <c r="CB18" s="186"/>
      <c r="CC18" s="183">
        <f t="shared" si="33"/>
        <v>0</v>
      </c>
      <c r="CD18" s="181"/>
      <c r="CE18" s="184"/>
      <c r="CF18" s="185">
        <f t="shared" si="34"/>
        <v>0</v>
      </c>
      <c r="CG18" s="184"/>
      <c r="CH18" s="183">
        <f t="shared" si="35"/>
        <v>0</v>
      </c>
      <c r="CI18" s="181"/>
      <c r="CJ18" s="184"/>
      <c r="CK18" s="185">
        <f t="shared" si="36"/>
        <v>0</v>
      </c>
      <c r="CL18" s="184"/>
      <c r="CM18" s="183">
        <f t="shared" si="54"/>
        <v>0</v>
      </c>
      <c r="CN18" s="184"/>
      <c r="CO18" s="184"/>
      <c r="CP18" s="185">
        <f t="shared" si="37"/>
        <v>0</v>
      </c>
      <c r="CQ18" s="184"/>
      <c r="CR18" s="183">
        <f t="shared" si="38"/>
        <v>0</v>
      </c>
      <c r="CS18" s="184"/>
      <c r="CT18" s="186"/>
      <c r="CU18" s="185">
        <f t="shared" si="39"/>
        <v>0</v>
      </c>
      <c r="CV18" s="186"/>
      <c r="CW18" s="183">
        <f t="shared" si="40"/>
        <v>0</v>
      </c>
      <c r="CX18" s="184"/>
      <c r="CY18" s="184"/>
      <c r="CZ18" s="185">
        <f t="shared" si="41"/>
        <v>0</v>
      </c>
      <c r="DA18" s="186"/>
      <c r="DB18" s="183">
        <f t="shared" si="42"/>
        <v>0</v>
      </c>
      <c r="DC18" s="184"/>
      <c r="DD18" s="184"/>
      <c r="DE18" s="185">
        <f t="shared" si="43"/>
        <v>0</v>
      </c>
      <c r="DF18" s="184"/>
      <c r="DG18" s="183">
        <f t="shared" si="44"/>
        <v>0</v>
      </c>
      <c r="DH18" s="184"/>
      <c r="DI18" s="184"/>
      <c r="DJ18" s="185">
        <f t="shared" si="45"/>
        <v>0</v>
      </c>
      <c r="DK18" s="184"/>
      <c r="DL18" s="183">
        <f t="shared" si="46"/>
        <v>0</v>
      </c>
      <c r="DM18" s="181"/>
      <c r="DN18" s="184"/>
      <c r="DO18" s="185">
        <f t="shared" si="47"/>
        <v>0</v>
      </c>
      <c r="DP18" s="186"/>
      <c r="DQ18" s="183">
        <f t="shared" si="48"/>
        <v>0</v>
      </c>
      <c r="DR18" s="181"/>
      <c r="DS18" s="184"/>
      <c r="DT18" s="185">
        <f t="shared" si="8"/>
        <v>0</v>
      </c>
      <c r="DU18" s="186"/>
      <c r="DV18" s="183">
        <f t="shared" si="49"/>
        <v>0</v>
      </c>
      <c r="DW18" s="187"/>
      <c r="DX18" s="184"/>
      <c r="DY18" s="185">
        <f t="shared" si="9"/>
        <v>0</v>
      </c>
      <c r="DZ18" s="186"/>
      <c r="EA18" s="183">
        <f t="shared" si="10"/>
        <v>0</v>
      </c>
      <c r="EB18" s="184"/>
      <c r="EC18" s="184"/>
      <c r="ED18" s="185">
        <f t="shared" si="11"/>
        <v>0</v>
      </c>
      <c r="EE18" s="186"/>
      <c r="EF18" s="183">
        <f t="shared" si="50"/>
        <v>0</v>
      </c>
      <c r="EG18" s="184"/>
      <c r="EH18" s="184"/>
      <c r="EI18" s="185">
        <f t="shared" si="51"/>
        <v>0</v>
      </c>
      <c r="EJ18" s="186"/>
      <c r="EK18" s="183">
        <f t="shared" si="12"/>
        <v>0</v>
      </c>
      <c r="EL18" s="193"/>
      <c r="EM18" s="184"/>
      <c r="EN18" s="185">
        <f t="shared" si="52"/>
        <v>0</v>
      </c>
      <c r="EO18" s="188"/>
      <c r="EP18" s="189">
        <f t="shared" si="53"/>
        <v>0</v>
      </c>
    </row>
    <row r="19" spans="1:146" x14ac:dyDescent="0.35">
      <c r="A19" s="22" t="s">
        <v>66</v>
      </c>
      <c r="B19" s="175" t="s">
        <v>66</v>
      </c>
      <c r="C19" s="198" t="s">
        <v>76</v>
      </c>
      <c r="D19" s="177" cm="1">
        <f t="array" ref="D19">COUNT(_xlfn._xlws.FILTER(AF19:EO19,($AF$13:$EO$13="P.U")*(ISNUMBER(AF19:EO19)),""))</f>
        <v>7</v>
      </c>
      <c r="E19" s="177" cm="1">
        <f t="array" ref="E19">COUNT(_xlfn.UNIQUE(_xlfn._xlws.FILTER(AF19:EO19,($AF$13:$EO$13="P.U")*(ISNUMBER(AF19:EO19))),1))</f>
        <v>7</v>
      </c>
      <c r="F19" s="177">
        <f t="shared" si="13"/>
        <v>9</v>
      </c>
      <c r="G19" s="177" t="str" cm="1">
        <f t="array" ref="G19">IFERROR(_xlfn.MODE.SNGL(_xlfn._xlws.FILTER($AI19:$EO19,$AI$13:$EO$13="P.U")),"-")</f>
        <v>-</v>
      </c>
      <c r="H19" s="177">
        <f t="shared" si="0"/>
        <v>1113775.5238535656</v>
      </c>
      <c r="I19" s="177">
        <f>IFERROR(AVERAGEIFS(19:19,$13:$13,"P.U"), "-")</f>
        <v>1425276.7471428569</v>
      </c>
      <c r="J19" s="177">
        <f t="shared" si="2"/>
        <v>1736777.9704321483</v>
      </c>
      <c r="K19" s="177" cm="1">
        <f t="array" ref="K19">IFERROR(MEDIAN(_xlfn._xlws.FILTER($AI19:$EO19,$AI$13:$EO$13="P.U")),"-")</f>
        <v>1388757.4</v>
      </c>
      <c r="L19" s="177" cm="1">
        <f t="array" ref="L19">IFERROR(_xlfn.STDEV.P(_xlfn._xlws.FILTER($AI19:$EO19,$AI$13:$EO$13="P.U")),"-")</f>
        <v>420487.127508095</v>
      </c>
      <c r="M19" s="177">
        <f t="shared" si="3"/>
        <v>158929.19555576085</v>
      </c>
      <c r="N19" s="178">
        <f t="shared" si="4"/>
        <v>0.29502139030262953</v>
      </c>
      <c r="O19" s="177" cm="1">
        <f t="array" ref="O19">_xlfn.LET(_xlpm.p,AF19:EO19,COUNT(_xlfn._xlws.FILTER(_xlpm.p,($AF$13:$EO$13="P.U")*(_xlpm.p=P19))))</f>
        <v>1</v>
      </c>
      <c r="P19" s="177" cm="1">
        <f t="array" ref="P19">IFERROR(_xlfn.QUARTILE.INC(_xlfn._xlws.FILTER($AI19:$EO19,$AI$13:$EO$13="P.U"),0),"-")</f>
        <v>872056.1</v>
      </c>
      <c r="Q19" s="177" cm="1">
        <f t="array" ref="Q19">_xlfn.LET(_xlpm.p,AF19:EO19,COUNT(_xlfn._xlws.FILTER(_xlpm.p,($AF$13:$EO$13="P.U")*(_xlpm.p&lt;=R19)*(_xlpm.p&gt;P19))))</f>
        <v>1</v>
      </c>
      <c r="R19" s="177" cm="1">
        <f t="array" ref="R19">IFERROR(_xlfn.QUARTILE.INC(_xlfn._xlws.FILTER($AI19:$EO19,$AI$13:$EO$13="P.U"),1),"-")</f>
        <v>1149319.8</v>
      </c>
      <c r="S19" s="177" cm="1">
        <f t="array" ref="S19">IFERROR(_xlfn.PERCENTILE.INC(_xlfn._xlws.FILTER($AI19:$EO19,$AI$13:$EO$13="P.U"),0.4),"-")</f>
        <v>1254977.8600000001</v>
      </c>
      <c r="T19" s="177" cm="1">
        <f t="array" ref="T19">_xlfn.LET(_xlpm.p,AF19:EO19,COUNT(_xlfn._xlws.FILTER(_xlpm.p,($AF$13:$EO$13="P.U")*(_xlpm.p&lt;=U19)*(_xlpm.p&gt;R19))))</f>
        <v>2</v>
      </c>
      <c r="U19" s="177" cm="1">
        <f t="array" ref="U19">IFERROR(_xlfn.QUARTILE.INC(_xlfn._xlws.FILTER($AI19:$EO19,$AI$13:$EO$13="P.U"),2),"-")</f>
        <v>1388757.4</v>
      </c>
      <c r="V19" s="177" cm="1">
        <f t="array" ref="V19">IFERROR(_xlfn.PERCENTILE.INC(_xlfn._xlws.FILTER($AI19:$EO19,$AI$13:$EO$13="P.U"),0.6),"-")</f>
        <v>1440309.22</v>
      </c>
      <c r="W19" s="177" cm="1">
        <f t="array" ref="W19">_xlfn.LET(_xlpm.p,AF19:EO19,COUNT(_xlfn._xlws.FILTER(_xlpm.p,($AF$13:$EO$13="P.U")*(_xlpm.p&lt;=X19)*(_xlpm.p&gt;U19))))</f>
        <v>1</v>
      </c>
      <c r="X19" s="177" cm="1">
        <f t="array" ref="X19">IFERROR(_xlfn.QUARTILE.INC(_xlfn._xlws.FILTER($AI19:$EO19,$AI$13:$EO$13="P.U"),3),"-")</f>
        <v>1573673.8</v>
      </c>
      <c r="Y19" s="177" cm="1">
        <f t="array" ref="Y19">_xlfn.LET(_xlpm.p,AF19:EO19,COUNT(_xlfn._xlws.FILTER(_xlpm.p,($AF$13:$EO$13="P.U")*(_xlpm.p&lt;AA19)*(_xlpm.p&gt;X19))))</f>
        <v>1</v>
      </c>
      <c r="Z19" s="177" cm="1">
        <f t="array" ref="Z19">_xlfn.LET(_xlpm.p,AF19:EO19,COUNT(_xlfn._xlws.FILTER(_xlpm.p,($AF$13:$EO$13="P.U")*(_xlpm.p=AA19))))</f>
        <v>1</v>
      </c>
      <c r="AA19" s="177" cm="1">
        <f t="array" ref="AA19">IFERROR(_xlfn.QUARTILE.INC(_xlfn._xlws.FILTER($AI19:$EO19,$AI$13:$EO$13="P.U"),4),"-")</f>
        <v>2270136.5299999993</v>
      </c>
      <c r="AB19" s="177">
        <f t="shared" si="14"/>
        <v>512788.80000000005</v>
      </c>
      <c r="AC19" s="179">
        <f t="shared" si="15"/>
        <v>424354</v>
      </c>
      <c r="AD19" s="177">
        <f t="shared" si="16"/>
        <v>2210204.7999999998</v>
      </c>
      <c r="AE19" s="180" t="str" cm="1">
        <f t="array" ref="AE19">_xlfn.LET(_xlpm.p,_xlfn.UNIQUE(_xlfn._xlws.FILTER(AF19:EL19,$AF$13:$EL$13="U"),1),_xlpm.f,_xlfn._xlws.FILTER(_xlpm.p,_xlpm.p&lt;&gt;"",""),IF(COUNTA(_xlpm.f)=1,_xlpm.f,"différentes"))</f>
        <v>ens</v>
      </c>
      <c r="AF19" s="181" t="s">
        <v>75</v>
      </c>
      <c r="AG19" s="182"/>
      <c r="AH19" s="182">
        <f t="shared" si="5"/>
        <v>0</v>
      </c>
      <c r="AI19" s="183"/>
      <c r="AJ19" s="183">
        <f t="shared" si="17"/>
        <v>0</v>
      </c>
      <c r="AK19" s="191" t="s">
        <v>75</v>
      </c>
      <c r="AL19" s="182"/>
      <c r="AM19" s="182">
        <f t="shared" si="6"/>
        <v>0</v>
      </c>
      <c r="AN19" s="196"/>
      <c r="AO19" s="183">
        <f t="shared" si="18"/>
        <v>0</v>
      </c>
      <c r="AP19" s="181" t="s">
        <v>75</v>
      </c>
      <c r="AQ19" s="182"/>
      <c r="AR19" s="182">
        <f t="shared" si="7"/>
        <v>0</v>
      </c>
      <c r="AS19" s="182"/>
      <c r="AT19" s="183">
        <f t="shared" si="19"/>
        <v>0</v>
      </c>
      <c r="AU19" s="191" t="s">
        <v>75</v>
      </c>
      <c r="AV19" s="182"/>
      <c r="AW19" s="182">
        <f t="shared" si="20"/>
        <v>0</v>
      </c>
      <c r="AX19" s="182"/>
      <c r="AY19" s="183">
        <f t="shared" si="21"/>
        <v>0</v>
      </c>
      <c r="AZ19" s="191" t="s">
        <v>75</v>
      </c>
      <c r="BA19" s="182"/>
      <c r="BB19" s="182">
        <f t="shared" si="22"/>
        <v>0</v>
      </c>
      <c r="BC19" s="183"/>
      <c r="BD19" s="183">
        <f t="shared" si="23"/>
        <v>0</v>
      </c>
      <c r="BE19" s="191"/>
      <c r="BF19" s="184"/>
      <c r="BG19" s="185">
        <f t="shared" si="24"/>
        <v>0</v>
      </c>
      <c r="BH19" s="186"/>
      <c r="BI19" s="183">
        <f t="shared" si="25"/>
        <v>0</v>
      </c>
      <c r="BJ19" s="181"/>
      <c r="BK19" s="186"/>
      <c r="BL19" s="185">
        <f t="shared" si="26"/>
        <v>0</v>
      </c>
      <c r="BM19" s="186"/>
      <c r="BN19" s="183">
        <f t="shared" si="27"/>
        <v>0</v>
      </c>
      <c r="BO19" s="181" t="s">
        <v>75</v>
      </c>
      <c r="BP19" s="184"/>
      <c r="BQ19" s="185">
        <f t="shared" si="28"/>
        <v>0</v>
      </c>
      <c r="BR19" s="186"/>
      <c r="BS19" s="183">
        <f t="shared" si="29"/>
        <v>0</v>
      </c>
      <c r="BT19" s="181"/>
      <c r="BU19" s="184"/>
      <c r="BV19" s="185">
        <f t="shared" si="30"/>
        <v>0</v>
      </c>
      <c r="BW19" s="186"/>
      <c r="BX19" s="183">
        <f t="shared" si="31"/>
        <v>0</v>
      </c>
      <c r="BY19" s="181"/>
      <c r="BZ19" s="184"/>
      <c r="CA19" s="185">
        <f t="shared" si="32"/>
        <v>0</v>
      </c>
      <c r="CB19" s="186"/>
      <c r="CC19" s="183">
        <f t="shared" si="33"/>
        <v>0</v>
      </c>
      <c r="CD19" s="181"/>
      <c r="CE19" s="184"/>
      <c r="CF19" s="185">
        <f t="shared" si="34"/>
        <v>0</v>
      </c>
      <c r="CG19" s="184"/>
      <c r="CH19" s="183">
        <f t="shared" si="35"/>
        <v>0</v>
      </c>
      <c r="CI19" s="181" t="s">
        <v>75</v>
      </c>
      <c r="CJ19" s="184">
        <v>1</v>
      </c>
      <c r="CK19" s="185">
        <f t="shared" si="36"/>
        <v>1423818.696688409</v>
      </c>
      <c r="CL19" s="183">
        <v>2270136.5299999993</v>
      </c>
      <c r="CM19" s="183">
        <f t="shared" si="54"/>
        <v>1607255.0695846332</v>
      </c>
      <c r="CN19" s="184" t="s">
        <v>75</v>
      </c>
      <c r="CO19" s="184">
        <v>1</v>
      </c>
      <c r="CP19" s="185">
        <f t="shared" si="37"/>
        <v>1049090.8805820371</v>
      </c>
      <c r="CQ19" s="183">
        <v>1672670.5</v>
      </c>
      <c r="CR19" s="183">
        <f t="shared" si="38"/>
        <v>1184249.5397709247</v>
      </c>
      <c r="CS19" s="184" t="s">
        <v>75</v>
      </c>
      <c r="CT19" s="186">
        <v>1</v>
      </c>
      <c r="CU19" s="185">
        <f t="shared" si="39"/>
        <v>710516.87155042659</v>
      </c>
      <c r="CV19" s="192">
        <v>1132848.1000000001</v>
      </c>
      <c r="CW19" s="183">
        <f t="shared" si="40"/>
        <v>802055.65953089192</v>
      </c>
      <c r="CX19" s="184" t="s">
        <v>75</v>
      </c>
      <c r="CY19" s="184">
        <v>1</v>
      </c>
      <c r="CZ19" s="185">
        <f t="shared" si="41"/>
        <v>924910.37380832923</v>
      </c>
      <c r="DA19" s="192">
        <v>1474677.1</v>
      </c>
      <c r="DB19" s="183">
        <f t="shared" si="42"/>
        <v>1044070.3515639943</v>
      </c>
      <c r="DC19" s="184" t="s">
        <v>75</v>
      </c>
      <c r="DD19" s="184">
        <v>1</v>
      </c>
      <c r="DE19" s="185">
        <f t="shared" si="43"/>
        <v>871021.95183140982</v>
      </c>
      <c r="DF19" s="183">
        <v>1388757.4</v>
      </c>
      <c r="DG19" s="183">
        <f t="shared" si="44"/>
        <v>983239.26428036229</v>
      </c>
      <c r="DH19" s="184" t="s">
        <v>75</v>
      </c>
      <c r="DI19" s="184">
        <v>1</v>
      </c>
      <c r="DJ19" s="185">
        <f t="shared" si="45"/>
        <v>546949.38534872048</v>
      </c>
      <c r="DK19" s="183">
        <v>872056.1</v>
      </c>
      <c r="DL19" s="183">
        <f t="shared" si="46"/>
        <v>617415.1066091184</v>
      </c>
      <c r="DM19" s="181" t="s">
        <v>75</v>
      </c>
      <c r="DN19" s="184">
        <v>1</v>
      </c>
      <c r="DO19" s="185">
        <f t="shared" si="47"/>
        <v>731178.81334671343</v>
      </c>
      <c r="DP19" s="192">
        <v>1165791.5</v>
      </c>
      <c r="DQ19" s="183">
        <f t="shared" si="48"/>
        <v>825379.56360434159</v>
      </c>
      <c r="DR19" s="181" t="s">
        <v>75</v>
      </c>
      <c r="DS19" s="184">
        <v>1</v>
      </c>
      <c r="DT19" s="185" t="str">
        <f t="shared" si="8"/>
        <v>-</v>
      </c>
      <c r="DU19" s="186" t="s">
        <v>71</v>
      </c>
      <c r="DV19" s="183" t="str">
        <f t="shared" si="49"/>
        <v>-</v>
      </c>
      <c r="DW19" s="187" t="s">
        <v>75</v>
      </c>
      <c r="DX19" s="184"/>
      <c r="DY19" s="185" t="str">
        <f t="shared" si="9"/>
        <v>-</v>
      </c>
      <c r="DZ19" s="184" t="s">
        <v>72</v>
      </c>
      <c r="EA19" s="183" t="str">
        <f t="shared" si="10"/>
        <v>-</v>
      </c>
      <c r="EB19" s="184"/>
      <c r="EC19" s="184"/>
      <c r="ED19" s="185" t="str">
        <f t="shared" si="11"/>
        <v>-</v>
      </c>
      <c r="EE19" s="186" t="s">
        <v>72</v>
      </c>
      <c r="EF19" s="183" t="str">
        <f t="shared" si="50"/>
        <v>-</v>
      </c>
      <c r="EG19" s="184" t="s">
        <v>75</v>
      </c>
      <c r="EH19" s="184">
        <v>1</v>
      </c>
      <c r="EI19" s="185" t="str">
        <f t="shared" si="51"/>
        <v>-</v>
      </c>
      <c r="EJ19" s="186" t="s">
        <v>72</v>
      </c>
      <c r="EK19" s="183" t="str">
        <f t="shared" si="12"/>
        <v>-</v>
      </c>
      <c r="EL19" s="193" t="s">
        <v>75</v>
      </c>
      <c r="EM19" s="184">
        <v>1</v>
      </c>
      <c r="EN19" s="185" t="str">
        <f t="shared" si="52"/>
        <v>-</v>
      </c>
      <c r="EO19" s="188" t="s">
        <v>72</v>
      </c>
      <c r="EP19" s="189" t="str">
        <f t="shared" si="53"/>
        <v>-</v>
      </c>
    </row>
    <row r="20" spans="1:146" x14ac:dyDescent="0.35">
      <c r="A20" s="22" t="s">
        <v>66</v>
      </c>
      <c r="B20" s="175" t="s">
        <v>66</v>
      </c>
      <c r="C20" s="190" t="s">
        <v>77</v>
      </c>
      <c r="D20" s="177" cm="1">
        <f t="array" ref="D20">COUNT(_xlfn._xlws.FILTER(AF20:EO20,($AF$13:$EO$13="P.U")*(ISNUMBER(AF20:EO20)),""))</f>
        <v>16</v>
      </c>
      <c r="E20" s="177" cm="1">
        <f t="array" ref="E20">COUNT(_xlfn.UNIQUE(_xlfn._xlws.FILTER(AF20:EO20,($AF$13:$EO$13="P.U")*(ISNUMBER(AF20:EO20))),1))</f>
        <v>16</v>
      </c>
      <c r="F20" s="177">
        <f t="shared" si="13"/>
        <v>0</v>
      </c>
      <c r="G20" s="177" t="str" cm="1">
        <f t="array" ref="G20">IFERROR(_xlfn.MODE.SNGL(_xlfn._xlws.FILTER($AI20:$EO20,$AI$13:$EO$13="P.U")),"-")</f>
        <v>-</v>
      </c>
      <c r="H20" s="177">
        <f t="shared" si="0"/>
        <v>787847.67306621093</v>
      </c>
      <c r="I20" s="177">
        <f>IFERROR(AVERAGEIFS(20:20,$13:$13,"P.U"), "-")</f>
        <v>1612739.2853125001</v>
      </c>
      <c r="J20" s="177">
        <f t="shared" si="2"/>
        <v>2437630.8975587892</v>
      </c>
      <c r="K20" s="177" cm="1">
        <f t="array" ref="K20">IFERROR(MEDIAN(_xlfn._xlws.FILTER($AI20:$EO20,$AI$13:$EO$13="P.U")),"-")</f>
        <v>905098.18500000006</v>
      </c>
      <c r="L20" s="177" cm="1">
        <f t="array" ref="L20">IFERROR(_xlfn.STDEV.P(_xlfn._xlws.FILTER($AI20:$EO20,$AI$13:$EO$13="P.U")),"-")</f>
        <v>1683452.2698903861</v>
      </c>
      <c r="M20" s="177">
        <f t="shared" si="3"/>
        <v>420863.06747259654</v>
      </c>
      <c r="N20" s="178">
        <f t="shared" si="4"/>
        <v>1.0438465071334726</v>
      </c>
      <c r="O20" s="177" cm="1">
        <f t="array" ref="O20">_xlfn.LET(_xlpm.p,AF20:EO20,COUNT(_xlfn._xlws.FILTER(_xlpm.p,($AF$13:$EO$13="P.U")*(_xlpm.p=P20))))</f>
        <v>1</v>
      </c>
      <c r="P20" s="177" cm="1">
        <f t="array" ref="P20">IFERROR(_xlfn.QUARTILE.INC(_xlfn._xlws.FILTER($AI20:$EO20,$AI$13:$EO$13="P.U"),0),"-")</f>
        <v>245715.87</v>
      </c>
      <c r="Q20" s="177" cm="1">
        <f t="array" ref="Q20">_xlfn.LET(_xlpm.p,AF20:EO20,COUNT(_xlfn._xlws.FILTER(_xlpm.p,($AF$13:$EO$13="P.U")*(_xlpm.p&lt;=R20)*(_xlpm.p&gt;P20))))</f>
        <v>3</v>
      </c>
      <c r="R20" s="177" cm="1">
        <f t="array" ref="R20">IFERROR(_xlfn.QUARTILE.INC(_xlfn._xlws.FILTER($AI20:$EO20,$AI$13:$EO$13="P.U"),1),"-")</f>
        <v>647952.58499999996</v>
      </c>
      <c r="S20" s="177" cm="1">
        <f t="array" ref="S20">IFERROR(_xlfn.PERCENTILE.INC(_xlfn._xlws.FILTER($AI20:$EO20,$AI$13:$EO$13="P.U"),0.4),"-")</f>
        <v>851449.6</v>
      </c>
      <c r="T20" s="177" cm="1">
        <f t="array" ref="T20">_xlfn.LET(_xlpm.p,AF20:EO20,COUNT(_xlfn._xlws.FILTER(_xlpm.p,($AF$13:$EO$13="P.U")*(_xlpm.p&lt;=U20)*(_xlpm.p&gt;R20))))</f>
        <v>4</v>
      </c>
      <c r="U20" s="177" cm="1">
        <f t="array" ref="U20">IFERROR(_xlfn.QUARTILE.INC(_xlfn._xlws.FILTER($AI20:$EO20,$AI$13:$EO$13="P.U"),2),"-")</f>
        <v>905098.18500000006</v>
      </c>
      <c r="V20" s="177" cm="1">
        <f t="array" ref="V20">IFERROR(_xlfn.PERCENTILE.INC(_xlfn._xlws.FILTER($AI20:$EO20,$AI$13:$EO$13="P.U"),0.6),"-")</f>
        <v>1007464.9</v>
      </c>
      <c r="W20" s="177" cm="1">
        <f t="array" ref="W20">_xlfn.LET(_xlpm.p,AF20:EO20,COUNT(_xlfn._xlws.FILTER(_xlpm.p,($AF$13:$EO$13="P.U")*(_xlpm.p&lt;=X20)*(_xlpm.p&gt;U20))))</f>
        <v>4</v>
      </c>
      <c r="X20" s="177" cm="1">
        <f t="array" ref="X20">IFERROR(_xlfn.QUARTILE.INC(_xlfn._xlws.FILTER($AI20:$EO20,$AI$13:$EO$13="P.U"),3),"-")</f>
        <v>1288348.5525000002</v>
      </c>
      <c r="Y20" s="177" cm="1">
        <f t="array" ref="Y20">_xlfn.LET(_xlpm.p,AF20:EO20,COUNT(_xlfn._xlws.FILTER(_xlpm.p,($AF$13:$EO$13="P.U")*(_xlpm.p&lt;AA20)*(_xlpm.p&gt;X20))))</f>
        <v>3</v>
      </c>
      <c r="Z20" s="177" cm="1">
        <f t="array" ref="Z20">_xlfn.LET(_xlpm.p,AF20:EO20,COUNT(_xlfn._xlws.FILTER(_xlpm.p,($AF$13:$EO$13="P.U")*(_xlpm.p=AA20))))</f>
        <v>1</v>
      </c>
      <c r="AA20" s="177" cm="1">
        <f t="array" ref="AA20">IFERROR(_xlfn.QUARTILE.INC(_xlfn._xlws.FILTER($AI20:$EO20,$AI$13:$EO$13="P.U"),4),"-")</f>
        <v>5920053.0249999948</v>
      </c>
      <c r="AB20" s="177">
        <f t="shared" si="14"/>
        <v>-312641.36625000043</v>
      </c>
      <c r="AC20" s="179">
        <f t="shared" si="15"/>
        <v>640395.96750000026</v>
      </c>
      <c r="AD20" s="177">
        <f t="shared" si="16"/>
        <v>2248942.5037500006</v>
      </c>
      <c r="AE20" s="180" t="str" cm="1">
        <f t="array" ref="AE20">_xlfn.LET(_xlpm.p,_xlfn.UNIQUE(_xlfn._xlws.FILTER(AF20:EL20,$AF$13:$EL$13="U"),1),_xlpm.f,_xlfn._xlws.FILTER(_xlpm.p,_xlpm.p&lt;&gt;"",""),IF(COUNTA(_xlpm.f)=1,_xlpm.f,"différentes"))</f>
        <v>ens</v>
      </c>
      <c r="AF20" s="181" t="s">
        <v>75</v>
      </c>
      <c r="AG20" s="182">
        <v>1</v>
      </c>
      <c r="AH20" s="182">
        <f t="shared" si="5"/>
        <v>3905314.2432757923</v>
      </c>
      <c r="AI20" s="183">
        <v>4864068.8899999997</v>
      </c>
      <c r="AJ20" s="183">
        <f t="shared" si="17"/>
        <v>4415320.9146685479</v>
      </c>
      <c r="AK20" s="181" t="s">
        <v>75</v>
      </c>
      <c r="AL20" s="182">
        <v>1</v>
      </c>
      <c r="AM20" s="182">
        <f t="shared" si="6"/>
        <v>948507.72380570055</v>
      </c>
      <c r="AN20" s="183">
        <v>1181366.3700000001</v>
      </c>
      <c r="AO20" s="183">
        <f t="shared" si="18"/>
        <v>1072376.1853107847</v>
      </c>
      <c r="AP20" s="181" t="s">
        <v>75</v>
      </c>
      <c r="AQ20" s="183">
        <v>1</v>
      </c>
      <c r="AR20" s="182">
        <f t="shared" si="7"/>
        <v>457032.38859895623</v>
      </c>
      <c r="AS20" s="183">
        <v>569233.84</v>
      </c>
      <c r="AT20" s="183">
        <f t="shared" si="19"/>
        <v>516717.61562758009</v>
      </c>
      <c r="AU20" s="191" t="s">
        <v>75</v>
      </c>
      <c r="AV20" s="183">
        <v>1</v>
      </c>
      <c r="AW20" s="182">
        <f t="shared" si="20"/>
        <v>274276.97310317139</v>
      </c>
      <c r="AX20" s="200">
        <v>341611.97</v>
      </c>
      <c r="AY20" s="183">
        <f t="shared" si="21"/>
        <v>310095.62363376078</v>
      </c>
      <c r="AZ20" s="191" t="s">
        <v>75</v>
      </c>
      <c r="BA20" s="183">
        <v>1</v>
      </c>
      <c r="BB20" s="182">
        <f t="shared" si="22"/>
        <v>521781.00361300679</v>
      </c>
      <c r="BC20" s="183">
        <v>649878.24</v>
      </c>
      <c r="BD20" s="183">
        <f t="shared" si="23"/>
        <v>589921.94599858683</v>
      </c>
      <c r="BE20" s="181" t="s">
        <v>75</v>
      </c>
      <c r="BF20" s="184">
        <v>1</v>
      </c>
      <c r="BG20" s="185">
        <f t="shared" si="24"/>
        <v>3786483.2871753178</v>
      </c>
      <c r="BH20" s="192">
        <v>5920053.0249999948</v>
      </c>
      <c r="BI20" s="183">
        <f t="shared" si="25"/>
        <v>4257765.2248826744</v>
      </c>
      <c r="BJ20" s="181" t="s">
        <v>75</v>
      </c>
      <c r="BK20" s="192">
        <v>1</v>
      </c>
      <c r="BL20" s="185">
        <f t="shared" si="26"/>
        <v>644377.50644399947</v>
      </c>
      <c r="BM20" s="192">
        <v>1007464.9</v>
      </c>
      <c r="BN20" s="183">
        <f t="shared" si="27"/>
        <v>724579.49251390435</v>
      </c>
      <c r="BO20" s="181" t="s">
        <v>75</v>
      </c>
      <c r="BP20" s="184">
        <v>1</v>
      </c>
      <c r="BQ20" s="185">
        <f t="shared" si="28"/>
        <v>612404.13951019198</v>
      </c>
      <c r="BR20" s="192">
        <v>957475.5</v>
      </c>
      <c r="BS20" s="183">
        <f t="shared" si="29"/>
        <v>688626.58330279985</v>
      </c>
      <c r="BT20" s="181" t="s">
        <v>75</v>
      </c>
      <c r="BU20" s="184">
        <v>1</v>
      </c>
      <c r="BV20" s="185">
        <f t="shared" si="30"/>
        <v>708367.79727145389</v>
      </c>
      <c r="BW20" s="192">
        <v>1107511.8</v>
      </c>
      <c r="BX20" s="183">
        <f t="shared" si="31"/>
        <v>796534.28918184736</v>
      </c>
      <c r="BY20" s="181" t="s">
        <v>75</v>
      </c>
      <c r="BZ20" s="184">
        <v>1</v>
      </c>
      <c r="CA20" s="185">
        <f t="shared" si="32"/>
        <v>544589.66273737256</v>
      </c>
      <c r="CB20" s="192">
        <v>851449.6</v>
      </c>
      <c r="CC20" s="183">
        <f t="shared" si="33"/>
        <v>612371.62611736334</v>
      </c>
      <c r="CD20" s="181" t="s">
        <v>75</v>
      </c>
      <c r="CE20" s="184">
        <v>1</v>
      </c>
      <c r="CF20" s="185">
        <f t="shared" si="34"/>
        <v>510825.02382520924</v>
      </c>
      <c r="CG20" s="183">
        <v>798659.6</v>
      </c>
      <c r="CH20" s="183">
        <f t="shared" si="35"/>
        <v>574404.49554059689</v>
      </c>
      <c r="CI20" s="181"/>
      <c r="CJ20" s="184"/>
      <c r="CK20" s="185">
        <f t="shared" si="36"/>
        <v>0</v>
      </c>
      <c r="CL20" s="184"/>
      <c r="CM20" s="183">
        <f t="shared" si="54"/>
        <v>0</v>
      </c>
      <c r="CN20" s="184"/>
      <c r="CO20" s="184"/>
      <c r="CP20" s="185">
        <f t="shared" si="37"/>
        <v>0</v>
      </c>
      <c r="CQ20" s="184"/>
      <c r="CR20" s="183">
        <f t="shared" si="38"/>
        <v>0</v>
      </c>
      <c r="CS20" s="184"/>
      <c r="CT20" s="186"/>
      <c r="CU20" s="185">
        <f t="shared" si="39"/>
        <v>0</v>
      </c>
      <c r="CV20" s="186"/>
      <c r="CW20" s="183">
        <f t="shared" si="40"/>
        <v>0</v>
      </c>
      <c r="CX20" s="184"/>
      <c r="CY20" s="184"/>
      <c r="CZ20" s="185">
        <f t="shared" si="41"/>
        <v>0</v>
      </c>
      <c r="DA20" s="186"/>
      <c r="DB20" s="183">
        <f t="shared" si="42"/>
        <v>0</v>
      </c>
      <c r="DC20" s="184"/>
      <c r="DD20" s="184"/>
      <c r="DE20" s="185">
        <f t="shared" si="43"/>
        <v>0</v>
      </c>
      <c r="DF20" s="184"/>
      <c r="DG20" s="183">
        <f t="shared" si="44"/>
        <v>0</v>
      </c>
      <c r="DH20" s="184"/>
      <c r="DI20" s="184"/>
      <c r="DJ20" s="185">
        <f t="shared" si="45"/>
        <v>0</v>
      </c>
      <c r="DK20" s="184"/>
      <c r="DL20" s="183">
        <f t="shared" si="46"/>
        <v>0</v>
      </c>
      <c r="DM20" s="181"/>
      <c r="DN20" s="184"/>
      <c r="DO20" s="185">
        <f t="shared" si="47"/>
        <v>0</v>
      </c>
      <c r="DP20" s="186"/>
      <c r="DQ20" s="183">
        <f t="shared" si="48"/>
        <v>0</v>
      </c>
      <c r="DR20" s="181" t="s">
        <v>75</v>
      </c>
      <c r="DS20" s="184">
        <v>1</v>
      </c>
      <c r="DT20" s="185">
        <f t="shared" si="8"/>
        <v>3232987.9065118786</v>
      </c>
      <c r="DU20" s="186">
        <f>4205147.37</f>
        <v>4205147.37</v>
      </c>
      <c r="DV20" s="183">
        <f t="shared" si="49"/>
        <v>3635379.4370188033</v>
      </c>
      <c r="DW20" s="187" t="s">
        <v>75</v>
      </c>
      <c r="DX20" s="184">
        <v>1</v>
      </c>
      <c r="DY20" s="185">
        <f t="shared" si="9"/>
        <v>655586.12285692326</v>
      </c>
      <c r="DZ20" s="186">
        <v>852720.87</v>
      </c>
      <c r="EA20" s="183">
        <f t="shared" si="10"/>
        <v>737183.18136250821</v>
      </c>
      <c r="EB20" s="184" t="s">
        <v>75</v>
      </c>
      <c r="EC20" s="184">
        <v>1</v>
      </c>
      <c r="ED20" s="185">
        <f t="shared" si="11"/>
        <v>1237253.0944875837</v>
      </c>
      <c r="EE20" s="186">
        <v>1609295.1</v>
      </c>
      <c r="EF20" s="183">
        <f t="shared" si="50"/>
        <v>1391246.9171407705</v>
      </c>
      <c r="EG20" s="184" t="s">
        <v>75</v>
      </c>
      <c r="EH20" s="184">
        <v>1</v>
      </c>
      <c r="EI20" s="185">
        <f t="shared" si="51"/>
        <v>493715.39940032293</v>
      </c>
      <c r="EJ20" s="186">
        <v>642175.62</v>
      </c>
      <c r="EK20" s="183">
        <f t="shared" si="12"/>
        <v>555165.33393282734</v>
      </c>
      <c r="EL20" s="193" t="s">
        <v>75</v>
      </c>
      <c r="EM20" s="184">
        <v>1</v>
      </c>
      <c r="EN20" s="185">
        <f t="shared" si="52"/>
        <v>188910.48666102867</v>
      </c>
      <c r="EO20" s="188">
        <v>245715.87</v>
      </c>
      <c r="EP20" s="189">
        <f t="shared" si="53"/>
        <v>212423.0954472317</v>
      </c>
    </row>
    <row r="21" spans="1:146" x14ac:dyDescent="0.35">
      <c r="A21" s="22" t="s">
        <v>66</v>
      </c>
      <c r="B21" s="175" t="s">
        <v>66</v>
      </c>
      <c r="C21" s="190" t="s">
        <v>78</v>
      </c>
      <c r="D21" s="177" cm="1">
        <f t="array" ref="D21">COUNT(_xlfn._xlws.FILTER(AF21:EO21,($AF$13:$EO$13="P.U")*(ISNUMBER(AF21:EO21)),""))</f>
        <v>1</v>
      </c>
      <c r="E21" s="177" cm="1">
        <f t="array" ref="E21">COUNT(_xlfn.UNIQUE(_xlfn._xlws.FILTER(AF21:EO21,($AF$13:$EO$13="P.U")*(ISNUMBER(AF21:EO21))),1))</f>
        <v>1</v>
      </c>
      <c r="F21" s="177">
        <f t="shared" si="13"/>
        <v>7</v>
      </c>
      <c r="G21" s="177" t="str" cm="1">
        <f t="array" ref="G21">IFERROR(_xlfn.MODE.SNGL(_xlfn._xlws.FILTER($AI21:$EO21,$AI$13:$EO$13="P.U")),"-")</f>
        <v>-</v>
      </c>
      <c r="H21" s="177">
        <f t="shared" si="0"/>
        <v>5213143</v>
      </c>
      <c r="I21" s="177">
        <f>IFERROR(AVERAGEIFS(21:21,$13:$13,"P.U"), "-")</f>
        <v>5213143</v>
      </c>
      <c r="J21" s="177">
        <f t="shared" si="2"/>
        <v>5213143</v>
      </c>
      <c r="K21" s="177" cm="1">
        <f t="array" ref="K21">IFERROR(MEDIAN(_xlfn._xlws.FILTER($AI21:$EO21,$AI$13:$EO$13="P.U")),"-")</f>
        <v>5213143</v>
      </c>
      <c r="L21" s="177" cm="1">
        <f t="array" ref="L21">IFERROR(_xlfn.STDEV.P(_xlfn._xlws.FILTER($AI21:$EO21,$AI$13:$EO$13="P.U")),"-")</f>
        <v>0</v>
      </c>
      <c r="M21" s="177">
        <f t="shared" si="3"/>
        <v>0</v>
      </c>
      <c r="N21" s="178">
        <f t="shared" si="4"/>
        <v>0</v>
      </c>
      <c r="O21" s="177" cm="1">
        <f t="array" ref="O21">_xlfn.LET(_xlpm.p,AF21:EO21,COUNT(_xlfn._xlws.FILTER(_xlpm.p,($AF$13:$EO$13="P.U")*(_xlpm.p=P21))))</f>
        <v>1</v>
      </c>
      <c r="P21" s="177" cm="1">
        <f t="array" ref="P21">IFERROR(_xlfn.QUARTILE.INC(_xlfn._xlws.FILTER($AI21:$EO21,$AI$13:$EO$13="P.U"),0),"-")</f>
        <v>5213143</v>
      </c>
      <c r="Q21" s="177" cm="1">
        <f t="array" ref="Q21">_xlfn.LET(_xlpm.p,AF21:EO21,COUNT(_xlfn._xlws.FILTER(_xlpm.p,($AF$13:$EO$13="P.U")*(_xlpm.p&lt;=R21)*(_xlpm.p&gt;P21))))</f>
        <v>0</v>
      </c>
      <c r="R21" s="177" cm="1">
        <f t="array" ref="R21">IFERROR(_xlfn.QUARTILE.INC(_xlfn._xlws.FILTER($AI21:$EO21,$AI$13:$EO$13="P.U"),1),"-")</f>
        <v>5213143</v>
      </c>
      <c r="S21" s="177" cm="1">
        <f t="array" ref="S21">IFERROR(_xlfn.PERCENTILE.INC(_xlfn._xlws.FILTER($AI21:$EO21,$AI$13:$EO$13="P.U"),0.4),"-")</f>
        <v>5213143</v>
      </c>
      <c r="T21" s="177" cm="1">
        <f t="array" ref="T21">_xlfn.LET(_xlpm.p,AF21:EO21,COUNT(_xlfn._xlws.FILTER(_xlpm.p,($AF$13:$EO$13="P.U")*(_xlpm.p&lt;=U21)*(_xlpm.p&gt;R21))))</f>
        <v>0</v>
      </c>
      <c r="U21" s="177" cm="1">
        <f t="array" ref="U21">IFERROR(_xlfn.QUARTILE.INC(_xlfn._xlws.FILTER($AI21:$EO21,$AI$13:$EO$13="P.U"),2),"-")</f>
        <v>5213143</v>
      </c>
      <c r="V21" s="177" cm="1">
        <f t="array" ref="V21">IFERROR(_xlfn.PERCENTILE.INC(_xlfn._xlws.FILTER($AI21:$EO21,$AI$13:$EO$13="P.U"),0.6),"-")</f>
        <v>5213143</v>
      </c>
      <c r="W21" s="177" cm="1">
        <f t="array" ref="W21">_xlfn.LET(_xlpm.p,AF21:EO21,COUNT(_xlfn._xlws.FILTER(_xlpm.p,($AF$13:$EO$13="P.U")*(_xlpm.p&lt;=X21)*(_xlpm.p&gt;U21))))</f>
        <v>0</v>
      </c>
      <c r="X21" s="177" cm="1">
        <f t="array" ref="X21">IFERROR(_xlfn.QUARTILE.INC(_xlfn._xlws.FILTER($AI21:$EO21,$AI$13:$EO$13="P.U"),3),"-")</f>
        <v>5213143</v>
      </c>
      <c r="Y21" s="177" cm="1">
        <f t="array" ref="Y21">_xlfn.LET(_xlpm.p,AF21:EO21,COUNT(_xlfn._xlws.FILTER(_xlpm.p,($AF$13:$EO$13="P.U")*(_xlpm.p&lt;AA21)*(_xlpm.p&gt;X21))))</f>
        <v>0</v>
      </c>
      <c r="Z21" s="177" cm="1">
        <f t="array" ref="Z21">_xlfn.LET(_xlpm.p,AF21:EO21,COUNT(_xlfn._xlws.FILTER(_xlpm.p,($AF$13:$EO$13="P.U")*(_xlpm.p=AA21))))</f>
        <v>1</v>
      </c>
      <c r="AA21" s="177" cm="1">
        <f t="array" ref="AA21">IFERROR(_xlfn.QUARTILE.INC(_xlfn._xlws.FILTER($AI21:$EO21,$AI$13:$EO$13="P.U"),4),"-")</f>
        <v>5213143</v>
      </c>
      <c r="AB21" s="177">
        <f t="shared" si="14"/>
        <v>5213143</v>
      </c>
      <c r="AC21" s="179">
        <f t="shared" si="15"/>
        <v>0</v>
      </c>
      <c r="AD21" s="177">
        <f t="shared" si="16"/>
        <v>5213143</v>
      </c>
      <c r="AE21" s="180" t="str" cm="1">
        <f t="array" ref="AE21">_xlfn.LET(_xlpm.p,_xlfn.UNIQUE(_xlfn._xlws.FILTER(AF21:EL21,$AF$13:$EL$13="U"),1),_xlpm.f,_xlfn._xlws.FILTER(_xlpm.p,_xlpm.p&lt;&gt;"",""),IF(COUNTA(_xlpm.f)=1,_xlpm.f,"différentes"))</f>
        <v>ens</v>
      </c>
      <c r="AF21" s="181"/>
      <c r="AG21" s="182"/>
      <c r="AH21" s="182">
        <f t="shared" si="5"/>
        <v>0</v>
      </c>
      <c r="AI21" s="183"/>
      <c r="AJ21" s="183">
        <f t="shared" si="17"/>
        <v>0</v>
      </c>
      <c r="AK21" s="181"/>
      <c r="AL21" s="182"/>
      <c r="AM21" s="182">
        <f t="shared" si="6"/>
        <v>0</v>
      </c>
      <c r="AN21" s="183"/>
      <c r="AO21" s="183">
        <f t="shared" si="18"/>
        <v>0</v>
      </c>
      <c r="AP21" s="181"/>
      <c r="AQ21" s="183"/>
      <c r="AR21" s="182">
        <f t="shared" si="7"/>
        <v>0</v>
      </c>
      <c r="AS21" s="183"/>
      <c r="AT21" s="183">
        <f t="shared" si="19"/>
        <v>0</v>
      </c>
      <c r="AU21" s="191"/>
      <c r="AV21" s="183"/>
      <c r="AW21" s="182">
        <f t="shared" si="20"/>
        <v>0</v>
      </c>
      <c r="AX21" s="200"/>
      <c r="AY21" s="183">
        <f t="shared" si="21"/>
        <v>0</v>
      </c>
      <c r="AZ21" s="191"/>
      <c r="BA21" s="183"/>
      <c r="BB21" s="182">
        <f t="shared" si="22"/>
        <v>0</v>
      </c>
      <c r="BC21" s="183"/>
      <c r="BD21" s="183">
        <f t="shared" si="23"/>
        <v>0</v>
      </c>
      <c r="BE21" s="181"/>
      <c r="BF21" s="184"/>
      <c r="BG21" s="185">
        <f t="shared" si="24"/>
        <v>0</v>
      </c>
      <c r="BH21" s="192"/>
      <c r="BI21" s="183">
        <f t="shared" si="25"/>
        <v>0</v>
      </c>
      <c r="BJ21" s="181"/>
      <c r="BK21" s="192"/>
      <c r="BL21" s="185">
        <f t="shared" si="26"/>
        <v>0</v>
      </c>
      <c r="BM21" s="192"/>
      <c r="BN21" s="183">
        <f t="shared" si="27"/>
        <v>0</v>
      </c>
      <c r="BO21" s="181"/>
      <c r="BP21" s="184"/>
      <c r="BQ21" s="185">
        <f t="shared" si="28"/>
        <v>0</v>
      </c>
      <c r="BR21" s="192"/>
      <c r="BS21" s="183">
        <f t="shared" si="29"/>
        <v>0</v>
      </c>
      <c r="BT21" s="181"/>
      <c r="BU21" s="184"/>
      <c r="BV21" s="185">
        <f t="shared" si="30"/>
        <v>0</v>
      </c>
      <c r="BW21" s="192"/>
      <c r="BX21" s="183">
        <f t="shared" si="31"/>
        <v>0</v>
      </c>
      <c r="BY21" s="181"/>
      <c r="BZ21" s="184"/>
      <c r="CA21" s="185">
        <f t="shared" si="32"/>
        <v>0</v>
      </c>
      <c r="CB21" s="192"/>
      <c r="CC21" s="183">
        <f t="shared" si="33"/>
        <v>0</v>
      </c>
      <c r="CD21" s="181"/>
      <c r="CE21" s="184"/>
      <c r="CF21" s="185">
        <f t="shared" si="34"/>
        <v>0</v>
      </c>
      <c r="CG21" s="183"/>
      <c r="CH21" s="183">
        <f t="shared" si="35"/>
        <v>0</v>
      </c>
      <c r="CI21" s="181"/>
      <c r="CJ21" s="184"/>
      <c r="CK21" s="185">
        <f t="shared" si="36"/>
        <v>0</v>
      </c>
      <c r="CL21" s="184"/>
      <c r="CM21" s="183">
        <f t="shared" si="54"/>
        <v>0</v>
      </c>
      <c r="CN21" s="184"/>
      <c r="CO21" s="184"/>
      <c r="CP21" s="185">
        <f t="shared" si="37"/>
        <v>0</v>
      </c>
      <c r="CQ21" s="184"/>
      <c r="CR21" s="183">
        <f t="shared" si="38"/>
        <v>0</v>
      </c>
      <c r="CS21" s="184"/>
      <c r="CT21" s="186"/>
      <c r="CU21" s="185">
        <f t="shared" si="39"/>
        <v>0</v>
      </c>
      <c r="CV21" s="186"/>
      <c r="CW21" s="183">
        <f t="shared" si="40"/>
        <v>0</v>
      </c>
      <c r="CX21" s="184"/>
      <c r="CY21" s="184"/>
      <c r="CZ21" s="185">
        <f t="shared" si="41"/>
        <v>0</v>
      </c>
      <c r="DA21" s="186"/>
      <c r="DB21" s="183">
        <f t="shared" si="42"/>
        <v>0</v>
      </c>
      <c r="DC21" s="184"/>
      <c r="DD21" s="184"/>
      <c r="DE21" s="185">
        <f t="shared" si="43"/>
        <v>0</v>
      </c>
      <c r="DF21" s="184"/>
      <c r="DG21" s="183">
        <f t="shared" si="44"/>
        <v>0</v>
      </c>
      <c r="DH21" s="184"/>
      <c r="DI21" s="184"/>
      <c r="DJ21" s="185">
        <f t="shared" si="45"/>
        <v>0</v>
      </c>
      <c r="DK21" s="184"/>
      <c r="DL21" s="183">
        <f t="shared" si="46"/>
        <v>0</v>
      </c>
      <c r="DM21" s="181"/>
      <c r="DN21" s="184"/>
      <c r="DO21" s="185">
        <f t="shared" si="47"/>
        <v>0</v>
      </c>
      <c r="DP21" s="186"/>
      <c r="DQ21" s="183">
        <f t="shared" si="48"/>
        <v>0</v>
      </c>
      <c r="DR21" s="181" t="s">
        <v>75</v>
      </c>
      <c r="DS21" s="184">
        <v>1</v>
      </c>
      <c r="DT21" s="185">
        <f t="shared" si="8"/>
        <v>4007951.8720688862</v>
      </c>
      <c r="DU21" s="187">
        <v>5213143</v>
      </c>
      <c r="DV21" s="183">
        <f t="shared" si="49"/>
        <v>4506798.739003174</v>
      </c>
      <c r="DW21" s="187" t="s">
        <v>75</v>
      </c>
      <c r="DX21" s="184">
        <v>1</v>
      </c>
      <c r="DY21" s="185" t="str">
        <f t="shared" si="9"/>
        <v>-</v>
      </c>
      <c r="DZ21" s="186" t="s">
        <v>79</v>
      </c>
      <c r="EA21" s="183" t="str">
        <f t="shared" si="10"/>
        <v>-</v>
      </c>
      <c r="EB21" s="184" t="s">
        <v>75</v>
      </c>
      <c r="EC21" s="184">
        <v>1</v>
      </c>
      <c r="ED21" s="185" t="str">
        <f t="shared" si="11"/>
        <v>-</v>
      </c>
      <c r="EE21" s="186" t="s">
        <v>79</v>
      </c>
      <c r="EF21" s="183" t="str">
        <f t="shared" si="50"/>
        <v>-</v>
      </c>
      <c r="EG21" s="184" t="s">
        <v>75</v>
      </c>
      <c r="EH21" s="184">
        <v>1</v>
      </c>
      <c r="EI21" s="185" t="str">
        <f t="shared" si="51"/>
        <v>-</v>
      </c>
      <c r="EJ21" s="186" t="s">
        <v>79</v>
      </c>
      <c r="EK21" s="183" t="str">
        <f t="shared" si="12"/>
        <v>-</v>
      </c>
      <c r="EL21" s="193" t="s">
        <v>75</v>
      </c>
      <c r="EM21" s="184">
        <v>1</v>
      </c>
      <c r="EN21" s="185" t="str">
        <f t="shared" si="52"/>
        <v>-</v>
      </c>
      <c r="EO21" s="188" t="s">
        <v>79</v>
      </c>
      <c r="EP21" s="189" t="str">
        <f t="shared" si="53"/>
        <v>-</v>
      </c>
    </row>
    <row r="22" spans="1:146" x14ac:dyDescent="0.35">
      <c r="A22" s="22" t="s">
        <v>66</v>
      </c>
      <c r="B22" s="175" t="s">
        <v>66</v>
      </c>
      <c r="C22" s="190" t="s">
        <v>86</v>
      </c>
      <c r="D22" s="177" cm="1">
        <f t="array" ref="D22">COUNT(_xlfn._xlws.FILTER(AF22:EO22,($AF$13:$EO$13="P.U")*(ISNUMBER(AF22:EO22)),""))</f>
        <v>1</v>
      </c>
      <c r="E22" s="177" cm="1">
        <f t="array" ref="E22">COUNT(_xlfn.UNIQUE(_xlfn._xlws.FILTER(AF22:EO22,($AF$13:$EO$13="P.U")*(ISNUMBER(AF22:EO22))),1))</f>
        <v>1</v>
      </c>
      <c r="F22" s="177">
        <f t="shared" si="13"/>
        <v>0</v>
      </c>
      <c r="G22" s="177" t="str" cm="1">
        <f t="array" ref="G22">IFERROR(_xlfn.MODE.SNGL(_xlfn._xlws.FILTER($AI22:$EO22,$AI$13:$EO$13="P.U")),"-")</f>
        <v>-</v>
      </c>
      <c r="H22" s="177">
        <f t="shared" si="0"/>
        <v>114300</v>
      </c>
      <c r="I22" s="177">
        <f>IFERROR(AVERAGEIFS(22:22,$13:$13,"P.U"), "-")</f>
        <v>114300</v>
      </c>
      <c r="J22" s="177">
        <f t="shared" si="2"/>
        <v>114300</v>
      </c>
      <c r="K22" s="177" cm="1">
        <f t="array" ref="K22">IFERROR(MEDIAN(_xlfn._xlws.FILTER($AI22:$EO22,$AI$13:$EO$13="P.U")),"-")</f>
        <v>114300</v>
      </c>
      <c r="L22" s="177" cm="1">
        <f t="array" ref="L22">IFERROR(_xlfn.STDEV.P(_xlfn._xlws.FILTER($AI22:$EO22,$AI$13:$EO$13="P.U")),"-")</f>
        <v>0</v>
      </c>
      <c r="M22" s="177">
        <f t="shared" si="3"/>
        <v>0</v>
      </c>
      <c r="N22" s="178">
        <f t="shared" si="4"/>
        <v>0</v>
      </c>
      <c r="O22" s="177" cm="1">
        <f t="array" ref="O22">_xlfn.LET(_xlpm.p,AF22:EO22,COUNT(_xlfn._xlws.FILTER(_xlpm.p,($AF$13:$EO$13="P.U")*(_xlpm.p=P22))))</f>
        <v>1</v>
      </c>
      <c r="P22" s="177" cm="1">
        <f t="array" ref="P22">IFERROR(_xlfn.QUARTILE.INC(_xlfn._xlws.FILTER($AI22:$EO22,$AI$13:$EO$13="P.U"),0),"-")</f>
        <v>114300</v>
      </c>
      <c r="Q22" s="177" cm="1">
        <f t="array" ref="Q22">_xlfn.LET(_xlpm.p,AF22:EO22,COUNT(_xlfn._xlws.FILTER(_xlpm.p,($AF$13:$EO$13="P.U")*(_xlpm.p&lt;=R22)*(_xlpm.p&gt;P22))))</f>
        <v>0</v>
      </c>
      <c r="R22" s="177" cm="1">
        <f t="array" ref="R22">IFERROR(_xlfn.QUARTILE.INC(_xlfn._xlws.FILTER($AI22:$EO22,$AI$13:$EO$13="P.U"),1),"-")</f>
        <v>114300</v>
      </c>
      <c r="S22" s="177" cm="1">
        <f t="array" ref="S22">IFERROR(_xlfn.PERCENTILE.INC(_xlfn._xlws.FILTER($AI22:$EO22,$AI$13:$EO$13="P.U"),0.4),"-")</f>
        <v>114300</v>
      </c>
      <c r="T22" s="177" cm="1">
        <f t="array" ref="T22">_xlfn.LET(_xlpm.p,AF22:EO22,COUNT(_xlfn._xlws.FILTER(_xlpm.p,($AF$13:$EO$13="P.U")*(_xlpm.p&lt;=U22)*(_xlpm.p&gt;R22))))</f>
        <v>0</v>
      </c>
      <c r="U22" s="177" cm="1">
        <f t="array" ref="U22">IFERROR(_xlfn.QUARTILE.INC(_xlfn._xlws.FILTER($AI22:$EO22,$AI$13:$EO$13="P.U"),2),"-")</f>
        <v>114300</v>
      </c>
      <c r="V22" s="177" cm="1">
        <f t="array" ref="V22">IFERROR(_xlfn.PERCENTILE.INC(_xlfn._xlws.FILTER($AI22:$EO22,$AI$13:$EO$13="P.U"),0.6),"-")</f>
        <v>114300</v>
      </c>
      <c r="W22" s="177" cm="1">
        <f t="array" ref="W22">_xlfn.LET(_xlpm.p,AF22:EO22,COUNT(_xlfn._xlws.FILTER(_xlpm.p,($AF$13:$EO$13="P.U")*(_xlpm.p&lt;=X22)*(_xlpm.p&gt;U22))))</f>
        <v>0</v>
      </c>
      <c r="X22" s="177" cm="1">
        <f t="array" ref="X22">IFERROR(_xlfn.QUARTILE.INC(_xlfn._xlws.FILTER($AI22:$EO22,$AI$13:$EO$13="P.U"),3),"-")</f>
        <v>114300</v>
      </c>
      <c r="Y22" s="177" cm="1">
        <f t="array" ref="Y22">_xlfn.LET(_xlpm.p,AF22:EO22,COUNT(_xlfn._xlws.FILTER(_xlpm.p,($AF$13:$EO$13="P.U")*(_xlpm.p&lt;AA22)*(_xlpm.p&gt;X22))))</f>
        <v>0</v>
      </c>
      <c r="Z22" s="177" cm="1">
        <f t="array" ref="Z22">_xlfn.LET(_xlpm.p,AF22:EO22,COUNT(_xlfn._xlws.FILTER(_xlpm.p,($AF$13:$EO$13="P.U")*(_xlpm.p=AA22))))</f>
        <v>1</v>
      </c>
      <c r="AA22" s="177" cm="1">
        <f t="array" ref="AA22">IFERROR(_xlfn.QUARTILE.INC(_xlfn._xlws.FILTER($AI22:$EO22,$AI$13:$EO$13="P.U"),4),"-")</f>
        <v>114300</v>
      </c>
      <c r="AB22" s="177">
        <f t="shared" si="14"/>
        <v>114300</v>
      </c>
      <c r="AC22" s="179">
        <f t="shared" si="15"/>
        <v>0</v>
      </c>
      <c r="AD22" s="177">
        <f t="shared" si="16"/>
        <v>114300</v>
      </c>
      <c r="AE22" s="180" t="str" cm="1">
        <f t="array" ref="AE22">_xlfn.LET(_xlpm.p,_xlfn.UNIQUE(_xlfn._xlws.FILTER(AF22:EL22,$AF$13:$EL$13="U"),1),_xlpm.f,_xlfn._xlws.FILTER(_xlpm.p,_xlpm.p&lt;&gt;"",""),IF(COUNTA(_xlpm.f)=1,_xlpm.f,"différentes"))</f>
        <v>ens</v>
      </c>
      <c r="AF22" s="181" t="s">
        <v>75</v>
      </c>
      <c r="AG22" s="182">
        <v>1</v>
      </c>
      <c r="AH22" s="182">
        <f t="shared" si="5"/>
        <v>91770.37334403854</v>
      </c>
      <c r="AI22" s="183">
        <v>114300</v>
      </c>
      <c r="AJ22" s="183">
        <f t="shared" si="17"/>
        <v>103754.94096807808</v>
      </c>
      <c r="AK22" s="181"/>
      <c r="AL22" s="182"/>
      <c r="AM22" s="182">
        <f t="shared" si="6"/>
        <v>0</v>
      </c>
      <c r="AN22" s="182"/>
      <c r="AO22" s="183">
        <f t="shared" si="18"/>
        <v>0</v>
      </c>
      <c r="AP22" s="181"/>
      <c r="AQ22" s="182"/>
      <c r="AR22" s="182">
        <f t="shared" si="7"/>
        <v>0</v>
      </c>
      <c r="AS22" s="182"/>
      <c r="AT22" s="183">
        <f t="shared" si="19"/>
        <v>0</v>
      </c>
      <c r="AU22" s="181"/>
      <c r="AV22" s="182"/>
      <c r="AW22" s="182">
        <f t="shared" si="20"/>
        <v>0</v>
      </c>
      <c r="AX22" s="199"/>
      <c r="AY22" s="183">
        <f t="shared" si="21"/>
        <v>0</v>
      </c>
      <c r="AZ22" s="183"/>
      <c r="BA22" s="182"/>
      <c r="BB22" s="182">
        <f t="shared" si="22"/>
        <v>0</v>
      </c>
      <c r="BC22" s="183"/>
      <c r="BD22" s="183">
        <f t="shared" si="23"/>
        <v>0</v>
      </c>
      <c r="BE22" s="181"/>
      <c r="BF22" s="184"/>
      <c r="BG22" s="185">
        <f t="shared" si="24"/>
        <v>0</v>
      </c>
      <c r="BH22" s="186"/>
      <c r="BI22" s="183">
        <f t="shared" si="25"/>
        <v>0</v>
      </c>
      <c r="BJ22" s="181"/>
      <c r="BK22" s="186"/>
      <c r="BL22" s="185">
        <f t="shared" si="26"/>
        <v>0</v>
      </c>
      <c r="BM22" s="186"/>
      <c r="BN22" s="183">
        <f t="shared" si="27"/>
        <v>0</v>
      </c>
      <c r="BO22" s="181"/>
      <c r="BP22" s="184"/>
      <c r="BQ22" s="185">
        <f t="shared" si="28"/>
        <v>0</v>
      </c>
      <c r="BR22" s="186"/>
      <c r="BS22" s="183">
        <f t="shared" si="29"/>
        <v>0</v>
      </c>
      <c r="BT22" s="181"/>
      <c r="BU22" s="184"/>
      <c r="BV22" s="185">
        <f t="shared" si="30"/>
        <v>0</v>
      </c>
      <c r="BW22" s="186"/>
      <c r="BX22" s="183">
        <f t="shared" si="31"/>
        <v>0</v>
      </c>
      <c r="BY22" s="181"/>
      <c r="BZ22" s="184"/>
      <c r="CA22" s="185">
        <f t="shared" si="32"/>
        <v>0</v>
      </c>
      <c r="CB22" s="186"/>
      <c r="CC22" s="183">
        <f t="shared" si="33"/>
        <v>0</v>
      </c>
      <c r="CD22" s="181"/>
      <c r="CE22" s="184"/>
      <c r="CF22" s="185">
        <f t="shared" si="34"/>
        <v>0</v>
      </c>
      <c r="CG22" s="184"/>
      <c r="CH22" s="183">
        <f t="shared" si="35"/>
        <v>0</v>
      </c>
      <c r="CI22" s="181"/>
      <c r="CJ22" s="184"/>
      <c r="CK22" s="185">
        <f t="shared" si="36"/>
        <v>0</v>
      </c>
      <c r="CL22" s="184"/>
      <c r="CM22" s="183">
        <f t="shared" si="54"/>
        <v>0</v>
      </c>
      <c r="CN22" s="184"/>
      <c r="CO22" s="184"/>
      <c r="CP22" s="185">
        <f t="shared" si="37"/>
        <v>0</v>
      </c>
      <c r="CQ22" s="184"/>
      <c r="CR22" s="183">
        <f t="shared" si="38"/>
        <v>0</v>
      </c>
      <c r="CS22" s="184"/>
      <c r="CT22" s="186"/>
      <c r="CU22" s="185">
        <f t="shared" si="39"/>
        <v>0</v>
      </c>
      <c r="CV22" s="186"/>
      <c r="CW22" s="183">
        <f t="shared" si="40"/>
        <v>0</v>
      </c>
      <c r="CX22" s="184"/>
      <c r="CY22" s="184"/>
      <c r="CZ22" s="185">
        <f t="shared" si="41"/>
        <v>0</v>
      </c>
      <c r="DA22" s="186"/>
      <c r="DB22" s="183">
        <f t="shared" si="42"/>
        <v>0</v>
      </c>
      <c r="DC22" s="184"/>
      <c r="DD22" s="184"/>
      <c r="DE22" s="185">
        <f t="shared" si="43"/>
        <v>0</v>
      </c>
      <c r="DF22" s="184"/>
      <c r="DG22" s="183">
        <f t="shared" si="44"/>
        <v>0</v>
      </c>
      <c r="DH22" s="184"/>
      <c r="DI22" s="184"/>
      <c r="DJ22" s="185">
        <f t="shared" si="45"/>
        <v>0</v>
      </c>
      <c r="DK22" s="184"/>
      <c r="DL22" s="183">
        <f t="shared" si="46"/>
        <v>0</v>
      </c>
      <c r="DM22" s="181"/>
      <c r="DN22" s="184"/>
      <c r="DO22" s="185">
        <f t="shared" si="47"/>
        <v>0</v>
      </c>
      <c r="DP22" s="186"/>
      <c r="DQ22" s="183">
        <f t="shared" si="48"/>
        <v>0</v>
      </c>
      <c r="DR22" s="181"/>
      <c r="DS22" s="184"/>
      <c r="DT22" s="185">
        <f t="shared" si="8"/>
        <v>0</v>
      </c>
      <c r="DU22" s="186"/>
      <c r="DV22" s="183">
        <f t="shared" si="49"/>
        <v>0</v>
      </c>
      <c r="DW22" s="187"/>
      <c r="DX22" s="184"/>
      <c r="DY22" s="185">
        <f t="shared" si="9"/>
        <v>0</v>
      </c>
      <c r="DZ22" s="186"/>
      <c r="EA22" s="183">
        <f t="shared" si="10"/>
        <v>0</v>
      </c>
      <c r="EB22" s="184"/>
      <c r="EC22" s="184"/>
      <c r="ED22" s="185">
        <f t="shared" si="11"/>
        <v>0</v>
      </c>
      <c r="EE22" s="186"/>
      <c r="EF22" s="183">
        <f t="shared" si="50"/>
        <v>0</v>
      </c>
      <c r="EG22" s="184"/>
      <c r="EH22" s="184"/>
      <c r="EI22" s="185">
        <f t="shared" si="51"/>
        <v>0</v>
      </c>
      <c r="EJ22" s="186"/>
      <c r="EK22" s="183">
        <f t="shared" si="12"/>
        <v>0</v>
      </c>
      <c r="EL22" s="193"/>
      <c r="EM22" s="184"/>
      <c r="EN22" s="185">
        <f t="shared" si="52"/>
        <v>0</v>
      </c>
      <c r="EO22" s="188"/>
      <c r="EP22" s="189">
        <f t="shared" si="53"/>
        <v>0</v>
      </c>
    </row>
    <row r="23" spans="1:146" x14ac:dyDescent="0.35">
      <c r="A23" s="22" t="s">
        <v>66</v>
      </c>
      <c r="B23" s="201"/>
      <c r="C23" s="202" t="s">
        <v>87</v>
      </c>
      <c r="D23" s="177" cm="1">
        <f t="array" ref="D23">COUNT(_xlfn._xlws.FILTER(AF23:EO23,($AF$13:$EO$13="P.U")*(ISNUMBER(AF23:EO23)),""))</f>
        <v>4</v>
      </c>
      <c r="E23" s="177" cm="1">
        <f t="array" ref="E23">COUNT(_xlfn.UNIQUE(_xlfn._xlws.FILTER(AF23:EO23,($AF$13:$EO$13="P.U")*(ISNUMBER(AF23:EO23))),1))</f>
        <v>4</v>
      </c>
      <c r="F23" s="177">
        <f t="shared" si="13"/>
        <v>9</v>
      </c>
      <c r="G23" s="177" t="str" cm="1">
        <f t="array" ref="G23">IFERROR(_xlfn.MODE.SNGL(_xlfn._xlws.FILTER($AI23:$EO23,$AI$13:$EO$13="P.U")),"-")</f>
        <v>-</v>
      </c>
      <c r="H23" s="177">
        <f t="shared" si="0"/>
        <v>13776.112331757573</v>
      </c>
      <c r="I23" s="177">
        <f>IFERROR(AVERAGEIFS(23:23,$13:$13,"P.U"), "-")</f>
        <v>22680.6325</v>
      </c>
      <c r="J23" s="177">
        <f t="shared" si="2"/>
        <v>31585.152668242426</v>
      </c>
      <c r="K23" s="177" cm="1">
        <f t="array" ref="K23">IFERROR(MEDIAN(_xlfn._xlws.FILTER($AI23:$EO23,$AI$13:$EO$13="P.U")),"-")</f>
        <v>22680.63</v>
      </c>
      <c r="L23" s="177" cm="1">
        <f t="array" ref="L23">IFERROR(_xlfn.STDEV.P(_xlfn._xlws.FILTER($AI23:$EO23,$AI$13:$EO$13="P.U")),"-")</f>
        <v>9086.2450696351298</v>
      </c>
      <c r="M23" s="177">
        <f t="shared" si="3"/>
        <v>4543.1225348175649</v>
      </c>
      <c r="N23" s="178">
        <f t="shared" si="4"/>
        <v>0.40061691708267527</v>
      </c>
      <c r="O23" s="177" cm="1">
        <f t="array" ref="O23">_xlfn.LET(_xlpm.p,AF23:EO23,COUNT(_xlfn._xlws.FILTER(_xlpm.p,($AF$13:$EO$13="P.U")*(_xlpm.p=P23))))</f>
        <v>1</v>
      </c>
      <c r="P23" s="177" cm="1">
        <f t="array" ref="P23">IFERROR(_xlfn.QUARTILE.INC(_xlfn._xlws.FILTER($AI23:$EO23,$AI$13:$EO$13="P.U"),0),"-")</f>
        <v>10080.280000000001</v>
      </c>
      <c r="Q23" s="177" cm="1">
        <f t="array" ref="Q23">_xlfn.LET(_xlpm.p,AF23:EO23,COUNT(_xlfn._xlws.FILTER(_xlpm.p,($AF$13:$EO$13="P.U")*(_xlpm.p&lt;=R23)*(_xlpm.p&gt;P23))))</f>
        <v>0</v>
      </c>
      <c r="R23" s="177" cm="1">
        <f t="array" ref="R23">IFERROR(_xlfn.QUARTILE.INC(_xlfn._xlws.FILTER($AI23:$EO23,$AI$13:$EO$13="P.U"),1),"-")</f>
        <v>17640.490000000002</v>
      </c>
      <c r="S23" s="177" cm="1">
        <f t="array" ref="S23">IFERROR(_xlfn.PERCENTILE.INC(_xlfn._xlws.FILTER($AI23:$EO23,$AI$13:$EO$13="P.U"),0.4),"-")</f>
        <v>21168.588000000003</v>
      </c>
      <c r="T23" s="177" cm="1">
        <f t="array" ref="T23">_xlfn.LET(_xlpm.p,AF23:EO23,COUNT(_xlfn._xlws.FILTER(_xlpm.p,($AF$13:$EO$13="P.U")*(_xlpm.p&lt;=U23)*(_xlpm.p&gt;R23))))</f>
        <v>1</v>
      </c>
      <c r="U23" s="177" cm="1">
        <f t="array" ref="U23">IFERROR(_xlfn.QUARTILE.INC(_xlfn._xlws.FILTER($AI23:$EO23,$AI$13:$EO$13="P.U"),2),"-")</f>
        <v>22680.63</v>
      </c>
      <c r="V23" s="177" cm="1">
        <f t="array" ref="V23">IFERROR(_xlfn.PERCENTILE.INC(_xlfn._xlws.FILTER($AI23:$EO23,$AI$13:$EO$13="P.U"),0.6),"-")</f>
        <v>24192.671999999999</v>
      </c>
      <c r="W23" s="177" cm="1">
        <f t="array" ref="W23">_xlfn.LET(_xlpm.p,AF23:EO23,COUNT(_xlfn._xlws.FILTER(_xlpm.p,($AF$13:$EO$13="P.U")*(_xlpm.p&lt;=X23)*(_xlpm.p&gt;U23))))</f>
        <v>1</v>
      </c>
      <c r="X23" s="177" cm="1">
        <f t="array" ref="X23">IFERROR(_xlfn.QUARTILE.INC(_xlfn._xlws.FILTER($AI23:$EO23,$AI$13:$EO$13="P.U"),3),"-")</f>
        <v>27720.772499999999</v>
      </c>
      <c r="Y23" s="177" cm="1">
        <f t="array" ref="Y23">_xlfn.LET(_xlpm.p,AF23:EO23,COUNT(_xlfn._xlws.FILTER(_xlpm.p,($AF$13:$EO$13="P.U")*(_xlpm.p&lt;AA23)*(_xlpm.p&gt;X23))))</f>
        <v>0</v>
      </c>
      <c r="Z23" s="177" cm="1">
        <f t="array" ref="Z23">_xlfn.LET(_xlpm.p,AF23:EO23,COUNT(_xlfn._xlws.FILTER(_xlpm.p,($AF$13:$EO$13="P.U")*(_xlpm.p=AA23))))</f>
        <v>1</v>
      </c>
      <c r="AA23" s="177" cm="1">
        <f t="array" ref="AA23">IFERROR(_xlfn.QUARTILE.INC(_xlfn._xlws.FILTER($AI23:$EO23,$AI$13:$EO$13="P.U"),4),"-")</f>
        <v>35280.99</v>
      </c>
      <c r="AB23" s="177">
        <f t="shared" si="14"/>
        <v>2520.0662500000053</v>
      </c>
      <c r="AC23" s="179">
        <f t="shared" si="15"/>
        <v>10080.282499999998</v>
      </c>
      <c r="AD23" s="177">
        <f t="shared" si="16"/>
        <v>42841.196249999994</v>
      </c>
      <c r="AE23" s="180" t="str" cm="1">
        <f t="array" ref="AE23">_xlfn.LET(_xlpm.p,_xlfn.UNIQUE(_xlfn._xlws.FILTER(AF23:EL23,$AF$13:$EL$13="U"),1),_xlpm.f,_xlfn._xlws.FILTER(_xlpm.p,_xlpm.p&lt;&gt;"",""),IF(COUNTA(_xlpm.f)=1,_xlpm.f,"différentes"))</f>
        <v>différentes</v>
      </c>
      <c r="AF23" s="181"/>
      <c r="AG23" s="182"/>
      <c r="AH23" s="182">
        <f t="shared" si="5"/>
        <v>0</v>
      </c>
      <c r="AI23" s="183"/>
      <c r="AJ23" s="183">
        <f t="shared" si="17"/>
        <v>0</v>
      </c>
      <c r="AK23" s="181" t="s">
        <v>75</v>
      </c>
      <c r="AL23" s="182">
        <v>1</v>
      </c>
      <c r="AM23" s="182">
        <f t="shared" si="6"/>
        <v>28326.768366118024</v>
      </c>
      <c r="AN23" s="183">
        <v>35280.99</v>
      </c>
      <c r="AO23" s="183">
        <f t="shared" si="18"/>
        <v>32026.045798297051</v>
      </c>
      <c r="AP23" s="181" t="s">
        <v>75</v>
      </c>
      <c r="AQ23" s="183">
        <v>1</v>
      </c>
      <c r="AR23" s="182">
        <f t="shared" si="7"/>
        <v>16186.720192693698</v>
      </c>
      <c r="AS23" s="183">
        <v>20160.560000000001</v>
      </c>
      <c r="AT23" s="183">
        <f t="shared" si="19"/>
        <v>18300.592411928228</v>
      </c>
      <c r="AU23" s="191" t="s">
        <v>75</v>
      </c>
      <c r="AV23" s="182">
        <v>1</v>
      </c>
      <c r="AW23" s="182">
        <f t="shared" si="20"/>
        <v>20233.400240867122</v>
      </c>
      <c r="AX23" s="200">
        <v>25200.7</v>
      </c>
      <c r="AY23" s="183">
        <f t="shared" si="21"/>
        <v>22875.740514910285</v>
      </c>
      <c r="AZ23" s="191" t="s">
        <v>75</v>
      </c>
      <c r="BA23" s="182">
        <v>1</v>
      </c>
      <c r="BB23" s="182">
        <f t="shared" si="22"/>
        <v>8093.3600963468489</v>
      </c>
      <c r="BC23" s="183">
        <v>10080.280000000001</v>
      </c>
      <c r="BD23" s="183">
        <f t="shared" si="23"/>
        <v>9150.2962059641141</v>
      </c>
      <c r="BE23" s="191" t="s">
        <v>80</v>
      </c>
      <c r="BF23" s="184"/>
      <c r="BG23" s="185">
        <f t="shared" si="24"/>
        <v>0</v>
      </c>
      <c r="BH23" s="186"/>
      <c r="BI23" s="183">
        <f t="shared" si="25"/>
        <v>0</v>
      </c>
      <c r="BJ23" s="181" t="s">
        <v>80</v>
      </c>
      <c r="BK23" s="186"/>
      <c r="BL23" s="185">
        <f t="shared" si="26"/>
        <v>0</v>
      </c>
      <c r="BM23" s="186"/>
      <c r="BN23" s="183">
        <f t="shared" si="27"/>
        <v>0</v>
      </c>
      <c r="BO23" s="181" t="s">
        <v>75</v>
      </c>
      <c r="BP23" s="184"/>
      <c r="BQ23" s="185">
        <f t="shared" si="28"/>
        <v>0</v>
      </c>
      <c r="BR23" s="186"/>
      <c r="BS23" s="183">
        <f t="shared" si="29"/>
        <v>0</v>
      </c>
      <c r="BT23" s="181" t="s">
        <v>80</v>
      </c>
      <c r="BU23" s="184"/>
      <c r="BV23" s="185">
        <f t="shared" si="30"/>
        <v>0</v>
      </c>
      <c r="BW23" s="186"/>
      <c r="BX23" s="183">
        <f t="shared" si="31"/>
        <v>0</v>
      </c>
      <c r="BY23" s="181"/>
      <c r="BZ23" s="184"/>
      <c r="CA23" s="185">
        <f t="shared" si="32"/>
        <v>0</v>
      </c>
      <c r="CB23" s="186"/>
      <c r="CC23" s="183">
        <f t="shared" si="33"/>
        <v>0</v>
      </c>
      <c r="CD23" s="181" t="s">
        <v>80</v>
      </c>
      <c r="CE23" s="184"/>
      <c r="CF23" s="185">
        <f t="shared" si="34"/>
        <v>0</v>
      </c>
      <c r="CG23" s="184"/>
      <c r="CH23" s="183">
        <f t="shared" si="35"/>
        <v>0</v>
      </c>
      <c r="CI23" s="191" t="s">
        <v>80</v>
      </c>
      <c r="CJ23" s="184"/>
      <c r="CK23" s="185">
        <f t="shared" si="36"/>
        <v>0</v>
      </c>
      <c r="CL23" s="184"/>
      <c r="CM23" s="183">
        <f t="shared" si="54"/>
        <v>0</v>
      </c>
      <c r="CN23" s="184"/>
      <c r="CO23" s="184"/>
      <c r="CP23" s="185">
        <f t="shared" si="37"/>
        <v>0</v>
      </c>
      <c r="CQ23" s="184"/>
      <c r="CR23" s="183">
        <f t="shared" si="38"/>
        <v>0</v>
      </c>
      <c r="CS23" s="184" t="s">
        <v>80</v>
      </c>
      <c r="CT23" s="186"/>
      <c r="CU23" s="185">
        <f t="shared" si="39"/>
        <v>0</v>
      </c>
      <c r="CV23" s="186"/>
      <c r="CW23" s="183">
        <f t="shared" si="40"/>
        <v>0</v>
      </c>
      <c r="CX23" s="184" t="s">
        <v>80</v>
      </c>
      <c r="CY23" s="184"/>
      <c r="CZ23" s="185">
        <f t="shared" si="41"/>
        <v>0</v>
      </c>
      <c r="DA23" s="186"/>
      <c r="DB23" s="183">
        <f t="shared" si="42"/>
        <v>0</v>
      </c>
      <c r="DC23" s="184" t="s">
        <v>80</v>
      </c>
      <c r="DD23" s="184"/>
      <c r="DE23" s="185">
        <f t="shared" si="43"/>
        <v>0</v>
      </c>
      <c r="DF23" s="184"/>
      <c r="DG23" s="183">
        <f t="shared" si="44"/>
        <v>0</v>
      </c>
      <c r="DH23" s="184" t="s">
        <v>80</v>
      </c>
      <c r="DI23" s="184"/>
      <c r="DJ23" s="185">
        <f t="shared" si="45"/>
        <v>0</v>
      </c>
      <c r="DK23" s="184"/>
      <c r="DL23" s="183">
        <f t="shared" si="46"/>
        <v>0</v>
      </c>
      <c r="DM23" s="181" t="s">
        <v>81</v>
      </c>
      <c r="DN23" s="184"/>
      <c r="DO23" s="185">
        <f t="shared" si="47"/>
        <v>0</v>
      </c>
      <c r="DP23" s="186"/>
      <c r="DQ23" s="183">
        <f t="shared" si="48"/>
        <v>0</v>
      </c>
      <c r="DR23" s="181" t="s">
        <v>75</v>
      </c>
      <c r="DS23" s="184">
        <v>1</v>
      </c>
      <c r="DT23" s="185" t="str">
        <f t="shared" si="8"/>
        <v>-</v>
      </c>
      <c r="DU23" s="186" t="s">
        <v>80</v>
      </c>
      <c r="DV23" s="183" t="str">
        <f t="shared" si="49"/>
        <v>-</v>
      </c>
      <c r="DW23" s="197" t="s">
        <v>75</v>
      </c>
      <c r="DX23" s="184">
        <v>1</v>
      </c>
      <c r="DY23" s="185" t="str">
        <f t="shared" si="9"/>
        <v>-</v>
      </c>
      <c r="DZ23" s="186" t="s">
        <v>80</v>
      </c>
      <c r="EA23" s="183" t="str">
        <f t="shared" si="10"/>
        <v>-</v>
      </c>
      <c r="EB23" s="184" t="s">
        <v>75</v>
      </c>
      <c r="EC23" s="184">
        <v>1</v>
      </c>
      <c r="ED23" s="185" t="str">
        <f t="shared" si="11"/>
        <v>-</v>
      </c>
      <c r="EE23" s="186" t="s">
        <v>80</v>
      </c>
      <c r="EF23" s="183" t="str">
        <f t="shared" si="50"/>
        <v>-</v>
      </c>
      <c r="EG23" s="184" t="s">
        <v>75</v>
      </c>
      <c r="EH23" s="184">
        <v>1</v>
      </c>
      <c r="EI23" s="185" t="str">
        <f t="shared" si="51"/>
        <v>-</v>
      </c>
      <c r="EJ23" s="186" t="s">
        <v>80</v>
      </c>
      <c r="EK23" s="183" t="str">
        <f t="shared" si="12"/>
        <v>-</v>
      </c>
      <c r="EL23" s="193" t="s">
        <v>75</v>
      </c>
      <c r="EM23" s="184">
        <v>1</v>
      </c>
      <c r="EN23" s="185" t="str">
        <f t="shared" si="52"/>
        <v>-</v>
      </c>
      <c r="EO23" s="188" t="s">
        <v>80</v>
      </c>
      <c r="EP23" s="189" t="str">
        <f t="shared" si="53"/>
        <v>-</v>
      </c>
    </row>
    <row r="24" spans="1:146" x14ac:dyDescent="0.35">
      <c r="A24" s="22" t="s">
        <v>66</v>
      </c>
      <c r="B24" s="203"/>
      <c r="C24" s="202" t="s">
        <v>82</v>
      </c>
      <c r="D24" s="177" cm="1">
        <f t="array" ref="D24">COUNT(_xlfn._xlws.FILTER(AF24:EO24,($AF$13:$EO$13="P.U")*(ISNUMBER(AF24:EO24)),""))</f>
        <v>4</v>
      </c>
      <c r="E24" s="177" cm="1">
        <f t="array" ref="E24">COUNT(_xlfn.UNIQUE(_xlfn._xlws.FILTER(AF24:EO24,($AF$13:$EO$13="P.U")*(ISNUMBER(AF24:EO24))),1))</f>
        <v>4</v>
      </c>
      <c r="F24" s="177">
        <f t="shared" si="13"/>
        <v>9</v>
      </c>
      <c r="G24" s="177" t="str" cm="1">
        <f t="array" ref="G24">IFERROR(_xlfn.MODE.SNGL(_xlfn._xlws.FILTER($AI24:$EO24,$AI$13:$EO$13="P.U")),"-")</f>
        <v>-</v>
      </c>
      <c r="H24" s="177">
        <f t="shared" si="0"/>
        <v>5617.0956006386878</v>
      </c>
      <c r="I24" s="177">
        <f>IFERROR(AVERAGEIFS(24:24,$13:$13,"P.U"), "-")</f>
        <v>9247.84</v>
      </c>
      <c r="J24" s="177">
        <f t="shared" si="2"/>
        <v>12878.584399361313</v>
      </c>
      <c r="K24" s="177" cm="1">
        <f t="array" ref="K24">IFERROR(MEDIAN(_xlfn._xlws.FILTER($AI24:$EO24,$AI$13:$EO$13="P.U")),"-")</f>
        <v>9247.84</v>
      </c>
      <c r="L24" s="177" cm="1">
        <f t="array" ref="L24">IFERROR(_xlfn.STDEV.P(_xlfn._xlws.FILTER($AI24:$EO24,$AI$13:$EO$13="P.U")),"-")</f>
        <v>3704.8412238380733</v>
      </c>
      <c r="M24" s="177">
        <f t="shared" si="3"/>
        <v>1852.4206119190367</v>
      </c>
      <c r="N24" s="178">
        <f t="shared" si="4"/>
        <v>0.40061692501579538</v>
      </c>
      <c r="O24" s="177" cm="1">
        <f t="array" ref="O24">_xlfn.LET(_xlpm.p,AF24:EO24,COUNT(_xlfn._xlws.FILTER(_xlpm.p,($AF$13:$EO$13="P.U")*(_xlpm.p=P24))))</f>
        <v>1</v>
      </c>
      <c r="P24" s="177" cm="1">
        <f t="array" ref="P24">IFERROR(_xlfn.QUARTILE.INC(_xlfn._xlws.FILTER($AI24:$EO24,$AI$13:$EO$13="P.U"),0),"-")</f>
        <v>4110.1499999999996</v>
      </c>
      <c r="Q24" s="177" cm="1">
        <f t="array" ref="Q24">_xlfn.LET(_xlpm.p,AF24:EO24,COUNT(_xlfn._xlws.FILTER(_xlpm.p,($AF$13:$EO$13="P.U")*(_xlpm.p&lt;=R24)*(_xlpm.p&gt;P24))))</f>
        <v>0</v>
      </c>
      <c r="R24" s="177" cm="1">
        <f t="array" ref="R24">IFERROR(_xlfn.QUARTILE.INC(_xlfn._xlws.FILTER($AI24:$EO24,$AI$13:$EO$13="P.U"),1),"-")</f>
        <v>7192.7624999999989</v>
      </c>
      <c r="S24" s="177" cm="1">
        <f t="array" ref="S24">IFERROR(_xlfn.PERCENTILE.INC(_xlfn._xlws.FILTER($AI24:$EO24,$AI$13:$EO$13="P.U"),0.4),"-")</f>
        <v>8631.3159999999989</v>
      </c>
      <c r="T24" s="177" cm="1">
        <f t="array" ref="T24">_xlfn.LET(_xlpm.p,AF24:EO24,COUNT(_xlfn._xlws.FILTER(_xlpm.p,($AF$13:$EO$13="P.U")*(_xlpm.p&lt;=U24)*(_xlpm.p&gt;R24))))</f>
        <v>1</v>
      </c>
      <c r="U24" s="177" cm="1">
        <f t="array" ref="U24">IFERROR(_xlfn.QUARTILE.INC(_xlfn._xlws.FILTER($AI24:$EO24,$AI$13:$EO$13="P.U"),2),"-")</f>
        <v>9247.84</v>
      </c>
      <c r="V24" s="177" cm="1">
        <f t="array" ref="V24">IFERROR(_xlfn.PERCENTILE.INC(_xlfn._xlws.FILTER($AI24:$EO24,$AI$13:$EO$13="P.U"),0.6),"-")</f>
        <v>9864.3639999999996</v>
      </c>
      <c r="W24" s="177" cm="1">
        <f t="array" ref="W24">_xlfn.LET(_xlpm.p,AF24:EO24,COUNT(_xlfn._xlws.FILTER(_xlpm.p,($AF$13:$EO$13="P.U")*(_xlpm.p&lt;=X24)*(_xlpm.p&gt;U24))))</f>
        <v>1</v>
      </c>
      <c r="X24" s="177" cm="1">
        <f t="array" ref="X24">IFERROR(_xlfn.QUARTILE.INC(_xlfn._xlws.FILTER($AI24:$EO24,$AI$13:$EO$13="P.U"),3),"-")</f>
        <v>11302.9175</v>
      </c>
      <c r="Y24" s="177" cm="1">
        <f t="array" ref="Y24">_xlfn.LET(_xlpm.p,AF24:EO24,COUNT(_xlfn._xlws.FILTER(_xlpm.p,($AF$13:$EO$13="P.U")*(_xlpm.p&lt;AA24)*(_xlpm.p&gt;X24))))</f>
        <v>0</v>
      </c>
      <c r="Z24" s="177" cm="1">
        <f t="array" ref="Z24">_xlfn.LET(_xlpm.p,AF24:EO24,COUNT(_xlfn._xlws.FILTER(_xlpm.p,($AF$13:$EO$13="P.U")*(_xlpm.p=AA24))))</f>
        <v>1</v>
      </c>
      <c r="AA24" s="177" cm="1">
        <f t="array" ref="AA24">IFERROR(_xlfn.QUARTILE.INC(_xlfn._xlws.FILTER($AI24:$EO24,$AI$13:$EO$13="P.U"),4),"-")</f>
        <v>14385.53</v>
      </c>
      <c r="AB24" s="177">
        <f t="shared" si="14"/>
        <v>1027.5299999999979</v>
      </c>
      <c r="AC24" s="179">
        <f t="shared" si="15"/>
        <v>4110.1550000000007</v>
      </c>
      <c r="AD24" s="177">
        <f t="shared" si="16"/>
        <v>17468.150000000001</v>
      </c>
      <c r="AE24" s="180" t="str" cm="1">
        <f t="array" ref="AE24">_xlfn.LET(_xlpm.p,_xlfn.UNIQUE(_xlfn._xlws.FILTER(AF24:EL24,$AF$13:$EL$13="U"),1),_xlpm.f,_xlfn._xlws.FILTER(_xlpm.p,_xlpm.p&lt;&gt;"",""),IF(COUNTA(_xlpm.f)=1,_xlpm.f,"différentes"))</f>
        <v>différentes</v>
      </c>
      <c r="AF24" s="181"/>
      <c r="AG24" s="182"/>
      <c r="AH24" s="182">
        <f t="shared" si="5"/>
        <v>0</v>
      </c>
      <c r="AI24" s="183"/>
      <c r="AJ24" s="183">
        <f t="shared" si="17"/>
        <v>0</v>
      </c>
      <c r="AK24" s="181" t="s">
        <v>75</v>
      </c>
      <c r="AL24" s="182">
        <v>1</v>
      </c>
      <c r="AM24" s="182">
        <f t="shared" si="6"/>
        <v>11550.004014452028</v>
      </c>
      <c r="AN24" s="183">
        <v>14385.53</v>
      </c>
      <c r="AO24" s="183">
        <f t="shared" si="18"/>
        <v>13058.353595315104</v>
      </c>
      <c r="AP24" s="181" t="s">
        <v>75</v>
      </c>
      <c r="AQ24" s="183">
        <v>1</v>
      </c>
      <c r="AR24" s="182">
        <f t="shared" si="7"/>
        <v>6599.9999999999991</v>
      </c>
      <c r="AS24" s="183">
        <v>8220.2999999999993</v>
      </c>
      <c r="AT24" s="183">
        <f t="shared" si="19"/>
        <v>7461.9137466307275</v>
      </c>
      <c r="AU24" s="191" t="s">
        <v>75</v>
      </c>
      <c r="AV24" s="182">
        <v>1</v>
      </c>
      <c r="AW24" s="182">
        <f t="shared" si="20"/>
        <v>8250.0040144520262</v>
      </c>
      <c r="AX24" s="200">
        <v>10275.379999999999</v>
      </c>
      <c r="AY24" s="183">
        <f t="shared" si="21"/>
        <v>9327.3967219997376</v>
      </c>
      <c r="AZ24" s="191" t="s">
        <v>75</v>
      </c>
      <c r="BA24" s="182">
        <v>1</v>
      </c>
      <c r="BB24" s="182">
        <f t="shared" si="22"/>
        <v>3299.9999999999995</v>
      </c>
      <c r="BC24" s="183">
        <v>4110.1499999999996</v>
      </c>
      <c r="BD24" s="183">
        <f t="shared" si="23"/>
        <v>3730.9568733153637</v>
      </c>
      <c r="BE24" s="191" t="s">
        <v>80</v>
      </c>
      <c r="BF24" s="184"/>
      <c r="BG24" s="185">
        <f t="shared" si="24"/>
        <v>0</v>
      </c>
      <c r="BH24" s="186"/>
      <c r="BI24" s="183">
        <f t="shared" si="25"/>
        <v>0</v>
      </c>
      <c r="BJ24" s="181" t="s">
        <v>80</v>
      </c>
      <c r="BK24" s="186"/>
      <c r="BL24" s="185">
        <f t="shared" si="26"/>
        <v>0</v>
      </c>
      <c r="BM24" s="186"/>
      <c r="BN24" s="183">
        <f t="shared" si="27"/>
        <v>0</v>
      </c>
      <c r="BO24" s="181" t="s">
        <v>75</v>
      </c>
      <c r="BP24" s="184"/>
      <c r="BQ24" s="185">
        <f t="shared" si="28"/>
        <v>0</v>
      </c>
      <c r="BR24" s="186"/>
      <c r="BS24" s="183">
        <f t="shared" si="29"/>
        <v>0</v>
      </c>
      <c r="BT24" s="181" t="s">
        <v>80</v>
      </c>
      <c r="BU24" s="184"/>
      <c r="BV24" s="185">
        <f t="shared" si="30"/>
        <v>0</v>
      </c>
      <c r="BW24" s="186"/>
      <c r="BX24" s="183">
        <f t="shared" si="31"/>
        <v>0</v>
      </c>
      <c r="BY24" s="181"/>
      <c r="BZ24" s="184"/>
      <c r="CA24" s="185">
        <f t="shared" si="32"/>
        <v>0</v>
      </c>
      <c r="CB24" s="186"/>
      <c r="CC24" s="183">
        <f t="shared" si="33"/>
        <v>0</v>
      </c>
      <c r="CD24" s="181" t="s">
        <v>80</v>
      </c>
      <c r="CE24" s="184"/>
      <c r="CF24" s="185">
        <f t="shared" si="34"/>
        <v>0</v>
      </c>
      <c r="CG24" s="184"/>
      <c r="CH24" s="183">
        <f t="shared" si="35"/>
        <v>0</v>
      </c>
      <c r="CI24" s="191" t="s">
        <v>80</v>
      </c>
      <c r="CJ24" s="184"/>
      <c r="CK24" s="185">
        <f t="shared" si="36"/>
        <v>0</v>
      </c>
      <c r="CL24" s="184"/>
      <c r="CM24" s="183">
        <f t="shared" si="54"/>
        <v>0</v>
      </c>
      <c r="CN24" s="184"/>
      <c r="CO24" s="184"/>
      <c r="CP24" s="185">
        <f t="shared" si="37"/>
        <v>0</v>
      </c>
      <c r="CQ24" s="184"/>
      <c r="CR24" s="183">
        <f t="shared" si="38"/>
        <v>0</v>
      </c>
      <c r="CS24" s="184" t="s">
        <v>80</v>
      </c>
      <c r="CT24" s="186"/>
      <c r="CU24" s="185">
        <f t="shared" si="39"/>
        <v>0</v>
      </c>
      <c r="CV24" s="186"/>
      <c r="CW24" s="183">
        <f t="shared" si="40"/>
        <v>0</v>
      </c>
      <c r="CX24" s="184" t="s">
        <v>80</v>
      </c>
      <c r="CY24" s="184"/>
      <c r="CZ24" s="185">
        <f t="shared" si="41"/>
        <v>0</v>
      </c>
      <c r="DA24" s="186"/>
      <c r="DB24" s="183">
        <f t="shared" si="42"/>
        <v>0</v>
      </c>
      <c r="DC24" s="184" t="s">
        <v>80</v>
      </c>
      <c r="DD24" s="184"/>
      <c r="DE24" s="185">
        <f t="shared" si="43"/>
        <v>0</v>
      </c>
      <c r="DF24" s="184"/>
      <c r="DG24" s="183">
        <f t="shared" si="44"/>
        <v>0</v>
      </c>
      <c r="DH24" s="184" t="s">
        <v>80</v>
      </c>
      <c r="DI24" s="184"/>
      <c r="DJ24" s="185">
        <f t="shared" si="45"/>
        <v>0</v>
      </c>
      <c r="DK24" s="184"/>
      <c r="DL24" s="183">
        <f t="shared" si="46"/>
        <v>0</v>
      </c>
      <c r="DM24" s="181" t="s">
        <v>81</v>
      </c>
      <c r="DN24" s="184"/>
      <c r="DO24" s="185">
        <f t="shared" si="47"/>
        <v>0</v>
      </c>
      <c r="DP24" s="186"/>
      <c r="DQ24" s="183">
        <f t="shared" si="48"/>
        <v>0</v>
      </c>
      <c r="DR24" s="181" t="s">
        <v>75</v>
      </c>
      <c r="DS24" s="184">
        <v>1</v>
      </c>
      <c r="DT24" s="185" t="str">
        <f t="shared" si="8"/>
        <v>-</v>
      </c>
      <c r="DU24" s="186" t="s">
        <v>80</v>
      </c>
      <c r="DV24" s="183" t="str">
        <f t="shared" si="49"/>
        <v>-</v>
      </c>
      <c r="DW24" s="197" t="s">
        <v>75</v>
      </c>
      <c r="DX24" s="184">
        <v>1</v>
      </c>
      <c r="DY24" s="185" t="str">
        <f t="shared" si="9"/>
        <v>-</v>
      </c>
      <c r="DZ24" s="186" t="s">
        <v>80</v>
      </c>
      <c r="EA24" s="183" t="str">
        <f t="shared" si="10"/>
        <v>-</v>
      </c>
      <c r="EB24" s="184" t="s">
        <v>75</v>
      </c>
      <c r="EC24" s="184">
        <v>1</v>
      </c>
      <c r="ED24" s="185" t="str">
        <f t="shared" si="11"/>
        <v>-</v>
      </c>
      <c r="EE24" s="186" t="s">
        <v>80</v>
      </c>
      <c r="EF24" s="183" t="str">
        <f t="shared" si="50"/>
        <v>-</v>
      </c>
      <c r="EG24" s="184" t="s">
        <v>75</v>
      </c>
      <c r="EH24" s="184">
        <v>1</v>
      </c>
      <c r="EI24" s="185" t="str">
        <f t="shared" si="51"/>
        <v>-</v>
      </c>
      <c r="EJ24" s="186" t="s">
        <v>80</v>
      </c>
      <c r="EK24" s="183" t="str">
        <f t="shared" si="12"/>
        <v>-</v>
      </c>
      <c r="EL24" s="193" t="s">
        <v>75</v>
      </c>
      <c r="EM24" s="184">
        <v>1</v>
      </c>
      <c r="EN24" s="185" t="str">
        <f t="shared" si="52"/>
        <v>-</v>
      </c>
      <c r="EO24" s="188" t="s">
        <v>80</v>
      </c>
      <c r="EP24" s="189" t="str">
        <f t="shared" si="53"/>
        <v>-</v>
      </c>
    </row>
  </sheetData>
  <mergeCells count="82">
    <mergeCell ref="EB12:EF12"/>
    <mergeCell ref="EG12:EK12"/>
    <mergeCell ref="EL12:EP12"/>
    <mergeCell ref="B14:C14"/>
    <mergeCell ref="B23:B24"/>
    <mergeCell ref="CX12:DB12"/>
    <mergeCell ref="DC12:DG12"/>
    <mergeCell ref="DH12:DL12"/>
    <mergeCell ref="DM12:DQ12"/>
    <mergeCell ref="DR12:DV12"/>
    <mergeCell ref="DW12:EA12"/>
    <mergeCell ref="BT12:BX12"/>
    <mergeCell ref="BY12:CC12"/>
    <mergeCell ref="CD12:CH12"/>
    <mergeCell ref="CI12:CM12"/>
    <mergeCell ref="CN12:CR12"/>
    <mergeCell ref="CS12:CW12"/>
    <mergeCell ref="AP12:AT12"/>
    <mergeCell ref="AU12:AY12"/>
    <mergeCell ref="AZ12:BD12"/>
    <mergeCell ref="BE12:BI12"/>
    <mergeCell ref="BJ12:BN12"/>
    <mergeCell ref="BO12:BS12"/>
    <mergeCell ref="W12:X12"/>
    <mergeCell ref="Y12:AA12"/>
    <mergeCell ref="AB12:AD12"/>
    <mergeCell ref="AE12:AE13"/>
    <mergeCell ref="AF12:AJ12"/>
    <mergeCell ref="AK12:AO12"/>
    <mergeCell ref="L12:N12"/>
    <mergeCell ref="O12:P12"/>
    <mergeCell ref="Q12:R12"/>
    <mergeCell ref="S12:S13"/>
    <mergeCell ref="T12:U12"/>
    <mergeCell ref="V12:V13"/>
    <mergeCell ref="A12:A13"/>
    <mergeCell ref="B12:B13"/>
    <mergeCell ref="C12:C13"/>
    <mergeCell ref="D12:D13"/>
    <mergeCell ref="E12:E13"/>
    <mergeCell ref="F12:K12"/>
    <mergeCell ref="AG9:AL9"/>
    <mergeCell ref="BF9:BK9"/>
    <mergeCell ref="CJ9:CO9"/>
    <mergeCell ref="DS9:DX9"/>
    <mergeCell ref="O11:AD11"/>
    <mergeCell ref="AF11:BD11"/>
    <mergeCell ref="BE11:CH11"/>
    <mergeCell ref="CI11:DQ11"/>
    <mergeCell ref="DR11:EP11"/>
    <mergeCell ref="AG7:AL7"/>
    <mergeCell ref="BF7:BK7"/>
    <mergeCell ref="CJ7:CO7"/>
    <mergeCell ref="DS7:DX7"/>
    <mergeCell ref="AG8:AL8"/>
    <mergeCell ref="BF8:BK8"/>
    <mergeCell ref="CJ8:CO8"/>
    <mergeCell ref="DS8:DX8"/>
    <mergeCell ref="AK5:AL5"/>
    <mergeCell ref="BJ5:BK5"/>
    <mergeCell ref="CN5:CO5"/>
    <mergeCell ref="DW5:DX5"/>
    <mergeCell ref="AK6:AL6"/>
    <mergeCell ref="BJ6:BK6"/>
    <mergeCell ref="CN6:CO6"/>
    <mergeCell ref="DW6:DX6"/>
    <mergeCell ref="DS3:DW3"/>
    <mergeCell ref="DZ3:EB3"/>
    <mergeCell ref="AK4:AL4"/>
    <mergeCell ref="BJ4:BK4"/>
    <mergeCell ref="CN4:CO4"/>
    <mergeCell ref="DW4:DX4"/>
    <mergeCell ref="AG2:AP2"/>
    <mergeCell ref="BF2:BO2"/>
    <mergeCell ref="CJ2:CS2"/>
    <mergeCell ref="DS2:EB2"/>
    <mergeCell ref="AG3:AK3"/>
    <mergeCell ref="AN3:AP3"/>
    <mergeCell ref="BF3:BJ3"/>
    <mergeCell ref="BM3:BO3"/>
    <mergeCell ref="CJ3:CN3"/>
    <mergeCell ref="CQ3:CS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TIR Mehdi</dc:creator>
  <cp:lastModifiedBy>TIR Mehdi</cp:lastModifiedBy>
  <dcterms:created xsi:type="dcterms:W3CDTF">2024-07-09T15:41:12Z</dcterms:created>
  <dcterms:modified xsi:type="dcterms:W3CDTF">2024-07-09T15:45:21Z</dcterms:modified>
</cp:coreProperties>
</file>