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m.tir\Desktop\"/>
    </mc:Choice>
  </mc:AlternateContent>
  <xr:revisionPtr revIDLastSave="0" documentId="13_ncr:1_{8690070B-FC1C-40DC-BB6E-ACAB87E267CF}" xr6:coauthVersionLast="47" xr6:coauthVersionMax="47" xr10:uidLastSave="{00000000-0000-0000-0000-000000000000}"/>
  <bookViews>
    <workbookView xWindow="28680" yWindow="-120" windowWidth="38640" windowHeight="212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1" l="1" a="1"/>
  <c r="J17" i="1" s="1"/>
  <c r="L17" i="1" a="1"/>
  <c r="L17" i="1" s="1"/>
  <c r="N17" i="1" a="1"/>
  <c r="N17" i="1" s="1"/>
  <c r="P17" i="1" a="1"/>
  <c r="P17" i="1" s="1"/>
  <c r="R17" i="1" a="1"/>
  <c r="R17" i="1" s="1"/>
  <c r="J18" i="1" a="1"/>
  <c r="J18" i="1" s="1"/>
  <c r="L18" i="1" a="1"/>
  <c r="L18" i="1" s="1"/>
  <c r="N18" i="1" a="1"/>
  <c r="N18" i="1" s="1"/>
  <c r="P18" i="1" a="1"/>
  <c r="P18" i="1" s="1"/>
  <c r="R18" i="1" a="1"/>
  <c r="R18" i="1" s="1"/>
  <c r="J19" i="1" a="1"/>
  <c r="J19" i="1" s="1"/>
  <c r="L19" i="1" a="1"/>
  <c r="L19" i="1" s="1"/>
  <c r="N19" i="1" a="1"/>
  <c r="N19" i="1" s="1"/>
  <c r="P19" i="1" a="1"/>
  <c r="P19" i="1" s="1"/>
  <c r="R19" i="1" a="1"/>
  <c r="R19" i="1" s="1"/>
  <c r="J20" i="1" a="1"/>
  <c r="J20" i="1" s="1"/>
  <c r="L20" i="1" a="1"/>
  <c r="L20" i="1"/>
  <c r="N20" i="1" a="1"/>
  <c r="N20" i="1"/>
  <c r="P20" i="1" a="1"/>
  <c r="P20" i="1" s="1"/>
  <c r="R20" i="1" a="1"/>
  <c r="R20" i="1" s="1"/>
  <c r="J21" i="1" a="1"/>
  <c r="J21" i="1" s="1"/>
  <c r="L21" i="1" a="1"/>
  <c r="L21" i="1" s="1"/>
  <c r="N21" i="1" a="1"/>
  <c r="N21" i="1" s="1"/>
  <c r="P21" i="1" a="1"/>
  <c r="P21" i="1" s="1"/>
  <c r="R21" i="1" a="1"/>
  <c r="R21" i="1" s="1"/>
  <c r="J22" i="1" a="1"/>
  <c r="J22" i="1" s="1"/>
  <c r="L22" i="1" a="1"/>
  <c r="L22" i="1" s="1"/>
  <c r="N22" i="1" a="1"/>
  <c r="N22" i="1" s="1"/>
  <c r="P22" i="1" a="1"/>
  <c r="P22" i="1" s="1"/>
  <c r="R22" i="1" a="1"/>
  <c r="R22" i="1" s="1"/>
  <c r="J23" i="1" a="1"/>
  <c r="J23" i="1" s="1"/>
  <c r="L23" i="1" a="1"/>
  <c r="L23" i="1" s="1"/>
  <c r="N23" i="1" a="1"/>
  <c r="N23" i="1" s="1"/>
  <c r="P23" i="1" a="1"/>
  <c r="P23" i="1" s="1"/>
  <c r="R23" i="1" a="1"/>
  <c r="R23" i="1"/>
  <c r="J24" i="1" a="1"/>
  <c r="J24" i="1"/>
  <c r="L24" i="1" a="1"/>
  <c r="L24" i="1" s="1"/>
  <c r="N24" i="1" a="1"/>
  <c r="N24" i="1" s="1"/>
  <c r="P24" i="1" a="1"/>
  <c r="P24" i="1" s="1"/>
  <c r="R24" i="1" a="1"/>
  <c r="R24" i="1" s="1"/>
  <c r="J25" i="1" a="1"/>
  <c r="J25" i="1" s="1"/>
  <c r="L25" i="1" a="1"/>
  <c r="L25" i="1" s="1"/>
  <c r="N25" i="1" a="1"/>
  <c r="N25" i="1" s="1"/>
  <c r="P25" i="1" a="1"/>
  <c r="P25" i="1" s="1"/>
  <c r="R25" i="1" a="1"/>
  <c r="R25" i="1" s="1"/>
  <c r="J27" i="1" a="1"/>
  <c r="J27" i="1" s="1"/>
  <c r="L27" i="1" a="1"/>
  <c r="L27" i="1" s="1"/>
  <c r="N27" i="1" a="1"/>
  <c r="N27" i="1"/>
  <c r="P27" i="1" a="1"/>
  <c r="P27" i="1"/>
  <c r="R27" i="1" a="1"/>
  <c r="R27" i="1" s="1"/>
  <c r="J28" i="1" a="1"/>
  <c r="J28" i="1" s="1"/>
  <c r="L28" i="1" a="1"/>
  <c r="L28" i="1" s="1"/>
  <c r="N28" i="1" a="1"/>
  <c r="N28" i="1" s="1"/>
  <c r="P28" i="1" a="1"/>
  <c r="P28" i="1" s="1"/>
  <c r="R28" i="1" a="1"/>
  <c r="R28" i="1" s="1"/>
  <c r="J29" i="1" a="1"/>
  <c r="J29" i="1" s="1"/>
  <c r="L29" i="1" a="1"/>
  <c r="L29" i="1" s="1"/>
  <c r="N29" i="1" a="1"/>
  <c r="N29" i="1" s="1"/>
  <c r="P29" i="1" a="1"/>
  <c r="P29" i="1" s="1"/>
  <c r="R29" i="1" a="1"/>
  <c r="R29" i="1" s="1"/>
  <c r="J30" i="1" a="1"/>
  <c r="J30" i="1" s="1"/>
  <c r="L30" i="1" a="1"/>
  <c r="L30" i="1" s="1"/>
  <c r="N30" i="1" a="1"/>
  <c r="N30" i="1" s="1"/>
  <c r="P30" i="1" a="1"/>
  <c r="P30" i="1" s="1"/>
  <c r="R30" i="1" a="1"/>
  <c r="R30" i="1" s="1"/>
  <c r="J31" i="1" a="1"/>
  <c r="J31" i="1"/>
  <c r="L31" i="1" a="1"/>
  <c r="L31" i="1" s="1"/>
  <c r="N31" i="1" a="1"/>
  <c r="N31" i="1" s="1"/>
  <c r="P31" i="1" a="1"/>
  <c r="P31" i="1" s="1"/>
  <c r="R31" i="1" a="1"/>
  <c r="R31" i="1" s="1"/>
  <c r="J32" i="1" a="1"/>
  <c r="J32" i="1" s="1"/>
  <c r="L32" i="1" a="1"/>
  <c r="L32" i="1"/>
  <c r="N32" i="1" a="1"/>
  <c r="N32" i="1"/>
  <c r="P32" i="1" a="1"/>
  <c r="P32" i="1" s="1"/>
  <c r="R32" i="1" a="1"/>
  <c r="R32" i="1" s="1"/>
  <c r="J35" i="1" a="1"/>
  <c r="J35" i="1" s="1"/>
  <c r="L35" i="1" a="1"/>
  <c r="L35" i="1" s="1"/>
  <c r="N35" i="1" a="1"/>
  <c r="N35" i="1" s="1"/>
  <c r="P35" i="1" a="1"/>
  <c r="P35" i="1" s="1"/>
  <c r="R35" i="1" a="1"/>
  <c r="R35" i="1"/>
  <c r="J37" i="1" a="1"/>
  <c r="J37" i="1" s="1"/>
  <c r="L37" i="1" a="1"/>
  <c r="L37" i="1"/>
  <c r="N37" i="1" a="1"/>
  <c r="N37" i="1" s="1"/>
  <c r="P37" i="1" a="1"/>
  <c r="P37" i="1" s="1"/>
  <c r="R37" i="1" a="1"/>
  <c r="R37" i="1" s="1"/>
  <c r="J38" i="1" a="1"/>
  <c r="J38" i="1" s="1"/>
  <c r="L38" i="1" a="1"/>
  <c r="L38" i="1"/>
  <c r="N38" i="1" a="1"/>
  <c r="N38" i="1" s="1"/>
  <c r="P38" i="1" a="1"/>
  <c r="P38" i="1" s="1"/>
  <c r="R38" i="1" a="1"/>
  <c r="R38" i="1" s="1"/>
  <c r="J39" i="1" a="1"/>
  <c r="J39" i="1" s="1"/>
  <c r="L39" i="1" a="1"/>
  <c r="L39" i="1" s="1"/>
  <c r="N39" i="1" a="1"/>
  <c r="N39" i="1" s="1"/>
  <c r="P39" i="1" a="1"/>
  <c r="P39" i="1"/>
  <c r="R39" i="1" a="1"/>
  <c r="R39" i="1" s="1"/>
  <c r="J40" i="1" a="1"/>
  <c r="J40" i="1" s="1"/>
  <c r="L40" i="1" a="1"/>
  <c r="L40" i="1" s="1"/>
  <c r="N40" i="1" a="1"/>
  <c r="N40" i="1" s="1"/>
  <c r="P40" i="1" a="1"/>
  <c r="P40" i="1" s="1"/>
  <c r="R40" i="1" a="1"/>
  <c r="R40" i="1"/>
  <c r="J41" i="1" a="1"/>
  <c r="J41" i="1" s="1"/>
  <c r="L41" i="1" a="1"/>
  <c r="L41" i="1" s="1"/>
  <c r="N41" i="1" a="1"/>
  <c r="N41" i="1" s="1"/>
  <c r="P41" i="1" a="1"/>
  <c r="P41" i="1" s="1"/>
  <c r="R41" i="1" a="1"/>
  <c r="R41" i="1"/>
  <c r="J42" i="1" a="1"/>
  <c r="J42" i="1" s="1"/>
  <c r="L42" i="1" a="1"/>
  <c r="L42" i="1" s="1"/>
  <c r="N42" i="1" a="1"/>
  <c r="N42" i="1" s="1"/>
  <c r="P42" i="1" a="1"/>
  <c r="P42" i="1" s="1"/>
  <c r="R42" i="1" a="1"/>
  <c r="R42" i="1" s="1"/>
  <c r="J43" i="1" a="1"/>
  <c r="J43" i="1"/>
  <c r="L43" i="1" a="1"/>
  <c r="L43" i="1"/>
  <c r="N43" i="1" a="1"/>
  <c r="N43" i="1" s="1"/>
  <c r="P43" i="1" a="1"/>
  <c r="P43" i="1" s="1"/>
  <c r="R43" i="1" a="1"/>
  <c r="R43" i="1" s="1"/>
  <c r="J44" i="1" a="1"/>
  <c r="J44" i="1" s="1"/>
  <c r="L44" i="1" a="1"/>
  <c r="L44" i="1" s="1"/>
  <c r="N44" i="1" a="1"/>
  <c r="N44" i="1"/>
  <c r="P44" i="1" a="1"/>
  <c r="P44" i="1" s="1"/>
  <c r="R44" i="1" a="1"/>
  <c r="R44" i="1" s="1"/>
  <c r="J45" i="1" a="1"/>
  <c r="J45" i="1" s="1"/>
  <c r="L45" i="1" a="1"/>
  <c r="L45" i="1" s="1"/>
  <c r="N45" i="1" a="1"/>
  <c r="N45" i="1"/>
  <c r="P45" i="1" a="1"/>
  <c r="P45" i="1" s="1"/>
  <c r="R45" i="1" a="1"/>
  <c r="R45" i="1" s="1"/>
  <c r="J47" i="1" a="1"/>
  <c r="J47" i="1" s="1"/>
  <c r="L47" i="1" a="1"/>
  <c r="L47" i="1" s="1"/>
  <c r="N47" i="1" a="1"/>
  <c r="N47" i="1" s="1"/>
  <c r="P47" i="1" a="1"/>
  <c r="P47" i="1" s="1"/>
  <c r="R47" i="1" a="1"/>
  <c r="R47" i="1" s="1"/>
  <c r="J48" i="1" a="1"/>
  <c r="J48" i="1"/>
  <c r="L48" i="1" a="1"/>
  <c r="L48" i="1" s="1"/>
  <c r="N48" i="1" a="1"/>
  <c r="N48" i="1" s="1"/>
  <c r="P48" i="1" a="1"/>
  <c r="P48" i="1" s="1"/>
  <c r="R48" i="1" a="1"/>
  <c r="R48" i="1" s="1"/>
  <c r="J49" i="1" a="1"/>
  <c r="J49" i="1" s="1"/>
  <c r="L49" i="1" a="1"/>
  <c r="L49" i="1" s="1"/>
  <c r="N49" i="1" a="1"/>
  <c r="N49" i="1" s="1"/>
  <c r="P49" i="1" a="1"/>
  <c r="P49" i="1" s="1"/>
  <c r="R49" i="1" a="1"/>
  <c r="R49" i="1" s="1"/>
  <c r="J50" i="1" a="1"/>
  <c r="J50" i="1" s="1"/>
  <c r="L50" i="1" a="1"/>
  <c r="L50" i="1"/>
  <c r="N50" i="1" a="1"/>
  <c r="N50" i="1"/>
  <c r="P50" i="1" a="1"/>
  <c r="P50" i="1" s="1"/>
  <c r="R50" i="1" a="1"/>
  <c r="R50" i="1" s="1"/>
  <c r="R16" i="1" a="1"/>
  <c r="R16" i="1" s="1"/>
  <c r="P16" i="1" a="1"/>
  <c r="P16" i="1" s="1"/>
  <c r="N16" i="1" a="1"/>
  <c r="N16" i="1" s="1"/>
  <c r="L16" i="1" a="1"/>
  <c r="L16" i="1" s="1"/>
  <c r="J16" i="1" a="1"/>
  <c r="J16" i="1" s="1"/>
  <c r="C16" i="1" a="1"/>
  <c r="C16" i="1" s="1"/>
  <c r="C17" i="1" a="1"/>
  <c r="C17" i="1" s="1"/>
  <c r="C18" i="1" a="1"/>
  <c r="C18" i="1" s="1"/>
  <c r="C19" i="1" a="1"/>
  <c r="C19" i="1" s="1"/>
  <c r="C20" i="1" a="1"/>
  <c r="C20" i="1"/>
  <c r="C21" i="1" a="1"/>
  <c r="C21" i="1"/>
  <c r="C22" i="1" a="1"/>
  <c r="C22" i="1" s="1"/>
  <c r="C23" i="1" a="1"/>
  <c r="C23" i="1" s="1"/>
  <c r="C24" i="1" a="1"/>
  <c r="C24" i="1" s="1"/>
  <c r="C25" i="1" a="1"/>
  <c r="C25" i="1" s="1"/>
  <c r="C27" i="1" a="1"/>
  <c r="C27" i="1" s="1"/>
  <c r="C28" i="1" a="1"/>
  <c r="C28" i="1" s="1"/>
  <c r="C29" i="1" a="1"/>
  <c r="C29" i="1" s="1"/>
  <c r="C30" i="1" a="1"/>
  <c r="C30" i="1" s="1"/>
  <c r="C31" i="1" a="1"/>
  <c r="C31" i="1" s="1"/>
  <c r="C32" i="1" a="1"/>
  <c r="C32" i="1"/>
  <c r="C35" i="1" a="1"/>
  <c r="C35" i="1" s="1"/>
  <c r="C37" i="1" a="1"/>
  <c r="C37" i="1" s="1"/>
  <c r="C38" i="1" a="1"/>
  <c r="C38" i="1" s="1"/>
  <c r="C39" i="1" a="1"/>
  <c r="C39" i="1"/>
  <c r="C40" i="1" a="1"/>
  <c r="C40" i="1" s="1"/>
  <c r="C41" i="1" a="1"/>
  <c r="C41" i="1" s="1"/>
  <c r="C42" i="1" a="1"/>
  <c r="C42" i="1" s="1"/>
  <c r="C43" i="1" a="1"/>
  <c r="C43" i="1" s="1"/>
  <c r="C44" i="1" a="1"/>
  <c r="C44" i="1" s="1"/>
  <c r="C45" i="1" a="1"/>
  <c r="C45" i="1" s="1"/>
  <c r="C47" i="1" a="1"/>
  <c r="C47" i="1" s="1"/>
  <c r="C48" i="1" a="1"/>
  <c r="C48" i="1" s="1"/>
  <c r="C49" i="1" a="1"/>
  <c r="C49" i="1" s="1"/>
  <c r="C50" i="1" a="1"/>
  <c r="C50" i="1"/>
  <c r="C15" i="1" a="1"/>
  <c r="C15" i="1" s="1"/>
  <c r="R15" i="1" a="1"/>
  <c r="R15" i="1" s="1"/>
  <c r="P15" i="1" a="1"/>
  <c r="P15" i="1" s="1"/>
  <c r="N15" i="1" a="1"/>
  <c r="N15" i="1" s="1"/>
  <c r="L15" i="1" a="1"/>
  <c r="L15" i="1" s="1"/>
  <c r="J15" i="1" a="1"/>
  <c r="J15" i="1" s="1"/>
  <c r="S50" i="1" a="1"/>
  <c r="S50" i="1" s="1"/>
  <c r="G50" i="1" a="1"/>
  <c r="G50" i="1" s="1"/>
  <c r="F50" i="1" a="1"/>
  <c r="F50" i="1" s="1"/>
  <c r="E50" i="1"/>
  <c r="D50" i="1"/>
  <c r="S49" i="1" a="1"/>
  <c r="S49" i="1" s="1"/>
  <c r="G49" i="1" a="1"/>
  <c r="G49" i="1" s="1"/>
  <c r="F49" i="1" a="1"/>
  <c r="F49" i="1" s="1"/>
  <c r="E49" i="1"/>
  <c r="D49" i="1"/>
  <c r="S48" i="1" a="1"/>
  <c r="S48" i="1" s="1"/>
  <c r="G48" i="1" a="1"/>
  <c r="G48" i="1" s="1"/>
  <c r="F48" i="1" a="1"/>
  <c r="F48" i="1" s="1"/>
  <c r="E48" i="1"/>
  <c r="D48" i="1"/>
  <c r="S47" i="1" a="1"/>
  <c r="S47" i="1" s="1"/>
  <c r="G47" i="1" a="1"/>
  <c r="G47" i="1" s="1"/>
  <c r="F47" i="1" a="1"/>
  <c r="F47" i="1" s="1"/>
  <c r="E47" i="1"/>
  <c r="D47" i="1"/>
  <c r="AN46" i="1"/>
  <c r="J46" i="1" s="1" a="1"/>
  <c r="J46" i="1" s="1"/>
  <c r="S46" i="1" a="1"/>
  <c r="S46" i="1" s="1"/>
  <c r="S45" i="1" a="1"/>
  <c r="S45" i="1" s="1"/>
  <c r="G45" i="1" a="1"/>
  <c r="G45" i="1" s="1"/>
  <c r="F45" i="1" a="1"/>
  <c r="F45" i="1" s="1"/>
  <c r="E45" i="1"/>
  <c r="D45" i="1"/>
  <c r="S44" i="1" a="1"/>
  <c r="S44" i="1" s="1"/>
  <c r="G44" i="1" a="1"/>
  <c r="G44" i="1" s="1"/>
  <c r="F44" i="1" a="1"/>
  <c r="F44" i="1" s="1"/>
  <c r="E44" i="1"/>
  <c r="D44" i="1"/>
  <c r="S43" i="1" a="1"/>
  <c r="S43" i="1" s="1"/>
  <c r="G43" i="1" a="1"/>
  <c r="G43" i="1" s="1"/>
  <c r="F43" i="1" a="1"/>
  <c r="F43" i="1" s="1"/>
  <c r="E43" i="1"/>
  <c r="D43" i="1"/>
  <c r="S42" i="1" a="1"/>
  <c r="S42" i="1" s="1"/>
  <c r="G42" i="1" a="1"/>
  <c r="G42" i="1" s="1"/>
  <c r="F42" i="1" a="1"/>
  <c r="F42" i="1" s="1"/>
  <c r="E42" i="1"/>
  <c r="D42" i="1"/>
  <c r="S41" i="1" a="1"/>
  <c r="S41" i="1" s="1"/>
  <c r="G41" i="1" a="1"/>
  <c r="G41" i="1" s="1"/>
  <c r="F41" i="1" a="1"/>
  <c r="F41" i="1" s="1"/>
  <c r="E41" i="1"/>
  <c r="D41" i="1"/>
  <c r="S40" i="1" a="1"/>
  <c r="S40" i="1" s="1"/>
  <c r="G40" i="1" a="1"/>
  <c r="G40" i="1" s="1"/>
  <c r="F40" i="1" a="1"/>
  <c r="F40" i="1" s="1"/>
  <c r="E40" i="1"/>
  <c r="D40" i="1"/>
  <c r="S39" i="1" a="1"/>
  <c r="S39" i="1" s="1"/>
  <c r="G39" i="1" a="1"/>
  <c r="G39" i="1" s="1"/>
  <c r="F39" i="1" a="1"/>
  <c r="F39" i="1" s="1"/>
  <c r="E39" i="1"/>
  <c r="D39" i="1"/>
  <c r="S38" i="1" a="1"/>
  <c r="S38" i="1" s="1"/>
  <c r="G38" i="1" a="1"/>
  <c r="G38" i="1" s="1"/>
  <c r="F38" i="1" a="1"/>
  <c r="F38" i="1" s="1"/>
  <c r="E38" i="1"/>
  <c r="D38" i="1"/>
  <c r="S37" i="1" a="1"/>
  <c r="S37" i="1" s="1"/>
  <c r="G37" i="1" a="1"/>
  <c r="G37" i="1" s="1"/>
  <c r="F37" i="1" a="1"/>
  <c r="F37" i="1" s="1"/>
  <c r="E37" i="1"/>
  <c r="D37" i="1"/>
  <c r="BU36" i="1"/>
  <c r="BR36" i="1"/>
  <c r="BL36" i="1"/>
  <c r="BI36" i="1"/>
  <c r="BF36" i="1"/>
  <c r="AZ36" i="1"/>
  <c r="AW36" i="1"/>
  <c r="AT36" i="1"/>
  <c r="AQ36" i="1"/>
  <c r="C36" i="1" s="1" a="1"/>
  <c r="C36" i="1" s="1"/>
  <c r="AN36" i="1"/>
  <c r="J36" i="1" s="1" a="1"/>
  <c r="J36" i="1" s="1"/>
  <c r="S36" i="1" a="1"/>
  <c r="S36" i="1" s="1"/>
  <c r="S35" i="1" a="1"/>
  <c r="S35" i="1" s="1"/>
  <c r="G35" i="1" a="1"/>
  <c r="G35" i="1" s="1"/>
  <c r="F35" i="1" a="1"/>
  <c r="F35" i="1" s="1"/>
  <c r="E35" i="1"/>
  <c r="D35" i="1"/>
  <c r="CJ34" i="1"/>
  <c r="CG34" i="1"/>
  <c r="CD34" i="1"/>
  <c r="CA34" i="1"/>
  <c r="BU34" i="1"/>
  <c r="R34" i="1" s="1" a="1"/>
  <c r="R34" i="1" s="1"/>
  <c r="BR34" i="1"/>
  <c r="BO34" i="1"/>
  <c r="BL34" i="1"/>
  <c r="BI34" i="1"/>
  <c r="BC34" i="1"/>
  <c r="AZ34" i="1"/>
  <c r="AW34" i="1"/>
  <c r="AT34" i="1"/>
  <c r="AQ34" i="1"/>
  <c r="AN34" i="1"/>
  <c r="C34" i="1" s="1" a="1"/>
  <c r="C34" i="1" s="1"/>
  <c r="S34" i="1" a="1"/>
  <c r="S34" i="1" s="1"/>
  <c r="CJ33" i="1"/>
  <c r="CG33" i="1"/>
  <c r="CD33" i="1"/>
  <c r="CA33" i="1"/>
  <c r="BX33" i="1"/>
  <c r="BU33" i="1"/>
  <c r="BR33" i="1"/>
  <c r="BO33" i="1"/>
  <c r="BL33" i="1"/>
  <c r="BI33" i="1"/>
  <c r="BF33" i="1"/>
  <c r="BC33" i="1"/>
  <c r="AZ33" i="1"/>
  <c r="J33" i="1" s="1" a="1"/>
  <c r="J33" i="1" s="1"/>
  <c r="AW33" i="1"/>
  <c r="AT33" i="1"/>
  <c r="AQ33" i="1"/>
  <c r="AN33" i="1"/>
  <c r="AK33" i="1"/>
  <c r="AH33" i="1"/>
  <c r="AE33" i="1"/>
  <c r="AB33" i="1"/>
  <c r="Y33" i="1"/>
  <c r="C33" i="1" s="1" a="1"/>
  <c r="C33" i="1" s="1"/>
  <c r="S33" i="1" a="1"/>
  <c r="S33" i="1" s="1"/>
  <c r="S32" i="1" a="1"/>
  <c r="S32" i="1" s="1"/>
  <c r="G32" i="1" a="1"/>
  <c r="G32" i="1" s="1"/>
  <c r="F32" i="1" a="1"/>
  <c r="F32" i="1" s="1"/>
  <c r="E32" i="1"/>
  <c r="D32" i="1"/>
  <c r="S31" i="1" a="1"/>
  <c r="S31" i="1" s="1"/>
  <c r="G31" i="1" a="1"/>
  <c r="G31" i="1" s="1"/>
  <c r="F31" i="1" a="1"/>
  <c r="F31" i="1" s="1"/>
  <c r="E31" i="1"/>
  <c r="D31" i="1"/>
  <c r="S30" i="1" a="1"/>
  <c r="S30" i="1" s="1"/>
  <c r="G30" i="1" a="1"/>
  <c r="G30" i="1" s="1"/>
  <c r="F30" i="1" a="1"/>
  <c r="F30" i="1" s="1"/>
  <c r="E30" i="1"/>
  <c r="D30" i="1"/>
  <c r="S29" i="1" a="1"/>
  <c r="S29" i="1" s="1"/>
  <c r="G29" i="1" a="1"/>
  <c r="G29" i="1" s="1"/>
  <c r="F29" i="1" a="1"/>
  <c r="F29" i="1" s="1"/>
  <c r="E29" i="1"/>
  <c r="D29" i="1"/>
  <c r="S28" i="1" a="1"/>
  <c r="S28" i="1" s="1"/>
  <c r="G28" i="1" a="1"/>
  <c r="G28" i="1" s="1"/>
  <c r="F28" i="1" a="1"/>
  <c r="F28" i="1" s="1"/>
  <c r="E28" i="1"/>
  <c r="D28" i="1"/>
  <c r="S27" i="1" a="1"/>
  <c r="S27" i="1" s="1"/>
  <c r="G27" i="1" a="1"/>
  <c r="G27" i="1" s="1"/>
  <c r="F27" i="1" a="1"/>
  <c r="F27" i="1" s="1"/>
  <c r="E27" i="1"/>
  <c r="D27" i="1"/>
  <c r="BX26" i="1"/>
  <c r="E26" i="1" s="1"/>
  <c r="S26" i="1" a="1"/>
  <c r="S26" i="1" s="1"/>
  <c r="G26" i="1" a="1"/>
  <c r="G26" i="1" s="1"/>
  <c r="S25" i="1" a="1"/>
  <c r="S25" i="1" s="1"/>
  <c r="G25" i="1" a="1"/>
  <c r="G25" i="1" s="1"/>
  <c r="F25" i="1" a="1"/>
  <c r="F25" i="1" s="1"/>
  <c r="E25" i="1"/>
  <c r="D25" i="1"/>
  <c r="S24" i="1" a="1"/>
  <c r="S24" i="1" s="1"/>
  <c r="G24" i="1" a="1"/>
  <c r="G24" i="1" s="1"/>
  <c r="F24" i="1" a="1"/>
  <c r="F24" i="1" s="1"/>
  <c r="E24" i="1"/>
  <c r="D24" i="1"/>
  <c r="S23" i="1" a="1"/>
  <c r="S23" i="1" s="1"/>
  <c r="G23" i="1" a="1"/>
  <c r="G23" i="1" s="1"/>
  <c r="F23" i="1" a="1"/>
  <c r="F23" i="1" s="1"/>
  <c r="E23" i="1"/>
  <c r="D23" i="1"/>
  <c r="S22" i="1" a="1"/>
  <c r="S22" i="1" s="1"/>
  <c r="G22" i="1" a="1"/>
  <c r="G22" i="1" s="1"/>
  <c r="F22" i="1" a="1"/>
  <c r="F22" i="1" s="1"/>
  <c r="E22" i="1"/>
  <c r="D22" i="1"/>
  <c r="S21" i="1" a="1"/>
  <c r="S21" i="1" s="1"/>
  <c r="G21" i="1" a="1"/>
  <c r="G21" i="1" s="1"/>
  <c r="F21" i="1" a="1"/>
  <c r="F21" i="1" s="1"/>
  <c r="E21" i="1"/>
  <c r="D21" i="1"/>
  <c r="S20" i="1" a="1"/>
  <c r="S20" i="1" s="1"/>
  <c r="G20" i="1" a="1"/>
  <c r="G20" i="1" s="1"/>
  <c r="F20" i="1" a="1"/>
  <c r="F20" i="1" s="1"/>
  <c r="E20" i="1"/>
  <c r="D20" i="1"/>
  <c r="S19" i="1" a="1"/>
  <c r="S19" i="1" s="1"/>
  <c r="G19" i="1" a="1"/>
  <c r="G19" i="1" s="1"/>
  <c r="F19" i="1" a="1"/>
  <c r="F19" i="1" s="1"/>
  <c r="E19" i="1"/>
  <c r="D19" i="1"/>
  <c r="S18" i="1" a="1"/>
  <c r="S18" i="1" s="1"/>
  <c r="G18" i="1" a="1"/>
  <c r="G18" i="1" s="1"/>
  <c r="F18" i="1" a="1"/>
  <c r="F18" i="1" s="1"/>
  <c r="E18" i="1"/>
  <c r="D18" i="1"/>
  <c r="S17" i="1" a="1"/>
  <c r="S17" i="1" s="1"/>
  <c r="G17" i="1" a="1"/>
  <c r="G17" i="1" s="1"/>
  <c r="F17" i="1" a="1"/>
  <c r="F17" i="1" s="1"/>
  <c r="E17" i="1"/>
  <c r="D17" i="1"/>
  <c r="S16" i="1" a="1"/>
  <c r="S16" i="1" s="1"/>
  <c r="G16" i="1" a="1"/>
  <c r="G16" i="1" s="1"/>
  <c r="F16" i="1" a="1"/>
  <c r="F16" i="1" s="1"/>
  <c r="E16" i="1"/>
  <c r="D16" i="1"/>
  <c r="S15" i="1" a="1"/>
  <c r="S15" i="1" s="1"/>
  <c r="G15" i="1" a="1"/>
  <c r="G15" i="1" s="1"/>
  <c r="F15" i="1" a="1"/>
  <c r="F15" i="1" s="1"/>
  <c r="E15" i="1"/>
  <c r="D15" i="1"/>
  <c r="N33" i="1" l="1" a="1"/>
  <c r="N33" i="1" s="1"/>
  <c r="J26" i="1" a="1"/>
  <c r="J26" i="1" s="1"/>
  <c r="R36" i="1" a="1"/>
  <c r="R36" i="1" s="1"/>
  <c r="L33" i="1" a="1"/>
  <c r="L33" i="1" s="1"/>
  <c r="N36" i="1" a="1"/>
  <c r="N36" i="1" s="1"/>
  <c r="L36" i="1" a="1"/>
  <c r="L36" i="1" s="1"/>
  <c r="P34" i="1" a="1"/>
  <c r="P34" i="1" s="1"/>
  <c r="C46" i="1" a="1"/>
  <c r="C46" i="1" s="1"/>
  <c r="N34" i="1" a="1"/>
  <c r="N34" i="1" s="1"/>
  <c r="R46" i="1" a="1"/>
  <c r="R46" i="1" s="1"/>
  <c r="L34" i="1" a="1"/>
  <c r="L34" i="1" s="1"/>
  <c r="R26" i="1" a="1"/>
  <c r="R26" i="1" s="1"/>
  <c r="J34" i="1" a="1"/>
  <c r="J34" i="1" s="1"/>
  <c r="P26" i="1" a="1"/>
  <c r="P26" i="1" s="1"/>
  <c r="P36" i="1" a="1"/>
  <c r="P36" i="1" s="1"/>
  <c r="P46" i="1" a="1"/>
  <c r="P46" i="1" s="1"/>
  <c r="R33" i="1" a="1"/>
  <c r="R33" i="1" s="1"/>
  <c r="C26" i="1" a="1"/>
  <c r="C26" i="1" s="1"/>
  <c r="N46" i="1" a="1"/>
  <c r="N46" i="1" s="1"/>
  <c r="N26" i="1" a="1"/>
  <c r="N26" i="1" s="1"/>
  <c r="L46" i="1" a="1"/>
  <c r="L46" i="1" s="1"/>
  <c r="P33" i="1" a="1"/>
  <c r="P33" i="1" s="1"/>
  <c r="L26" i="1" a="1"/>
  <c r="L26" i="1" s="1"/>
  <c r="H22" i="1"/>
  <c r="F26" i="1" a="1"/>
  <c r="F26" i="1" s="1"/>
  <c r="H35" i="1"/>
  <c r="H45" i="1"/>
  <c r="F46" i="1" a="1"/>
  <c r="F46" i="1" s="1"/>
  <c r="D26" i="1"/>
  <c r="H32" i="1"/>
  <c r="H37" i="1"/>
  <c r="H15" i="1"/>
  <c r="H48" i="1"/>
  <c r="H50" i="1"/>
  <c r="H42" i="1"/>
  <c r="H41" i="1"/>
  <c r="H40" i="1"/>
  <c r="H39" i="1"/>
  <c r="H21" i="1"/>
  <c r="H28" i="1"/>
  <c r="H17" i="1"/>
  <c r="H19" i="1"/>
  <c r="H27" i="1"/>
  <c r="H25" i="1"/>
  <c r="H29" i="1"/>
  <c r="H26" i="1"/>
  <c r="H16" i="1"/>
  <c r="D46" i="1"/>
  <c r="H47" i="1"/>
  <c r="H49" i="1"/>
  <c r="H18" i="1"/>
  <c r="H23" i="1"/>
  <c r="H31" i="1"/>
  <c r="G36" i="1" a="1"/>
  <c r="G36" i="1" s="1"/>
  <c r="H44" i="1"/>
  <c r="E46" i="1"/>
  <c r="E34" i="1"/>
  <c r="H20" i="1"/>
  <c r="H30" i="1"/>
  <c r="G33" i="1" a="1"/>
  <c r="G33" i="1" s="1"/>
  <c r="D34" i="1"/>
  <c r="G46" i="1" a="1"/>
  <c r="G46" i="1" s="1"/>
  <c r="H43" i="1"/>
  <c r="F34" i="1" a="1"/>
  <c r="F34" i="1" s="1"/>
  <c r="H24" i="1"/>
  <c r="H38" i="1"/>
  <c r="D33" i="1"/>
  <c r="G34" i="1" a="1"/>
  <c r="G34" i="1" s="1"/>
  <c r="E33" i="1"/>
  <c r="F33" i="1" a="1"/>
  <c r="F33" i="1" s="1"/>
  <c r="D36" i="1"/>
  <c r="E36" i="1"/>
  <c r="H36" i="1" s="1"/>
  <c r="F36" i="1" a="1"/>
  <c r="F36" i="1" s="1"/>
  <c r="H34" i="1" l="1"/>
  <c r="H46" i="1"/>
  <c r="H3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tc={F2F81643-73C4-4B1C-BCB5-11D0E3F36F95}</author>
    <author>tc={3F01D154-46A8-4609-84A0-371D302E6DAD}</author>
    <author>tc={5453D4A7-116A-49E8-AAEF-EDE85042C739}</author>
    <author>tc={558DB79F-0C4C-4034-BC3B-5372D6382F47}</author>
    <author>tc={1C204484-DE0D-4678-AE5C-2C19609A5FEC}</author>
    <author>tc={1F974088-7125-4996-A77C-D942716BDDA1}</author>
    <author>tc={979F9181-4A80-46D1-B42A-8F0FFFFA529E}</author>
    <author>tc={726DA64E-3D7E-42A9-83F9-30E3D051F70D}</author>
    <author>tc={004F0891-CD72-4FE1-98FC-56B81EC6FE76}</author>
    <author>tc={F71E46C4-5EFD-4F91-93C6-B515A9F795C2}</author>
    <author>tc={0D78FAF2-C1AC-4ACA-B9B5-CBC6E1A94B84}</author>
    <author>tc={7D6EABEE-3C5B-4396-A9B8-E7351022918C}</author>
    <author>tc={734B07FA-494F-48BB-9501-FCE987129ACB}</author>
    <author>tc={B6B4516F-0D6F-4E94-88EA-740815CB080D}</author>
    <author>tc={1C80B5D7-5681-4D67-9EAC-FBE8EF345BA0}</author>
    <author>tc={EF27787B-1A3D-4241-B114-97C6C02A306A}</author>
    <author>tc={1C72E7D7-E990-4159-B69A-5AE665053934}</author>
    <author>tc={A343ACF4-DF01-4F3C-B4B5-C234CBCA8F2A}</author>
    <author>tc={784480E6-9DC3-4796-A69C-A2DF9B8B6C14}</author>
    <author>tc={5746B587-F413-4365-8DDF-B2421C3334D0}</author>
    <author>tc={CD64E304-9DBC-4D4D-A71E-72F9006794F2}</author>
    <author>tc={4228DAC1-C843-4963-A362-6798C26B1097}</author>
    <author>tc={21BF5406-A71E-4491-A089-25EACBB97AC6}</author>
    <author>tc={04169117-E243-4A30-9012-2FB55AAA3A02}</author>
    <author>tc={E66F5132-32E9-45EA-8F43-A075965A7C60}</author>
    <author>tc={0710B27A-0C66-4D24-A1F3-0EBC11874AC1}</author>
    <author>tc={8A4DA6EF-CAC1-4A5C-A75F-6783A14A41A8}</author>
    <author>tc={E309D312-C224-419E-A31F-AA149F6FC81D}</author>
    <author>tc={38C6DEE2-0F79-4E9E-99D5-E6DC197A25E4}</author>
  </authors>
  <commentList>
    <comment ref="F13" authorId="0" shapeId="0" xr:uid="{F2F81643-73C4-4B1C-BCB5-11D0E3F36F9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Tendance Centrale</t>
      </text>
    </comment>
    <comment ref="AQ16" authorId="1" shapeId="0" xr:uid="{3F01D154-46A8-4609-84A0-371D302E6DA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Part à charge FERIEL non récupéré au compte prorata uniquement</t>
      </text>
    </comment>
    <comment ref="Y33" authorId="2" shapeId="0" xr:uid="{5453D4A7-116A-49E8-AAEF-EDE85042C73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Synthèse + Etudes BIM</t>
      </text>
    </comment>
    <comment ref="AN34" authorId="3" shapeId="0" xr:uid="{558DB79F-0C4C-4034-BC3B-5372D6382F4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Livret n°15.1 &amp; 16</t>
      </text>
    </comment>
    <comment ref="AQ34" authorId="4" shapeId="0" xr:uid="{1C204484-DE0D-4678-AE5C-2C19609A5FE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Livret n° 15.1+16</t>
      </text>
    </comment>
    <comment ref="AT34" authorId="5" shapeId="0" xr:uid="{1F974088-7125-4996-A77C-D942716BDDA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Livret 15.1 = 62497.10
Livret 16 = 21416.50</t>
      </text>
    </comment>
    <comment ref="AW34" authorId="6" shapeId="0" xr:uid="{979F9181-4A80-46D1-B42A-8F0FFFFA529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Livret n°15.1+16</t>
      </text>
    </comment>
    <comment ref="AZ34" authorId="7" shapeId="0" xr:uid="{726DA64E-3D7E-42A9-83F9-30E3D051F70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Livret n° 15.1 &amp; 16</t>
      </text>
    </comment>
    <comment ref="BC34" authorId="8" shapeId="0" xr:uid="{004F0891-CD72-4FE1-98FC-56B81EC6FE7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Livrent n° 15.1 &amp; 16</t>
      </text>
    </comment>
    <comment ref="BF34" authorId="9" shapeId="0" xr:uid="{F71E46C4-5EFD-4F91-93C6-B515A9F795C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Livret n° 15.1 &amp; 16</t>
      </text>
    </comment>
    <comment ref="BI34" authorId="10" shapeId="0" xr:uid="{0D78FAF2-C1AC-4ACA-B9B5-CBC6E1A94B84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Livrent 15.1 &amp; 16</t>
      </text>
    </comment>
    <comment ref="BL34" authorId="11" shapeId="0" xr:uid="{7D6EABEE-3C5B-4396-A9B8-E7351022918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Livret n° 15.1 &amp; 16</t>
      </text>
    </comment>
    <comment ref="BO34" authorId="12" shapeId="0" xr:uid="{734B07FA-494F-48BB-9501-FCE987129AC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Livret n° 15.1 &amp; 16</t>
      </text>
    </comment>
    <comment ref="BU34" authorId="13" shapeId="0" xr:uid="{B6B4516F-0D6F-4E94-88EA-740815CB080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Livret n° 15.1 &amp; 16</t>
      </text>
    </comment>
    <comment ref="BX34" authorId="14" shapeId="0" xr:uid="{1C80B5D7-5681-4D67-9EAC-FBE8EF345BA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Livret n° 2.1/3.1/3.2/4.1/5.1/5.2/6/7/8/9/10/11.1/11.2/12/13/14/15.1/15.2/16/17/18</t>
      </text>
    </comment>
    <comment ref="CA34" authorId="15" shapeId="0" xr:uid="{EF27787B-1A3D-4241-B114-97C6C02A306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Livret N° : 2.1/3.1/7/11.1/14/15.1/16/17/18</t>
      </text>
    </comment>
    <comment ref="CJ34" authorId="16" shapeId="0" xr:uid="{1C72E7D7-E990-4159-B69A-5AE665053934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Livret n° : 2.1/3.1/7/11.1/14/15.1/16/17/18</t>
      </text>
    </comment>
    <comment ref="AN36" authorId="17" shapeId="0" xr:uid="{A343ACF4-DF01-4F3C-B4B5-C234CBCA8F2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yc lot 20 (4037€)</t>
      </text>
    </comment>
    <comment ref="AQ36" authorId="18" shapeId="0" xr:uid="{784480E6-9DC3-4796-A69C-A2DF9B8B6C14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Yc lot 20 (4037€)</t>
      </text>
    </comment>
    <comment ref="AT36" authorId="19" shapeId="0" xr:uid="{5746B587-F413-4365-8DDF-B2421C3334D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 lot20 = 4037€</t>
      </text>
    </comment>
    <comment ref="AW36" authorId="20" shapeId="0" xr:uid="{CD64E304-9DBC-4D4D-A71E-72F9006794F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Lot 20</t>
      </text>
    </comment>
    <comment ref="AZ36" authorId="21" shapeId="0" xr:uid="{4228DAC1-C843-4963-A362-6798C26B109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Yc lot 20 (4037€)</t>
      </text>
    </comment>
    <comment ref="BC36" authorId="22" shapeId="0" xr:uid="{21BF5406-A71E-4491-A089-25EACBB97AC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Lot 20</t>
      </text>
    </comment>
    <comment ref="BF36" authorId="23" shapeId="0" xr:uid="{04169117-E243-4A30-9012-2FB55AAA3A0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Yc lot 20</t>
      </text>
    </comment>
    <comment ref="BI36" authorId="24" shapeId="0" xr:uid="{E66F5132-32E9-45EA-8F43-A075965A7C6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Yc lot 20 : 4031.50</t>
      </text>
    </comment>
    <comment ref="BL36" authorId="25" shapeId="0" xr:uid="{0710B27A-0C66-4D24-A1F3-0EBC11874AC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Yc lot 20</t>
      </text>
    </comment>
    <comment ref="BR36" authorId="26" shapeId="0" xr:uid="{8A4DA6EF-CAC1-4A5C-A75F-6783A14A41A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Yc lot 20 : 4031.45</t>
      </text>
    </comment>
    <comment ref="BU36" authorId="27" shapeId="0" xr:uid="{E309D312-C224-419E-A31F-AA149F6FC81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Yc lot 20</t>
      </text>
    </comment>
    <comment ref="AN46" authorId="28" shapeId="0" xr:uid="{38C6DEE2-0F79-4E9E-99D5-E6DC197A25E4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Locaux de service électriques
L16= 6307.90
L14= 6307.90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<sst xmlns="http://schemas.openxmlformats.org/spreadsheetml/2006/main" count="430" uniqueCount="65">
  <si>
    <t>N° de livret</t>
  </si>
  <si>
    <t>DESIGNATION</t>
  </si>
  <si>
    <t>Min Brut</t>
  </si>
  <si>
    <t>Moy arithmétique</t>
  </si>
  <si>
    <t>Médiane</t>
  </si>
  <si>
    <t>Ecart-type</t>
  </si>
  <si>
    <t>Coefficient de variation</t>
  </si>
  <si>
    <t>Unité</t>
  </si>
  <si>
    <t>U</t>
  </si>
  <si>
    <t>Qté</t>
  </si>
  <si>
    <t>P.U</t>
  </si>
  <si>
    <t>TACHES GENERALES</t>
  </si>
  <si>
    <t>TGE</t>
  </si>
  <si>
    <t>FRAIS D'INSTALLATIONS DE CHANTIER</t>
  </si>
  <si>
    <t>mois</t>
  </si>
  <si>
    <t>inclut ci-dessous</t>
  </si>
  <si>
    <t>cis ci-dessous</t>
  </si>
  <si>
    <t>ens</t>
  </si>
  <si>
    <t>cis</t>
  </si>
  <si>
    <t>cis DPF Gare</t>
  </si>
  <si>
    <t>inclus</t>
  </si>
  <si>
    <t>FRAIS D'ETUDES</t>
  </si>
  <si>
    <t>FRAIS D'ESSAIS phases 1 &amp; 2</t>
  </si>
  <si>
    <t>compris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</si>
  <si>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</si>
  <si>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</si>
  <si>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</si>
  <si>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</si>
  <si>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</si>
  <si>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</si>
  <si>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</si>
  <si>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</si>
  <si>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</si>
  <si>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</si>
  <si>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</si>
  <si>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m</t>
  </si>
  <si>
    <t>n</t>
  </si>
  <si>
    <t>o</t>
  </si>
  <si>
    <t>p</t>
  </si>
  <si>
    <t>k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</si>
  <si>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</si>
  <si>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</si>
  <si>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</si>
  <si>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</si>
  <si>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</si>
  <si>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</si>
  <si>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</si>
  <si>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</si>
  <si>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</si>
  <si>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</si>
  <si>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je ne sais pas 1</t>
  </si>
  <si>
    <t>je ne sais pas 2</t>
  </si>
  <si>
    <t>je ne sais pas 3</t>
  </si>
  <si>
    <t>je ne sais pas 4</t>
  </si>
  <si>
    <t>je ne sais pas 5</t>
  </si>
  <si>
    <t>je ne sais pas 6</t>
  </si>
  <si>
    <t>je ne sais pas 7</t>
  </si>
  <si>
    <t>Q0</t>
  </si>
  <si>
    <t>Q1</t>
  </si>
  <si>
    <t>Q2</t>
  </si>
  <si>
    <t>Q3</t>
  </si>
  <si>
    <t>Q4</t>
  </si>
  <si>
    <t>Nombre d'échantillon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</si>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</sst>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-* #,##0.00\ [$€-40C]_-;\-* #,##0.00\ [$€-40C]_-;_-* &quot;-&quot;??\ [$€-40C]_-;_-@_-"/>
    <numFmt numFmtId="166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3"/>
      <color indexed="3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67">
    <xf numFmtId="0" fontId="0" fillId="0" borderId="0" xfId="0"/>
    <xf numFmtId="43" fontId="3" fillId="2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43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3" fontId="3" fillId="0" borderId="5" xfId="1" applyFont="1" applyBorder="1" applyAlignment="1">
      <alignment horizontal="center" vertical="center"/>
    </xf>
    <xf numFmtId="43" fontId="3" fillId="0" borderId="2" xfId="1" applyFont="1" applyFill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43" fontId="3" fillId="0" borderId="7" xfId="1" applyFont="1" applyBorder="1" applyAlignment="1">
      <alignment horizontal="center" vertical="center"/>
    </xf>
    <xf numFmtId="0" fontId="3" fillId="3" borderId="2" xfId="0" quotePrefix="1" applyFont="1" applyFill="1" applyBorder="1" applyAlignment="1">
      <alignment horizontal="left"/>
    </xf>
    <xf numFmtId="43" fontId="3" fillId="3" borderId="1" xfId="1" quotePrefix="1" applyFont="1" applyFill="1" applyBorder="1" applyAlignment="1">
      <alignment horizontal="right" vertical="center"/>
    </xf>
    <xf numFmtId="43" fontId="3" fillId="3" borderId="1" xfId="1" quotePrefix="1" applyFont="1" applyFill="1" applyBorder="1" applyAlignment="1">
      <alignment horizontal="center" vertical="center"/>
    </xf>
    <xf numFmtId="0" fontId="3" fillId="3" borderId="1" xfId="0" quotePrefix="1" applyFont="1" applyFill="1" applyBorder="1"/>
    <xf numFmtId="4" fontId="3" fillId="3" borderId="1" xfId="0" quotePrefix="1" applyNumberFormat="1" applyFont="1" applyFill="1" applyBorder="1" applyAlignment="1">
      <alignment horizontal="center"/>
    </xf>
    <xf numFmtId="4" fontId="3" fillId="3" borderId="1" xfId="0" quotePrefix="1" applyNumberFormat="1" applyFont="1" applyFill="1" applyBorder="1"/>
    <xf numFmtId="0" fontId="3" fillId="3" borderId="1" xfId="0" quotePrefix="1" applyFont="1" applyFill="1" applyBorder="1" applyAlignment="1">
      <alignment vertical="center"/>
    </xf>
    <xf numFmtId="2" fontId="3" fillId="3" borderId="1" xfId="0" quotePrefix="1" applyNumberFormat="1" applyFont="1" applyFill="1" applyBorder="1" applyAlignment="1">
      <alignment vertical="center"/>
    </xf>
    <xf numFmtId="43" fontId="3" fillId="3" borderId="1" xfId="1" quotePrefix="1" applyFont="1" applyFill="1" applyBorder="1" applyAlignment="1">
      <alignment vertical="center"/>
    </xf>
    <xf numFmtId="0" fontId="3" fillId="3" borderId="1" xfId="0" quotePrefix="1" applyFont="1" applyFill="1" applyBorder="1" applyAlignment="1">
      <alignment horizontal="center" vertical="center"/>
    </xf>
    <xf numFmtId="43" fontId="3" fillId="3" borderId="1" xfId="1" quotePrefix="1" applyFont="1" applyFill="1" applyBorder="1" applyAlignment="1">
      <alignment horizontal="center"/>
    </xf>
    <xf numFmtId="2" fontId="3" fillId="3" borderId="1" xfId="0" quotePrefix="1" applyNumberFormat="1" applyFont="1" applyFill="1" applyBorder="1"/>
    <xf numFmtId="43" fontId="3" fillId="3" borderId="1" xfId="1" quotePrefix="1" applyFont="1" applyFill="1" applyBorder="1" applyAlignment="1">
      <alignment horizontal="right"/>
    </xf>
    <xf numFmtId="2" fontId="3" fillId="3" borderId="1" xfId="0" quotePrefix="1" applyNumberFormat="1" applyFont="1" applyFill="1" applyBorder="1" applyAlignment="1">
      <alignment horizontal="center" vertical="center"/>
    </xf>
    <xf numFmtId="43" fontId="3" fillId="3" borderId="1" xfId="1" quotePrefix="1" applyFont="1" applyFill="1" applyBorder="1"/>
    <xf numFmtId="0" fontId="3" fillId="3" borderId="1" xfId="0" quotePrefix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3" fontId="6" fillId="4" borderId="3" xfId="2" applyNumberFormat="1" applyFont="1" applyFill="1" applyBorder="1" applyAlignment="1">
      <alignment horizontal="left" vertical="top" wrapText="1"/>
    </xf>
    <xf numFmtId="43" fontId="7" fillId="2" borderId="1" xfId="1" applyFont="1" applyFill="1" applyBorder="1" applyAlignment="1">
      <alignment horizontal="center"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43" fontId="6" fillId="2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43" fontId="7" fillId="0" borderId="1" xfId="1" applyFont="1" applyBorder="1" applyAlignment="1">
      <alignment horizontal="center" vertical="center"/>
    </xf>
    <xf numFmtId="43" fontId="7" fillId="0" borderId="1" xfId="1" applyFont="1" applyFill="1" applyBorder="1" applyAlignment="1">
      <alignment horizontal="center" vertical="center"/>
    </xf>
    <xf numFmtId="3" fontId="7" fillId="5" borderId="3" xfId="2" applyNumberFormat="1" applyFont="1" applyFill="1" applyBorder="1" applyAlignment="1">
      <alignment vertical="top" wrapText="1"/>
    </xf>
    <xf numFmtId="4" fontId="7" fillId="5" borderId="1" xfId="2" applyNumberFormat="1" applyFont="1" applyFill="1" applyBorder="1" applyAlignment="1">
      <alignment horizontal="center" vertical="center"/>
    </xf>
    <xf numFmtId="3" fontId="7" fillId="5" borderId="1" xfId="2" applyNumberFormat="1" applyFont="1" applyFill="1" applyBorder="1" applyAlignment="1">
      <alignment horizontal="center" vertical="center"/>
    </xf>
    <xf numFmtId="43" fontId="7" fillId="5" borderId="1" xfId="1" applyFont="1" applyFill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4" fontId="7" fillId="0" borderId="1" xfId="2" applyNumberFormat="1" applyFont="1" applyBorder="1" applyAlignment="1">
      <alignment horizontal="center" vertical="center"/>
    </xf>
    <xf numFmtId="3" fontId="7" fillId="0" borderId="1" xfId="2" applyNumberFormat="1" applyFont="1" applyBorder="1" applyAlignment="1">
      <alignment horizontal="center" vertical="center"/>
    </xf>
    <xf numFmtId="3" fontId="7" fillId="5" borderId="3" xfId="2" applyNumberFormat="1" applyFont="1" applyFill="1" applyBorder="1" applyAlignment="1">
      <alignment vertical="top"/>
    </xf>
    <xf numFmtId="4" fontId="7" fillId="0" borderId="1" xfId="1" applyNumberFormat="1" applyFont="1" applyBorder="1" applyAlignment="1">
      <alignment horizontal="center" vertical="center"/>
    </xf>
    <xf numFmtId="4" fontId="7" fillId="5" borderId="1" xfId="1" applyNumberFormat="1" applyFont="1" applyFill="1" applyBorder="1" applyAlignment="1">
      <alignment horizontal="center" vertical="center"/>
    </xf>
    <xf numFmtId="3" fontId="6" fillId="4" borderId="3" xfId="2" applyNumberFormat="1" applyFont="1" applyFill="1" applyBorder="1" applyAlignment="1">
      <alignment vertical="top" wrapText="1"/>
    </xf>
    <xf numFmtId="164" fontId="7" fillId="5" borderId="1" xfId="2" applyNumberFormat="1" applyFont="1" applyFill="1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43" fontId="7" fillId="0" borderId="0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3" fontId="9" fillId="2" borderId="1" xfId="1" applyFont="1" applyFill="1" applyBorder="1" applyAlignment="1">
      <alignment horizontal="center" vertical="center" wrapText="1"/>
    </xf>
    <xf numFmtId="0" fontId="3" fillId="3" borderId="8" xfId="0" quotePrefix="1" applyFont="1" applyFill="1" applyBorder="1" applyAlignment="1">
      <alignment horizontal="left"/>
    </xf>
    <xf numFmtId="0" fontId="3" fillId="3" borderId="2" xfId="0" quotePrefix="1" applyFont="1" applyFill="1" applyBorder="1" applyAlignment="1">
      <alignment horizontal="left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2" fontId="7" fillId="6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</cellXfs>
  <cellStyles count="3">
    <cellStyle name="Milliers" xfId="1" builtinId="3"/>
    <cellStyle name="Normal" xfId="0" builtinId="0"/>
    <cellStyle name="Normal_avec reprise ESTIMATION LOT 1A v1" xfId="2" xr:uid="{DEF4C798-D5EB-4B13-BD26-E5AC48516F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IR Mehdi" id="{53606A57-B451-4B6A-942F-6FF38633702C}" userId="S::mehdi.tir@egis-group.com::a7fcfa9f-8051-4c8a-8c42-4e63cb2853a3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13" dT="2024-06-10T09:19:57.37" personId="{53606A57-B451-4B6A-942F-6FF38633702C}" id="{F2F81643-73C4-4B1C-BCB5-11D0E3F36F95}">
    <text>Tendance Centrale</text>
  </threadedComment>
  <threadedComment ref="AQ16" dT="2024-04-11T15:21:37.81" personId="{53606A57-B451-4B6A-942F-6FF38633702C}" id="{3F01D154-46A8-4609-84A0-371D302E6DAD}">
    <text>Part à charge FERIEL non récupéré au compte prorata uniquement</text>
  </threadedComment>
  <threadedComment ref="Y33" dT="2024-04-16T13:58:56.12" personId="{53606A57-B451-4B6A-942F-6FF38633702C}" id="{5453D4A7-116A-49E8-AAEF-EDE85042C739}">
    <text>Synthèse + Etudes BIM</text>
  </threadedComment>
  <threadedComment ref="AN34" dT="2024-04-11T13:59:56.19" personId="{53606A57-B451-4B6A-942F-6FF38633702C}" id="{558DB79F-0C4C-4034-BC3B-5372D6382F47}">
    <text>Livret n°15.1 &amp; 16</text>
  </threadedComment>
  <threadedComment ref="AQ34" dT="2024-04-11T15:28:16.31" personId="{53606A57-B451-4B6A-942F-6FF38633702C}" id="{1C204484-DE0D-4678-AE5C-2C19609A5FEC}">
    <text>Livret n° 15.1+16</text>
  </threadedComment>
  <threadedComment ref="AT34" dT="2024-04-12T07:28:51.41" personId="{53606A57-B451-4B6A-942F-6FF38633702C}" id="{1F974088-7125-4996-A77C-D942716BDDA1}">
    <text>Livret 15.1 = 62497.10
Livret 16 = 21416.50</text>
  </threadedComment>
  <threadedComment ref="AW34" dT="2024-04-12T08:01:14.73" personId="{53606A57-B451-4B6A-942F-6FF38633702C}" id="{979F9181-4A80-46D1-B42A-8F0FFFFA529E}">
    <text>Livret n°15.1+16</text>
  </threadedComment>
  <threadedComment ref="AZ34" dT="2024-04-12T12:13:36.39" personId="{53606A57-B451-4B6A-942F-6FF38633702C}" id="{726DA64E-3D7E-42A9-83F9-30E3D051F70D}">
    <text>Livret n° 15.1 &amp; 16</text>
  </threadedComment>
  <threadedComment ref="BC34" dT="2024-04-15T13:46:49.35" personId="{53606A57-B451-4B6A-942F-6FF38633702C}" id="{004F0891-CD72-4FE1-98FC-56B81EC6FE76}">
    <text>Livrent n° 15.1 &amp; 16</text>
  </threadedComment>
  <threadedComment ref="BF34" dT="2024-04-15T15:24:42.67" personId="{53606A57-B451-4B6A-942F-6FF38633702C}" id="{F71E46C4-5EFD-4F91-93C6-B515A9F795C2}">
    <text>Livret n° 15.1 &amp; 16</text>
  </threadedComment>
  <threadedComment ref="BI34" dT="2024-04-16T07:22:21.63" personId="{53606A57-B451-4B6A-942F-6FF38633702C}" id="{0D78FAF2-C1AC-4ACA-B9B5-CBC6E1A94B84}">
    <text>Livrent 15.1 &amp; 16</text>
  </threadedComment>
  <threadedComment ref="BL34" dT="2024-04-16T07:51:47.93" personId="{53606A57-B451-4B6A-942F-6FF38633702C}" id="{7D6EABEE-3C5B-4396-A9B8-E7351022918C}">
    <text>Livret n° 15.1 &amp; 16</text>
  </threadedComment>
  <threadedComment ref="BO34" dT="2024-04-16T08:22:20.32" personId="{53606A57-B451-4B6A-942F-6FF38633702C}" id="{734B07FA-494F-48BB-9501-FCE987129ACB}">
    <text>Livret n° 15.1 &amp; 16</text>
  </threadedComment>
  <threadedComment ref="BU34" dT="2024-04-16T12:10:19.75" personId="{53606A57-B451-4B6A-942F-6FF38633702C}" id="{B6B4516F-0D6F-4E94-88EA-740815CB080D}">
    <text>Livret n° 15.1 &amp; 16</text>
  </threadedComment>
  <threadedComment ref="BX34" dT="2024-04-16T13:16:23.14" personId="{53606A57-B451-4B6A-942F-6FF38633702C}" id="{1C80B5D7-5681-4D67-9EAC-FBE8EF345BA0}">
    <text>Livret n° 2.1/3.1/3.2/4.1/5.1/5.2/6/7/8/9/10/11.1/11.2/12/13/14/15.1/15.2/16/17/18</text>
  </threadedComment>
  <threadedComment ref="CA34" dT="2024-04-17T12:31:08.16" personId="{53606A57-B451-4B6A-942F-6FF38633702C}" id="{EF27787B-1A3D-4241-B114-97C6C02A306A}">
    <text>Livret N° : 2.1/3.1/7/11.1/14/15.1/16/17/18</text>
  </threadedComment>
  <threadedComment ref="CJ34" dT="2024-04-17T14:37:15.74" personId="{53606A57-B451-4B6A-942F-6FF38633702C}" id="{1C72E7D7-E990-4159-B69A-5AE665053934}">
    <text>Livret n° : 2.1/3.1/7/11.1/14/15.1/16/17/18</text>
  </threadedComment>
  <threadedComment ref="AN36" dT="2024-04-11T14:02:28.49" personId="{53606A57-B451-4B6A-942F-6FF38633702C}" id="{A343ACF4-DF01-4F3C-B4B5-C234CBCA8F2A}">
    <text>yc lot 20 (4037€)</text>
  </threadedComment>
  <threadedComment ref="AQ36" dT="2024-04-11T15:30:54.40" personId="{53606A57-B451-4B6A-942F-6FF38633702C}" id="{784480E6-9DC3-4796-A69C-A2DF9B8B6C14}">
    <text>Yc lot 20 (4037€)</text>
  </threadedComment>
  <threadedComment ref="AT36" dT="2024-04-12T07:31:29.66" personId="{53606A57-B451-4B6A-942F-6FF38633702C}" id="{5746B587-F413-4365-8DDF-B2421C3334D0}">
    <text>+ lot20 = 4037€</text>
  </threadedComment>
  <threadedComment ref="AW36" dT="2024-04-12T08:02:49.78" personId="{53606A57-B451-4B6A-942F-6FF38633702C}" id="{CD64E304-9DBC-4D4D-A71E-72F9006794F2}">
    <text>Lot 20</text>
  </threadedComment>
  <threadedComment ref="AZ36" dT="2024-04-12T12:14:50.06" personId="{53606A57-B451-4B6A-942F-6FF38633702C}" id="{4228DAC1-C843-4963-A362-6798C26B1097}">
    <text>Yc lot 20 (4037€)</text>
  </threadedComment>
  <threadedComment ref="BC36" dT="2024-04-15T13:47:42.59" personId="{53606A57-B451-4B6A-942F-6FF38633702C}" id="{21BF5406-A71E-4491-A089-25EACBB97AC6}">
    <text>Lot 20</text>
  </threadedComment>
  <threadedComment ref="BF36" dT="2024-04-15T15:25:41.25" personId="{53606A57-B451-4B6A-942F-6FF38633702C}" id="{04169117-E243-4A30-9012-2FB55AAA3A02}">
    <text>Yc lot 20</text>
  </threadedComment>
  <threadedComment ref="BI36" dT="2024-04-16T07:23:18.09" personId="{53606A57-B451-4B6A-942F-6FF38633702C}" id="{E66F5132-32E9-45EA-8F43-A075965A7C60}">
    <text>Yc lot 20 : 4031.50</text>
  </threadedComment>
  <threadedComment ref="BL36" dT="2024-04-16T07:53:43.99" personId="{53606A57-B451-4B6A-942F-6FF38633702C}" id="{0710B27A-0C66-4D24-A1F3-0EBC11874AC1}">
    <text>Yc lot 20</text>
  </threadedComment>
  <threadedComment ref="BR36" dT="2024-04-16T08:42:42.28" personId="{53606A57-B451-4B6A-942F-6FF38633702C}" id="{8A4DA6EF-CAC1-4A5C-A75F-6783A14A41A8}">
    <text>Yc lot 20 : 4031.45</text>
  </threadedComment>
  <threadedComment ref="BU36" dT="2024-04-16T12:09:55.77" personId="{53606A57-B451-4B6A-942F-6FF38633702C}" id="{E309D312-C224-419E-A31F-AA149F6FC81D}">
    <text>Yc lot 20</text>
  </threadedComment>
  <threadedComment ref="AN46" dT="2024-04-11T14:15:31.16" personId="{53606A57-B451-4B6A-942F-6FF38633702C}" id="{38C6DEE2-0F79-4E9E-99D5-E6DC197A25E4}">
    <text>Locaux de service électriques
L16= 6307.90
L14= 6307.90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2:CK50"/>
  <sheetViews>
    <sheetView tabSelected="1" workbookViewId="0">
      <selection activeCell="L7" sqref="L7"/>
    </sheetView>
  </sheetViews>
  <sheetFormatPr baseColWidth="10" defaultColWidth="8.7265625" defaultRowHeight="14.5" x14ac:dyDescent="0.35"/>
  <cols>
    <col min="1" max="1" width="10.453125" bestFit="1" customWidth="1"/>
    <col min="2" max="2" width="29.7265625" bestFit="1" customWidth="1"/>
    <col min="3" max="3" width="12.08984375" bestFit="1" customWidth="1"/>
    <col min="4" max="7" width="11.54296875" bestFit="1" customWidth="1"/>
    <col min="8" max="8" width="10.7265625" customWidth="1"/>
    <col min="9" max="9" width="4.453125" bestFit="1" customWidth="1"/>
    <col min="10" max="10" width="13.36328125" customWidth="1"/>
    <col min="11" max="11" width="4.453125" bestFit="1" customWidth="1"/>
    <col min="12" max="12" width="13.36328125" customWidth="1"/>
    <col min="13" max="13" width="4.453125" bestFit="1" customWidth="1"/>
    <col min="14" max="14" width="13.36328125" customWidth="1"/>
    <col min="15" max="15" width="4.453125" bestFit="1" customWidth="1"/>
    <col min="16" max="16" width="13.36328125" customWidth="1"/>
    <col min="17" max="17" width="4.453125" bestFit="1" customWidth="1"/>
    <col min="18" max="18" width="13.36328125" customWidth="1"/>
    <col min="19" max="19" width="12" customWidth="1"/>
    <col min="22" max="22" width="13.453125" customWidth="1"/>
    <col min="25" max="25" width="11.453125" customWidth="1"/>
    <col min="28" max="28" width="9.36328125" bestFit="1" customWidth="1"/>
    <col min="31" max="31" width="9.36328125" bestFit="1" customWidth="1"/>
    <col min="34" max="34" width="9.36328125" bestFit="1" customWidth="1"/>
    <col min="37" max="37" width="11.81640625" bestFit="1" customWidth="1"/>
    <col min="40" max="40" width="11.81640625" bestFit="1" customWidth="1"/>
    <col min="43" max="43" width="10.453125" bestFit="1" customWidth="1"/>
    <col min="46" max="46" width="11.81640625" bestFit="1" customWidth="1"/>
    <col min="49" max="49" width="10.453125" bestFit="1" customWidth="1"/>
    <col min="52" max="52" width="9.36328125" bestFit="1" customWidth="1"/>
    <col min="55" max="55" width="10.7265625" bestFit="1" customWidth="1"/>
    <col min="58" max="58" width="10.7265625" bestFit="1" customWidth="1"/>
    <col min="60" max="60" width="6.26953125" bestFit="1" customWidth="1"/>
    <col min="61" max="61" width="11.81640625" bestFit="1" customWidth="1"/>
    <col min="63" max="63" width="5.1796875" bestFit="1" customWidth="1"/>
    <col min="64" max="64" width="11.81640625" bestFit="1" customWidth="1"/>
    <col min="67" max="67" width="10.7265625" bestFit="1" customWidth="1"/>
    <col min="70" max="70" width="9.36328125" bestFit="1" customWidth="1"/>
    <col min="73" max="73" width="11.81640625" bestFit="1" customWidth="1"/>
    <col min="76" max="76" width="14.81640625" bestFit="1" customWidth="1"/>
    <col min="79" max="79" width="11.54296875" bestFit="1" customWidth="1"/>
    <col min="82" max="82" width="12.6328125" bestFit="1" customWidth="1"/>
    <col min="85" max="85" width="12.6328125" bestFit="1" customWidth="1"/>
    <col min="88" max="88" width="12.6328125" bestFit="1" customWidth="1"/>
  </cols>
  <sheetData>
    <row r="12" spans="1:88" x14ac:dyDescent="0.35">
      <c r="I12" s="65"/>
      <c r="J12" s="65" t="s">
        <v>63</v>
      </c>
      <c r="K12" s="65"/>
      <c r="L12" s="66">
        <v>0.25</v>
      </c>
      <c r="M12" s="65"/>
      <c r="N12" s="66">
        <v>0.5</v>
      </c>
      <c r="O12" s="65"/>
      <c r="P12" s="66">
        <v>0.75</v>
      </c>
      <c r="Q12" s="65"/>
      <c r="R12" s="65" t="s">
        <v>64</v>
      </c>
    </row>
    <row r="13" spans="1:88" s="56" customFormat="1" ht="43.5" x14ac:dyDescent="0.35">
      <c r="A13" s="2" t="s">
        <v>0</v>
      </c>
      <c r="B13" s="52" t="s">
        <v>1</v>
      </c>
      <c r="C13" s="1" t="s">
        <v>62</v>
      </c>
      <c r="D13" s="1" t="s">
        <v>2</v>
      </c>
      <c r="E13" s="1" t="s">
        <v>3</v>
      </c>
      <c r="F13" s="1" t="s">
        <v>4</v>
      </c>
      <c r="G13" s="1" t="s">
        <v>5</v>
      </c>
      <c r="H13" s="1" t="s">
        <v>6</v>
      </c>
      <c r="I13" s="57" t="s">
        <v>9</v>
      </c>
      <c r="J13" s="1" t="s">
        <v>57</v>
      </c>
      <c r="K13" s="57" t="s">
        <v>9</v>
      </c>
      <c r="L13" s="1" t="s">
        <v>58</v>
      </c>
      <c r="M13" s="57" t="s">
        <v>9</v>
      </c>
      <c r="N13" s="1" t="s">
        <v>59</v>
      </c>
      <c r="O13" s="57" t="s">
        <v>9</v>
      </c>
      <c r="P13" s="1" t="s">
        <v>60</v>
      </c>
      <c r="Q13" s="57" t="s">
        <v>9</v>
      </c>
      <c r="R13" s="1" t="s">
        <v>61</v>
      </c>
      <c r="S13" s="1" t="s">
        <v>7</v>
      </c>
      <c r="T13" s="2" t="s">
        <v>8</v>
      </c>
      <c r="U13" s="3" t="s">
        <v>9</v>
      </c>
      <c r="V13" s="3" t="s">
        <v>10</v>
      </c>
      <c r="W13" s="2" t="s">
        <v>8</v>
      </c>
      <c r="X13" s="3" t="s">
        <v>9</v>
      </c>
      <c r="Y13" s="3" t="s">
        <v>10</v>
      </c>
      <c r="Z13" s="2" t="s">
        <v>8</v>
      </c>
      <c r="AA13" s="3" t="s">
        <v>9</v>
      </c>
      <c r="AB13" s="3" t="s">
        <v>10</v>
      </c>
      <c r="AC13" s="2" t="s">
        <v>8</v>
      </c>
      <c r="AD13" s="3" t="s">
        <v>9</v>
      </c>
      <c r="AE13" s="3" t="s">
        <v>10</v>
      </c>
      <c r="AF13" s="2" t="s">
        <v>8</v>
      </c>
      <c r="AG13" s="3" t="s">
        <v>9</v>
      </c>
      <c r="AH13" s="3" t="s">
        <v>10</v>
      </c>
      <c r="AI13" s="4" t="s">
        <v>8</v>
      </c>
      <c r="AJ13" s="5" t="s">
        <v>9</v>
      </c>
      <c r="AK13" s="6" t="s">
        <v>10</v>
      </c>
      <c r="AL13" s="7" t="s">
        <v>8</v>
      </c>
      <c r="AM13" s="10" t="s">
        <v>9</v>
      </c>
      <c r="AN13" s="8" t="s">
        <v>10</v>
      </c>
      <c r="AO13" s="4" t="s">
        <v>8</v>
      </c>
      <c r="AP13" s="5" t="s">
        <v>9</v>
      </c>
      <c r="AQ13" s="6" t="s">
        <v>10</v>
      </c>
      <c r="AR13" s="7" t="s">
        <v>8</v>
      </c>
      <c r="AS13" s="5" t="s">
        <v>9</v>
      </c>
      <c r="AT13" s="8" t="s">
        <v>10</v>
      </c>
      <c r="AU13" s="4" t="s">
        <v>8</v>
      </c>
      <c r="AV13" s="5" t="s">
        <v>9</v>
      </c>
      <c r="AW13" s="6" t="s">
        <v>10</v>
      </c>
      <c r="AX13" s="7" t="s">
        <v>8</v>
      </c>
      <c r="AY13" s="5" t="s">
        <v>9</v>
      </c>
      <c r="AZ13" s="53" t="s">
        <v>10</v>
      </c>
      <c r="BA13" s="54" t="s">
        <v>8</v>
      </c>
      <c r="BB13" s="5" t="s">
        <v>9</v>
      </c>
      <c r="BC13" s="5" t="s">
        <v>10</v>
      </c>
      <c r="BD13" s="2" t="s">
        <v>8</v>
      </c>
      <c r="BE13" s="5" t="s">
        <v>9</v>
      </c>
      <c r="BF13" s="5" t="s">
        <v>10</v>
      </c>
      <c r="BG13" s="2" t="s">
        <v>8</v>
      </c>
      <c r="BH13" s="10" t="s">
        <v>9</v>
      </c>
      <c r="BI13" s="55" t="s">
        <v>10</v>
      </c>
      <c r="BJ13" s="2" t="s">
        <v>8</v>
      </c>
      <c r="BK13" s="5" t="s">
        <v>9</v>
      </c>
      <c r="BL13" s="10" t="s">
        <v>10</v>
      </c>
      <c r="BM13" s="2" t="s">
        <v>8</v>
      </c>
      <c r="BN13" s="5" t="s">
        <v>9</v>
      </c>
      <c r="BO13" s="5" t="s">
        <v>10</v>
      </c>
      <c r="BP13" s="2" t="s">
        <v>8</v>
      </c>
      <c r="BQ13" s="5" t="s">
        <v>9</v>
      </c>
      <c r="BR13" s="5" t="s">
        <v>10</v>
      </c>
      <c r="BS13" s="2" t="s">
        <v>8</v>
      </c>
      <c r="BT13" s="5" t="s">
        <v>9</v>
      </c>
      <c r="BU13" s="6" t="s">
        <v>10</v>
      </c>
      <c r="BV13" s="54" t="s">
        <v>8</v>
      </c>
      <c r="BW13" s="5" t="s">
        <v>9</v>
      </c>
      <c r="BX13" s="8" t="s">
        <v>10</v>
      </c>
      <c r="BY13" s="9" t="s">
        <v>8</v>
      </c>
      <c r="BZ13" s="5" t="s">
        <v>9</v>
      </c>
      <c r="CA13" s="10" t="s">
        <v>10</v>
      </c>
      <c r="CB13" s="2" t="s">
        <v>8</v>
      </c>
      <c r="CC13" s="5" t="s">
        <v>9</v>
      </c>
      <c r="CD13" s="10" t="s">
        <v>10</v>
      </c>
      <c r="CE13" s="2" t="s">
        <v>8</v>
      </c>
      <c r="CF13" s="5" t="s">
        <v>9</v>
      </c>
      <c r="CG13" s="10" t="s">
        <v>10</v>
      </c>
      <c r="CH13" s="2" t="s">
        <v>8</v>
      </c>
      <c r="CI13" s="5" t="s">
        <v>9</v>
      </c>
      <c r="CJ13" s="11" t="s">
        <v>10</v>
      </c>
    </row>
    <row r="14" spans="1:88" x14ac:dyDescent="0.35">
      <c r="A14" s="58" t="s">
        <v>11</v>
      </c>
      <c r="B14" s="59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4"/>
      <c r="T14" s="15"/>
      <c r="U14" s="16"/>
      <c r="V14" s="17"/>
      <c r="W14" s="15"/>
      <c r="X14" s="17"/>
      <c r="Y14" s="17"/>
      <c r="Z14" s="15"/>
      <c r="AA14" s="17"/>
      <c r="AB14" s="17"/>
      <c r="AC14" s="15"/>
      <c r="AD14" s="17"/>
      <c r="AE14" s="17"/>
      <c r="AF14" s="15"/>
      <c r="AG14" s="17"/>
      <c r="AH14" s="17"/>
      <c r="AI14" s="18"/>
      <c r="AJ14" s="19"/>
      <c r="AK14" s="20"/>
      <c r="AL14" s="21"/>
      <c r="AM14" s="22"/>
      <c r="AN14" s="13"/>
      <c r="AO14" s="15"/>
      <c r="AP14" s="23"/>
      <c r="AQ14" s="24"/>
      <c r="AR14" s="21"/>
      <c r="AS14" s="25"/>
      <c r="AT14" s="20"/>
      <c r="AU14" s="15"/>
      <c r="AV14" s="23"/>
      <c r="AW14" s="26"/>
      <c r="AX14" s="15"/>
      <c r="AY14" s="23"/>
      <c r="AZ14" s="23"/>
      <c r="BA14" s="15"/>
      <c r="BB14" s="23"/>
      <c r="BC14" s="15"/>
      <c r="BD14" s="15"/>
      <c r="BE14" s="15"/>
      <c r="BF14" s="15"/>
      <c r="BG14" s="15"/>
      <c r="BH14" s="26"/>
      <c r="BI14" s="26"/>
      <c r="BJ14" s="15"/>
      <c r="BK14" s="15"/>
      <c r="BL14" s="26"/>
      <c r="BM14" s="15"/>
      <c r="BN14" s="15"/>
      <c r="BO14" s="15"/>
      <c r="BP14" s="15"/>
      <c r="BQ14" s="15"/>
      <c r="BR14" s="15"/>
      <c r="BS14" s="15"/>
      <c r="BT14" s="15"/>
      <c r="BU14" s="26"/>
      <c r="BV14" s="15"/>
      <c r="BW14" s="27"/>
      <c r="BX14" s="14"/>
      <c r="BY14" s="14"/>
      <c r="BZ14" s="27"/>
      <c r="CA14" s="26"/>
      <c r="CB14" s="21"/>
      <c r="CC14" s="21"/>
      <c r="CD14" s="14"/>
      <c r="CE14" s="21"/>
      <c r="CF14" s="21"/>
      <c r="CG14" s="14"/>
      <c r="CH14" s="21"/>
      <c r="CI14" s="21"/>
      <c r="CJ14" s="14"/>
    </row>
    <row r="15" spans="1:88" ht="14.5" customHeight="1" x14ac:dyDescent="0.35">
      <c r="A15" s="28" t="s">
        <v>12</v>
      </c>
      <c r="B15" s="29" t="s">
        <v>13</v>
      </c>
      <c r="C15" s="30" cm="1">
        <f t="array" ref="C15">COUNT(_xlfn._xlws.FILTER(T15:CJ15,($T$13:$CJ$13="P.U")*(ISNUMBER(T15:CJ15)),""))</f>
        <v>0</v>
      </c>
      <c r="D15" s="30">
        <f>_xlfn.MINIFS(15:15,$13:$13,"P.U")</f>
        <v>0</v>
      </c>
      <c r="E15" s="30" t="str">
        <f>IFERROR(AVERAGEIFS(15:15,$13:$13,"P.U"), "-")</f>
        <v>-</v>
      </c>
      <c r="F15" s="30" t="str" cm="1">
        <f t="array" ref="F15">IFERROR(MEDIAN(_xlfn._xlws.FILTER($V15:$CJ15,$V$13:$CJ$13="P.U")),"-")</f>
        <v>-</v>
      </c>
      <c r="G15" s="30" t="str" cm="1">
        <f t="array" ref="G15">IFERROR(_xlfn.STDEV.P(_xlfn._xlws.FILTER($V15:$CJ15,$V$13:$CJ$13="P.U")),"-")</f>
        <v>-</v>
      </c>
      <c r="H15" s="31" t="str">
        <f>IFERROR(($G15/$E15),"0")</f>
        <v>0</v>
      </c>
      <c r="I15" s="64"/>
      <c r="J15" s="31" t="str" cm="1">
        <f t="array" ref="J15">IFERROR(_xlfn.QUARTILE.INC(_xlfn._xlws.FILTER($W15:$CK15,$W$13:$CK$13="P.U"),0),"-")</f>
        <v>-</v>
      </c>
      <c r="K15" s="64"/>
      <c r="L15" s="31" t="str" cm="1">
        <f t="array" ref="L15">IFERROR(_xlfn.QUARTILE.INC(_xlfn._xlws.FILTER($W15:$CK15,$W$13:$CK$13="P.U"),1),"-")</f>
        <v>-</v>
      </c>
      <c r="M15" s="64"/>
      <c r="N15" s="31" t="str" cm="1">
        <f t="array" ref="N15">IFERROR(_xlfn.QUARTILE.INC(_xlfn._xlws.FILTER($W15:$CK15,$W$13:$CK$13="P.U"),2),"-")</f>
        <v>-</v>
      </c>
      <c r="O15" s="64"/>
      <c r="P15" s="31" t="str" cm="1">
        <f t="array" ref="P15">IFERROR(_xlfn.QUARTILE.INC(_xlfn._xlws.FILTER($W15:$CK15,$W$13:$CK$13="P.U"),3),"-")</f>
        <v>-</v>
      </c>
      <c r="Q15" s="64"/>
      <c r="R15" s="31" t="str" cm="1">
        <f t="array" ref="R15">IFERROR(_xlfn.QUARTILE.INC(_xlfn._xlws.FILTER($W15:$CK15,$W$13:$CK$13="P.U"),4),"-")</f>
        <v>-</v>
      </c>
      <c r="S15" s="32" t="str" cm="1">
        <f t="array" ref="S15">_xlfn.LET(_xlpm.p,_xlfn.UNIQUE(_xlfn._xlws.FILTER(T15:CH15,$T$13:$CH$13="U"),1),_xlpm.f,_xlfn._xlws.FILTER(_xlpm.p,_xlpm.p&lt;&gt;"",""),IF(COUNTA(_xlpm.f)=1,_xlpm.f,"différentes"))</f>
        <v/>
      </c>
      <c r="T15" s="33"/>
      <c r="U15" s="34"/>
      <c r="V15" s="34"/>
      <c r="W15" s="33"/>
      <c r="X15" s="34"/>
      <c r="Y15" s="34"/>
      <c r="Z15" s="33"/>
      <c r="AA15" s="34"/>
      <c r="AB15" s="34"/>
      <c r="AC15" s="33"/>
      <c r="AD15" s="34"/>
      <c r="AE15" s="34"/>
      <c r="AF15" s="33"/>
      <c r="AG15" s="34"/>
      <c r="AH15" s="34"/>
      <c r="AI15" s="33"/>
      <c r="AJ15" s="35"/>
      <c r="AK15" s="36"/>
      <c r="AL15" s="33"/>
      <c r="AM15" s="36"/>
      <c r="AN15" s="36"/>
      <c r="AO15" s="33"/>
      <c r="AP15" s="35"/>
      <c r="AQ15" s="36"/>
      <c r="AR15" s="33"/>
      <c r="AS15" s="35"/>
      <c r="AT15" s="36"/>
      <c r="AU15" s="33"/>
      <c r="AV15" s="35"/>
      <c r="AW15" s="36"/>
      <c r="AX15" s="33"/>
      <c r="AY15" s="35"/>
      <c r="AZ15" s="35"/>
      <c r="BA15" s="33"/>
      <c r="BB15" s="35"/>
      <c r="BC15" s="35"/>
      <c r="BD15" s="35"/>
      <c r="BE15" s="35"/>
      <c r="BF15" s="35"/>
      <c r="BG15" s="35"/>
      <c r="BH15" s="36"/>
      <c r="BI15" s="36"/>
      <c r="BJ15" s="35"/>
      <c r="BK15" s="35"/>
      <c r="BL15" s="36"/>
      <c r="BM15" s="35"/>
      <c r="BN15" s="35"/>
      <c r="BO15" s="35"/>
      <c r="BP15" s="35"/>
      <c r="BQ15" s="35"/>
      <c r="BR15" s="35"/>
      <c r="BS15" s="33"/>
      <c r="BT15" s="35"/>
      <c r="BU15" s="36"/>
      <c r="BV15" s="33"/>
      <c r="BW15" s="35"/>
      <c r="BX15" s="36"/>
      <c r="BY15" s="37"/>
      <c r="BZ15" s="35"/>
      <c r="CA15" s="36"/>
      <c r="CB15" s="35"/>
      <c r="CC15" s="35"/>
      <c r="CD15" s="36"/>
      <c r="CE15" s="35"/>
      <c r="CF15" s="35"/>
      <c r="CG15" s="36"/>
      <c r="CH15" s="33"/>
      <c r="CI15" s="35"/>
      <c r="CJ15" s="36"/>
    </row>
    <row r="16" spans="1:88" x14ac:dyDescent="0.35">
      <c r="A16" s="28" t="s">
        <v>12</v>
      </c>
      <c r="B16" s="38" t="s">
        <v>24</v>
      </c>
      <c r="C16" s="30" cm="1">
        <f t="array" ref="C16">COUNT(_xlfn._xlws.FILTER(T16:CJ16,($T$13:$CJ$13="P.U")*(ISNUMBER(T16:CJ16)),""))</f>
        <v>18</v>
      </c>
      <c r="D16" s="30">
        <f>_xlfn.MINIFS(16:16,$13:$13,"P.U")</f>
        <v>5631.7</v>
      </c>
      <c r="E16" s="30">
        <f>IFERROR(AVERAGEIFS(16:16,$13:$13,"P.U"), "-")</f>
        <v>10602.876066666668</v>
      </c>
      <c r="F16" s="30" cm="1">
        <f t="array" ref="F16">IFERROR(MEDIAN(_xlfn._xlws.FILTER($V16:$CJ16,$V$13:$CJ$13="P.U")),"-")</f>
        <v>10134.818800000001</v>
      </c>
      <c r="G16" s="30" cm="1">
        <f t="array" ref="G16">IFERROR(_xlfn.STDEV.P(_xlfn._xlws.FILTER($V16:$CJ16,$V$13:$CJ$13="P.U")),"-")</f>
        <v>5015.782058859244</v>
      </c>
      <c r="H16" s="31">
        <f t="shared" ref="H16:H50" si="0">IFERROR(($G16/$E16),"0")</f>
        <v>0.47305863308426899</v>
      </c>
      <c r="I16" s="64"/>
      <c r="J16" s="31" cm="1">
        <f t="array" ref="J16">IFERROR(_xlfn.QUARTILE.INC(_xlfn._xlws.FILTER($V16:$CK16,$V$13:$CK$13="P.U"),0),"-")</f>
        <v>5631.7</v>
      </c>
      <c r="K16" s="64"/>
      <c r="L16" s="31" cm="1">
        <f t="array" ref="L16">IFERROR(_xlfn.QUARTILE.INC(_xlfn._xlws.FILTER($V16:$CK16,$V$13:$CK$13="P.U"),1),"-")</f>
        <v>8484.6</v>
      </c>
      <c r="M16" s="64"/>
      <c r="N16" s="31" cm="1">
        <f t="array" ref="N16">IFERROR(_xlfn.QUARTILE.INC(_xlfn._xlws.FILTER($V16:$CK16,$V$13:$CK$13="P.U"),2),"-")</f>
        <v>10134.818800000001</v>
      </c>
      <c r="O16" s="64"/>
      <c r="P16" s="31" cm="1">
        <f t="array" ref="P16">IFERROR(_xlfn.QUARTILE.INC(_xlfn._xlws.FILTER($V16:$CK16,$V$13:$CK$13="P.U"),3),"-")</f>
        <v>11406.609400000001</v>
      </c>
      <c r="Q16" s="64"/>
      <c r="R16" s="31" cm="1">
        <f t="array" ref="R16">IFERROR(_xlfn.QUARTILE.INC(_xlfn._xlws.FILTER($V16:$CK16,$V$13:$CK$13="P.U"),4),"-")</f>
        <v>29754.1188</v>
      </c>
      <c r="S16" s="32" t="str" cm="1">
        <f t="array" ref="S16">_xlfn.LET(_xlpm.p,_xlfn.UNIQUE(_xlfn._xlws.FILTER(T16:CH16,$T$13:$CH$13="U"),1),_xlpm.f,_xlfn._xlws.FILTER(_xlpm.p,_xlpm.p&lt;&gt;"",""),IF(COUNTA(_xlpm.f)=1,_xlpm.f,"différentes"))</f>
        <v>mois</v>
      </c>
      <c r="T16" s="33" t="s">
        <v>14</v>
      </c>
      <c r="U16" s="34">
        <v>14</v>
      </c>
      <c r="V16" s="39">
        <v>29754.1188</v>
      </c>
      <c r="W16" s="40" t="s">
        <v>14</v>
      </c>
      <c r="X16" s="34">
        <v>17</v>
      </c>
      <c r="Y16" s="39">
        <v>10333.837600000001</v>
      </c>
      <c r="Z16" s="40" t="s">
        <v>14</v>
      </c>
      <c r="AA16" s="39">
        <v>11</v>
      </c>
      <c r="AB16" s="39">
        <v>10333.837600000001</v>
      </c>
      <c r="AC16" s="40" t="s">
        <v>14</v>
      </c>
      <c r="AD16" s="39">
        <v>17</v>
      </c>
      <c r="AE16" s="39">
        <v>10333.837600000001</v>
      </c>
      <c r="AF16" s="39" t="s">
        <v>14</v>
      </c>
      <c r="AG16" s="39">
        <v>12</v>
      </c>
      <c r="AH16" s="39">
        <v>10333.837600000001</v>
      </c>
      <c r="AI16" s="33" t="s">
        <v>14</v>
      </c>
      <c r="AJ16" s="35">
        <v>34</v>
      </c>
      <c r="AK16" s="41">
        <v>12548.5</v>
      </c>
      <c r="AL16" s="33" t="s">
        <v>14</v>
      </c>
      <c r="AM16" s="41">
        <v>22</v>
      </c>
      <c r="AN16" s="41">
        <v>11764.2</v>
      </c>
      <c r="AO16" s="33" t="s">
        <v>14</v>
      </c>
      <c r="AP16" s="35">
        <v>11</v>
      </c>
      <c r="AQ16" s="41">
        <v>11764.2</v>
      </c>
      <c r="AR16" s="33" t="s">
        <v>14</v>
      </c>
      <c r="AS16" s="35">
        <v>24</v>
      </c>
      <c r="AT16" s="41">
        <v>11764.2</v>
      </c>
      <c r="AU16" s="33" t="s">
        <v>14</v>
      </c>
      <c r="AV16" s="35">
        <v>32</v>
      </c>
      <c r="AW16" s="41">
        <v>9029.7000000000007</v>
      </c>
      <c r="AX16" s="33" t="s">
        <v>14</v>
      </c>
      <c r="AY16" s="40">
        <v>28</v>
      </c>
      <c r="AZ16" s="39">
        <v>7524.8</v>
      </c>
      <c r="BA16" s="33" t="s">
        <v>14</v>
      </c>
      <c r="BB16" s="35">
        <v>17</v>
      </c>
      <c r="BC16" s="39">
        <v>9935.7999999999993</v>
      </c>
      <c r="BD16" s="35" t="s">
        <v>14</v>
      </c>
      <c r="BE16" s="35">
        <v>25</v>
      </c>
      <c r="BF16" s="39">
        <v>8560.7999999999993</v>
      </c>
      <c r="BG16" s="35" t="s">
        <v>14</v>
      </c>
      <c r="BH16" s="36">
        <v>12</v>
      </c>
      <c r="BI16" s="41">
        <v>5631.7</v>
      </c>
      <c r="BJ16" s="35" t="s">
        <v>14</v>
      </c>
      <c r="BK16" s="35">
        <v>18</v>
      </c>
      <c r="BL16" s="41">
        <v>8484.6</v>
      </c>
      <c r="BM16" s="35" t="s">
        <v>14</v>
      </c>
      <c r="BN16" s="35">
        <v>24</v>
      </c>
      <c r="BO16" s="39">
        <v>8484.6</v>
      </c>
      <c r="BP16" s="35" t="s">
        <v>14</v>
      </c>
      <c r="BQ16" s="35">
        <v>12</v>
      </c>
      <c r="BR16" s="35">
        <v>5784.6</v>
      </c>
      <c r="BS16" s="33" t="s">
        <v>14</v>
      </c>
      <c r="BT16" s="35">
        <v>14</v>
      </c>
      <c r="BU16" s="41">
        <v>8484.6</v>
      </c>
      <c r="BV16" s="40" t="s">
        <v>14</v>
      </c>
      <c r="BW16" s="35">
        <v>27</v>
      </c>
      <c r="BX16" s="36" t="s">
        <v>15</v>
      </c>
      <c r="BY16" s="37" t="s">
        <v>14</v>
      </c>
      <c r="BZ16" s="35">
        <v>26</v>
      </c>
      <c r="CA16" s="35" t="s">
        <v>16</v>
      </c>
      <c r="CB16" s="35" t="s">
        <v>14</v>
      </c>
      <c r="CC16" s="35">
        <v>22</v>
      </c>
      <c r="CD16" s="36" t="s">
        <v>16</v>
      </c>
      <c r="CE16" s="35" t="s">
        <v>14</v>
      </c>
      <c r="CF16" s="39">
        <v>31</v>
      </c>
      <c r="CG16" s="36" t="s">
        <v>16</v>
      </c>
      <c r="CH16" s="42" t="s">
        <v>14</v>
      </c>
      <c r="CI16" s="35">
        <v>1</v>
      </c>
      <c r="CJ16" s="36" t="s">
        <v>16</v>
      </c>
    </row>
    <row r="17" spans="1:88" x14ac:dyDescent="0.35">
      <c r="A17" s="28" t="s">
        <v>12</v>
      </c>
      <c r="B17" s="38" t="s">
        <v>25</v>
      </c>
      <c r="C17" s="30" cm="1">
        <f t="array" ref="C17">COUNT(_xlfn._xlws.FILTER(T17:CJ17,($T$13:$CJ$13="P.U")*(ISNUMBER(T17:CJ17)),""))</f>
        <v>7</v>
      </c>
      <c r="D17" s="30">
        <f>_xlfn.MINIFS(17:17,$13:$13,"P.U")</f>
        <v>5584.6</v>
      </c>
      <c r="E17" s="30">
        <f>IFERROR(AVERAGEIFS(17:17,$13:$13,"P.U"), "-")</f>
        <v>5584.5999999999995</v>
      </c>
      <c r="F17" s="30" cm="1">
        <f t="array" ref="F17">IFERROR(MEDIAN(_xlfn._xlws.FILTER($V17:$CJ17,$V$13:$CJ$13="P.U")),"-")</f>
        <v>5584.6</v>
      </c>
      <c r="G17" s="30" cm="1">
        <f t="array" ref="G17">IFERROR(_xlfn.STDEV.P(_xlfn._xlws.FILTER($V17:$CJ17,$V$13:$CJ$13="P.U")),"-")</f>
        <v>9.0949470177292824E-13</v>
      </c>
      <c r="H17" s="31">
        <f t="shared" si="0"/>
        <v>1.6285762664701649E-16</v>
      </c>
      <c r="I17" s="64"/>
      <c r="J17" s="31" cm="1">
        <f t="array" ref="J17">IFERROR(_xlfn.QUARTILE.INC(_xlfn._xlws.FILTER($V17:$CK17,$V$13:$CK$13="P.U"),0),"-")</f>
        <v>5584.6</v>
      </c>
      <c r="K17" s="64"/>
      <c r="L17" s="31" cm="1">
        <f t="array" ref="L17">IFERROR(_xlfn.QUARTILE.INC(_xlfn._xlws.FILTER($V17:$CK17,$V$13:$CK$13="P.U"),1),"-")</f>
        <v>5584.6</v>
      </c>
      <c r="M17" s="64"/>
      <c r="N17" s="31" cm="1">
        <f t="array" ref="N17">IFERROR(_xlfn.QUARTILE.INC(_xlfn._xlws.FILTER($V17:$CK17,$V$13:$CK$13="P.U"),2),"-")</f>
        <v>5584.6</v>
      </c>
      <c r="O17" s="64"/>
      <c r="P17" s="31" cm="1">
        <f t="array" ref="P17">IFERROR(_xlfn.QUARTILE.INC(_xlfn._xlws.FILTER($V17:$CK17,$V$13:$CK$13="P.U"),3),"-")</f>
        <v>5584.6</v>
      </c>
      <c r="Q17" s="64"/>
      <c r="R17" s="31" cm="1">
        <f t="array" ref="R17">IFERROR(_xlfn.QUARTILE.INC(_xlfn._xlws.FILTER($V17:$CK17,$V$13:$CK$13="P.U"),4),"-")</f>
        <v>5584.6</v>
      </c>
      <c r="S17" s="32" t="str" cm="1">
        <f t="array" ref="S17">_xlfn.LET(_xlpm.p,_xlfn.UNIQUE(_xlfn._xlws.FILTER(T17:CH17,$T$13:$CH$13="U"),1),_xlpm.f,_xlfn._xlws.FILTER(_xlpm.p,_xlpm.p&lt;&gt;"",""),IF(COUNTA(_xlpm.f)=1,_xlpm.f,"différentes"))</f>
        <v>mois</v>
      </c>
      <c r="T17" s="40" t="s">
        <v>14</v>
      </c>
      <c r="U17" s="34"/>
      <c r="V17" s="39"/>
      <c r="W17" s="40"/>
      <c r="X17" s="34"/>
      <c r="Y17" s="39"/>
      <c r="Z17" s="33"/>
      <c r="AA17" s="34"/>
      <c r="AB17" s="34"/>
      <c r="AC17" s="33"/>
      <c r="AD17" s="34"/>
      <c r="AE17" s="34"/>
      <c r="AF17" s="39"/>
      <c r="AG17" s="34"/>
      <c r="AH17" s="34"/>
      <c r="AI17" s="33"/>
      <c r="AJ17" s="35"/>
      <c r="AK17" s="36"/>
      <c r="AL17" s="33"/>
      <c r="AM17" s="36"/>
      <c r="AN17" s="36"/>
      <c r="AO17" s="33"/>
      <c r="AP17" s="35"/>
      <c r="AQ17" s="36"/>
      <c r="AR17" s="33"/>
      <c r="AS17" s="35"/>
      <c r="AT17" s="36"/>
      <c r="AU17" s="33"/>
      <c r="AV17" s="35"/>
      <c r="AW17" s="36"/>
      <c r="AX17" s="33"/>
      <c r="AY17" s="35"/>
      <c r="AZ17" s="35"/>
      <c r="BA17" s="33" t="s">
        <v>14</v>
      </c>
      <c r="BB17" s="35">
        <v>8</v>
      </c>
      <c r="BC17" s="43">
        <v>5584.6</v>
      </c>
      <c r="BD17" s="35" t="s">
        <v>14</v>
      </c>
      <c r="BE17" s="35">
        <v>14</v>
      </c>
      <c r="BF17" s="39">
        <v>5584.6</v>
      </c>
      <c r="BG17" s="35" t="s">
        <v>14</v>
      </c>
      <c r="BH17" s="36">
        <v>7</v>
      </c>
      <c r="BI17" s="41">
        <v>5584.6</v>
      </c>
      <c r="BJ17" s="35" t="s">
        <v>14</v>
      </c>
      <c r="BK17" s="35">
        <v>14</v>
      </c>
      <c r="BL17" s="41">
        <v>5584.6</v>
      </c>
      <c r="BM17" s="35" t="s">
        <v>14</v>
      </c>
      <c r="BN17" s="35">
        <v>12</v>
      </c>
      <c r="BO17" s="39">
        <v>5584.6</v>
      </c>
      <c r="BP17" s="35" t="s">
        <v>14</v>
      </c>
      <c r="BQ17" s="35">
        <v>6</v>
      </c>
      <c r="BR17" s="35">
        <v>5584.6</v>
      </c>
      <c r="BS17" s="33" t="s">
        <v>14</v>
      </c>
      <c r="BT17" s="35">
        <v>8</v>
      </c>
      <c r="BU17" s="41">
        <v>5584.6</v>
      </c>
      <c r="BV17" s="33"/>
      <c r="BW17" s="35"/>
      <c r="BX17" s="36"/>
      <c r="BY17" s="37"/>
      <c r="BZ17" s="35"/>
      <c r="CA17" s="36"/>
      <c r="CB17" s="35"/>
      <c r="CC17" s="35"/>
      <c r="CD17" s="36"/>
      <c r="CE17" s="35"/>
      <c r="CF17" s="35"/>
      <c r="CG17" s="36"/>
      <c r="CH17" s="42"/>
      <c r="CI17" s="35"/>
      <c r="CJ17" s="36"/>
    </row>
    <row r="18" spans="1:88" x14ac:dyDescent="0.35">
      <c r="A18" s="28" t="s">
        <v>12</v>
      </c>
      <c r="B18" s="38" t="s">
        <v>26</v>
      </c>
      <c r="C18" s="30" cm="1">
        <f t="array" ref="C18">COUNT(_xlfn._xlws.FILTER(T18:CJ18,($T$13:$CJ$13="P.U")*(ISNUMBER(T18:CJ18)),""))</f>
        <v>0</v>
      </c>
      <c r="D18" s="30">
        <f>_xlfn.MINIFS(18:18,$13:$13,"P.U")</f>
        <v>0</v>
      </c>
      <c r="E18" s="30" t="str">
        <f>IFERROR(AVERAGEIFS(18:18,$13:$13,"P.U"), "-")</f>
        <v>-</v>
      </c>
      <c r="F18" s="30" t="str" cm="1">
        <f t="array" ref="F18">IFERROR(MEDIAN(_xlfn._xlws.FILTER($V18:$CJ18,$V$13:$CJ$13="P.U")),"-")</f>
        <v>-</v>
      </c>
      <c r="G18" s="30" t="str" cm="1">
        <f t="array" ref="G18">IFERROR(_xlfn.STDEV.P(_xlfn._xlws.FILTER($V18:$CJ18,$V$13:$CJ$13="P.U")),"-")</f>
        <v>-</v>
      </c>
      <c r="H18" s="31" t="str">
        <f t="shared" si="0"/>
        <v>0</v>
      </c>
      <c r="I18" s="64"/>
      <c r="J18" s="31" t="str" cm="1">
        <f t="array" ref="J18">IFERROR(_xlfn.QUARTILE.INC(_xlfn._xlws.FILTER($V18:$CK18,$V$13:$CK$13="P.U"),0),"-")</f>
        <v>-</v>
      </c>
      <c r="K18" s="64"/>
      <c r="L18" s="31" t="str" cm="1">
        <f t="array" ref="L18">IFERROR(_xlfn.QUARTILE.INC(_xlfn._xlws.FILTER($V18:$CK18,$V$13:$CK$13="P.U"),1),"-")</f>
        <v>-</v>
      </c>
      <c r="M18" s="64"/>
      <c r="N18" s="31" t="str" cm="1">
        <f t="array" ref="N18">IFERROR(_xlfn.QUARTILE.INC(_xlfn._xlws.FILTER($V18:$CK18,$V$13:$CK$13="P.U"),2),"-")</f>
        <v>-</v>
      </c>
      <c r="O18" s="64"/>
      <c r="P18" s="31" t="str" cm="1">
        <f t="array" ref="P18">IFERROR(_xlfn.QUARTILE.INC(_xlfn._xlws.FILTER($V18:$CK18,$V$13:$CK$13="P.U"),3),"-")</f>
        <v>-</v>
      </c>
      <c r="Q18" s="64"/>
      <c r="R18" s="31" t="str" cm="1">
        <f t="array" ref="R18">IFERROR(_xlfn.QUARTILE.INC(_xlfn._xlws.FILTER($V18:$CK18,$V$13:$CK$13="P.U"),4),"-")</f>
        <v>-</v>
      </c>
      <c r="S18" s="32" t="str" cm="1">
        <f t="array" ref="S18">_xlfn.LET(_xlpm.p,_xlfn.UNIQUE(_xlfn._xlws.FILTER(T18:CH18,$T$13:$CH$13="U"),1),_xlpm.f,_xlfn._xlws.FILTER(_xlpm.p,_xlpm.p&lt;&gt;"",""),IF(COUNTA(_xlpm.f)=1,_xlpm.f,"différentes"))</f>
        <v>ens</v>
      </c>
      <c r="T18" s="33" t="s">
        <v>17</v>
      </c>
      <c r="U18" s="34"/>
      <c r="V18" s="39"/>
      <c r="W18" s="40"/>
      <c r="X18" s="34"/>
      <c r="Y18" s="39"/>
      <c r="Z18" s="33"/>
      <c r="AA18" s="34"/>
      <c r="AB18" s="34"/>
      <c r="AC18" s="33"/>
      <c r="AD18" s="34"/>
      <c r="AE18" s="34"/>
      <c r="AF18" s="39"/>
      <c r="AG18" s="34"/>
      <c r="AH18" s="39"/>
      <c r="AI18" s="33"/>
      <c r="AJ18" s="35"/>
      <c r="AK18" s="36"/>
      <c r="AL18" s="33"/>
      <c r="AM18" s="36"/>
      <c r="AN18" s="36"/>
      <c r="AO18" s="33"/>
      <c r="AP18" s="35"/>
      <c r="AQ18" s="36"/>
      <c r="AR18" s="33"/>
      <c r="AS18" s="35"/>
      <c r="AT18" s="36"/>
      <c r="AU18" s="33"/>
      <c r="AV18" s="35"/>
      <c r="AW18" s="36"/>
      <c r="AX18" s="33"/>
      <c r="AY18" s="35"/>
      <c r="AZ18" s="35"/>
      <c r="BA18" s="33"/>
      <c r="BB18" s="35"/>
      <c r="BC18" s="35"/>
      <c r="BD18" s="35"/>
      <c r="BE18" s="35"/>
      <c r="BF18" s="35"/>
      <c r="BG18" s="35"/>
      <c r="BH18" s="36"/>
      <c r="BI18" s="36"/>
      <c r="BJ18" s="35"/>
      <c r="BK18" s="35"/>
      <c r="BL18" s="36"/>
      <c r="BM18" s="35"/>
      <c r="BN18" s="35"/>
      <c r="BO18" s="35"/>
      <c r="BP18" s="35"/>
      <c r="BQ18" s="35"/>
      <c r="BR18" s="35"/>
      <c r="BS18" s="33"/>
      <c r="BT18" s="35"/>
      <c r="BU18" s="36"/>
      <c r="BV18" s="33"/>
      <c r="BW18" s="35"/>
      <c r="BX18" s="36"/>
      <c r="BY18" s="37"/>
      <c r="BZ18" s="35"/>
      <c r="CA18" s="36"/>
      <c r="CB18" s="35"/>
      <c r="CC18" s="35"/>
      <c r="CD18" s="36"/>
      <c r="CE18" s="35"/>
      <c r="CF18" s="35"/>
      <c r="CG18" s="36"/>
      <c r="CH18" s="42"/>
      <c r="CI18" s="35"/>
      <c r="CJ18" s="36"/>
    </row>
    <row r="19" spans="1:88" x14ac:dyDescent="0.35">
      <c r="A19" s="28" t="s">
        <v>12</v>
      </c>
      <c r="B19" s="38" t="s">
        <v>27</v>
      </c>
      <c r="C19" s="30" cm="1">
        <f t="array" ref="C19">COUNT(_xlfn._xlws.FILTER(T19:CJ19,($T$13:$CJ$13="P.U")*(ISNUMBER(T19:CJ19)),""))</f>
        <v>0</v>
      </c>
      <c r="D19" s="30">
        <f>_xlfn.MINIFS(19:19,$13:$13,"P.U")</f>
        <v>0</v>
      </c>
      <c r="E19" s="30" t="str">
        <f>IFERROR(AVERAGEIFS(19:19,$13:$13,"P.U"), "-")</f>
        <v>-</v>
      </c>
      <c r="F19" s="30" t="str" cm="1">
        <f t="array" ref="F19">IFERROR(MEDIAN(_xlfn._xlws.FILTER($V19:$CJ19,$V$13:$CJ$13="P.U")),"-")</f>
        <v>-</v>
      </c>
      <c r="G19" s="30" t="str" cm="1">
        <f t="array" ref="G19">IFERROR(_xlfn.STDEV.P(_xlfn._xlws.FILTER($V19:$CJ19,$V$13:$CJ$13="P.U")),"-")</f>
        <v>-</v>
      </c>
      <c r="H19" s="31" t="str">
        <f t="shared" si="0"/>
        <v>0</v>
      </c>
      <c r="I19" s="64"/>
      <c r="J19" s="31" t="str" cm="1">
        <f t="array" ref="J19">IFERROR(_xlfn.QUARTILE.INC(_xlfn._xlws.FILTER($V19:$CK19,$V$13:$CK$13="P.U"),0),"-")</f>
        <v>-</v>
      </c>
      <c r="K19" s="64"/>
      <c r="L19" s="31" t="str" cm="1">
        <f t="array" ref="L19">IFERROR(_xlfn.QUARTILE.INC(_xlfn._xlws.FILTER($V19:$CK19,$V$13:$CK$13="P.U"),1),"-")</f>
        <v>-</v>
      </c>
      <c r="M19" s="64"/>
      <c r="N19" s="31" t="str" cm="1">
        <f t="array" ref="N19">IFERROR(_xlfn.QUARTILE.INC(_xlfn._xlws.FILTER($V19:$CK19,$V$13:$CK$13="P.U"),2),"-")</f>
        <v>-</v>
      </c>
      <c r="O19" s="64"/>
      <c r="P19" s="31" t="str" cm="1">
        <f t="array" ref="P19">IFERROR(_xlfn.QUARTILE.INC(_xlfn._xlws.FILTER($V19:$CK19,$V$13:$CK$13="P.U"),3),"-")</f>
        <v>-</v>
      </c>
      <c r="Q19" s="64"/>
      <c r="R19" s="31" t="str" cm="1">
        <f t="array" ref="R19">IFERROR(_xlfn.QUARTILE.INC(_xlfn._xlws.FILTER($V19:$CK19,$V$13:$CK$13="P.U"),4),"-")</f>
        <v>-</v>
      </c>
      <c r="S19" s="32" t="str" cm="1">
        <f t="array" ref="S19">_xlfn.LET(_xlpm.p,_xlfn.UNIQUE(_xlfn._xlws.FILTER(T19:CH19,$T$13:$CH$13="U"),1),_xlpm.f,_xlfn._xlws.FILTER(_xlpm.p,_xlpm.p&lt;&gt;"",""),IF(COUNTA(_xlpm.f)=1,_xlpm.f,"différentes"))</f>
        <v>ens</v>
      </c>
      <c r="T19" s="33" t="s">
        <v>17</v>
      </c>
      <c r="U19" s="34"/>
      <c r="V19" s="39"/>
      <c r="W19" s="44"/>
      <c r="X19" s="34"/>
      <c r="Y19" s="39"/>
      <c r="Z19" s="33"/>
      <c r="AA19" s="34"/>
      <c r="AB19" s="34"/>
      <c r="AC19" s="33"/>
      <c r="AD19" s="34"/>
      <c r="AE19" s="34"/>
      <c r="AF19" s="39"/>
      <c r="AG19" s="34"/>
      <c r="AH19" s="34"/>
      <c r="AI19" s="33"/>
      <c r="AJ19" s="35"/>
      <c r="AK19" s="36"/>
      <c r="AL19" s="33"/>
      <c r="AM19" s="36"/>
      <c r="AN19" s="36"/>
      <c r="AO19" s="33"/>
      <c r="AP19" s="35"/>
      <c r="AQ19" s="36"/>
      <c r="AR19" s="33"/>
      <c r="AS19" s="35"/>
      <c r="AT19" s="36"/>
      <c r="AU19" s="33"/>
      <c r="AV19" s="35"/>
      <c r="AW19" s="36"/>
      <c r="AX19" s="33"/>
      <c r="AY19" s="35"/>
      <c r="AZ19" s="35"/>
      <c r="BA19" s="33"/>
      <c r="BB19" s="35"/>
      <c r="BC19" s="35"/>
      <c r="BD19" s="35"/>
      <c r="BE19" s="35"/>
      <c r="BF19" s="35"/>
      <c r="BG19" s="35"/>
      <c r="BH19" s="36"/>
      <c r="BI19" s="36"/>
      <c r="BJ19" s="35"/>
      <c r="BK19" s="35"/>
      <c r="BL19" s="36"/>
      <c r="BM19" s="35"/>
      <c r="BN19" s="35"/>
      <c r="BO19" s="35"/>
      <c r="BP19" s="35"/>
      <c r="BQ19" s="35"/>
      <c r="BR19" s="35"/>
      <c r="BS19" s="33"/>
      <c r="BT19" s="35"/>
      <c r="BU19" s="36"/>
      <c r="BV19" s="33"/>
      <c r="BW19" s="35"/>
      <c r="BX19" s="36"/>
      <c r="BY19" s="37"/>
      <c r="BZ19" s="35"/>
      <c r="CA19" s="36"/>
      <c r="CB19" s="35"/>
      <c r="CC19" s="35"/>
      <c r="CD19" s="36"/>
      <c r="CE19" s="35"/>
      <c r="CF19" s="35"/>
      <c r="CG19" s="36"/>
      <c r="CH19" s="42"/>
      <c r="CI19" s="35"/>
      <c r="CJ19" s="36"/>
    </row>
    <row r="20" spans="1:88" x14ac:dyDescent="0.35">
      <c r="A20" s="28" t="s">
        <v>12</v>
      </c>
      <c r="B20" s="38" t="s">
        <v>28</v>
      </c>
      <c r="C20" s="30" cm="1">
        <f t="array" ref="C20">COUNT(_xlfn._xlws.FILTER(T20:CJ20,($T$13:$CJ$13="P.U")*(ISNUMBER(T20:CJ20)),""))</f>
        <v>0</v>
      </c>
      <c r="D20" s="30">
        <f>_xlfn.MINIFS(20:20,$13:$13,"P.U")</f>
        <v>0</v>
      </c>
      <c r="E20" s="30" t="str">
        <f>IFERROR(AVERAGEIFS(20:20,$13:$13,"P.U"), "-")</f>
        <v>-</v>
      </c>
      <c r="F20" s="30" t="str" cm="1">
        <f t="array" ref="F20">IFERROR(MEDIAN(_xlfn._xlws.FILTER($V20:$CJ20,$V$13:$CJ$13="P.U")),"-")</f>
        <v>-</v>
      </c>
      <c r="G20" s="30" t="str" cm="1">
        <f t="array" ref="G20">IFERROR(_xlfn.STDEV.P(_xlfn._xlws.FILTER($V20:$CJ20,$V$13:$CJ$13="P.U")),"-")</f>
        <v>-</v>
      </c>
      <c r="H20" s="31" t="str">
        <f t="shared" si="0"/>
        <v>0</v>
      </c>
      <c r="I20" s="64"/>
      <c r="J20" s="31" t="str" cm="1">
        <f t="array" ref="J20">IFERROR(_xlfn.QUARTILE.INC(_xlfn._xlws.FILTER($V20:$CK20,$V$13:$CK$13="P.U"),0),"-")</f>
        <v>-</v>
      </c>
      <c r="K20" s="64"/>
      <c r="L20" s="31" t="str" cm="1">
        <f t="array" ref="L20">IFERROR(_xlfn.QUARTILE.INC(_xlfn._xlws.FILTER($V20:$CK20,$V$13:$CK$13="P.U"),1),"-")</f>
        <v>-</v>
      </c>
      <c r="M20" s="64"/>
      <c r="N20" s="31" t="str" cm="1">
        <f t="array" ref="N20">IFERROR(_xlfn.QUARTILE.INC(_xlfn._xlws.FILTER($V20:$CK20,$V$13:$CK$13="P.U"),2),"-")</f>
        <v>-</v>
      </c>
      <c r="O20" s="64"/>
      <c r="P20" s="31" t="str" cm="1">
        <f t="array" ref="P20">IFERROR(_xlfn.QUARTILE.INC(_xlfn._xlws.FILTER($V20:$CK20,$V$13:$CK$13="P.U"),3),"-")</f>
        <v>-</v>
      </c>
      <c r="Q20" s="64"/>
      <c r="R20" s="31" t="str" cm="1">
        <f t="array" ref="R20">IFERROR(_xlfn.QUARTILE.INC(_xlfn._xlws.FILTER($V20:$CK20,$V$13:$CK$13="P.U"),4),"-")</f>
        <v>-</v>
      </c>
      <c r="S20" s="32" t="str" cm="1">
        <f t="array" ref="S20">_xlfn.LET(_xlpm.p,_xlfn.UNIQUE(_xlfn._xlws.FILTER(T20:CH20,$T$13:$CH$13="U"),1),_xlpm.f,_xlfn._xlws.FILTER(_xlpm.p,_xlpm.p&lt;&gt;"",""),IF(COUNTA(_xlpm.f)=1,_xlpm.f,"différentes"))</f>
        <v>ens</v>
      </c>
      <c r="T20" s="33" t="s">
        <v>17</v>
      </c>
      <c r="U20" s="34"/>
      <c r="V20" s="39"/>
      <c r="W20" s="40"/>
      <c r="X20" s="34"/>
      <c r="Y20" s="39"/>
      <c r="Z20" s="33"/>
      <c r="AA20" s="34"/>
      <c r="AB20" s="34"/>
      <c r="AC20" s="33"/>
      <c r="AD20" s="34"/>
      <c r="AE20" s="34"/>
      <c r="AF20" s="39"/>
      <c r="AG20" s="34"/>
      <c r="AH20" s="34"/>
      <c r="AI20" s="33"/>
      <c r="AJ20" s="35"/>
      <c r="AK20" s="36"/>
      <c r="AL20" s="33"/>
      <c r="AM20" s="36"/>
      <c r="AN20" s="36"/>
      <c r="AO20" s="33"/>
      <c r="AP20" s="35"/>
      <c r="AQ20" s="36"/>
      <c r="AR20" s="33"/>
      <c r="AS20" s="35"/>
      <c r="AT20" s="36"/>
      <c r="AU20" s="33"/>
      <c r="AV20" s="35"/>
      <c r="AW20" s="36"/>
      <c r="AX20" s="33"/>
      <c r="AY20" s="35"/>
      <c r="AZ20" s="35"/>
      <c r="BA20" s="33"/>
      <c r="BB20" s="35"/>
      <c r="BC20" s="35"/>
      <c r="BD20" s="35"/>
      <c r="BE20" s="35"/>
      <c r="BF20" s="35"/>
      <c r="BG20" s="35"/>
      <c r="BH20" s="36"/>
      <c r="BI20" s="36"/>
      <c r="BJ20" s="35"/>
      <c r="BK20" s="35"/>
      <c r="BL20" s="36"/>
      <c r="BM20" s="35"/>
      <c r="BN20" s="35"/>
      <c r="BO20" s="35"/>
      <c r="BP20" s="35"/>
      <c r="BQ20" s="35"/>
      <c r="BR20" s="35"/>
      <c r="BS20" s="33"/>
      <c r="BT20" s="35"/>
      <c r="BU20" s="36"/>
      <c r="BV20" s="33"/>
      <c r="BW20" s="35"/>
      <c r="BX20" s="36"/>
      <c r="BY20" s="37"/>
      <c r="BZ20" s="35"/>
      <c r="CA20" s="36"/>
      <c r="CB20" s="35"/>
      <c r="CC20" s="35"/>
      <c r="CD20" s="36"/>
      <c r="CE20" s="35"/>
      <c r="CF20" s="35"/>
      <c r="CG20" s="36"/>
      <c r="CH20" s="42"/>
      <c r="CI20" s="35"/>
      <c r="CJ20" s="36"/>
    </row>
    <row r="21" spans="1:88" x14ac:dyDescent="0.35">
      <c r="A21" s="28" t="s">
        <v>12</v>
      </c>
      <c r="B21" s="38" t="s">
        <v>29</v>
      </c>
      <c r="C21" s="30" cm="1">
        <f t="array" ref="C21">COUNT(_xlfn._xlws.FILTER(T21:CJ21,($T$13:$CJ$13="P.U")*(ISNUMBER(T21:CJ21)),""))</f>
        <v>0</v>
      </c>
      <c r="D21" s="30">
        <f>_xlfn.MINIFS(21:21,$13:$13,"P.U")</f>
        <v>0</v>
      </c>
      <c r="E21" s="30" t="str">
        <f>IFERROR(AVERAGEIFS(21:21,$13:$13,"P.U"), "-")</f>
        <v>-</v>
      </c>
      <c r="F21" s="30" t="str" cm="1">
        <f t="array" ref="F21">IFERROR(MEDIAN(_xlfn._xlws.FILTER($V21:$CJ21,$V$13:$CJ$13="P.U")),"-")</f>
        <v>-</v>
      </c>
      <c r="G21" s="30" t="str" cm="1">
        <f t="array" ref="G21">IFERROR(_xlfn.STDEV.P(_xlfn._xlws.FILTER($V21:$CJ21,$V$13:$CJ$13="P.U")),"-")</f>
        <v>-</v>
      </c>
      <c r="H21" s="31" t="str">
        <f t="shared" si="0"/>
        <v>0</v>
      </c>
      <c r="I21" s="64"/>
      <c r="J21" s="31" t="str" cm="1">
        <f t="array" ref="J21">IFERROR(_xlfn.QUARTILE.INC(_xlfn._xlws.FILTER($V21:$CK21,$V$13:$CK$13="P.U"),0),"-")</f>
        <v>-</v>
      </c>
      <c r="K21" s="64"/>
      <c r="L21" s="31" t="str" cm="1">
        <f t="array" ref="L21">IFERROR(_xlfn.QUARTILE.INC(_xlfn._xlws.FILTER($V21:$CK21,$V$13:$CK$13="P.U"),1),"-")</f>
        <v>-</v>
      </c>
      <c r="M21" s="64"/>
      <c r="N21" s="31" t="str" cm="1">
        <f t="array" ref="N21">IFERROR(_xlfn.QUARTILE.INC(_xlfn._xlws.FILTER($V21:$CK21,$V$13:$CK$13="P.U"),2),"-")</f>
        <v>-</v>
      </c>
      <c r="O21" s="64"/>
      <c r="P21" s="31" t="str" cm="1">
        <f t="array" ref="P21">IFERROR(_xlfn.QUARTILE.INC(_xlfn._xlws.FILTER($V21:$CK21,$V$13:$CK$13="P.U"),3),"-")</f>
        <v>-</v>
      </c>
      <c r="Q21" s="64"/>
      <c r="R21" s="31" t="str" cm="1">
        <f t="array" ref="R21">IFERROR(_xlfn.QUARTILE.INC(_xlfn._xlws.FILTER($V21:$CK21,$V$13:$CK$13="P.U"),4),"-")</f>
        <v>-</v>
      </c>
      <c r="S21" s="32" t="str" cm="1">
        <f t="array" ref="S21">_xlfn.LET(_xlpm.p,_xlfn.UNIQUE(_xlfn._xlws.FILTER(T21:CH21,$T$13:$CH$13="U"),1),_xlpm.f,_xlfn._xlws.FILTER(_xlpm.p,_xlpm.p&lt;&gt;"",""),IF(COUNTA(_xlpm.f)=1,_xlpm.f,"différentes"))</f>
        <v>ens</v>
      </c>
      <c r="T21" s="33" t="s">
        <v>17</v>
      </c>
      <c r="U21" s="34"/>
      <c r="V21" s="39"/>
      <c r="W21" s="40"/>
      <c r="X21" s="34"/>
      <c r="Y21" s="39"/>
      <c r="Z21" s="33"/>
      <c r="AA21" s="34"/>
      <c r="AB21" s="34"/>
      <c r="AC21" s="33"/>
      <c r="AD21" s="34"/>
      <c r="AE21" s="34"/>
      <c r="AF21" s="39"/>
      <c r="AG21" s="34"/>
      <c r="AH21" s="34"/>
      <c r="AI21" s="33"/>
      <c r="AJ21" s="35"/>
      <c r="AK21" s="36"/>
      <c r="AL21" s="33"/>
      <c r="AM21" s="36"/>
      <c r="AN21" s="36"/>
      <c r="AO21" s="33"/>
      <c r="AP21" s="35"/>
      <c r="AQ21" s="36"/>
      <c r="AR21" s="33"/>
      <c r="AS21" s="35"/>
      <c r="AT21" s="36"/>
      <c r="AU21" s="33"/>
      <c r="AV21" s="35"/>
      <c r="AW21" s="36"/>
      <c r="AX21" s="33"/>
      <c r="AY21" s="35"/>
      <c r="AZ21" s="35"/>
      <c r="BA21" s="33"/>
      <c r="BB21" s="35"/>
      <c r="BC21" s="35"/>
      <c r="BD21" s="35"/>
      <c r="BE21" s="35"/>
      <c r="BF21" s="35"/>
      <c r="BG21" s="35"/>
      <c r="BH21" s="36"/>
      <c r="BI21" s="36"/>
      <c r="BJ21" s="35"/>
      <c r="BK21" s="35"/>
      <c r="BL21" s="36"/>
      <c r="BM21" s="35"/>
      <c r="BN21" s="35"/>
      <c r="BO21" s="35"/>
      <c r="BP21" s="35"/>
      <c r="BQ21" s="35"/>
      <c r="BR21" s="35"/>
      <c r="BS21" s="33"/>
      <c r="BT21" s="35"/>
      <c r="BU21" s="36"/>
      <c r="BV21" s="33"/>
      <c r="BW21" s="35"/>
      <c r="BX21" s="36"/>
      <c r="BY21" s="37"/>
      <c r="BZ21" s="35"/>
      <c r="CA21" s="36"/>
      <c r="CB21" s="35"/>
      <c r="CC21" s="35"/>
      <c r="CD21" s="36"/>
      <c r="CE21" s="35"/>
      <c r="CF21" s="35"/>
      <c r="CG21" s="36"/>
      <c r="CH21" s="42"/>
      <c r="CI21" s="35"/>
      <c r="CJ21" s="36"/>
    </row>
    <row r="22" spans="1:88" x14ac:dyDescent="0.35">
      <c r="A22" s="28" t="s">
        <v>12</v>
      </c>
      <c r="B22" s="38" t="s">
        <v>30</v>
      </c>
      <c r="C22" s="30" cm="1">
        <f t="array" ref="C22">COUNT(_xlfn._xlws.FILTER(T22:CJ22,($T$13:$CJ$13="P.U")*(ISNUMBER(T22:CJ22)),""))</f>
        <v>7</v>
      </c>
      <c r="D22" s="30">
        <f>_xlfn.MINIFS(22:22,$13:$13,"P.U")</f>
        <v>872056.1</v>
      </c>
      <c r="E22" s="30">
        <f>IFERROR(AVERAGEIFS(22:22,$13:$13,"P.U"), "-")</f>
        <v>1425276.7471428569</v>
      </c>
      <c r="F22" s="30" cm="1">
        <f t="array" ref="F22">IFERROR(MEDIAN(_xlfn._xlws.FILTER($V22:$CJ22,$V$13:$CJ$13="P.U")),"-")</f>
        <v>1388757.4</v>
      </c>
      <c r="G22" s="30" cm="1">
        <f t="array" ref="G22">IFERROR(_xlfn.STDEV.P(_xlfn._xlws.FILTER($V22:$CJ22,$V$13:$CJ$13="P.U")),"-")</f>
        <v>420487.127508095</v>
      </c>
      <c r="H22" s="31">
        <f t="shared" si="0"/>
        <v>0.29502139030262953</v>
      </c>
      <c r="I22" s="64"/>
      <c r="J22" s="31" cm="1">
        <f t="array" ref="J22">IFERROR(_xlfn.QUARTILE.INC(_xlfn._xlws.FILTER($V22:$CK22,$V$13:$CK$13="P.U"),0),"-")</f>
        <v>872056.1</v>
      </c>
      <c r="K22" s="64"/>
      <c r="L22" s="31" cm="1">
        <f t="array" ref="L22">IFERROR(_xlfn.QUARTILE.INC(_xlfn._xlws.FILTER($V22:$CK22,$V$13:$CK$13="P.U"),1),"-")</f>
        <v>1149319.8</v>
      </c>
      <c r="M22" s="64"/>
      <c r="N22" s="31" cm="1">
        <f t="array" ref="N22">IFERROR(_xlfn.QUARTILE.INC(_xlfn._xlws.FILTER($V22:$CK22,$V$13:$CK$13="P.U"),2),"-")</f>
        <v>1388757.4</v>
      </c>
      <c r="O22" s="64"/>
      <c r="P22" s="31" cm="1">
        <f t="array" ref="P22">IFERROR(_xlfn.QUARTILE.INC(_xlfn._xlws.FILTER($V22:$CK22,$V$13:$CK$13="P.U"),3),"-")</f>
        <v>1573673.8</v>
      </c>
      <c r="Q22" s="64"/>
      <c r="R22" s="31" cm="1">
        <f t="array" ref="R22">IFERROR(_xlfn.QUARTILE.INC(_xlfn._xlws.FILTER($V22:$CK22,$V$13:$CK$13="P.U"),4),"-")</f>
        <v>2270136.5299999993</v>
      </c>
      <c r="S22" s="32" t="str" cm="1">
        <f t="array" ref="S22">_xlfn.LET(_xlpm.p,_xlfn.UNIQUE(_xlfn._xlws.FILTER(T22:CH22,$T$13:$CH$13="U"),1),_xlpm.f,_xlfn._xlws.FILTER(_xlpm.p,_xlpm.p&lt;&gt;"",""),IF(COUNTA(_xlpm.f)=1,_xlpm.f,"différentes"))</f>
        <v>différentes</v>
      </c>
      <c r="T22" s="33" t="s">
        <v>17</v>
      </c>
      <c r="U22" s="34"/>
      <c r="V22" s="39"/>
      <c r="W22" s="40" t="s">
        <v>17</v>
      </c>
      <c r="X22" s="34"/>
      <c r="Y22" s="43"/>
      <c r="Z22" s="33" t="s">
        <v>17</v>
      </c>
      <c r="AA22" s="34"/>
      <c r="AB22" s="34"/>
      <c r="AC22" s="40" t="s">
        <v>17</v>
      </c>
      <c r="AD22" s="34"/>
      <c r="AE22" s="34"/>
      <c r="AF22" s="40" t="s">
        <v>17</v>
      </c>
      <c r="AG22" s="34"/>
      <c r="AH22" s="39"/>
      <c r="AI22" s="40" t="s">
        <v>18</v>
      </c>
      <c r="AJ22" s="35"/>
      <c r="AK22" s="36"/>
      <c r="AL22" s="33" t="s">
        <v>18</v>
      </c>
      <c r="AM22" s="36"/>
      <c r="AN22" s="36"/>
      <c r="AO22" s="33" t="s">
        <v>17</v>
      </c>
      <c r="AP22" s="35"/>
      <c r="AQ22" s="36"/>
      <c r="AR22" s="33" t="s">
        <v>18</v>
      </c>
      <c r="AS22" s="35"/>
      <c r="AT22" s="36"/>
      <c r="AU22" s="33"/>
      <c r="AV22" s="35"/>
      <c r="AW22" s="36"/>
      <c r="AX22" s="33" t="s">
        <v>18</v>
      </c>
      <c r="AY22" s="35"/>
      <c r="AZ22" s="35"/>
      <c r="BA22" s="33" t="s">
        <v>17</v>
      </c>
      <c r="BB22" s="35">
        <v>1</v>
      </c>
      <c r="BC22" s="39">
        <v>2270136.5299999993</v>
      </c>
      <c r="BD22" s="35" t="s">
        <v>17</v>
      </c>
      <c r="BE22" s="35">
        <v>1</v>
      </c>
      <c r="BF22" s="39">
        <v>1672670.5</v>
      </c>
      <c r="BG22" s="35" t="s">
        <v>17</v>
      </c>
      <c r="BH22" s="36">
        <v>1</v>
      </c>
      <c r="BI22" s="41">
        <v>1132848.1000000001</v>
      </c>
      <c r="BJ22" s="35" t="s">
        <v>17</v>
      </c>
      <c r="BK22" s="35">
        <v>1</v>
      </c>
      <c r="BL22" s="41">
        <v>1474677.1</v>
      </c>
      <c r="BM22" s="35" t="s">
        <v>17</v>
      </c>
      <c r="BN22" s="35">
        <v>1</v>
      </c>
      <c r="BO22" s="39">
        <v>1388757.4</v>
      </c>
      <c r="BP22" s="35" t="s">
        <v>17</v>
      </c>
      <c r="BQ22" s="35">
        <v>1</v>
      </c>
      <c r="BR22" s="39">
        <v>872056.1</v>
      </c>
      <c r="BS22" s="33" t="s">
        <v>17</v>
      </c>
      <c r="BT22" s="35">
        <v>1</v>
      </c>
      <c r="BU22" s="41">
        <v>1165791.5</v>
      </c>
      <c r="BV22" s="33" t="s">
        <v>17</v>
      </c>
      <c r="BW22" s="35">
        <v>1</v>
      </c>
      <c r="BX22" s="36" t="s">
        <v>15</v>
      </c>
      <c r="BY22" s="37" t="s">
        <v>17</v>
      </c>
      <c r="BZ22" s="35"/>
      <c r="CA22" s="35" t="s">
        <v>16</v>
      </c>
      <c r="CB22" s="35"/>
      <c r="CC22" s="35"/>
      <c r="CD22" s="36" t="s">
        <v>16</v>
      </c>
      <c r="CE22" s="35" t="s">
        <v>17</v>
      </c>
      <c r="CF22" s="35">
        <v>1</v>
      </c>
      <c r="CG22" s="36" t="s">
        <v>16</v>
      </c>
      <c r="CH22" s="42" t="s">
        <v>17</v>
      </c>
      <c r="CI22" s="35">
        <v>1</v>
      </c>
      <c r="CJ22" s="36" t="s">
        <v>16</v>
      </c>
    </row>
    <row r="23" spans="1:88" x14ac:dyDescent="0.35">
      <c r="A23" s="28" t="s">
        <v>12</v>
      </c>
      <c r="B23" s="38" t="s">
        <v>31</v>
      </c>
      <c r="C23" s="30" cm="1">
        <f t="array" ref="C23">COUNT(_xlfn._xlws.FILTER(T23:CJ23,($T$13:$CJ$13="P.U")*(ISNUMBER(T23:CJ23)),""))</f>
        <v>0</v>
      </c>
      <c r="D23" s="30">
        <f>_xlfn.MINIFS(23:23,$13:$13,"P.U")</f>
        <v>0</v>
      </c>
      <c r="E23" s="30" t="str">
        <f>IFERROR(AVERAGEIFS(23:23,$13:$13,"P.U"), "-")</f>
        <v>-</v>
      </c>
      <c r="F23" s="30" t="str" cm="1">
        <f t="array" ref="F23">IFERROR(MEDIAN(_xlfn._xlws.FILTER($V23:$CJ23,$V$13:$CJ$13="P.U")),"-")</f>
        <v>-</v>
      </c>
      <c r="G23" s="30" t="str" cm="1">
        <f t="array" ref="G23">IFERROR(_xlfn.STDEV.P(_xlfn._xlws.FILTER($V23:$CJ23,$V$13:$CJ$13="P.U")),"-")</f>
        <v>-</v>
      </c>
      <c r="H23" s="31" t="str">
        <f t="shared" si="0"/>
        <v>0</v>
      </c>
      <c r="I23" s="64"/>
      <c r="J23" s="31" t="str" cm="1">
        <f t="array" ref="J23">IFERROR(_xlfn.QUARTILE.INC(_xlfn._xlws.FILTER($V23:$CK23,$V$13:$CK$13="P.U"),0),"-")</f>
        <v>-</v>
      </c>
      <c r="K23" s="64"/>
      <c r="L23" s="31" t="str" cm="1">
        <f t="array" ref="L23">IFERROR(_xlfn.QUARTILE.INC(_xlfn._xlws.FILTER($V23:$CK23,$V$13:$CK$13="P.U"),1),"-")</f>
        <v>-</v>
      </c>
      <c r="M23" s="64"/>
      <c r="N23" s="31" t="str" cm="1">
        <f t="array" ref="N23">IFERROR(_xlfn.QUARTILE.INC(_xlfn._xlws.FILTER($V23:$CK23,$V$13:$CK$13="P.U"),2),"-")</f>
        <v>-</v>
      </c>
      <c r="O23" s="64"/>
      <c r="P23" s="31" t="str" cm="1">
        <f t="array" ref="P23">IFERROR(_xlfn.QUARTILE.INC(_xlfn._xlws.FILTER($V23:$CK23,$V$13:$CK$13="P.U"),3),"-")</f>
        <v>-</v>
      </c>
      <c r="Q23" s="64"/>
      <c r="R23" s="31" t="str" cm="1">
        <f t="array" ref="R23">IFERROR(_xlfn.QUARTILE.INC(_xlfn._xlws.FILTER($V23:$CK23,$V$13:$CK$13="P.U"),4),"-")</f>
        <v>-</v>
      </c>
      <c r="S23" s="32" t="str" cm="1">
        <f t="array" ref="S23">_xlfn.LET(_xlpm.p,_xlfn.UNIQUE(_xlfn._xlws.FILTER(T23:CH23,$T$13:$CH$13="U"),1),_xlpm.f,_xlfn._xlws.FILTER(_xlpm.p,_xlpm.p&lt;&gt;"",""),IF(COUNTA(_xlpm.f)=1,_xlpm.f,"différentes"))</f>
        <v>ens</v>
      </c>
      <c r="T23" s="33" t="s">
        <v>17</v>
      </c>
      <c r="U23" s="34"/>
      <c r="V23" s="39"/>
      <c r="W23" s="40"/>
      <c r="X23" s="34"/>
      <c r="Y23" s="39"/>
      <c r="Z23" s="33"/>
      <c r="AA23" s="34"/>
      <c r="AB23" s="34"/>
      <c r="AC23" s="33"/>
      <c r="AD23" s="34"/>
      <c r="AE23" s="34"/>
      <c r="AF23" s="39"/>
      <c r="AG23" s="34"/>
      <c r="AH23" s="39"/>
      <c r="AI23" s="33"/>
      <c r="AJ23" s="35"/>
      <c r="AK23" s="36"/>
      <c r="AL23" s="33"/>
      <c r="AM23" s="36"/>
      <c r="AN23" s="36"/>
      <c r="AO23" s="33"/>
      <c r="AP23" s="35"/>
      <c r="AQ23" s="36"/>
      <c r="AR23" s="33"/>
      <c r="AS23" s="35"/>
      <c r="AT23" s="36"/>
      <c r="AU23" s="33"/>
      <c r="AV23" s="35"/>
      <c r="AW23" s="36"/>
      <c r="AX23" s="33"/>
      <c r="AY23" s="35"/>
      <c r="AZ23" s="35"/>
      <c r="BA23" s="33"/>
      <c r="BB23" s="35"/>
      <c r="BC23" s="35"/>
      <c r="BD23" s="35"/>
      <c r="BE23" s="35"/>
      <c r="BF23" s="35"/>
      <c r="BG23" s="35"/>
      <c r="BH23" s="36"/>
      <c r="BI23" s="36"/>
      <c r="BJ23" s="35"/>
      <c r="BK23" s="35"/>
      <c r="BL23" s="36"/>
      <c r="BM23" s="35"/>
      <c r="BN23" s="35"/>
      <c r="BO23" s="35"/>
      <c r="BP23" s="35"/>
      <c r="BQ23" s="35"/>
      <c r="BR23" s="35"/>
      <c r="BS23" s="33"/>
      <c r="BT23" s="35"/>
      <c r="BU23" s="36"/>
      <c r="BV23" s="33"/>
      <c r="BW23" s="35"/>
      <c r="BX23" s="36"/>
      <c r="BY23" s="37"/>
      <c r="BZ23" s="35"/>
      <c r="CA23" s="36"/>
      <c r="CB23" s="35"/>
      <c r="CC23" s="35"/>
      <c r="CD23" s="36"/>
      <c r="CE23" s="35"/>
      <c r="CF23" s="35"/>
      <c r="CG23" s="36"/>
      <c r="CH23" s="42"/>
      <c r="CI23" s="35"/>
      <c r="CJ23" s="36"/>
    </row>
    <row r="24" spans="1:88" x14ac:dyDescent="0.35">
      <c r="A24" s="28" t="s">
        <v>12</v>
      </c>
      <c r="B24" s="38" t="s">
        <v>32</v>
      </c>
      <c r="C24" s="30" cm="1">
        <f t="array" ref="C24">COUNT(_xlfn._xlws.FILTER(T24:CJ24,($T$13:$CJ$13="P.U")*(ISNUMBER(T24:CJ24)),""))</f>
        <v>0</v>
      </c>
      <c r="D24" s="30">
        <f>_xlfn.MINIFS(24:24,$13:$13,"P.U")</f>
        <v>0</v>
      </c>
      <c r="E24" s="30" t="str">
        <f>IFERROR(AVERAGEIFS(24:24,$13:$13,"P.U"), "-")</f>
        <v>-</v>
      </c>
      <c r="F24" s="30" t="str" cm="1">
        <f t="array" ref="F24">IFERROR(MEDIAN(_xlfn._xlws.FILTER($V24:$CJ24,$V$13:$CJ$13="P.U")),"-")</f>
        <v>-</v>
      </c>
      <c r="G24" s="30" t="str" cm="1">
        <f t="array" ref="G24">IFERROR(_xlfn.STDEV.P(_xlfn._xlws.FILTER($V24:$CJ24,$V$13:$CJ$13="P.U")),"-")</f>
        <v>-</v>
      </c>
      <c r="H24" s="31" t="str">
        <f t="shared" si="0"/>
        <v>0</v>
      </c>
      <c r="I24" s="64"/>
      <c r="J24" s="31" t="str" cm="1">
        <f t="array" ref="J24">IFERROR(_xlfn.QUARTILE.INC(_xlfn._xlws.FILTER($V24:$CK24,$V$13:$CK$13="P.U"),0),"-")</f>
        <v>-</v>
      </c>
      <c r="K24" s="64"/>
      <c r="L24" s="31" t="str" cm="1">
        <f t="array" ref="L24">IFERROR(_xlfn.QUARTILE.INC(_xlfn._xlws.FILTER($V24:$CK24,$V$13:$CK$13="P.U"),1),"-")</f>
        <v>-</v>
      </c>
      <c r="M24" s="64"/>
      <c r="N24" s="31" t="str" cm="1">
        <f t="array" ref="N24">IFERROR(_xlfn.QUARTILE.INC(_xlfn._xlws.FILTER($V24:$CK24,$V$13:$CK$13="P.U"),2),"-")</f>
        <v>-</v>
      </c>
      <c r="O24" s="64"/>
      <c r="P24" s="31" t="str" cm="1">
        <f t="array" ref="P24">IFERROR(_xlfn.QUARTILE.INC(_xlfn._xlws.FILTER($V24:$CK24,$V$13:$CK$13="P.U"),3),"-")</f>
        <v>-</v>
      </c>
      <c r="Q24" s="64"/>
      <c r="R24" s="31" t="str" cm="1">
        <f t="array" ref="R24">IFERROR(_xlfn.QUARTILE.INC(_xlfn._xlws.FILTER($V24:$CK24,$V$13:$CK$13="P.U"),4),"-")</f>
        <v>-</v>
      </c>
      <c r="S24" s="32" t="str" cm="1">
        <f t="array" ref="S24">_xlfn.LET(_xlpm.p,_xlfn.UNIQUE(_xlfn._xlws.FILTER(T24:CH24,$T$13:$CH$13="U"),1),_xlpm.f,_xlfn._xlws.FILTER(_xlpm.p,_xlpm.p&lt;&gt;"",""),IF(COUNTA(_xlpm.f)=1,_xlpm.f,"différentes"))</f>
        <v>ens</v>
      </c>
      <c r="T24" s="33" t="s">
        <v>17</v>
      </c>
      <c r="U24" s="34"/>
      <c r="V24" s="39"/>
      <c r="W24" s="40"/>
      <c r="X24" s="34"/>
      <c r="Y24" s="39"/>
      <c r="Z24" s="33"/>
      <c r="AA24" s="34"/>
      <c r="AB24" s="34"/>
      <c r="AC24" s="33"/>
      <c r="AD24" s="34"/>
      <c r="AE24" s="46"/>
      <c r="AF24" s="39"/>
      <c r="AG24" s="34"/>
      <c r="AH24" s="39"/>
      <c r="AI24" s="33"/>
      <c r="AJ24" s="35"/>
      <c r="AK24" s="36"/>
      <c r="AL24" s="33"/>
      <c r="AM24" s="36"/>
      <c r="AN24" s="36"/>
      <c r="AO24" s="33"/>
      <c r="AP24" s="35"/>
      <c r="AQ24" s="36"/>
      <c r="AR24" s="33"/>
      <c r="AS24" s="35"/>
      <c r="AT24" s="36"/>
      <c r="AU24" s="33"/>
      <c r="AV24" s="35"/>
      <c r="AW24" s="36"/>
      <c r="AX24" s="33"/>
      <c r="AY24" s="35"/>
      <c r="AZ24" s="35"/>
      <c r="BA24" s="33"/>
      <c r="BB24" s="35"/>
      <c r="BC24" s="35"/>
      <c r="BD24" s="35"/>
      <c r="BE24" s="35"/>
      <c r="BF24" s="35"/>
      <c r="BG24" s="35"/>
      <c r="BH24" s="36"/>
      <c r="BI24" s="36"/>
      <c r="BJ24" s="35"/>
      <c r="BK24" s="35"/>
      <c r="BL24" s="36"/>
      <c r="BM24" s="35"/>
      <c r="BN24" s="35"/>
      <c r="BO24" s="35"/>
      <c r="BP24" s="35"/>
      <c r="BQ24" s="35"/>
      <c r="BR24" s="35"/>
      <c r="BS24" s="33"/>
      <c r="BT24" s="35"/>
      <c r="BU24" s="36"/>
      <c r="BV24" s="33"/>
      <c r="BW24" s="35"/>
      <c r="BX24" s="36"/>
      <c r="BY24" s="37"/>
      <c r="BZ24" s="35"/>
      <c r="CA24" s="36"/>
      <c r="CB24" s="35"/>
      <c r="CC24" s="35"/>
      <c r="CD24" s="36"/>
      <c r="CE24" s="35"/>
      <c r="CF24" s="35"/>
      <c r="CG24" s="36"/>
      <c r="CH24" s="42"/>
      <c r="CI24" s="35"/>
      <c r="CJ24" s="36"/>
    </row>
    <row r="25" spans="1:88" x14ac:dyDescent="0.35">
      <c r="A25" s="28" t="s">
        <v>12</v>
      </c>
      <c r="B25" s="38" t="s">
        <v>33</v>
      </c>
      <c r="C25" s="30" cm="1">
        <f t="array" ref="C25">COUNT(_xlfn._xlws.FILTER(T25:CJ25,($T$13:$CJ$13="P.U")*(ISNUMBER(T25:CJ25)),""))</f>
        <v>0</v>
      </c>
      <c r="D25" s="30">
        <f>_xlfn.MINIFS(25:25,$13:$13,"P.U")</f>
        <v>0</v>
      </c>
      <c r="E25" s="30" t="str">
        <f>IFERROR(AVERAGEIFS(25:25,$13:$13,"P.U"), "-")</f>
        <v>-</v>
      </c>
      <c r="F25" s="30" t="str" cm="1">
        <f t="array" ref="F25">IFERROR(MEDIAN(_xlfn._xlws.FILTER($V25:$CJ25,$V$13:$CJ$13="P.U")),"-")</f>
        <v>-</v>
      </c>
      <c r="G25" s="30" t="str" cm="1">
        <f t="array" ref="G25">IFERROR(_xlfn.STDEV.P(_xlfn._xlws.FILTER($V25:$CJ25,$V$13:$CJ$13="P.U")),"-")</f>
        <v>-</v>
      </c>
      <c r="H25" s="31" t="str">
        <f t="shared" si="0"/>
        <v>0</v>
      </c>
      <c r="I25" s="64"/>
      <c r="J25" s="31" t="str" cm="1">
        <f t="array" ref="J25">IFERROR(_xlfn.QUARTILE.INC(_xlfn._xlws.FILTER($V25:$CK25,$V$13:$CK$13="P.U"),0),"-")</f>
        <v>-</v>
      </c>
      <c r="K25" s="64"/>
      <c r="L25" s="31" t="str" cm="1">
        <f t="array" ref="L25">IFERROR(_xlfn.QUARTILE.INC(_xlfn._xlws.FILTER($V25:$CK25,$V$13:$CK$13="P.U"),1),"-")</f>
        <v>-</v>
      </c>
      <c r="M25" s="64"/>
      <c r="N25" s="31" t="str" cm="1">
        <f t="array" ref="N25">IFERROR(_xlfn.QUARTILE.INC(_xlfn._xlws.FILTER($V25:$CK25,$V$13:$CK$13="P.U"),2),"-")</f>
        <v>-</v>
      </c>
      <c r="O25" s="64"/>
      <c r="P25" s="31" t="str" cm="1">
        <f t="array" ref="P25">IFERROR(_xlfn.QUARTILE.INC(_xlfn._xlws.FILTER($V25:$CK25,$V$13:$CK$13="P.U"),3),"-")</f>
        <v>-</v>
      </c>
      <c r="Q25" s="64"/>
      <c r="R25" s="31" t="str" cm="1">
        <f t="array" ref="R25">IFERROR(_xlfn.QUARTILE.INC(_xlfn._xlws.FILTER($V25:$CK25,$V$13:$CK$13="P.U"),4),"-")</f>
        <v>-</v>
      </c>
      <c r="S25" s="32" t="str" cm="1">
        <f t="array" ref="S25">_xlfn.LET(_xlpm.p,_xlfn.UNIQUE(_xlfn._xlws.FILTER(T25:CH25,$T$13:$CH$13="U"),1),_xlpm.f,_xlfn._xlws.FILTER(_xlpm.p,_xlpm.p&lt;&gt;"",""),IF(COUNTA(_xlpm.f)=1,_xlpm.f,"différentes"))</f>
        <v>ens</v>
      </c>
      <c r="T25" s="33" t="s">
        <v>17</v>
      </c>
      <c r="U25" s="34"/>
      <c r="V25" s="39"/>
      <c r="W25" s="40"/>
      <c r="X25" s="34"/>
      <c r="Y25" s="39"/>
      <c r="Z25" s="33"/>
      <c r="AA25" s="34"/>
      <c r="AB25" s="34"/>
      <c r="AC25" s="33"/>
      <c r="AD25" s="34"/>
      <c r="AE25" s="46"/>
      <c r="AF25" s="39"/>
      <c r="AG25" s="34"/>
      <c r="AH25" s="39"/>
      <c r="AI25" s="33"/>
      <c r="AJ25" s="35"/>
      <c r="AK25" s="36"/>
      <c r="AL25" s="33"/>
      <c r="AM25" s="36"/>
      <c r="AN25" s="36"/>
      <c r="AO25" s="33"/>
      <c r="AP25" s="35"/>
      <c r="AQ25" s="36"/>
      <c r="AR25" s="33"/>
      <c r="AS25" s="35"/>
      <c r="AT25" s="36"/>
      <c r="AU25" s="33"/>
      <c r="AV25" s="35"/>
      <c r="AW25" s="36"/>
      <c r="AX25" s="33"/>
      <c r="AY25" s="35"/>
      <c r="AZ25" s="35"/>
      <c r="BA25" s="33"/>
      <c r="BB25" s="35"/>
      <c r="BC25" s="35"/>
      <c r="BD25" s="35"/>
      <c r="BE25" s="35"/>
      <c r="BF25" s="35"/>
      <c r="BG25" s="35"/>
      <c r="BH25" s="36"/>
      <c r="BI25" s="36"/>
      <c r="BJ25" s="35"/>
      <c r="BK25" s="35"/>
      <c r="BL25" s="36"/>
      <c r="BM25" s="35"/>
      <c r="BN25" s="35"/>
      <c r="BO25" s="35"/>
      <c r="BP25" s="35"/>
      <c r="BQ25" s="35"/>
      <c r="BR25" s="35"/>
      <c r="BS25" s="33"/>
      <c r="BT25" s="35"/>
      <c r="BU25" s="36"/>
      <c r="BV25" s="33"/>
      <c r="BW25" s="35"/>
      <c r="BX25" s="36"/>
      <c r="BY25" s="37"/>
      <c r="BZ25" s="35"/>
      <c r="CA25" s="36"/>
      <c r="CB25" s="35"/>
      <c r="CC25" s="35"/>
      <c r="CD25" s="36"/>
      <c r="CE25" s="35"/>
      <c r="CF25" s="35"/>
      <c r="CG25" s="36"/>
      <c r="CH25" s="42"/>
      <c r="CI25" s="35"/>
      <c r="CJ25" s="36"/>
    </row>
    <row r="26" spans="1:88" x14ac:dyDescent="0.35">
      <c r="A26" s="28" t="s">
        <v>12</v>
      </c>
      <c r="B26" s="38" t="s">
        <v>39</v>
      </c>
      <c r="C26" s="30" cm="1">
        <f t="array" ref="C26">COUNT(_xlfn._xlws.FILTER(T26:CJ26,($T$13:$CJ$13="P.U")*(ISNUMBER(T26:CJ26)),""))</f>
        <v>16</v>
      </c>
      <c r="D26" s="30">
        <f>_xlfn.MINIFS(26:26,$13:$13,"P.U")</f>
        <v>245715.87</v>
      </c>
      <c r="E26" s="30">
        <f>IFERROR(AVERAGEIFS(26:26,$13:$13,"P.U"), "-")</f>
        <v>1612739.2853125001</v>
      </c>
      <c r="F26" s="30" cm="1">
        <f t="array" ref="F26">IFERROR(MEDIAN(_xlfn._xlws.FILTER($V26:$CJ26,$V$13:$CJ$13="P.U")),"-")</f>
        <v>905098.18500000006</v>
      </c>
      <c r="G26" s="30" cm="1">
        <f t="array" ref="G26">IFERROR(_xlfn.STDEV.P(_xlfn._xlws.FILTER($V26:$CJ26,$V$13:$CJ$13="P.U")),"-")</f>
        <v>1683452.2698903861</v>
      </c>
      <c r="H26" s="31">
        <f t="shared" si="0"/>
        <v>1.0438465071334726</v>
      </c>
      <c r="I26" s="64"/>
      <c r="J26" s="31" cm="1">
        <f t="array" ref="J26">IFERROR(_xlfn.QUARTILE.INC(_xlfn._xlws.FILTER($V26:$CK26,$V$13:$CK$13="P.U"),0),"-")</f>
        <v>245715.87</v>
      </c>
      <c r="K26" s="64"/>
      <c r="L26" s="31" cm="1">
        <f t="array" ref="L26">IFERROR(_xlfn.QUARTILE.INC(_xlfn._xlws.FILTER($V26:$CK26,$V$13:$CK$13="P.U"),1),"-")</f>
        <v>647952.58499999996</v>
      </c>
      <c r="M26" s="64"/>
      <c r="N26" s="31" cm="1">
        <f t="array" ref="N26">IFERROR(_xlfn.QUARTILE.INC(_xlfn._xlws.FILTER($V26:$CK26,$V$13:$CK$13="P.U"),2),"-")</f>
        <v>905098.18500000006</v>
      </c>
      <c r="O26" s="64"/>
      <c r="P26" s="31" cm="1">
        <f t="array" ref="P26">IFERROR(_xlfn.QUARTILE.INC(_xlfn._xlws.FILTER($V26:$CK26,$V$13:$CK$13="P.U"),3),"-")</f>
        <v>1288348.5525000002</v>
      </c>
      <c r="Q26" s="64"/>
      <c r="R26" s="31" cm="1">
        <f t="array" ref="R26">IFERROR(_xlfn.QUARTILE.INC(_xlfn._xlws.FILTER($V26:$CK26,$V$13:$CK$13="P.U"),4),"-")</f>
        <v>5920053.0249999948</v>
      </c>
      <c r="S26" s="32" t="str" cm="1">
        <f t="array" ref="S26">_xlfn.LET(_xlpm.p,_xlfn.UNIQUE(_xlfn._xlws.FILTER(T26:CH26,$T$13:$CH$13="U"),1),_xlpm.f,_xlfn._xlws.FILTER(_xlpm.p,_xlpm.p&lt;&gt;"",""),IF(COUNTA(_xlpm.f)=1,_xlpm.f,"différentes"))</f>
        <v>ens</v>
      </c>
      <c r="T26" s="33" t="s">
        <v>17</v>
      </c>
      <c r="U26" s="34">
        <v>1</v>
      </c>
      <c r="V26" s="39">
        <v>4864068.8899999997</v>
      </c>
      <c r="W26" s="33" t="s">
        <v>17</v>
      </c>
      <c r="X26" s="34">
        <v>1</v>
      </c>
      <c r="Y26" s="39">
        <v>1181366.3700000001</v>
      </c>
      <c r="Z26" s="33" t="s">
        <v>17</v>
      </c>
      <c r="AA26" s="39">
        <v>1</v>
      </c>
      <c r="AB26" s="39">
        <v>569233.84</v>
      </c>
      <c r="AC26" s="40" t="s">
        <v>17</v>
      </c>
      <c r="AD26" s="39">
        <v>1</v>
      </c>
      <c r="AE26" s="47">
        <v>341611.97</v>
      </c>
      <c r="AF26" s="40" t="s">
        <v>17</v>
      </c>
      <c r="AG26" s="39">
        <v>1</v>
      </c>
      <c r="AH26" s="39">
        <v>649878.24</v>
      </c>
      <c r="AI26" s="33" t="s">
        <v>17</v>
      </c>
      <c r="AJ26" s="35">
        <v>1</v>
      </c>
      <c r="AK26" s="41">
        <v>5920053.0249999948</v>
      </c>
      <c r="AL26" s="33" t="s">
        <v>17</v>
      </c>
      <c r="AM26" s="41">
        <v>1</v>
      </c>
      <c r="AN26" s="41">
        <v>1007464.9</v>
      </c>
      <c r="AO26" s="33" t="s">
        <v>17</v>
      </c>
      <c r="AP26" s="35">
        <v>1</v>
      </c>
      <c r="AQ26" s="41">
        <v>957475.5</v>
      </c>
      <c r="AR26" s="33" t="s">
        <v>17</v>
      </c>
      <c r="AS26" s="35">
        <v>1</v>
      </c>
      <c r="AT26" s="41">
        <v>1107511.8</v>
      </c>
      <c r="AU26" s="33" t="s">
        <v>17</v>
      </c>
      <c r="AV26" s="35">
        <v>1</v>
      </c>
      <c r="AW26" s="41">
        <v>851449.6</v>
      </c>
      <c r="AX26" s="33" t="s">
        <v>17</v>
      </c>
      <c r="AY26" s="35">
        <v>1</v>
      </c>
      <c r="AZ26" s="39">
        <v>798659.6</v>
      </c>
      <c r="BA26" s="33"/>
      <c r="BB26" s="35"/>
      <c r="BC26" s="35"/>
      <c r="BD26" s="35"/>
      <c r="BE26" s="35"/>
      <c r="BF26" s="35"/>
      <c r="BG26" s="35"/>
      <c r="BH26" s="36"/>
      <c r="BI26" s="36"/>
      <c r="BJ26" s="35"/>
      <c r="BK26" s="35"/>
      <c r="BL26" s="36"/>
      <c r="BM26" s="35"/>
      <c r="BN26" s="35"/>
      <c r="BO26" s="35"/>
      <c r="BP26" s="35"/>
      <c r="BQ26" s="35"/>
      <c r="BR26" s="35"/>
      <c r="BS26" s="33"/>
      <c r="BT26" s="35"/>
      <c r="BU26" s="36"/>
      <c r="BV26" s="33" t="s">
        <v>17</v>
      </c>
      <c r="BW26" s="35">
        <v>1</v>
      </c>
      <c r="BX26" s="36">
        <f>4205147.37</f>
        <v>4205147.37</v>
      </c>
      <c r="BY26" s="37" t="s">
        <v>17</v>
      </c>
      <c r="BZ26" s="35">
        <v>1</v>
      </c>
      <c r="CA26" s="36">
        <v>852720.87</v>
      </c>
      <c r="CB26" s="35" t="s">
        <v>17</v>
      </c>
      <c r="CC26" s="35">
        <v>1</v>
      </c>
      <c r="CD26" s="36">
        <v>1609295.1</v>
      </c>
      <c r="CE26" s="35" t="s">
        <v>17</v>
      </c>
      <c r="CF26" s="35">
        <v>1</v>
      </c>
      <c r="CG26" s="36">
        <v>642175.62</v>
      </c>
      <c r="CH26" s="42" t="s">
        <v>17</v>
      </c>
      <c r="CI26" s="35">
        <v>1</v>
      </c>
      <c r="CJ26" s="36">
        <v>245715.87</v>
      </c>
    </row>
    <row r="27" spans="1:88" x14ac:dyDescent="0.35">
      <c r="A27" s="28" t="s">
        <v>12</v>
      </c>
      <c r="B27" s="38" t="s">
        <v>34</v>
      </c>
      <c r="C27" s="30" cm="1">
        <f t="array" ref="C27">COUNT(_xlfn._xlws.FILTER(T27:CJ27,($T$13:$CJ$13="P.U")*(ISNUMBER(T27:CJ27)),""))</f>
        <v>1</v>
      </c>
      <c r="D27" s="30">
        <f>_xlfn.MINIFS(27:27,$13:$13,"P.U")</f>
        <v>5213143</v>
      </c>
      <c r="E27" s="30">
        <f>IFERROR(AVERAGEIFS(27:27,$13:$13,"P.U"), "-")</f>
        <v>5213143</v>
      </c>
      <c r="F27" s="30" cm="1">
        <f t="array" ref="F27">IFERROR(MEDIAN(_xlfn._xlws.FILTER($V27:$CJ27,$V$13:$CJ$13="P.U")),"-")</f>
        <v>5213143</v>
      </c>
      <c r="G27" s="30" cm="1">
        <f t="array" ref="G27">IFERROR(_xlfn.STDEV.P(_xlfn._xlws.FILTER($V27:$CJ27,$V$13:$CJ$13="P.U")),"-")</f>
        <v>0</v>
      </c>
      <c r="H27" s="31">
        <f t="shared" si="0"/>
        <v>0</v>
      </c>
      <c r="I27" s="64"/>
      <c r="J27" s="31" cm="1">
        <f t="array" ref="J27">IFERROR(_xlfn.QUARTILE.INC(_xlfn._xlws.FILTER($V27:$CK27,$V$13:$CK$13="P.U"),0),"-")</f>
        <v>5213143</v>
      </c>
      <c r="K27" s="64"/>
      <c r="L27" s="31" cm="1">
        <f t="array" ref="L27">IFERROR(_xlfn.QUARTILE.INC(_xlfn._xlws.FILTER($V27:$CK27,$V$13:$CK$13="P.U"),1),"-")</f>
        <v>5213143</v>
      </c>
      <c r="M27" s="64"/>
      <c r="N27" s="31" cm="1">
        <f t="array" ref="N27">IFERROR(_xlfn.QUARTILE.INC(_xlfn._xlws.FILTER($V27:$CK27,$V$13:$CK$13="P.U"),2),"-")</f>
        <v>5213143</v>
      </c>
      <c r="O27" s="64"/>
      <c r="P27" s="31" cm="1">
        <f t="array" ref="P27">IFERROR(_xlfn.QUARTILE.INC(_xlfn._xlws.FILTER($V27:$CK27,$V$13:$CK$13="P.U"),3),"-")</f>
        <v>5213143</v>
      </c>
      <c r="Q27" s="64"/>
      <c r="R27" s="31" cm="1">
        <f t="array" ref="R27">IFERROR(_xlfn.QUARTILE.INC(_xlfn._xlws.FILTER($V27:$CK27,$V$13:$CK$13="P.U"),4),"-")</f>
        <v>5213143</v>
      </c>
      <c r="S27" s="32" t="str" cm="1">
        <f t="array" ref="S27">_xlfn.LET(_xlpm.p,_xlfn.UNIQUE(_xlfn._xlws.FILTER(T27:CH27,$T$13:$CH$13="U"),1),_xlpm.f,_xlfn._xlws.FILTER(_xlpm.p,_xlpm.p&lt;&gt;"",""),IF(COUNTA(_xlpm.f)=1,_xlpm.f,"différentes"))</f>
        <v>ens</v>
      </c>
      <c r="T27" s="33"/>
      <c r="U27" s="34"/>
      <c r="V27" s="39"/>
      <c r="W27" s="33"/>
      <c r="X27" s="34"/>
      <c r="Y27" s="39"/>
      <c r="Z27" s="33"/>
      <c r="AA27" s="39"/>
      <c r="AB27" s="39"/>
      <c r="AC27" s="40"/>
      <c r="AD27" s="39"/>
      <c r="AE27" s="47"/>
      <c r="AF27" s="40"/>
      <c r="AG27" s="39"/>
      <c r="AH27" s="39"/>
      <c r="AI27" s="33"/>
      <c r="AJ27" s="35"/>
      <c r="AK27" s="41"/>
      <c r="AL27" s="33"/>
      <c r="AM27" s="41"/>
      <c r="AN27" s="41"/>
      <c r="AO27" s="33"/>
      <c r="AP27" s="35"/>
      <c r="AQ27" s="41"/>
      <c r="AR27" s="33"/>
      <c r="AS27" s="35"/>
      <c r="AT27" s="41"/>
      <c r="AU27" s="33"/>
      <c r="AV27" s="35"/>
      <c r="AW27" s="41"/>
      <c r="AX27" s="33"/>
      <c r="AY27" s="35"/>
      <c r="AZ27" s="39"/>
      <c r="BA27" s="33"/>
      <c r="BB27" s="35"/>
      <c r="BC27" s="35"/>
      <c r="BD27" s="35"/>
      <c r="BE27" s="35"/>
      <c r="BF27" s="35"/>
      <c r="BG27" s="35"/>
      <c r="BH27" s="36"/>
      <c r="BI27" s="36"/>
      <c r="BJ27" s="35"/>
      <c r="BK27" s="35"/>
      <c r="BL27" s="36"/>
      <c r="BM27" s="35"/>
      <c r="BN27" s="35"/>
      <c r="BO27" s="35"/>
      <c r="BP27" s="35"/>
      <c r="BQ27" s="35"/>
      <c r="BR27" s="35"/>
      <c r="BS27" s="33"/>
      <c r="BT27" s="35"/>
      <c r="BU27" s="36"/>
      <c r="BV27" s="33" t="s">
        <v>17</v>
      </c>
      <c r="BW27" s="35">
        <v>1</v>
      </c>
      <c r="BX27" s="37">
        <v>5213143</v>
      </c>
      <c r="BY27" s="37" t="s">
        <v>17</v>
      </c>
      <c r="BZ27" s="35">
        <v>1</v>
      </c>
      <c r="CA27" s="36" t="s">
        <v>19</v>
      </c>
      <c r="CB27" s="35" t="s">
        <v>17</v>
      </c>
      <c r="CC27" s="35">
        <v>1</v>
      </c>
      <c r="CD27" s="36" t="s">
        <v>19</v>
      </c>
      <c r="CE27" s="35" t="s">
        <v>17</v>
      </c>
      <c r="CF27" s="35">
        <v>1</v>
      </c>
      <c r="CG27" s="36" t="s">
        <v>19</v>
      </c>
      <c r="CH27" s="42" t="s">
        <v>17</v>
      </c>
      <c r="CI27" s="35">
        <v>1</v>
      </c>
      <c r="CJ27" s="36" t="s">
        <v>19</v>
      </c>
    </row>
    <row r="28" spans="1:88" x14ac:dyDescent="0.35">
      <c r="A28" s="28" t="s">
        <v>12</v>
      </c>
      <c r="B28" s="38" t="s">
        <v>35</v>
      </c>
      <c r="C28" s="30" cm="1">
        <f t="array" ref="C28">COUNT(_xlfn._xlws.FILTER(T28:CJ28,($T$13:$CJ$13="P.U")*(ISNUMBER(T28:CJ28)),""))</f>
        <v>1</v>
      </c>
      <c r="D28" s="30">
        <f>_xlfn.MINIFS(28:28,$13:$13,"P.U")</f>
        <v>114300</v>
      </c>
      <c r="E28" s="30">
        <f>IFERROR(AVERAGEIFS(28:28,$13:$13,"P.U"), "-")</f>
        <v>114300</v>
      </c>
      <c r="F28" s="30" cm="1">
        <f t="array" ref="F28">IFERROR(MEDIAN(_xlfn._xlws.FILTER($V28:$CJ28,$V$13:$CJ$13="P.U")),"-")</f>
        <v>114300</v>
      </c>
      <c r="G28" s="30" cm="1">
        <f t="array" ref="G28">IFERROR(_xlfn.STDEV.P(_xlfn._xlws.FILTER($V28:$CJ28,$V$13:$CJ$13="P.U")),"-")</f>
        <v>0</v>
      </c>
      <c r="H28" s="31">
        <f t="shared" si="0"/>
        <v>0</v>
      </c>
      <c r="I28" s="64"/>
      <c r="J28" s="31" cm="1">
        <f t="array" ref="J28">IFERROR(_xlfn.QUARTILE.INC(_xlfn._xlws.FILTER($V28:$CK28,$V$13:$CK$13="P.U"),0),"-")</f>
        <v>114300</v>
      </c>
      <c r="K28" s="64"/>
      <c r="L28" s="31" cm="1">
        <f t="array" ref="L28">IFERROR(_xlfn.QUARTILE.INC(_xlfn._xlws.FILTER($V28:$CK28,$V$13:$CK$13="P.U"),1),"-")</f>
        <v>114300</v>
      </c>
      <c r="M28" s="64"/>
      <c r="N28" s="31" cm="1">
        <f t="array" ref="N28">IFERROR(_xlfn.QUARTILE.INC(_xlfn._xlws.FILTER($V28:$CK28,$V$13:$CK$13="P.U"),2),"-")</f>
        <v>114300</v>
      </c>
      <c r="O28" s="64"/>
      <c r="P28" s="31" cm="1">
        <f t="array" ref="P28">IFERROR(_xlfn.QUARTILE.INC(_xlfn._xlws.FILTER($V28:$CK28,$V$13:$CK$13="P.U"),3),"-")</f>
        <v>114300</v>
      </c>
      <c r="Q28" s="64"/>
      <c r="R28" s="31" cm="1">
        <f t="array" ref="R28">IFERROR(_xlfn.QUARTILE.INC(_xlfn._xlws.FILTER($V28:$CK28,$V$13:$CK$13="P.U"),4),"-")</f>
        <v>114300</v>
      </c>
      <c r="S28" s="32" t="str" cm="1">
        <f t="array" ref="S28">_xlfn.LET(_xlpm.p,_xlfn.UNIQUE(_xlfn._xlws.FILTER(T28:CH28,$T$13:$CH$13="U"),1),_xlpm.f,_xlfn._xlws.FILTER(_xlpm.p,_xlpm.p&lt;&gt;"",""),IF(COUNTA(_xlpm.f)=1,_xlpm.f,"différentes"))</f>
        <v>ens</v>
      </c>
      <c r="T28" s="33" t="s">
        <v>17</v>
      </c>
      <c r="U28" s="34">
        <v>1</v>
      </c>
      <c r="V28" s="39">
        <v>114300</v>
      </c>
      <c r="W28" s="33"/>
      <c r="X28" s="34"/>
      <c r="Y28" s="34"/>
      <c r="Z28" s="33"/>
      <c r="AA28" s="34"/>
      <c r="AB28" s="34"/>
      <c r="AC28" s="33"/>
      <c r="AD28" s="34"/>
      <c r="AE28" s="46"/>
      <c r="AF28" s="39"/>
      <c r="AG28" s="34"/>
      <c r="AH28" s="39"/>
      <c r="AI28" s="33"/>
      <c r="AJ28" s="35"/>
      <c r="AK28" s="36"/>
      <c r="AL28" s="33"/>
      <c r="AM28" s="36"/>
      <c r="AN28" s="36"/>
      <c r="AO28" s="33"/>
      <c r="AP28" s="35"/>
      <c r="AQ28" s="36"/>
      <c r="AR28" s="33"/>
      <c r="AS28" s="35"/>
      <c r="AT28" s="36"/>
      <c r="AU28" s="33"/>
      <c r="AV28" s="35"/>
      <c r="AW28" s="36"/>
      <c r="AX28" s="33"/>
      <c r="AY28" s="35"/>
      <c r="AZ28" s="35"/>
      <c r="BA28" s="33"/>
      <c r="BB28" s="35"/>
      <c r="BC28" s="35"/>
      <c r="BD28" s="35"/>
      <c r="BE28" s="35"/>
      <c r="BF28" s="35"/>
      <c r="BG28" s="35"/>
      <c r="BH28" s="36"/>
      <c r="BI28" s="36"/>
      <c r="BJ28" s="35"/>
      <c r="BK28" s="35"/>
      <c r="BL28" s="36"/>
      <c r="BM28" s="35"/>
      <c r="BN28" s="35"/>
      <c r="BO28" s="35"/>
      <c r="BP28" s="35"/>
      <c r="BQ28" s="35"/>
      <c r="BR28" s="35"/>
      <c r="BS28" s="33"/>
      <c r="BT28" s="35"/>
      <c r="BU28" s="36"/>
      <c r="BV28" s="33"/>
      <c r="BW28" s="35"/>
      <c r="BX28" s="36"/>
      <c r="BY28" s="37"/>
      <c r="BZ28" s="35"/>
      <c r="CA28" s="36"/>
      <c r="CB28" s="35"/>
      <c r="CC28" s="35"/>
      <c r="CD28" s="36"/>
      <c r="CE28" s="35"/>
      <c r="CF28" s="35"/>
      <c r="CG28" s="36"/>
      <c r="CH28" s="42"/>
      <c r="CI28" s="35"/>
      <c r="CJ28" s="36"/>
    </row>
    <row r="29" spans="1:88" x14ac:dyDescent="0.35">
      <c r="A29" s="60" t="s">
        <v>12</v>
      </c>
      <c r="B29" s="38" t="s">
        <v>36</v>
      </c>
      <c r="C29" s="30" cm="1">
        <f t="array" ref="C29">COUNT(_xlfn._xlws.FILTER(T29:CJ29,($T$13:$CJ$13="P.U")*(ISNUMBER(T29:CJ29)),""))</f>
        <v>0</v>
      </c>
      <c r="D29" s="30">
        <f>_xlfn.MINIFS(29:29,$13:$13,"P.U")</f>
        <v>0</v>
      </c>
      <c r="E29" s="30" t="str">
        <f>IFERROR(AVERAGEIFS(29:29,$13:$13,"P.U"), "-")</f>
        <v>-</v>
      </c>
      <c r="F29" s="30" t="str" cm="1">
        <f t="array" ref="F29">IFERROR(MEDIAN(_xlfn._xlws.FILTER($V29:$CJ29,$V$13:$CJ$13="P.U")),"-")</f>
        <v>-</v>
      </c>
      <c r="G29" s="30" t="str" cm="1">
        <f t="array" ref="G29">IFERROR(_xlfn.STDEV.P(_xlfn._xlws.FILTER($V29:$CJ29,$V$13:$CJ$13="P.U")),"-")</f>
        <v>-</v>
      </c>
      <c r="H29" s="31" t="str">
        <f t="shared" si="0"/>
        <v>0</v>
      </c>
      <c r="I29" s="64"/>
      <c r="J29" s="31" t="str" cm="1">
        <f t="array" ref="J29">IFERROR(_xlfn.QUARTILE.INC(_xlfn._xlws.FILTER($V29:$CK29,$V$13:$CK$13="P.U"),0),"-")</f>
        <v>-</v>
      </c>
      <c r="K29" s="64"/>
      <c r="L29" s="31" t="str" cm="1">
        <f t="array" ref="L29">IFERROR(_xlfn.QUARTILE.INC(_xlfn._xlws.FILTER($V29:$CK29,$V$13:$CK$13="P.U"),1),"-")</f>
        <v>-</v>
      </c>
      <c r="M29" s="64"/>
      <c r="N29" s="31" t="str" cm="1">
        <f t="array" ref="N29">IFERROR(_xlfn.QUARTILE.INC(_xlfn._xlws.FILTER($V29:$CK29,$V$13:$CK$13="P.U"),2),"-")</f>
        <v>-</v>
      </c>
      <c r="O29" s="64"/>
      <c r="P29" s="31" t="str" cm="1">
        <f t="array" ref="P29">IFERROR(_xlfn.QUARTILE.INC(_xlfn._xlws.FILTER($V29:$CK29,$V$13:$CK$13="P.U"),3),"-")</f>
        <v>-</v>
      </c>
      <c r="Q29" s="64"/>
      <c r="R29" s="31" t="str" cm="1">
        <f t="array" ref="R29">IFERROR(_xlfn.QUARTILE.INC(_xlfn._xlws.FILTER($V29:$CK29,$V$13:$CK$13="P.U"),4),"-")</f>
        <v>-</v>
      </c>
      <c r="S29" s="32" t="str" cm="1">
        <f t="array" ref="S29">_xlfn.LET(_xlpm.p,_xlfn.UNIQUE(_xlfn._xlws.FILTER(T29:CH29,$T$13:$CH$13="U"),1),_xlpm.f,_xlfn._xlws.FILTER(_xlpm.p,_xlpm.p&lt;&gt;"",""),IF(COUNTA(_xlpm.f)=1,_xlpm.f,"différentes"))</f>
        <v/>
      </c>
      <c r="T29" s="33"/>
      <c r="U29" s="34"/>
      <c r="V29" s="39"/>
      <c r="W29" s="33"/>
      <c r="X29" s="34"/>
      <c r="Y29" s="34"/>
      <c r="Z29" s="33"/>
      <c r="AA29" s="34"/>
      <c r="AB29" s="34"/>
      <c r="AC29" s="33"/>
      <c r="AD29" s="34"/>
      <c r="AE29" s="46"/>
      <c r="AF29" s="39"/>
      <c r="AG29" s="34"/>
      <c r="AH29" s="39"/>
      <c r="AI29" s="33"/>
      <c r="AJ29" s="35"/>
      <c r="AK29" s="36"/>
      <c r="AL29" s="33"/>
      <c r="AM29" s="36"/>
      <c r="AN29" s="36"/>
      <c r="AO29" s="33"/>
      <c r="AP29" s="35"/>
      <c r="AQ29" s="36"/>
      <c r="AR29" s="33"/>
      <c r="AS29" s="35"/>
      <c r="AT29" s="36"/>
      <c r="AU29" s="33"/>
      <c r="AV29" s="35"/>
      <c r="AW29" s="36"/>
      <c r="AX29" s="33"/>
      <c r="AY29" s="35"/>
      <c r="AZ29" s="35"/>
      <c r="BA29" s="33"/>
      <c r="BB29" s="35"/>
      <c r="BC29" s="35"/>
      <c r="BD29" s="35"/>
      <c r="BE29" s="35"/>
      <c r="BF29" s="35"/>
      <c r="BG29" s="35"/>
      <c r="BH29" s="36"/>
      <c r="BI29" s="36"/>
      <c r="BJ29" s="35"/>
      <c r="BK29" s="35"/>
      <c r="BL29" s="36"/>
      <c r="BM29" s="35"/>
      <c r="BN29" s="35"/>
      <c r="BO29" s="35"/>
      <c r="BP29" s="35"/>
      <c r="BQ29" s="35"/>
      <c r="BR29" s="35"/>
      <c r="BS29" s="33"/>
      <c r="BT29" s="35"/>
      <c r="BU29" s="36"/>
      <c r="BV29" s="33"/>
      <c r="BW29" s="35"/>
      <c r="BX29" s="36"/>
      <c r="BY29" s="37"/>
      <c r="BZ29" s="35"/>
      <c r="CA29" s="36"/>
      <c r="CB29" s="35"/>
      <c r="CC29" s="35"/>
      <c r="CD29" s="36"/>
      <c r="CE29" s="35"/>
      <c r="CF29" s="35"/>
      <c r="CG29" s="36"/>
      <c r="CH29" s="42"/>
      <c r="CI29" s="35"/>
      <c r="CJ29" s="36"/>
    </row>
    <row r="30" spans="1:88" x14ac:dyDescent="0.35">
      <c r="A30" s="61"/>
      <c r="B30" s="38" t="s">
        <v>37</v>
      </c>
      <c r="C30" s="30" cm="1">
        <f t="array" ref="C30">COUNT(_xlfn._xlws.FILTER(T30:CJ30,($T$13:$CJ$13="P.U")*(ISNUMBER(T30:CJ30)),""))</f>
        <v>4</v>
      </c>
      <c r="D30" s="30">
        <f>_xlfn.MINIFS(30:30,$13:$13,"P.U")</f>
        <v>10080.280000000001</v>
      </c>
      <c r="E30" s="30">
        <f>IFERROR(AVERAGEIFS(30:30,$13:$13,"P.U"), "-")</f>
        <v>22680.6325</v>
      </c>
      <c r="F30" s="30" cm="1">
        <f t="array" ref="F30">IFERROR(MEDIAN(_xlfn._xlws.FILTER($V30:$CJ30,$V$13:$CJ$13="P.U")),"-")</f>
        <v>22680.63</v>
      </c>
      <c r="G30" s="30" cm="1">
        <f t="array" ref="G30">IFERROR(_xlfn.STDEV.P(_xlfn._xlws.FILTER($V30:$CJ30,$V$13:$CJ$13="P.U")),"-")</f>
        <v>9086.2450696351298</v>
      </c>
      <c r="H30" s="31">
        <f t="shared" si="0"/>
        <v>0.40061691708267527</v>
      </c>
      <c r="I30" s="64"/>
      <c r="J30" s="31" cm="1">
        <f t="array" ref="J30">IFERROR(_xlfn.QUARTILE.INC(_xlfn._xlws.FILTER($V30:$CK30,$V$13:$CK$13="P.U"),0),"-")</f>
        <v>10080.280000000001</v>
      </c>
      <c r="K30" s="64"/>
      <c r="L30" s="31" cm="1">
        <f t="array" ref="L30">IFERROR(_xlfn.QUARTILE.INC(_xlfn._xlws.FILTER($V30:$CK30,$V$13:$CK$13="P.U"),1),"-")</f>
        <v>17640.490000000002</v>
      </c>
      <c r="M30" s="64"/>
      <c r="N30" s="31" cm="1">
        <f t="array" ref="N30">IFERROR(_xlfn.QUARTILE.INC(_xlfn._xlws.FILTER($V30:$CK30,$V$13:$CK$13="P.U"),2),"-")</f>
        <v>22680.63</v>
      </c>
      <c r="O30" s="64"/>
      <c r="P30" s="31" cm="1">
        <f t="array" ref="P30">IFERROR(_xlfn.QUARTILE.INC(_xlfn._xlws.FILTER($V30:$CK30,$V$13:$CK$13="P.U"),3),"-")</f>
        <v>27720.772499999999</v>
      </c>
      <c r="Q30" s="64"/>
      <c r="R30" s="31" cm="1">
        <f t="array" ref="R30">IFERROR(_xlfn.QUARTILE.INC(_xlfn._xlws.FILTER($V30:$CK30,$V$13:$CK$13="P.U"),4),"-")</f>
        <v>35280.99</v>
      </c>
      <c r="S30" s="32" t="str" cm="1">
        <f t="array" ref="S30">_xlfn.LET(_xlpm.p,_xlfn.UNIQUE(_xlfn._xlws.FILTER(T30:CH30,$T$13:$CH$13="U"),1),_xlpm.f,_xlfn._xlws.FILTER(_xlpm.p,_xlpm.p&lt;&gt;"",""),IF(COUNTA(_xlpm.f)=1,_xlpm.f,"différentes"))</f>
        <v>différentes</v>
      </c>
      <c r="T30" s="33"/>
      <c r="U30" s="34"/>
      <c r="V30" s="39"/>
      <c r="W30" s="33" t="s">
        <v>17</v>
      </c>
      <c r="X30" s="34">
        <v>1</v>
      </c>
      <c r="Y30" s="39">
        <v>35280.99</v>
      </c>
      <c r="Z30" s="33" t="s">
        <v>17</v>
      </c>
      <c r="AA30" s="39">
        <v>1</v>
      </c>
      <c r="AB30" s="39">
        <v>20160.560000000001</v>
      </c>
      <c r="AC30" s="40" t="s">
        <v>17</v>
      </c>
      <c r="AD30" s="34">
        <v>1</v>
      </c>
      <c r="AE30" s="47">
        <v>25200.7</v>
      </c>
      <c r="AF30" s="40" t="s">
        <v>17</v>
      </c>
      <c r="AG30" s="34">
        <v>1</v>
      </c>
      <c r="AH30" s="39">
        <v>10080.280000000001</v>
      </c>
      <c r="AI30" s="40" t="s">
        <v>18</v>
      </c>
      <c r="AJ30" s="35"/>
      <c r="AK30" s="36"/>
      <c r="AL30" s="33" t="s">
        <v>18</v>
      </c>
      <c r="AM30" s="36"/>
      <c r="AN30" s="36"/>
      <c r="AO30" s="33" t="s">
        <v>17</v>
      </c>
      <c r="AP30" s="35"/>
      <c r="AQ30" s="36"/>
      <c r="AR30" s="33" t="s">
        <v>18</v>
      </c>
      <c r="AS30" s="35"/>
      <c r="AT30" s="36"/>
      <c r="AU30" s="33"/>
      <c r="AV30" s="35"/>
      <c r="AW30" s="36"/>
      <c r="AX30" s="33" t="s">
        <v>18</v>
      </c>
      <c r="AY30" s="35"/>
      <c r="AZ30" s="35"/>
      <c r="BA30" s="40" t="s">
        <v>18</v>
      </c>
      <c r="BB30" s="35"/>
      <c r="BC30" s="35"/>
      <c r="BD30" s="35"/>
      <c r="BE30" s="35"/>
      <c r="BF30" s="35"/>
      <c r="BG30" s="35" t="s">
        <v>18</v>
      </c>
      <c r="BH30" s="36"/>
      <c r="BI30" s="36"/>
      <c r="BJ30" s="35" t="s">
        <v>18</v>
      </c>
      <c r="BK30" s="35"/>
      <c r="BL30" s="36"/>
      <c r="BM30" s="35" t="s">
        <v>18</v>
      </c>
      <c r="BN30" s="35"/>
      <c r="BO30" s="35"/>
      <c r="BP30" s="35" t="s">
        <v>18</v>
      </c>
      <c r="BQ30" s="35"/>
      <c r="BR30" s="35"/>
      <c r="BS30" s="33" t="s">
        <v>20</v>
      </c>
      <c r="BT30" s="35"/>
      <c r="BU30" s="36"/>
      <c r="BV30" s="33" t="s">
        <v>17</v>
      </c>
      <c r="BW30" s="35">
        <v>1</v>
      </c>
      <c r="BX30" s="36" t="s">
        <v>18</v>
      </c>
      <c r="BY30" s="44" t="s">
        <v>17</v>
      </c>
      <c r="BZ30" s="35">
        <v>1</v>
      </c>
      <c r="CA30" s="36" t="s">
        <v>18</v>
      </c>
      <c r="CB30" s="35" t="s">
        <v>17</v>
      </c>
      <c r="CC30" s="35">
        <v>1</v>
      </c>
      <c r="CD30" s="36" t="s">
        <v>18</v>
      </c>
      <c r="CE30" s="35" t="s">
        <v>17</v>
      </c>
      <c r="CF30" s="35">
        <v>1</v>
      </c>
      <c r="CG30" s="36" t="s">
        <v>18</v>
      </c>
      <c r="CH30" s="42" t="s">
        <v>17</v>
      </c>
      <c r="CI30" s="35">
        <v>1</v>
      </c>
      <c r="CJ30" s="36" t="s">
        <v>18</v>
      </c>
    </row>
    <row r="31" spans="1:88" x14ac:dyDescent="0.35">
      <c r="A31" s="62"/>
      <c r="B31" s="38" t="s">
        <v>38</v>
      </c>
      <c r="C31" s="30" cm="1">
        <f t="array" ref="C31">COUNT(_xlfn._xlws.FILTER(T31:CJ31,($T$13:$CJ$13="P.U")*(ISNUMBER(T31:CJ31)),""))</f>
        <v>4</v>
      </c>
      <c r="D31" s="30">
        <f>_xlfn.MINIFS(31:31,$13:$13,"P.U")</f>
        <v>4110.1499999999996</v>
      </c>
      <c r="E31" s="30">
        <f>IFERROR(AVERAGEIFS(31:31,$13:$13,"P.U"), "-")</f>
        <v>9247.84</v>
      </c>
      <c r="F31" s="30" cm="1">
        <f t="array" ref="F31">IFERROR(MEDIAN(_xlfn._xlws.FILTER($V31:$CJ31,$V$13:$CJ$13="P.U")),"-")</f>
        <v>9247.84</v>
      </c>
      <c r="G31" s="30" cm="1">
        <f t="array" ref="G31">IFERROR(_xlfn.STDEV.P(_xlfn._xlws.FILTER($V31:$CJ31,$V$13:$CJ$13="P.U")),"-")</f>
        <v>3704.8412238380733</v>
      </c>
      <c r="H31" s="31">
        <f t="shared" si="0"/>
        <v>0.40061692501579538</v>
      </c>
      <c r="I31" s="64"/>
      <c r="J31" s="31" cm="1">
        <f t="array" ref="J31">IFERROR(_xlfn.QUARTILE.INC(_xlfn._xlws.FILTER($V31:$CK31,$V$13:$CK$13="P.U"),0),"-")</f>
        <v>4110.1499999999996</v>
      </c>
      <c r="K31" s="64"/>
      <c r="L31" s="31" cm="1">
        <f t="array" ref="L31">IFERROR(_xlfn.QUARTILE.INC(_xlfn._xlws.FILTER($V31:$CK31,$V$13:$CK$13="P.U"),1),"-")</f>
        <v>7192.7624999999989</v>
      </c>
      <c r="M31" s="64"/>
      <c r="N31" s="31" cm="1">
        <f t="array" ref="N31">IFERROR(_xlfn.QUARTILE.INC(_xlfn._xlws.FILTER($V31:$CK31,$V$13:$CK$13="P.U"),2),"-")</f>
        <v>9247.84</v>
      </c>
      <c r="O31" s="64"/>
      <c r="P31" s="31" cm="1">
        <f t="array" ref="P31">IFERROR(_xlfn.QUARTILE.INC(_xlfn._xlws.FILTER($V31:$CK31,$V$13:$CK$13="P.U"),3),"-")</f>
        <v>11302.9175</v>
      </c>
      <c r="Q31" s="64"/>
      <c r="R31" s="31" cm="1">
        <f t="array" ref="R31">IFERROR(_xlfn.QUARTILE.INC(_xlfn._xlws.FILTER($V31:$CK31,$V$13:$CK$13="P.U"),4),"-")</f>
        <v>14385.53</v>
      </c>
      <c r="S31" s="32" t="str" cm="1">
        <f t="array" ref="S31">_xlfn.LET(_xlpm.p,_xlfn.UNIQUE(_xlfn._xlws.FILTER(T31:CH31,$T$13:$CH$13="U"),1),_xlpm.f,_xlfn._xlws.FILTER(_xlpm.p,_xlpm.p&lt;&gt;"",""),IF(COUNTA(_xlpm.f)=1,_xlpm.f,"différentes"))</f>
        <v>différentes</v>
      </c>
      <c r="T31" s="33"/>
      <c r="U31" s="34"/>
      <c r="V31" s="39"/>
      <c r="W31" s="33" t="s">
        <v>17</v>
      </c>
      <c r="X31" s="34">
        <v>1</v>
      </c>
      <c r="Y31" s="39">
        <v>14385.53</v>
      </c>
      <c r="Z31" s="33" t="s">
        <v>17</v>
      </c>
      <c r="AA31" s="39">
        <v>1</v>
      </c>
      <c r="AB31" s="39">
        <v>8220.2999999999993</v>
      </c>
      <c r="AC31" s="40" t="s">
        <v>17</v>
      </c>
      <c r="AD31" s="34">
        <v>1</v>
      </c>
      <c r="AE31" s="47">
        <v>10275.379999999999</v>
      </c>
      <c r="AF31" s="40" t="s">
        <v>17</v>
      </c>
      <c r="AG31" s="34">
        <v>1</v>
      </c>
      <c r="AH31" s="39">
        <v>4110.1499999999996</v>
      </c>
      <c r="AI31" s="40" t="s">
        <v>18</v>
      </c>
      <c r="AJ31" s="35"/>
      <c r="AK31" s="36"/>
      <c r="AL31" s="33" t="s">
        <v>18</v>
      </c>
      <c r="AM31" s="36"/>
      <c r="AN31" s="36"/>
      <c r="AO31" s="33" t="s">
        <v>17</v>
      </c>
      <c r="AP31" s="35"/>
      <c r="AQ31" s="36"/>
      <c r="AR31" s="33" t="s">
        <v>18</v>
      </c>
      <c r="AS31" s="35"/>
      <c r="AT31" s="36"/>
      <c r="AU31" s="33"/>
      <c r="AV31" s="35"/>
      <c r="AW31" s="36"/>
      <c r="AX31" s="33" t="s">
        <v>18</v>
      </c>
      <c r="AY31" s="35"/>
      <c r="AZ31" s="35"/>
      <c r="BA31" s="40" t="s">
        <v>18</v>
      </c>
      <c r="BB31" s="35"/>
      <c r="BC31" s="35"/>
      <c r="BD31" s="35"/>
      <c r="BE31" s="35"/>
      <c r="BF31" s="35"/>
      <c r="BG31" s="35" t="s">
        <v>18</v>
      </c>
      <c r="BH31" s="36"/>
      <c r="BI31" s="36"/>
      <c r="BJ31" s="35" t="s">
        <v>18</v>
      </c>
      <c r="BK31" s="35"/>
      <c r="BL31" s="36"/>
      <c r="BM31" s="35" t="s">
        <v>18</v>
      </c>
      <c r="BN31" s="35"/>
      <c r="BO31" s="35"/>
      <c r="BP31" s="35" t="s">
        <v>18</v>
      </c>
      <c r="BQ31" s="35"/>
      <c r="BR31" s="35"/>
      <c r="BS31" s="33" t="s">
        <v>20</v>
      </c>
      <c r="BT31" s="35"/>
      <c r="BU31" s="36"/>
      <c r="BV31" s="33" t="s">
        <v>17</v>
      </c>
      <c r="BW31" s="35">
        <v>1</v>
      </c>
      <c r="BX31" s="36" t="s">
        <v>18</v>
      </c>
      <c r="BY31" s="44" t="s">
        <v>17</v>
      </c>
      <c r="BZ31" s="35">
        <v>1</v>
      </c>
      <c r="CA31" s="36" t="s">
        <v>18</v>
      </c>
      <c r="CB31" s="35" t="s">
        <v>17</v>
      </c>
      <c r="CC31" s="35">
        <v>1</v>
      </c>
      <c r="CD31" s="36" t="s">
        <v>18</v>
      </c>
      <c r="CE31" s="35" t="s">
        <v>17</v>
      </c>
      <c r="CF31" s="35">
        <v>1</v>
      </c>
      <c r="CG31" s="36" t="s">
        <v>18</v>
      </c>
      <c r="CH31" s="42" t="s">
        <v>17</v>
      </c>
      <c r="CI31" s="35">
        <v>1</v>
      </c>
      <c r="CJ31" s="36" t="s">
        <v>18</v>
      </c>
    </row>
    <row r="32" spans="1:88" x14ac:dyDescent="0.35">
      <c r="A32" s="28" t="s">
        <v>12</v>
      </c>
      <c r="B32" s="48" t="s">
        <v>21</v>
      </c>
      <c r="C32" s="30" cm="1">
        <f t="array" ref="C32">COUNT(_xlfn._xlws.FILTER(T32:CJ32,($T$13:$CJ$13="P.U")*(ISNUMBER(T32:CJ32)),""))</f>
        <v>0</v>
      </c>
      <c r="D32" s="30">
        <f>_xlfn.MINIFS(32:32,$13:$13,"P.U")</f>
        <v>0</v>
      </c>
      <c r="E32" s="30" t="str">
        <f>IFERROR(AVERAGEIFS(32:32,$13:$13,"P.U"), "-")</f>
        <v>-</v>
      </c>
      <c r="F32" s="30" t="str" cm="1">
        <f t="array" ref="F32">IFERROR(MEDIAN(_xlfn._xlws.FILTER($V32:$CJ32,$V$13:$CJ$13="P.U")),"-")</f>
        <v>-</v>
      </c>
      <c r="G32" s="30" t="str" cm="1">
        <f t="array" ref="G32">IFERROR(_xlfn.STDEV.P(_xlfn._xlws.FILTER($V32:$CJ32,$V$13:$CJ$13="P.U")),"-")</f>
        <v>-</v>
      </c>
      <c r="H32" s="31" t="str">
        <f t="shared" si="0"/>
        <v>0</v>
      </c>
      <c r="I32" s="64"/>
      <c r="J32" s="31" t="str" cm="1">
        <f t="array" ref="J32">IFERROR(_xlfn.QUARTILE.INC(_xlfn._xlws.FILTER($V32:$CK32,$V$13:$CK$13="P.U"),0),"-")</f>
        <v>-</v>
      </c>
      <c r="K32" s="64"/>
      <c r="L32" s="31" t="str" cm="1">
        <f t="array" ref="L32">IFERROR(_xlfn.QUARTILE.INC(_xlfn._xlws.FILTER($V32:$CK32,$V$13:$CK$13="P.U"),1),"-")</f>
        <v>-</v>
      </c>
      <c r="M32" s="64"/>
      <c r="N32" s="31" t="str" cm="1">
        <f t="array" ref="N32">IFERROR(_xlfn.QUARTILE.INC(_xlfn._xlws.FILTER($V32:$CK32,$V$13:$CK$13="P.U"),2),"-")</f>
        <v>-</v>
      </c>
      <c r="O32" s="64"/>
      <c r="P32" s="31" t="str" cm="1">
        <f t="array" ref="P32">IFERROR(_xlfn.QUARTILE.INC(_xlfn._xlws.FILTER($V32:$CK32,$V$13:$CK$13="P.U"),3),"-")</f>
        <v>-</v>
      </c>
      <c r="Q32" s="64"/>
      <c r="R32" s="31" t="str" cm="1">
        <f t="array" ref="R32">IFERROR(_xlfn.QUARTILE.INC(_xlfn._xlws.FILTER($V32:$CK32,$V$13:$CK$13="P.U"),4),"-")</f>
        <v>-</v>
      </c>
      <c r="S32" s="32" t="str" cm="1">
        <f t="array" ref="S32">_xlfn.LET(_xlpm.p,_xlfn.UNIQUE(_xlfn._xlws.FILTER(T32:CH32,$T$13:$CH$13="U"),1),_xlpm.f,_xlfn._xlws.FILTER(_xlpm.p,_xlpm.p&lt;&gt;"",""),IF(COUNTA(_xlpm.f)=1,_xlpm.f,"différentes"))</f>
        <v/>
      </c>
      <c r="T32" s="33"/>
      <c r="U32" s="34"/>
      <c r="V32" s="34"/>
      <c r="W32" s="33"/>
      <c r="X32" s="34"/>
      <c r="Y32" s="34"/>
      <c r="Z32" s="33"/>
      <c r="AA32" s="34"/>
      <c r="AB32" s="34"/>
      <c r="AC32" s="33"/>
      <c r="AD32" s="34"/>
      <c r="AE32" s="46"/>
      <c r="AF32" s="39"/>
      <c r="AG32" s="34"/>
      <c r="AH32" s="39"/>
      <c r="AI32" s="33"/>
      <c r="AJ32" s="35"/>
      <c r="AK32" s="36"/>
      <c r="AL32" s="33"/>
      <c r="AM32" s="36"/>
      <c r="AN32" s="36"/>
      <c r="AO32" s="33"/>
      <c r="AP32" s="35"/>
      <c r="AQ32" s="36"/>
      <c r="AR32" s="33"/>
      <c r="AS32" s="35"/>
      <c r="AT32" s="36"/>
      <c r="AU32" s="33"/>
      <c r="AV32" s="35"/>
      <c r="AW32" s="36"/>
      <c r="AX32" s="33"/>
      <c r="AY32" s="35"/>
      <c r="AZ32" s="35"/>
      <c r="BA32" s="33"/>
      <c r="BB32" s="35"/>
      <c r="BC32" s="35"/>
      <c r="BD32" s="35"/>
      <c r="BE32" s="35"/>
      <c r="BF32" s="35"/>
      <c r="BG32" s="35"/>
      <c r="BH32" s="36"/>
      <c r="BI32" s="36"/>
      <c r="BJ32" s="35"/>
      <c r="BK32" s="35"/>
      <c r="BL32" s="36"/>
      <c r="BM32" s="35"/>
      <c r="BN32" s="35"/>
      <c r="BO32" s="35"/>
      <c r="BP32" s="35"/>
      <c r="BQ32" s="35"/>
      <c r="BR32" s="35"/>
      <c r="BS32" s="33"/>
      <c r="BT32" s="35"/>
      <c r="BU32" s="36"/>
      <c r="BV32" s="33"/>
      <c r="BW32" s="35"/>
      <c r="BX32" s="36"/>
      <c r="BY32" s="37"/>
      <c r="BZ32" s="35"/>
      <c r="CA32" s="36"/>
      <c r="CB32" s="35"/>
      <c r="CC32" s="35"/>
      <c r="CD32" s="36"/>
      <c r="CE32" s="35"/>
      <c r="CF32" s="35"/>
      <c r="CG32" s="36"/>
      <c r="CH32" s="42"/>
      <c r="CI32" s="35"/>
      <c r="CJ32" s="36"/>
    </row>
    <row r="33" spans="1:89" x14ac:dyDescent="0.35">
      <c r="A33" s="28" t="s">
        <v>12</v>
      </c>
      <c r="B33" s="38" t="s">
        <v>40</v>
      </c>
      <c r="C33" s="30" cm="1">
        <f t="array" ref="C33">COUNT(_xlfn._xlws.FILTER(T33:CJ33,($T$13:$CJ$13="P.U")*(ISNUMBER(T33:CJ33)),""))</f>
        <v>23</v>
      </c>
      <c r="D33" s="30">
        <f>_xlfn.MINIFS(33:33,$13:$13,"P.U")</f>
        <v>2418.87</v>
      </c>
      <c r="E33" s="30">
        <f>IFERROR(AVERAGEIFS(33:33,$13:$13,"P.U"), "-")</f>
        <v>173597.23826086964</v>
      </c>
      <c r="F33" s="30" cm="1">
        <f t="array" ref="F33">IFERROR(MEDIAN(_xlfn._xlws.FILTER($V33:$CJ33,$V$13:$CJ$13="P.U")),"-")</f>
        <v>33748</v>
      </c>
      <c r="G33" s="30" cm="1">
        <f t="array" ref="G33">IFERROR(_xlfn.STDEV.P(_xlfn._xlws.FILTER($V33:$CJ33,$V$13:$CJ$13="P.U")),"-")</f>
        <v>382196.81824909779</v>
      </c>
      <c r="H33" s="31">
        <f t="shared" si="0"/>
        <v>2.201629600090524</v>
      </c>
      <c r="I33" s="64"/>
      <c r="J33" s="31" cm="1">
        <f t="array" ref="J33">IFERROR(_xlfn.QUARTILE.INC(_xlfn._xlws.FILTER($V33:$CK33,$V$13:$CK$13="P.U"),0),"-")</f>
        <v>2418.87</v>
      </c>
      <c r="K33" s="64"/>
      <c r="L33" s="31" cm="1">
        <f t="array" ref="L33">IFERROR(_xlfn.QUARTILE.INC(_xlfn._xlws.FILTER($V33:$CK33,$V$13:$CK$13="P.U"),1),"-")</f>
        <v>2420.5499999999997</v>
      </c>
      <c r="M33" s="64"/>
      <c r="N33" s="31" cm="1">
        <f t="array" ref="N33">IFERROR(_xlfn.QUARTILE.INC(_xlfn._xlws.FILTER($V33:$CK33,$V$13:$CK$13="P.U"),2),"-")</f>
        <v>33748</v>
      </c>
      <c r="O33" s="64"/>
      <c r="P33" s="31" cm="1">
        <f t="array" ref="P33">IFERROR(_xlfn.QUARTILE.INC(_xlfn._xlws.FILTER($V33:$CK33,$V$13:$CK$13="P.U"),3),"-")</f>
        <v>99614.399999999994</v>
      </c>
      <c r="Q33" s="64"/>
      <c r="R33" s="31" cm="1">
        <f t="array" ref="R33">IFERROR(_xlfn.QUARTILE.INC(_xlfn._xlws.FILTER($V33:$CK33,$V$13:$CK$13="P.U"),4),"-")</f>
        <v>1597094.23</v>
      </c>
      <c r="S33" s="32" t="str" cm="1">
        <f t="array" ref="S33">_xlfn.LET(_xlpm.p,_xlfn.UNIQUE(_xlfn._xlws.FILTER(T33:CH33,$T$13:$CH$13="U"),1),_xlpm.f,_xlfn._xlws.FILTER(_xlpm.p,_xlpm.p&lt;&gt;"",""),IF(COUNTA(_xlpm.f)=1,_xlpm.f,"différentes"))</f>
        <v>ens</v>
      </c>
      <c r="T33" s="33" t="s">
        <v>17</v>
      </c>
      <c r="U33" s="34">
        <v>1</v>
      </c>
      <c r="V33" s="39">
        <v>1597094.23</v>
      </c>
      <c r="W33" s="33" t="s">
        <v>17</v>
      </c>
      <c r="X33" s="34">
        <v>1</v>
      </c>
      <c r="Y33" s="39">
        <f>60946.69+75390.63</f>
        <v>136337.32</v>
      </c>
      <c r="Z33" s="33" t="s">
        <v>17</v>
      </c>
      <c r="AA33" s="39">
        <v>1</v>
      </c>
      <c r="AB33" s="46">
        <f>34826.68+43080.36</f>
        <v>77907.040000000008</v>
      </c>
      <c r="AC33" s="33" t="s">
        <v>17</v>
      </c>
      <c r="AD33" s="34">
        <v>1</v>
      </c>
      <c r="AE33" s="46">
        <f>43533.35+53850.45</f>
        <v>97383.799999999988</v>
      </c>
      <c r="AF33" s="39" t="s">
        <v>17</v>
      </c>
      <c r="AG33" s="34">
        <v>1</v>
      </c>
      <c r="AH33" s="39">
        <f>17413.34+21540.18</f>
        <v>38953.520000000004</v>
      </c>
      <c r="AI33" s="33" t="s">
        <v>17</v>
      </c>
      <c r="AJ33" s="35">
        <v>1</v>
      </c>
      <c r="AK33" s="41">
        <f>200526.5+124220.8</f>
        <v>324747.3</v>
      </c>
      <c r="AL33" s="33" t="s">
        <v>17</v>
      </c>
      <c r="AM33" s="36">
        <v>1</v>
      </c>
      <c r="AN33" s="36">
        <f>1614.8+807.4</f>
        <v>2422.1999999999998</v>
      </c>
      <c r="AO33" s="33" t="s">
        <v>17</v>
      </c>
      <c r="AP33" s="35">
        <v>1</v>
      </c>
      <c r="AQ33" s="36">
        <f>1614.8+807.4</f>
        <v>2422.1999999999998</v>
      </c>
      <c r="AR33" s="33" t="s">
        <v>17</v>
      </c>
      <c r="AS33" s="35">
        <v>1</v>
      </c>
      <c r="AT33" s="36">
        <f>1614.8+807.4</f>
        <v>2422.1999999999998</v>
      </c>
      <c r="AU33" s="33" t="s">
        <v>17</v>
      </c>
      <c r="AV33" s="35">
        <v>1</v>
      </c>
      <c r="AW33" s="36">
        <f>1614.8+807.4</f>
        <v>2422.1999999999998</v>
      </c>
      <c r="AX33" s="33" t="s">
        <v>17</v>
      </c>
      <c r="AY33" s="35">
        <v>1</v>
      </c>
      <c r="AZ33" s="35">
        <f>1614.8+807.4</f>
        <v>2422.1999999999998</v>
      </c>
      <c r="BA33" s="33" t="s">
        <v>17</v>
      </c>
      <c r="BB33" s="35">
        <v>1</v>
      </c>
      <c r="BC33" s="35">
        <f>184936.6+126557.4</f>
        <v>311494</v>
      </c>
      <c r="BD33" s="35" t="s">
        <v>17</v>
      </c>
      <c r="BE33" s="35">
        <v>1</v>
      </c>
      <c r="BF33" s="35">
        <f>1612.6+806.29</f>
        <v>2418.89</v>
      </c>
      <c r="BG33" s="35" t="s">
        <v>17</v>
      </c>
      <c r="BH33" s="36">
        <v>1</v>
      </c>
      <c r="BI33" s="36">
        <f>1612.6+806.3</f>
        <v>2418.8999999999996</v>
      </c>
      <c r="BJ33" s="35" t="s">
        <v>17</v>
      </c>
      <c r="BK33" s="35">
        <v>1</v>
      </c>
      <c r="BL33" s="36">
        <f>1612.58+806.29</f>
        <v>2418.87</v>
      </c>
      <c r="BM33" s="35" t="s">
        <v>17</v>
      </c>
      <c r="BN33" s="35">
        <v>1</v>
      </c>
      <c r="BO33" s="35">
        <f>1612.58+806.29</f>
        <v>2418.87</v>
      </c>
      <c r="BP33" s="35" t="s">
        <v>17</v>
      </c>
      <c r="BQ33" s="35">
        <v>1</v>
      </c>
      <c r="BR33" s="35">
        <f>1612.58+806.29</f>
        <v>2418.87</v>
      </c>
      <c r="BS33" s="33" t="s">
        <v>17</v>
      </c>
      <c r="BT33" s="35">
        <v>1</v>
      </c>
      <c r="BU33" s="36">
        <f>1612.58+806.29</f>
        <v>2418.87</v>
      </c>
      <c r="BV33" s="33" t="s">
        <v>17</v>
      </c>
      <c r="BW33" s="35">
        <v>1</v>
      </c>
      <c r="BX33" s="36">
        <f>590670+523986</f>
        <v>1114656</v>
      </c>
      <c r="BY33" s="37" t="s">
        <v>17</v>
      </c>
      <c r="BZ33" s="35">
        <v>1</v>
      </c>
      <c r="CA33" s="36">
        <f>46927+54918</f>
        <v>101845</v>
      </c>
      <c r="CB33" s="35" t="s">
        <v>17</v>
      </c>
      <c r="CC33" s="35">
        <v>1</v>
      </c>
      <c r="CD33" s="36">
        <f>50809+40095</f>
        <v>90904</v>
      </c>
      <c r="CE33" s="35" t="s">
        <v>17</v>
      </c>
      <c r="CF33" s="35">
        <v>1</v>
      </c>
      <c r="CG33" s="36">
        <f>18496+22546</f>
        <v>41042</v>
      </c>
      <c r="CH33" s="42" t="s">
        <v>17</v>
      </c>
      <c r="CI33" s="35">
        <v>1</v>
      </c>
      <c r="CJ33" s="36">
        <f>17167+16581</f>
        <v>33748</v>
      </c>
    </row>
    <row r="34" spans="1:89" x14ac:dyDescent="0.35">
      <c r="A34" s="28" t="s">
        <v>12</v>
      </c>
      <c r="B34" s="38" t="s">
        <v>41</v>
      </c>
      <c r="C34" s="30" cm="1">
        <f t="array" ref="C34">COUNT(_xlfn._xlws.FILTER(T34:CJ34,($T$13:$CJ$13="P.U")*(ISNUMBER(T34:CJ34)),""))</f>
        <v>23</v>
      </c>
      <c r="D34" s="30">
        <f>_xlfn.MINIFS(34:34,$13:$13,"P.U")</f>
        <v>38335</v>
      </c>
      <c r="E34" s="30">
        <f>IFERROR(AVERAGEIFS(34:34,$13:$13,"P.U"), "-")</f>
        <v>360643.79565217393</v>
      </c>
      <c r="F34" s="30" cm="1">
        <f t="array" ref="F34">IFERROR(MEDIAN(_xlfn._xlws.FILTER($V34:$CJ34,$V$13:$CJ$13="P.U")),"-")</f>
        <v>82103.17</v>
      </c>
      <c r="G34" s="30" cm="1">
        <f t="array" ref="G34">IFERROR(_xlfn.STDEV.P(_xlfn._xlws.FILTER($V34:$CJ34,$V$13:$CJ$13="P.U")),"-")</f>
        <v>650267.0262268011</v>
      </c>
      <c r="H34" s="31">
        <f t="shared" si="0"/>
        <v>1.8030728216213563</v>
      </c>
      <c r="I34" s="64"/>
      <c r="J34" s="31" cm="1">
        <f t="array" ref="J34">IFERROR(_xlfn.QUARTILE.INC(_xlfn._xlws.FILTER($V34:$CK34,$V$13:$CK$13="P.U"),0),"-")</f>
        <v>38335</v>
      </c>
      <c r="K34" s="64"/>
      <c r="L34" s="31" cm="1">
        <f t="array" ref="L34">IFERROR(_xlfn.QUARTILE.INC(_xlfn._xlws.FILTER($V34:$CK34,$V$13:$CK$13="P.U"),1),"-")</f>
        <v>66373.5</v>
      </c>
      <c r="M34" s="64"/>
      <c r="N34" s="31" cm="1">
        <f t="array" ref="N34">IFERROR(_xlfn.QUARTILE.INC(_xlfn._xlws.FILTER($V34:$CK34,$V$13:$CK$13="P.U"),2),"-")</f>
        <v>82103.17</v>
      </c>
      <c r="O34" s="64"/>
      <c r="P34" s="31" cm="1">
        <f t="array" ref="P34">IFERROR(_xlfn.QUARTILE.INC(_xlfn._xlws.FILTER($V34:$CK34,$V$13:$CK$13="P.U"),3),"-")</f>
        <v>125723.5</v>
      </c>
      <c r="Q34" s="64"/>
      <c r="R34" s="31" cm="1">
        <f t="array" ref="R34">IFERROR(_xlfn.QUARTILE.INC(_xlfn._xlws.FILTER($V34:$CK34,$V$13:$CK$13="P.U"),4),"-")</f>
        <v>2192133</v>
      </c>
      <c r="S34" s="32" t="str" cm="1">
        <f t="array" ref="S34">_xlfn.LET(_xlpm.p,_xlfn.UNIQUE(_xlfn._xlws.FILTER(T34:CH34,$T$13:$CH$13="U"),1),_xlpm.f,_xlfn._xlws.FILTER(_xlpm.p,_xlpm.p&lt;&gt;"",""),IF(COUNTA(_xlpm.f)=1,_xlpm.f,"différentes"))</f>
        <v>ens</v>
      </c>
      <c r="T34" s="33" t="s">
        <v>17</v>
      </c>
      <c r="U34" s="34">
        <v>1</v>
      </c>
      <c r="V34" s="39">
        <v>2097625.2799999998</v>
      </c>
      <c r="W34" s="33" t="s">
        <v>17</v>
      </c>
      <c r="X34" s="34">
        <v>1</v>
      </c>
      <c r="Y34" s="39">
        <v>151879</v>
      </c>
      <c r="Z34" s="33" t="s">
        <v>17</v>
      </c>
      <c r="AA34" s="39">
        <v>1</v>
      </c>
      <c r="AB34" s="39">
        <v>86788</v>
      </c>
      <c r="AC34" s="33" t="s">
        <v>17</v>
      </c>
      <c r="AD34" s="34">
        <v>1</v>
      </c>
      <c r="AE34" s="39">
        <v>108485</v>
      </c>
      <c r="AF34" s="39" t="s">
        <v>17</v>
      </c>
      <c r="AG34" s="34">
        <v>1</v>
      </c>
      <c r="AH34" s="39">
        <v>43394</v>
      </c>
      <c r="AI34" s="33" t="s">
        <v>17</v>
      </c>
      <c r="AJ34" s="35">
        <v>1</v>
      </c>
      <c r="AK34" s="41">
        <v>1655039.5</v>
      </c>
      <c r="AL34" s="33" t="s">
        <v>17</v>
      </c>
      <c r="AM34" s="36">
        <v>1</v>
      </c>
      <c r="AN34" s="36">
        <f>67786+21659.2</f>
        <v>89445.2</v>
      </c>
      <c r="AO34" s="33" t="s">
        <v>17</v>
      </c>
      <c r="AP34" s="35">
        <v>1</v>
      </c>
      <c r="AQ34" s="36">
        <f>46751.4+18791.2</f>
        <v>65542.600000000006</v>
      </c>
      <c r="AR34" s="33" t="s">
        <v>17</v>
      </c>
      <c r="AS34" s="35">
        <v>1</v>
      </c>
      <c r="AT34" s="36">
        <f>62497.1+21416.5</f>
        <v>83913.600000000006</v>
      </c>
      <c r="AU34" s="33" t="s">
        <v>17</v>
      </c>
      <c r="AV34" s="35">
        <v>1</v>
      </c>
      <c r="AW34" s="36">
        <f>62830.8+17208.6</f>
        <v>80039.399999999994</v>
      </c>
      <c r="AX34" s="33" t="s">
        <v>17</v>
      </c>
      <c r="AY34" s="35">
        <v>1</v>
      </c>
      <c r="AZ34" s="35">
        <f>62557.7+19458.7</f>
        <v>82016.399999999994</v>
      </c>
      <c r="BA34" s="33" t="s">
        <v>17</v>
      </c>
      <c r="BB34" s="35">
        <v>1</v>
      </c>
      <c r="BC34" s="35">
        <f>491633.4+200535.6+101034.7</f>
        <v>793203.7</v>
      </c>
      <c r="BD34" s="35" t="s">
        <v>17</v>
      </c>
      <c r="BE34" s="35">
        <v>1</v>
      </c>
      <c r="BF34" s="35">
        <v>67204.399999999994</v>
      </c>
      <c r="BG34" s="35" t="s">
        <v>17</v>
      </c>
      <c r="BH34" s="36">
        <v>1</v>
      </c>
      <c r="BI34" s="36">
        <f>46703.5+18783.1</f>
        <v>65486.6</v>
      </c>
      <c r="BJ34" s="35" t="s">
        <v>17</v>
      </c>
      <c r="BK34" s="35">
        <v>1</v>
      </c>
      <c r="BL34" s="36">
        <f>56782.12+25321.05</f>
        <v>82103.17</v>
      </c>
      <c r="BM34" s="35" t="s">
        <v>17</v>
      </c>
      <c r="BN34" s="35">
        <v>1</v>
      </c>
      <c r="BO34" s="35">
        <f>48719.22+20921.51</f>
        <v>69640.73</v>
      </c>
      <c r="BP34" s="35" t="s">
        <v>17</v>
      </c>
      <c r="BQ34" s="35">
        <v>1</v>
      </c>
      <c r="BR34" s="35">
        <f>41664.18+17652.52</f>
        <v>59316.7</v>
      </c>
      <c r="BS34" s="33" t="s">
        <v>17</v>
      </c>
      <c r="BT34" s="35">
        <v>1</v>
      </c>
      <c r="BU34" s="36">
        <f>54766.39+23182.63</f>
        <v>77949.02</v>
      </c>
      <c r="BV34" s="33" t="s">
        <v>17</v>
      </c>
      <c r="BW34" s="35">
        <v>1</v>
      </c>
      <c r="BX34" s="36">
        <v>2192133</v>
      </c>
      <c r="BY34" s="37" t="s">
        <v>17</v>
      </c>
      <c r="BZ34" s="35">
        <v>1</v>
      </c>
      <c r="CA34" s="36">
        <f>823+49845+1204+2128+20798+13900+5925+12589</f>
        <v>107212</v>
      </c>
      <c r="CB34" s="35" t="s">
        <v>17</v>
      </c>
      <c r="CC34" s="35">
        <v>1</v>
      </c>
      <c r="CD34" s="36">
        <f>31701+658+43214+3237+2347+20798+13900+7777+19330</f>
        <v>142962</v>
      </c>
      <c r="CE34" s="35" t="s">
        <v>17</v>
      </c>
      <c r="CF34" s="35">
        <v>1</v>
      </c>
      <c r="CG34" s="36">
        <f>205+17903+282+398+7587+5038+1496+5426</f>
        <v>38335</v>
      </c>
      <c r="CH34" s="42" t="s">
        <v>17</v>
      </c>
      <c r="CI34" s="35">
        <v>1</v>
      </c>
      <c r="CJ34" s="36">
        <f>13592+265+18219+491+457+7587+5038+2043+7401</f>
        <v>55093</v>
      </c>
    </row>
    <row r="35" spans="1:89" x14ac:dyDescent="0.35">
      <c r="A35" s="28" t="s">
        <v>12</v>
      </c>
      <c r="B35" s="38" t="s">
        <v>42</v>
      </c>
      <c r="C35" s="30" cm="1">
        <f t="array" ref="C35">COUNT(_xlfn._xlws.FILTER(T35:CJ35,($T$13:$CJ$13="P.U")*(ISNUMBER(T35:CJ35)),""))</f>
        <v>18</v>
      </c>
      <c r="D35" s="30">
        <f>_xlfn.MINIFS(35:35,$13:$13,"P.U")</f>
        <v>1511.79</v>
      </c>
      <c r="E35" s="30">
        <f>IFERROR(AVERAGEIFS(35:35,$13:$13,"P.U"), "-")</f>
        <v>11110.74722222222</v>
      </c>
      <c r="F35" s="30" cm="1">
        <f t="array" ref="F35">IFERROR(MEDIAN(_xlfn._xlws.FILTER($V35:$CJ35,$V$13:$CJ$13="P.U")),"-")</f>
        <v>1513.9</v>
      </c>
      <c r="G35" s="30" cm="1">
        <f t="array" ref="G35">IFERROR(_xlfn.STDEV.P(_xlfn._xlws.FILTER($V35:$CJ35,$V$13:$CJ$13="P.U")),"-")</f>
        <v>30912.74215396709</v>
      </c>
      <c r="H35" s="31">
        <f t="shared" si="0"/>
        <v>2.7822379121486613</v>
      </c>
      <c r="I35" s="64"/>
      <c r="J35" s="31" cm="1">
        <f t="array" ref="J35">IFERROR(_xlfn.QUARTILE.INC(_xlfn._xlws.FILTER($V35:$CK35,$V$13:$CK$13="P.U"),0),"-")</f>
        <v>1511.79</v>
      </c>
      <c r="K35" s="64"/>
      <c r="L35" s="31" cm="1">
        <f t="array" ref="L35">IFERROR(_xlfn.QUARTILE.INC(_xlfn._xlws.FILTER($V35:$CK35,$V$13:$CK$13="P.U"),1),"-")</f>
        <v>1511.8</v>
      </c>
      <c r="M35" s="64"/>
      <c r="N35" s="31" cm="1">
        <f t="array" ref="N35">IFERROR(_xlfn.QUARTILE.INC(_xlfn._xlws.FILTER($V35:$CK35,$V$13:$CK$13="P.U"),2),"-")</f>
        <v>1513.9</v>
      </c>
      <c r="O35" s="64"/>
      <c r="P35" s="31" cm="1">
        <f t="array" ref="P35">IFERROR(_xlfn.QUARTILE.INC(_xlfn._xlws.FILTER($V35:$CK35,$V$13:$CK$13="P.U"),3),"-")</f>
        <v>7350.9925000000003</v>
      </c>
      <c r="Q35" s="64"/>
      <c r="R35" s="31" cm="1">
        <f t="array" ref="R35">IFERROR(_xlfn.QUARTILE.INC(_xlfn._xlws.FILTER($V35:$CK35,$V$13:$CK$13="P.U"),4),"-")</f>
        <v>137902.92000000001</v>
      </c>
      <c r="S35" s="32" t="str" cm="1">
        <f t="array" ref="S35">_xlfn.LET(_xlpm.p,_xlfn.UNIQUE(_xlfn._xlws.FILTER(T35:CH35,$T$13:$CH$13="U"),1),_xlpm.f,_xlfn._xlws.FILTER(_xlpm.p,_xlpm.p&lt;&gt;"",""),IF(COUNTA(_xlpm.f)=1,_xlpm.f,"différentes"))</f>
        <v>ens</v>
      </c>
      <c r="T35" s="33" t="s">
        <v>17</v>
      </c>
      <c r="U35" s="34">
        <v>1</v>
      </c>
      <c r="V35" s="39">
        <v>137902.92000000001</v>
      </c>
      <c r="W35" s="33" t="s">
        <v>17</v>
      </c>
      <c r="X35" s="34">
        <v>1</v>
      </c>
      <c r="Y35" s="39">
        <v>11772.2</v>
      </c>
      <c r="Z35" s="33" t="s">
        <v>17</v>
      </c>
      <c r="AA35" s="39">
        <v>1</v>
      </c>
      <c r="AB35" s="39">
        <v>6726.97</v>
      </c>
      <c r="AC35" s="33" t="s">
        <v>17</v>
      </c>
      <c r="AD35" s="34">
        <v>1</v>
      </c>
      <c r="AE35" s="39">
        <v>8408.7099999999991</v>
      </c>
      <c r="AF35" s="39" t="s">
        <v>17</v>
      </c>
      <c r="AG35" s="34">
        <v>1</v>
      </c>
      <c r="AH35" s="39">
        <v>3363.49</v>
      </c>
      <c r="AI35" s="33" t="s">
        <v>17</v>
      </c>
      <c r="AJ35" s="35">
        <v>1</v>
      </c>
      <c r="AK35" s="41">
        <v>7569.4</v>
      </c>
      <c r="AL35" s="33" t="s">
        <v>17</v>
      </c>
      <c r="AM35" s="36">
        <v>1</v>
      </c>
      <c r="AN35" s="39">
        <v>1513.9</v>
      </c>
      <c r="AO35" s="33" t="s">
        <v>17</v>
      </c>
      <c r="AP35" s="35">
        <v>1</v>
      </c>
      <c r="AQ35" s="41">
        <v>1513.9</v>
      </c>
      <c r="AR35" s="33" t="s">
        <v>17</v>
      </c>
      <c r="AS35" s="35">
        <v>1</v>
      </c>
      <c r="AT35" s="36">
        <v>1564.4</v>
      </c>
      <c r="AU35" s="33" t="s">
        <v>17</v>
      </c>
      <c r="AV35" s="35">
        <v>1</v>
      </c>
      <c r="AW35" s="41">
        <v>1513.9</v>
      </c>
      <c r="AX35" s="33" t="s">
        <v>17</v>
      </c>
      <c r="AY35" s="35">
        <v>1</v>
      </c>
      <c r="AZ35" s="35">
        <v>1513.9</v>
      </c>
      <c r="BA35" s="33" t="s">
        <v>17</v>
      </c>
      <c r="BB35" s="35">
        <v>1</v>
      </c>
      <c r="BC35" s="35">
        <v>7559</v>
      </c>
      <c r="BD35" s="35" t="s">
        <v>17</v>
      </c>
      <c r="BE35" s="35">
        <v>1</v>
      </c>
      <c r="BF35" s="35">
        <v>1511.8</v>
      </c>
      <c r="BG35" s="35" t="s">
        <v>17</v>
      </c>
      <c r="BH35" s="36">
        <v>1</v>
      </c>
      <c r="BI35" s="39">
        <v>1511.8</v>
      </c>
      <c r="BJ35" s="35" t="s">
        <v>17</v>
      </c>
      <c r="BK35" s="35">
        <v>1</v>
      </c>
      <c r="BL35" s="41">
        <v>1511.79</v>
      </c>
      <c r="BM35" s="35" t="s">
        <v>17</v>
      </c>
      <c r="BN35" s="35">
        <v>1</v>
      </c>
      <c r="BO35" s="39">
        <v>1511.79</v>
      </c>
      <c r="BP35" s="35" t="s">
        <v>17</v>
      </c>
      <c r="BQ35" s="35">
        <v>1</v>
      </c>
      <c r="BR35" s="39">
        <v>1511.79</v>
      </c>
      <c r="BS35" s="33" t="s">
        <v>17</v>
      </c>
      <c r="BT35" s="35">
        <v>1</v>
      </c>
      <c r="BU35" s="41">
        <v>1511.79</v>
      </c>
      <c r="BV35" s="33" t="s">
        <v>17</v>
      </c>
      <c r="BW35" s="35">
        <v>1</v>
      </c>
      <c r="BX35" s="36" t="s">
        <v>18</v>
      </c>
      <c r="BY35" s="37" t="s">
        <v>17</v>
      </c>
      <c r="BZ35" s="35">
        <v>1</v>
      </c>
      <c r="CA35" s="36" t="s">
        <v>18</v>
      </c>
      <c r="CB35" s="35" t="s">
        <v>17</v>
      </c>
      <c r="CC35" s="35">
        <v>1</v>
      </c>
      <c r="CD35" s="36" t="s">
        <v>18</v>
      </c>
      <c r="CE35" s="35" t="s">
        <v>17</v>
      </c>
      <c r="CF35" s="35">
        <v>1</v>
      </c>
      <c r="CG35" s="36" t="s">
        <v>18</v>
      </c>
      <c r="CH35" s="42" t="s">
        <v>17</v>
      </c>
      <c r="CI35" s="35">
        <v>1</v>
      </c>
      <c r="CJ35" s="36" t="s">
        <v>18</v>
      </c>
    </row>
    <row r="36" spans="1:89" x14ac:dyDescent="0.35">
      <c r="A36" s="28" t="s">
        <v>12</v>
      </c>
      <c r="B36" s="38" t="s">
        <v>43</v>
      </c>
      <c r="C36" s="30" cm="1">
        <f t="array" ref="C36">COUNT(_xlfn._xlws.FILTER(T36:CJ36,($T$13:$CJ$13="P.U")*(ISNUMBER(T36:CJ36)),""))</f>
        <v>22</v>
      </c>
      <c r="D36" s="30">
        <f>_xlfn.MINIFS(36:36,$13:$13,"P.U")</f>
        <v>2018</v>
      </c>
      <c r="E36" s="30">
        <f>IFERROR(AVERAGEIFS(36:36,$13:$13,"P.U"), "-")</f>
        <v>33063.685454545455</v>
      </c>
      <c r="F36" s="30" cm="1">
        <f t="array" ref="F36">IFERROR(MEDIAN(_xlfn._xlws.FILTER($V36:$CJ36,$V$13:$CJ$13="P.U")),"-")</f>
        <v>12302.57</v>
      </c>
      <c r="G36" s="30" cm="1">
        <f t="array" ref="G36">IFERROR(_xlfn.STDEV.P(_xlfn._xlws.FILTER($V36:$CJ36,$V$13:$CJ$13="P.U")),"-")</f>
        <v>79103.409015520127</v>
      </c>
      <c r="H36" s="31">
        <f t="shared" si="0"/>
        <v>2.3924558901417119</v>
      </c>
      <c r="I36" s="64"/>
      <c r="J36" s="31" cm="1">
        <f t="array" ref="J36">IFERROR(_xlfn.QUARTILE.INC(_xlfn._xlws.FILTER($V36:$CK36,$V$13:$CK$13="P.U"),0),"-")</f>
        <v>2018</v>
      </c>
      <c r="K36" s="64"/>
      <c r="L36" s="31" cm="1">
        <f t="array" ref="L36">IFERROR(_xlfn.QUARTILE.INC(_xlfn._xlws.FILTER($V36:$CK36,$V$13:$CK$13="P.U"),1),"-")</f>
        <v>8247.4174999999996</v>
      </c>
      <c r="M36" s="64"/>
      <c r="N36" s="31" cm="1">
        <f t="array" ref="N36">IFERROR(_xlfn.QUARTILE.INC(_xlfn._xlws.FILTER($V36:$CK36,$V$13:$CK$13="P.U"),2),"-")</f>
        <v>12302.57</v>
      </c>
      <c r="O36" s="64"/>
      <c r="P36" s="31" cm="1">
        <f t="array" ref="P36">IFERROR(_xlfn.QUARTILE.INC(_xlfn._xlws.FILTER($V36:$CK36,$V$13:$CK$13="P.U"),3),"-")</f>
        <v>13809.150000000001</v>
      </c>
      <c r="Q36" s="64"/>
      <c r="R36" s="31" cm="1">
        <f t="array" ref="R36">IFERROR(_xlfn.QUARTILE.INC(_xlfn._xlws.FILTER($V36:$CK36,$V$13:$CK$13="P.U"),4),"-")</f>
        <v>382016.89</v>
      </c>
      <c r="S36" s="32" t="str" cm="1">
        <f t="array" ref="S36">_xlfn.LET(_xlpm.p,_xlfn.UNIQUE(_xlfn._xlws.FILTER(T36:CH36,$T$13:$CH$13="U"),1),_xlpm.f,_xlfn._xlws.FILTER(_xlpm.p,_xlpm.p&lt;&gt;"",""),IF(COUNTA(_xlpm.f)=1,_xlpm.f,"différentes"))</f>
        <v>différentes</v>
      </c>
      <c r="T36" s="33" t="s">
        <v>17</v>
      </c>
      <c r="U36" s="34">
        <v>1</v>
      </c>
      <c r="V36" s="39">
        <v>382016.89</v>
      </c>
      <c r="W36" s="33" t="s">
        <v>17</v>
      </c>
      <c r="X36" s="34">
        <v>1</v>
      </c>
      <c r="Y36" s="39">
        <v>18225.669999999998</v>
      </c>
      <c r="Z36" s="33" t="s">
        <v>17</v>
      </c>
      <c r="AA36" s="39">
        <v>1</v>
      </c>
      <c r="AB36" s="39">
        <v>10414.67</v>
      </c>
      <c r="AC36" s="33" t="s">
        <v>17</v>
      </c>
      <c r="AD36" s="34">
        <v>1</v>
      </c>
      <c r="AE36" s="39">
        <v>13018.34</v>
      </c>
      <c r="AF36" s="39" t="s">
        <v>17</v>
      </c>
      <c r="AG36" s="34">
        <v>1</v>
      </c>
      <c r="AH36" s="39">
        <v>5207.33</v>
      </c>
      <c r="AI36" s="33" t="s">
        <v>17</v>
      </c>
      <c r="AJ36" s="35">
        <v>1</v>
      </c>
      <c r="AK36" s="41">
        <v>38153.599999999999</v>
      </c>
      <c r="AL36" s="33" t="s">
        <v>17</v>
      </c>
      <c r="AM36" s="36">
        <v>1</v>
      </c>
      <c r="AN36" s="39">
        <f>9893.2+4037</f>
        <v>13930.2</v>
      </c>
      <c r="AO36" s="33" t="s">
        <v>17</v>
      </c>
      <c r="AP36" s="35">
        <v>1</v>
      </c>
      <c r="AQ36" s="41">
        <f>7409.7+4037</f>
        <v>11446.7</v>
      </c>
      <c r="AR36" s="33" t="s">
        <v>17</v>
      </c>
      <c r="AS36" s="35">
        <v>1</v>
      </c>
      <c r="AT36" s="36">
        <f>9409+4037</f>
        <v>13446</v>
      </c>
      <c r="AU36" s="33" t="s">
        <v>17</v>
      </c>
      <c r="AV36" s="35">
        <v>1</v>
      </c>
      <c r="AW36" s="36">
        <f>9086.4+4037</f>
        <v>13123.4</v>
      </c>
      <c r="AX36" s="33" t="s">
        <v>17</v>
      </c>
      <c r="AY36" s="35">
        <v>1</v>
      </c>
      <c r="AZ36" s="35">
        <f>9409+4037</f>
        <v>13446</v>
      </c>
      <c r="BA36" s="33" t="s">
        <v>18</v>
      </c>
      <c r="BB36" s="35">
        <v>1</v>
      </c>
      <c r="BC36" s="35"/>
      <c r="BD36" s="35" t="s">
        <v>17</v>
      </c>
      <c r="BE36" s="35">
        <v>1</v>
      </c>
      <c r="BF36" s="35">
        <f>7620.4+4031.5</f>
        <v>11651.9</v>
      </c>
      <c r="BG36" s="35" t="s">
        <v>17</v>
      </c>
      <c r="BH36" s="36">
        <v>1</v>
      </c>
      <c r="BI36" s="36">
        <f>7006.9+4031.5</f>
        <v>11038.4</v>
      </c>
      <c r="BJ36" s="35" t="s">
        <v>17</v>
      </c>
      <c r="BK36" s="35">
        <v>1</v>
      </c>
      <c r="BL36" s="41">
        <f>10131.23+4031.45</f>
        <v>14162.68</v>
      </c>
      <c r="BM36" s="35" t="s">
        <v>17</v>
      </c>
      <c r="BN36" s="35">
        <v>1</v>
      </c>
      <c r="BO36" s="39">
        <v>7410</v>
      </c>
      <c r="BP36" s="35" t="s">
        <v>17</v>
      </c>
      <c r="BQ36" s="35">
        <v>1</v>
      </c>
      <c r="BR36" s="39">
        <f>6402.14+4031.45</f>
        <v>10433.59</v>
      </c>
      <c r="BS36" s="33" t="s">
        <v>17</v>
      </c>
      <c r="BT36" s="35">
        <v>1</v>
      </c>
      <c r="BU36" s="41">
        <f>8921.79+4031.45</f>
        <v>12953.240000000002</v>
      </c>
      <c r="BV36" s="33" t="s">
        <v>17</v>
      </c>
      <c r="BW36" s="35">
        <v>1</v>
      </c>
      <c r="BX36" s="36">
        <v>109237.47</v>
      </c>
      <c r="BY36" s="37" t="s">
        <v>17</v>
      </c>
      <c r="BZ36" s="35">
        <v>1</v>
      </c>
      <c r="CA36" s="41">
        <v>5643</v>
      </c>
      <c r="CB36" s="35" t="s">
        <v>17</v>
      </c>
      <c r="CC36" s="35">
        <v>1</v>
      </c>
      <c r="CD36" s="36">
        <v>7525</v>
      </c>
      <c r="CE36" s="35" t="s">
        <v>17</v>
      </c>
      <c r="CF36" s="35">
        <v>1</v>
      </c>
      <c r="CG36" s="36">
        <v>2018</v>
      </c>
      <c r="CH36" s="42" t="s">
        <v>17</v>
      </c>
      <c r="CI36" s="35">
        <v>1</v>
      </c>
      <c r="CJ36" s="49">
        <v>2899</v>
      </c>
    </row>
    <row r="37" spans="1:89" x14ac:dyDescent="0.35">
      <c r="A37" s="28" t="s">
        <v>12</v>
      </c>
      <c r="B37" s="48" t="s">
        <v>22</v>
      </c>
      <c r="C37" s="30" cm="1">
        <f t="array" ref="C37">COUNT(_xlfn._xlws.FILTER(T37:CJ37,($T$13:$CJ$13="P.U")*(ISNUMBER(T37:CJ37)),""))</f>
        <v>0</v>
      </c>
      <c r="D37" s="30">
        <f>_xlfn.MINIFS(37:37,$13:$13,"P.U")</f>
        <v>0</v>
      </c>
      <c r="E37" s="30" t="str">
        <f>IFERROR(AVERAGEIFS(37:37,$13:$13,"P.U"), "-")</f>
        <v>-</v>
      </c>
      <c r="F37" s="30" t="str" cm="1">
        <f t="array" ref="F37">IFERROR(MEDIAN(_xlfn._xlws.FILTER($V37:$CJ37,$V$13:$CJ$13="P.U")),"-")</f>
        <v>-</v>
      </c>
      <c r="G37" s="30" t="str" cm="1">
        <f t="array" ref="G37">IFERROR(_xlfn.STDEV.P(_xlfn._xlws.FILTER($V37:$CJ37,$V$13:$CJ$13="P.U")),"-")</f>
        <v>-</v>
      </c>
      <c r="H37" s="31" t="str">
        <f t="shared" si="0"/>
        <v>0</v>
      </c>
      <c r="I37" s="64"/>
      <c r="J37" s="31" t="str" cm="1">
        <f t="array" ref="J37">IFERROR(_xlfn.QUARTILE.INC(_xlfn._xlws.FILTER($V37:$CK37,$V$13:$CK$13="P.U"),0),"-")</f>
        <v>-</v>
      </c>
      <c r="K37" s="64"/>
      <c r="L37" s="31" t="str" cm="1">
        <f t="array" ref="L37">IFERROR(_xlfn.QUARTILE.INC(_xlfn._xlws.FILTER($V37:$CK37,$V$13:$CK$13="P.U"),1),"-")</f>
        <v>-</v>
      </c>
      <c r="M37" s="64"/>
      <c r="N37" s="31" t="str" cm="1">
        <f t="array" ref="N37">IFERROR(_xlfn.QUARTILE.INC(_xlfn._xlws.FILTER($V37:$CK37,$V$13:$CK$13="P.U"),2),"-")</f>
        <v>-</v>
      </c>
      <c r="O37" s="64"/>
      <c r="P37" s="31" t="str" cm="1">
        <f t="array" ref="P37">IFERROR(_xlfn.QUARTILE.INC(_xlfn._xlws.FILTER($V37:$CK37,$V$13:$CK$13="P.U"),3),"-")</f>
        <v>-</v>
      </c>
      <c r="Q37" s="64"/>
      <c r="R37" s="31" t="str" cm="1">
        <f t="array" ref="R37">IFERROR(_xlfn.QUARTILE.INC(_xlfn._xlws.FILTER($V37:$CK37,$V$13:$CK$13="P.U"),4),"-")</f>
        <v>-</v>
      </c>
      <c r="S37" s="32" t="str" cm="1">
        <f t="array" ref="S37">_xlfn.LET(_xlpm.p,_xlfn.UNIQUE(_xlfn._xlws.FILTER(T37:CH37,$T$13:$CH$13="U"),1),_xlpm.f,_xlfn._xlws.FILTER(_xlpm.p,_xlpm.p&lt;&gt;"",""),IF(COUNTA(_xlpm.f)=1,_xlpm.f,"différentes"))</f>
        <v/>
      </c>
      <c r="T37" s="33"/>
      <c r="U37" s="34"/>
      <c r="V37" s="34"/>
      <c r="W37" s="33"/>
      <c r="X37" s="34"/>
      <c r="Y37" s="34"/>
      <c r="Z37" s="33"/>
      <c r="AA37" s="34"/>
      <c r="AB37" s="34"/>
      <c r="AC37" s="33"/>
      <c r="AD37" s="34"/>
      <c r="AE37" s="34"/>
      <c r="AF37" s="39"/>
      <c r="AG37" s="34"/>
      <c r="AH37" s="34"/>
      <c r="AI37" s="33"/>
      <c r="AJ37" s="35"/>
      <c r="AK37" s="41"/>
      <c r="AL37" s="33"/>
      <c r="AM37" s="36"/>
      <c r="AN37" s="36"/>
      <c r="AO37" s="33"/>
      <c r="AP37" s="35"/>
      <c r="AQ37" s="36"/>
      <c r="AR37" s="33"/>
      <c r="AS37" s="35"/>
      <c r="AT37" s="36"/>
      <c r="AU37" s="33"/>
      <c r="AV37" s="35"/>
      <c r="AW37" s="36"/>
      <c r="AX37" s="33"/>
      <c r="AY37" s="35"/>
      <c r="AZ37" s="35"/>
      <c r="BA37" s="33"/>
      <c r="BB37" s="35"/>
      <c r="BC37" s="35"/>
      <c r="BD37" s="35"/>
      <c r="BE37" s="35"/>
      <c r="BF37" s="35"/>
      <c r="BG37" s="35"/>
      <c r="BH37" s="36"/>
      <c r="BI37" s="36"/>
      <c r="BJ37" s="35"/>
      <c r="BK37" s="35"/>
      <c r="BL37" s="35"/>
      <c r="BM37" s="35"/>
      <c r="BN37" s="35"/>
      <c r="BO37" s="35"/>
      <c r="BP37" s="35"/>
      <c r="BQ37" s="35"/>
      <c r="BR37" s="35"/>
      <c r="BS37" s="33"/>
      <c r="BT37" s="35"/>
      <c r="BU37" s="36"/>
      <c r="BV37" s="33"/>
      <c r="BW37" s="35"/>
      <c r="BX37" s="36"/>
      <c r="BY37" s="37"/>
      <c r="BZ37" s="35"/>
      <c r="CA37" s="36"/>
      <c r="CB37" s="35"/>
      <c r="CC37" s="35"/>
      <c r="CD37" s="36"/>
      <c r="CE37" s="35"/>
      <c r="CF37" s="35"/>
      <c r="CG37" s="36"/>
      <c r="CH37" s="42"/>
      <c r="CI37" s="35"/>
      <c r="CJ37" s="36"/>
    </row>
    <row r="38" spans="1:89" x14ac:dyDescent="0.35">
      <c r="A38" s="63" t="s">
        <v>12</v>
      </c>
      <c r="B38" s="38" t="s">
        <v>44</v>
      </c>
      <c r="C38" s="30" cm="1">
        <f t="array" ref="C38">COUNT(_xlfn._xlws.FILTER(T38:CJ38,($T$13:$CJ$13="P.U")*(ISNUMBER(T38:CJ38)),""))</f>
        <v>0</v>
      </c>
      <c r="D38" s="30">
        <f>_xlfn.MINIFS(38:38,$13:$13,"P.U")</f>
        <v>0</v>
      </c>
      <c r="E38" s="30" t="str">
        <f>IFERROR(AVERAGEIFS(38:38,$13:$13,"P.U"), "-")</f>
        <v>-</v>
      </c>
      <c r="F38" s="30" t="str" cm="1">
        <f t="array" ref="F38">IFERROR(MEDIAN(_xlfn._xlws.FILTER($V38:$CJ38,$V$13:$CJ$13="P.U")),"-")</f>
        <v>-</v>
      </c>
      <c r="G38" s="30" t="str" cm="1">
        <f t="array" ref="G38">IFERROR(_xlfn.STDEV.P(_xlfn._xlws.FILTER($V38:$CJ38,$V$13:$CJ$13="P.U")),"-")</f>
        <v>-</v>
      </c>
      <c r="H38" s="31" t="str">
        <f t="shared" si="0"/>
        <v>0</v>
      </c>
      <c r="I38" s="64"/>
      <c r="J38" s="31" t="str" cm="1">
        <f t="array" ref="J38">IFERROR(_xlfn.QUARTILE.INC(_xlfn._xlws.FILTER($V38:$CK38,$V$13:$CK$13="P.U"),0),"-")</f>
        <v>-</v>
      </c>
      <c r="K38" s="64"/>
      <c r="L38" s="31" t="str" cm="1">
        <f t="array" ref="L38">IFERROR(_xlfn.QUARTILE.INC(_xlfn._xlws.FILTER($V38:$CK38,$V$13:$CK$13="P.U"),1),"-")</f>
        <v>-</v>
      </c>
      <c r="M38" s="64"/>
      <c r="N38" s="31" t="str" cm="1">
        <f t="array" ref="N38">IFERROR(_xlfn.QUARTILE.INC(_xlfn._xlws.FILTER($V38:$CK38,$V$13:$CK$13="P.U"),2),"-")</f>
        <v>-</v>
      </c>
      <c r="O38" s="64"/>
      <c r="P38" s="31" t="str" cm="1">
        <f t="array" ref="P38">IFERROR(_xlfn.QUARTILE.INC(_xlfn._xlws.FILTER($V38:$CK38,$V$13:$CK$13="P.U"),3),"-")</f>
        <v>-</v>
      </c>
      <c r="Q38" s="64"/>
      <c r="R38" s="31" t="str" cm="1">
        <f t="array" ref="R38">IFERROR(_xlfn.QUARTILE.INC(_xlfn._xlws.FILTER($V38:$CK38,$V$13:$CK$13="P.U"),4),"-")</f>
        <v>-</v>
      </c>
      <c r="S38" s="32" t="str" cm="1">
        <f t="array" ref="S38">_xlfn.LET(_xlpm.p,_xlfn.UNIQUE(_xlfn._xlws.FILTER(T38:CH38,$T$13:$CH$13="U"),1),_xlpm.f,_xlfn._xlws.FILTER(_xlpm.p,_xlpm.p&lt;&gt;"",""),IF(COUNTA(_xlpm.f)=1,_xlpm.f,"différentes"))</f>
        <v>ens</v>
      </c>
      <c r="T38" s="33" t="s">
        <v>17</v>
      </c>
      <c r="U38" s="34"/>
      <c r="V38" s="39"/>
      <c r="W38" s="33"/>
      <c r="X38" s="34"/>
      <c r="Y38" s="34"/>
      <c r="Z38" s="33"/>
      <c r="AA38" s="34"/>
      <c r="AB38" s="34"/>
      <c r="AC38" s="33"/>
      <c r="AD38" s="34"/>
      <c r="AE38" s="34"/>
      <c r="AF38" s="34"/>
      <c r="AG38" s="34"/>
      <c r="AH38" s="34"/>
      <c r="AI38" s="33"/>
      <c r="AJ38" s="35"/>
      <c r="AK38" s="36"/>
      <c r="AL38" s="33"/>
      <c r="AM38" s="36"/>
      <c r="AN38" s="36"/>
      <c r="AO38" s="33"/>
      <c r="AP38" s="35"/>
      <c r="AQ38" s="36"/>
      <c r="AR38" s="33"/>
      <c r="AS38" s="35"/>
      <c r="AT38" s="36"/>
      <c r="AU38" s="33"/>
      <c r="AV38" s="35"/>
      <c r="AW38" s="36"/>
      <c r="AX38" s="33"/>
      <c r="AY38" s="35"/>
      <c r="AZ38" s="35"/>
      <c r="BA38" s="33"/>
      <c r="BB38" s="35"/>
      <c r="BC38" s="35"/>
      <c r="BD38" s="35"/>
      <c r="BE38" s="35"/>
      <c r="BF38" s="35"/>
      <c r="BG38" s="35"/>
      <c r="BH38" s="36"/>
      <c r="BI38" s="36"/>
      <c r="BJ38" s="35"/>
      <c r="BK38" s="35"/>
      <c r="BL38" s="36"/>
      <c r="BM38" s="35"/>
      <c r="BN38" s="35"/>
      <c r="BO38" s="35"/>
      <c r="BP38" s="35"/>
      <c r="BQ38" s="35"/>
      <c r="BR38" s="35"/>
      <c r="BS38" s="33"/>
      <c r="BT38" s="35"/>
      <c r="BU38" s="36"/>
      <c r="BV38" s="33"/>
      <c r="BW38" s="35"/>
      <c r="BX38" s="36"/>
      <c r="BY38" s="37"/>
      <c r="BZ38" s="35"/>
      <c r="CA38" s="36"/>
      <c r="CB38" s="35"/>
      <c r="CC38" s="35"/>
      <c r="CD38" s="36"/>
      <c r="CE38" s="35"/>
      <c r="CF38" s="35"/>
      <c r="CG38" s="36"/>
      <c r="CH38" s="42"/>
      <c r="CI38" s="35"/>
      <c r="CJ38" s="36"/>
    </row>
    <row r="39" spans="1:89" x14ac:dyDescent="0.35">
      <c r="A39" s="63"/>
      <c r="B39" s="45" t="s">
        <v>45</v>
      </c>
      <c r="C39" s="30" cm="1">
        <f t="array" ref="C39">COUNT(_xlfn._xlws.FILTER(T39:CJ39,($T$13:$CJ$13="P.U")*(ISNUMBER(T39:CJ39)),""))</f>
        <v>0</v>
      </c>
      <c r="D39" s="30">
        <f>_xlfn.MINIFS(39:39,$13:$13,"P.U")</f>
        <v>0</v>
      </c>
      <c r="E39" s="30" t="str">
        <f>IFERROR(AVERAGEIFS(39:39,$13:$13,"P.U"), "-")</f>
        <v>-</v>
      </c>
      <c r="F39" s="30" t="str" cm="1">
        <f t="array" ref="F39">IFERROR(MEDIAN(_xlfn._xlws.FILTER($V39:$CJ39,$V$13:$CJ$13="P.U")),"-")</f>
        <v>-</v>
      </c>
      <c r="G39" s="30" t="str" cm="1">
        <f t="array" ref="G39">IFERROR(_xlfn.STDEV.P(_xlfn._xlws.FILTER($V39:$CJ39,$V$13:$CJ$13="P.U")),"-")</f>
        <v>-</v>
      </c>
      <c r="H39" s="31" t="str">
        <f t="shared" si="0"/>
        <v>0</v>
      </c>
      <c r="I39" s="64"/>
      <c r="J39" s="31" t="str" cm="1">
        <f t="array" ref="J39">IFERROR(_xlfn.QUARTILE.INC(_xlfn._xlws.FILTER($V39:$CK39,$V$13:$CK$13="P.U"),0),"-")</f>
        <v>-</v>
      </c>
      <c r="K39" s="64"/>
      <c r="L39" s="31" t="str" cm="1">
        <f t="array" ref="L39">IFERROR(_xlfn.QUARTILE.INC(_xlfn._xlws.FILTER($V39:$CK39,$V$13:$CK$13="P.U"),1),"-")</f>
        <v>-</v>
      </c>
      <c r="M39" s="64"/>
      <c r="N39" s="31" t="str" cm="1">
        <f t="array" ref="N39">IFERROR(_xlfn.QUARTILE.INC(_xlfn._xlws.FILTER($V39:$CK39,$V$13:$CK$13="P.U"),2),"-")</f>
        <v>-</v>
      </c>
      <c r="O39" s="64"/>
      <c r="P39" s="31" t="str" cm="1">
        <f t="array" ref="P39">IFERROR(_xlfn.QUARTILE.INC(_xlfn._xlws.FILTER($V39:$CK39,$V$13:$CK$13="P.U"),3),"-")</f>
        <v>-</v>
      </c>
      <c r="Q39" s="64"/>
      <c r="R39" s="31" t="str" cm="1">
        <f t="array" ref="R39">IFERROR(_xlfn.QUARTILE.INC(_xlfn._xlws.FILTER($V39:$CK39,$V$13:$CK$13="P.U"),4),"-")</f>
        <v>-</v>
      </c>
      <c r="S39" s="32" t="str" cm="1">
        <f t="array" ref="S39">_xlfn.LET(_xlpm.p,_xlfn.UNIQUE(_xlfn._xlws.FILTER(T39:CH39,$T$13:$CH$13="U"),1),_xlpm.f,_xlfn._xlws.FILTER(_xlpm.p,_xlpm.p&lt;&gt;"",""),IF(COUNTA(_xlpm.f)=1,_xlpm.f,"différentes"))</f>
        <v/>
      </c>
      <c r="T39" s="33"/>
      <c r="U39" s="34"/>
      <c r="V39" s="39"/>
      <c r="W39" s="33"/>
      <c r="X39" s="34"/>
      <c r="Y39" s="34"/>
      <c r="Z39" s="33"/>
      <c r="AA39" s="34"/>
      <c r="AB39" s="34"/>
      <c r="AC39" s="33"/>
      <c r="AD39" s="34"/>
      <c r="AE39" s="34"/>
      <c r="AF39" s="33"/>
      <c r="AG39" s="34"/>
      <c r="AH39" s="34"/>
      <c r="AI39" s="33"/>
      <c r="AJ39" s="35"/>
      <c r="AK39" s="36"/>
      <c r="AL39" s="33"/>
      <c r="AM39" s="36"/>
      <c r="AN39" s="36"/>
      <c r="AO39" s="33"/>
      <c r="AP39" s="35"/>
      <c r="AQ39" s="36"/>
      <c r="AR39" s="33"/>
      <c r="AS39" s="35"/>
      <c r="AT39" s="36"/>
      <c r="AU39" s="33"/>
      <c r="AV39" s="35"/>
      <c r="AW39" s="36"/>
      <c r="AX39" s="33"/>
      <c r="AY39" s="35"/>
      <c r="AZ39" s="35"/>
      <c r="BA39" s="33"/>
      <c r="BB39" s="35"/>
      <c r="BC39" s="35"/>
      <c r="BD39" s="35"/>
      <c r="BE39" s="35"/>
      <c r="BF39" s="35"/>
      <c r="BG39" s="35"/>
      <c r="BH39" s="36"/>
      <c r="BI39" s="36"/>
      <c r="BJ39" s="35"/>
      <c r="BK39" s="35"/>
      <c r="BL39" s="36"/>
      <c r="BM39" s="35"/>
      <c r="BN39" s="35"/>
      <c r="BO39" s="35"/>
      <c r="BP39" s="35"/>
      <c r="BQ39" s="35"/>
      <c r="BR39" s="35"/>
      <c r="BS39" s="33"/>
      <c r="BT39" s="35"/>
      <c r="BU39" s="36"/>
      <c r="BV39" s="33"/>
      <c r="BW39" s="35"/>
      <c r="BX39" s="36"/>
      <c r="BY39" s="37"/>
      <c r="BZ39" s="35"/>
      <c r="CA39" s="36"/>
      <c r="CB39" s="35"/>
      <c r="CC39" s="35"/>
      <c r="CD39" s="36"/>
      <c r="CE39" s="35"/>
      <c r="CF39" s="35"/>
      <c r="CG39" s="36"/>
      <c r="CH39" s="42"/>
      <c r="CI39" s="35"/>
      <c r="CJ39" s="36"/>
    </row>
    <row r="40" spans="1:89" x14ac:dyDescent="0.35">
      <c r="A40" s="63"/>
      <c r="B40" s="45" t="s">
        <v>46</v>
      </c>
      <c r="C40" s="30" cm="1">
        <f t="array" ref="C40">COUNT(_xlfn._xlws.FILTER(T40:CJ40,($T$13:$CJ$13="P.U")*(ISNUMBER(T40:CJ40)),""))</f>
        <v>1</v>
      </c>
      <c r="D40" s="30">
        <f>_xlfn.MINIFS(40:40,$13:$13,"P.U")</f>
        <v>14224</v>
      </c>
      <c r="E40" s="30">
        <f>IFERROR(AVERAGEIFS(40:40,$13:$13,"P.U"), "-")</f>
        <v>14224</v>
      </c>
      <c r="F40" s="30" cm="1">
        <f t="array" ref="F40">IFERROR(MEDIAN(_xlfn._xlws.FILTER($V40:$CJ40,$V$13:$CJ$13="P.U")),"-")</f>
        <v>14224</v>
      </c>
      <c r="G40" s="30" cm="1">
        <f t="array" ref="G40">IFERROR(_xlfn.STDEV.P(_xlfn._xlws.FILTER($V40:$CJ40,$V$13:$CJ$13="P.U")),"-")</f>
        <v>0</v>
      </c>
      <c r="H40" s="31">
        <f t="shared" si="0"/>
        <v>0</v>
      </c>
      <c r="I40" s="64"/>
      <c r="J40" s="31" cm="1">
        <f t="array" ref="J40">IFERROR(_xlfn.QUARTILE.INC(_xlfn._xlws.FILTER($V40:$CK40,$V$13:$CK$13="P.U"),0),"-")</f>
        <v>14224</v>
      </c>
      <c r="K40" s="64"/>
      <c r="L40" s="31" cm="1">
        <f t="array" ref="L40">IFERROR(_xlfn.QUARTILE.INC(_xlfn._xlws.FILTER($V40:$CK40,$V$13:$CK$13="P.U"),1),"-")</f>
        <v>14224</v>
      </c>
      <c r="M40" s="64"/>
      <c r="N40" s="31" cm="1">
        <f t="array" ref="N40">IFERROR(_xlfn.QUARTILE.INC(_xlfn._xlws.FILTER($V40:$CK40,$V$13:$CK$13="P.U"),2),"-")</f>
        <v>14224</v>
      </c>
      <c r="O40" s="64"/>
      <c r="P40" s="31" cm="1">
        <f t="array" ref="P40">IFERROR(_xlfn.QUARTILE.INC(_xlfn._xlws.FILTER($V40:$CK40,$V$13:$CK$13="P.U"),3),"-")</f>
        <v>14224</v>
      </c>
      <c r="Q40" s="64"/>
      <c r="R40" s="31" cm="1">
        <f t="array" ref="R40">IFERROR(_xlfn.QUARTILE.INC(_xlfn._xlws.FILTER($V40:$CK40,$V$13:$CK$13="P.U"),4),"-")</f>
        <v>14224</v>
      </c>
      <c r="S40" s="32" t="str" cm="1">
        <f t="array" ref="S40">_xlfn.LET(_xlpm.p,_xlfn.UNIQUE(_xlfn._xlws.FILTER(T40:CH40,$T$13:$CH$13="U"),1),_xlpm.f,_xlfn._xlws.FILTER(_xlpm.p,_xlpm.p&lt;&gt;"",""),IF(COUNTA(_xlpm.f)=1,_xlpm.f,"différentes"))</f>
        <v>différentes</v>
      </c>
      <c r="T40" s="33" t="s">
        <v>17</v>
      </c>
      <c r="U40" s="34">
        <v>1</v>
      </c>
      <c r="V40" s="39">
        <v>14224</v>
      </c>
      <c r="W40" s="33"/>
      <c r="X40" s="34"/>
      <c r="Y40" s="34"/>
      <c r="Z40" s="33"/>
      <c r="AA40" s="34"/>
      <c r="AB40" s="34"/>
      <c r="AC40" s="33"/>
      <c r="AD40" s="34"/>
      <c r="AE40" s="34"/>
      <c r="AF40" s="33"/>
      <c r="AG40" s="34"/>
      <c r="AH40" s="34"/>
      <c r="AI40" s="40" t="s">
        <v>18</v>
      </c>
      <c r="AJ40" s="35"/>
      <c r="AK40" s="36"/>
      <c r="AL40" s="33"/>
      <c r="AM40" s="36"/>
      <c r="AN40" s="36"/>
      <c r="AO40" s="33"/>
      <c r="AP40" s="35"/>
      <c r="AQ40" s="36"/>
      <c r="AR40" s="33"/>
      <c r="AS40" s="35"/>
      <c r="AT40" s="36"/>
      <c r="AU40" s="33"/>
      <c r="AV40" s="35"/>
      <c r="AW40" s="36"/>
      <c r="AX40" s="33"/>
      <c r="AY40" s="35"/>
      <c r="AZ40" s="35"/>
      <c r="BA40" s="33" t="s">
        <v>23</v>
      </c>
      <c r="BB40" s="35"/>
      <c r="BC40" s="35"/>
      <c r="BD40" s="35"/>
      <c r="BE40" s="35"/>
      <c r="BF40" s="35"/>
      <c r="BG40" s="35"/>
      <c r="BH40" s="36"/>
      <c r="BI40" s="36"/>
      <c r="BJ40" s="35"/>
      <c r="BK40" s="35"/>
      <c r="BL40" s="36"/>
      <c r="BM40" s="35"/>
      <c r="BN40" s="35"/>
      <c r="BO40" s="35"/>
      <c r="BP40" s="35"/>
      <c r="BQ40" s="35"/>
      <c r="BR40" s="35"/>
      <c r="BS40" s="33"/>
      <c r="BT40" s="35"/>
      <c r="BU40" s="36"/>
      <c r="BV40" s="33"/>
      <c r="BW40" s="35"/>
      <c r="BX40" s="36"/>
      <c r="BY40" s="37"/>
      <c r="BZ40" s="35"/>
      <c r="CA40" s="36"/>
      <c r="CB40" s="35"/>
      <c r="CC40" s="35"/>
      <c r="CD40" s="36"/>
      <c r="CE40" s="35"/>
      <c r="CF40" s="35"/>
      <c r="CG40" s="36"/>
      <c r="CH40" s="42"/>
      <c r="CI40" s="36"/>
      <c r="CJ40" s="50"/>
    </row>
    <row r="41" spans="1:89" x14ac:dyDescent="0.35">
      <c r="A41" s="63"/>
      <c r="B41" s="45" t="s">
        <v>47</v>
      </c>
      <c r="C41" s="30" cm="1">
        <f t="array" ref="C41">COUNT(_xlfn._xlws.FILTER(T41:CJ41,($T$13:$CJ$13="P.U")*(ISNUMBER(T41:CJ41)),""))</f>
        <v>0</v>
      </c>
      <c r="D41" s="30">
        <f>_xlfn.MINIFS(41:41,$13:$13,"P.U")</f>
        <v>0</v>
      </c>
      <c r="E41" s="30" t="str">
        <f>IFERROR(AVERAGEIFS(41:41,$13:$13,"P.U"), "-")</f>
        <v>-</v>
      </c>
      <c r="F41" s="30" t="str" cm="1">
        <f t="array" ref="F41">IFERROR(MEDIAN(_xlfn._xlws.FILTER($V41:$CJ41,$V$13:$CJ$13="P.U")),"-")</f>
        <v>-</v>
      </c>
      <c r="G41" s="30" t="str" cm="1">
        <f t="array" ref="G41">IFERROR(_xlfn.STDEV.P(_xlfn._xlws.FILTER($V41:$CJ41,$V$13:$CJ$13="P.U")),"-")</f>
        <v>-</v>
      </c>
      <c r="H41" s="31" t="str">
        <f t="shared" si="0"/>
        <v>0</v>
      </c>
      <c r="I41" s="64"/>
      <c r="J41" s="31" t="str" cm="1">
        <f t="array" ref="J41">IFERROR(_xlfn.QUARTILE.INC(_xlfn._xlws.FILTER($V41:$CK41,$V$13:$CK$13="P.U"),0),"-")</f>
        <v>-</v>
      </c>
      <c r="K41" s="64"/>
      <c r="L41" s="31" t="str" cm="1">
        <f t="array" ref="L41">IFERROR(_xlfn.QUARTILE.INC(_xlfn._xlws.FILTER($V41:$CK41,$V$13:$CK$13="P.U"),1),"-")</f>
        <v>-</v>
      </c>
      <c r="M41" s="64"/>
      <c r="N41" s="31" t="str" cm="1">
        <f t="array" ref="N41">IFERROR(_xlfn.QUARTILE.INC(_xlfn._xlws.FILTER($V41:$CK41,$V$13:$CK$13="P.U"),2),"-")</f>
        <v>-</v>
      </c>
      <c r="O41" s="64"/>
      <c r="P41" s="31" t="str" cm="1">
        <f t="array" ref="P41">IFERROR(_xlfn.QUARTILE.INC(_xlfn._xlws.FILTER($V41:$CK41,$V$13:$CK$13="P.U"),3),"-")</f>
        <v>-</v>
      </c>
      <c r="Q41" s="64"/>
      <c r="R41" s="31" t="str" cm="1">
        <f t="array" ref="R41">IFERROR(_xlfn.QUARTILE.INC(_xlfn._xlws.FILTER($V41:$CK41,$V$13:$CK$13="P.U"),4),"-")</f>
        <v>-</v>
      </c>
      <c r="S41" s="32" t="str" cm="1">
        <f t="array" ref="S41">_xlfn.LET(_xlpm.p,_xlfn.UNIQUE(_xlfn._xlws.FILTER(T41:CH41,$T$13:$CH$13="U"),1),_xlpm.f,_xlfn._xlws.FILTER(_xlpm.p,_xlpm.p&lt;&gt;"",""),IF(COUNTA(_xlpm.f)=1,_xlpm.f,"différentes"))</f>
        <v>différentes</v>
      </c>
      <c r="T41" s="33" t="s">
        <v>17</v>
      </c>
      <c r="U41" s="34"/>
      <c r="V41" s="43"/>
      <c r="W41" s="33"/>
      <c r="X41" s="34"/>
      <c r="Y41" s="34"/>
      <c r="Z41" s="33"/>
      <c r="AA41" s="34"/>
      <c r="AB41" s="34"/>
      <c r="AC41" s="33"/>
      <c r="AD41" s="34"/>
      <c r="AE41" s="34"/>
      <c r="AF41" s="33"/>
      <c r="AG41" s="34"/>
      <c r="AH41" s="34"/>
      <c r="AI41" s="40" t="s">
        <v>18</v>
      </c>
      <c r="AJ41" s="35"/>
      <c r="AK41" s="36"/>
      <c r="AL41" s="33"/>
      <c r="AM41" s="36"/>
      <c r="AN41" s="36"/>
      <c r="AO41" s="33"/>
      <c r="AP41" s="35"/>
      <c r="AQ41" s="36"/>
      <c r="AR41" s="33"/>
      <c r="AS41" s="35"/>
      <c r="AT41" s="36"/>
      <c r="AU41" s="33"/>
      <c r="AV41" s="35"/>
      <c r="AW41" s="36"/>
      <c r="AX41" s="33"/>
      <c r="AY41" s="35"/>
      <c r="AZ41" s="35"/>
      <c r="BA41" s="33" t="s">
        <v>23</v>
      </c>
      <c r="BB41" s="35"/>
      <c r="BC41" s="35"/>
      <c r="BD41" s="35"/>
      <c r="BE41" s="35"/>
      <c r="BF41" s="35"/>
      <c r="BG41" s="35"/>
      <c r="BH41" s="36"/>
      <c r="BI41" s="36"/>
      <c r="BJ41" s="35"/>
      <c r="BK41" s="35"/>
      <c r="BL41" s="36"/>
      <c r="BM41" s="35"/>
      <c r="BN41" s="35"/>
      <c r="BO41" s="35"/>
      <c r="BP41" s="35"/>
      <c r="BQ41" s="35"/>
      <c r="BR41" s="35"/>
      <c r="BS41" s="33"/>
      <c r="BT41" s="35"/>
      <c r="BU41" s="36"/>
      <c r="BV41" s="33"/>
      <c r="BW41" s="35"/>
      <c r="BX41" s="36"/>
      <c r="BY41" s="37"/>
      <c r="BZ41" s="35"/>
      <c r="CA41" s="36"/>
      <c r="CB41" s="35"/>
      <c r="CC41" s="35"/>
      <c r="CD41" s="36"/>
      <c r="CE41" s="35"/>
      <c r="CF41" s="35"/>
      <c r="CG41" s="36"/>
      <c r="CH41" s="42"/>
      <c r="CI41" s="35"/>
      <c r="CJ41" s="50"/>
      <c r="CK41" s="51"/>
    </row>
    <row r="42" spans="1:89" x14ac:dyDescent="0.35">
      <c r="A42" s="28" t="s">
        <v>12</v>
      </c>
      <c r="B42" s="38" t="s">
        <v>48</v>
      </c>
      <c r="C42" s="30" cm="1">
        <f t="array" ref="C42">COUNT(_xlfn._xlws.FILTER(T42:CJ42,($T$13:$CJ$13="P.U")*(ISNUMBER(T42:CJ42)),""))</f>
        <v>0</v>
      </c>
      <c r="D42" s="30">
        <f>_xlfn.MINIFS(42:42,$13:$13,"P.U")</f>
        <v>0</v>
      </c>
      <c r="E42" s="30" t="str">
        <f>IFERROR(AVERAGEIFS(42:42,$13:$13,"P.U"), "-")</f>
        <v>-</v>
      </c>
      <c r="F42" s="30" t="str" cm="1">
        <f t="array" ref="F42">IFERROR(MEDIAN(_xlfn._xlws.FILTER($V42:$CJ42,$V$13:$CJ$13="P.U")),"-")</f>
        <v>-</v>
      </c>
      <c r="G42" s="30" t="str" cm="1">
        <f t="array" ref="G42">IFERROR(_xlfn.STDEV.P(_xlfn._xlws.FILTER($V42:$CJ42,$V$13:$CJ$13="P.U")),"-")</f>
        <v>-</v>
      </c>
      <c r="H42" s="31" t="str">
        <f t="shared" si="0"/>
        <v>0</v>
      </c>
      <c r="I42" s="64"/>
      <c r="J42" s="31" t="str" cm="1">
        <f t="array" ref="J42">IFERROR(_xlfn.QUARTILE.INC(_xlfn._xlws.FILTER($V42:$CK42,$V$13:$CK$13="P.U"),0),"-")</f>
        <v>-</v>
      </c>
      <c r="K42" s="64"/>
      <c r="L42" s="31" t="str" cm="1">
        <f t="array" ref="L42">IFERROR(_xlfn.QUARTILE.INC(_xlfn._xlws.FILTER($V42:$CK42,$V$13:$CK$13="P.U"),1),"-")</f>
        <v>-</v>
      </c>
      <c r="M42" s="64"/>
      <c r="N42" s="31" t="str" cm="1">
        <f t="array" ref="N42">IFERROR(_xlfn.QUARTILE.INC(_xlfn._xlws.FILTER($V42:$CK42,$V$13:$CK$13="P.U"),2),"-")</f>
        <v>-</v>
      </c>
      <c r="O42" s="64"/>
      <c r="P42" s="31" t="str" cm="1">
        <f t="array" ref="P42">IFERROR(_xlfn.QUARTILE.INC(_xlfn._xlws.FILTER($V42:$CK42,$V$13:$CK$13="P.U"),3),"-")</f>
        <v>-</v>
      </c>
      <c r="Q42" s="64"/>
      <c r="R42" s="31" t="str" cm="1">
        <f t="array" ref="R42">IFERROR(_xlfn.QUARTILE.INC(_xlfn._xlws.FILTER($V42:$CK42,$V$13:$CK$13="P.U"),4),"-")</f>
        <v>-</v>
      </c>
      <c r="S42" s="32" t="str" cm="1">
        <f t="array" ref="S42">_xlfn.LET(_xlpm.p,_xlfn.UNIQUE(_xlfn._xlws.FILTER(T42:CH42,$T$13:$CH$13="U"),1),_xlpm.f,_xlfn._xlws.FILTER(_xlpm.p,_xlpm.p&lt;&gt;"",""),IF(COUNTA(_xlpm.f)=1,_xlpm.f,"différentes"))</f>
        <v/>
      </c>
      <c r="T42" s="33"/>
      <c r="U42" s="34"/>
      <c r="V42" s="43"/>
      <c r="W42" s="33"/>
      <c r="X42" s="34"/>
      <c r="Y42" s="34"/>
      <c r="Z42" s="33"/>
      <c r="AA42" s="34"/>
      <c r="AB42" s="34"/>
      <c r="AC42" s="33"/>
      <c r="AD42" s="34"/>
      <c r="AE42" s="34"/>
      <c r="AF42" s="33"/>
      <c r="AG42" s="34"/>
      <c r="AH42" s="34"/>
      <c r="AI42" s="40"/>
      <c r="AJ42" s="35"/>
      <c r="AK42" s="36"/>
      <c r="AL42" s="33"/>
      <c r="AM42" s="36"/>
      <c r="AN42" s="36"/>
      <c r="AO42" s="33"/>
      <c r="AP42" s="35"/>
      <c r="AQ42" s="36"/>
      <c r="AR42" s="33"/>
      <c r="AS42" s="35"/>
      <c r="AT42" s="36"/>
      <c r="AU42" s="33"/>
      <c r="AV42" s="35"/>
      <c r="AW42" s="36"/>
      <c r="AX42" s="33"/>
      <c r="AY42" s="35"/>
      <c r="AZ42" s="35"/>
      <c r="BA42" s="33"/>
      <c r="BB42" s="35"/>
      <c r="BC42" s="35"/>
      <c r="BD42" s="35"/>
      <c r="BE42" s="35"/>
      <c r="BF42" s="35"/>
      <c r="BG42" s="35"/>
      <c r="BH42" s="36"/>
      <c r="BI42" s="36"/>
      <c r="BJ42" s="35"/>
      <c r="BK42" s="35"/>
      <c r="BL42" s="36"/>
      <c r="BM42" s="35"/>
      <c r="BN42" s="35"/>
      <c r="BO42" s="35"/>
      <c r="BP42" s="35"/>
      <c r="BQ42" s="35"/>
      <c r="BR42" s="35"/>
      <c r="BS42" s="33"/>
      <c r="BT42" s="35"/>
      <c r="BU42" s="36"/>
      <c r="BV42" s="33"/>
      <c r="BW42" s="35"/>
      <c r="BX42" s="36"/>
      <c r="BY42" s="37"/>
      <c r="BZ42" s="35"/>
      <c r="CA42" s="36"/>
      <c r="CB42" s="35"/>
      <c r="CC42" s="35"/>
      <c r="CD42" s="36"/>
      <c r="CE42" s="35"/>
      <c r="CF42" s="35"/>
      <c r="CG42" s="36"/>
      <c r="CH42" s="42"/>
      <c r="CI42" s="35"/>
      <c r="CJ42" s="50"/>
    </row>
    <row r="43" spans="1:89" x14ac:dyDescent="0.35">
      <c r="A43" s="28" t="s">
        <v>12</v>
      </c>
      <c r="B43" s="45" t="s">
        <v>49</v>
      </c>
      <c r="C43" s="30" cm="1">
        <f t="array" ref="C43">COUNT(_xlfn._xlws.FILTER(T43:CJ43,($T$13:$CJ$13="P.U")*(ISNUMBER(T43:CJ43)),""))</f>
        <v>1</v>
      </c>
      <c r="D43" s="30">
        <f>_xlfn.MINIFS(43:43,$13:$13,"P.U")</f>
        <v>73081.84</v>
      </c>
      <c r="E43" s="30">
        <f>IFERROR(AVERAGEIFS(43:43,$13:$13,"P.U"), "-")</f>
        <v>73081.84</v>
      </c>
      <c r="F43" s="30" cm="1">
        <f t="array" ref="F43">IFERROR(MEDIAN(_xlfn._xlws.FILTER($V43:$CJ43,$V$13:$CJ$13="P.U")),"-")</f>
        <v>73081.84</v>
      </c>
      <c r="G43" s="30" cm="1">
        <f t="array" ref="G43">IFERROR(_xlfn.STDEV.P(_xlfn._xlws.FILTER($V43:$CJ43,$V$13:$CJ$13="P.U")),"-")</f>
        <v>0</v>
      </c>
      <c r="H43" s="31">
        <f t="shared" si="0"/>
        <v>0</v>
      </c>
      <c r="I43" s="64"/>
      <c r="J43" s="31" cm="1">
        <f t="array" ref="J43">IFERROR(_xlfn.QUARTILE.INC(_xlfn._xlws.FILTER($V43:$CK43,$V$13:$CK$13="P.U"),0),"-")</f>
        <v>73081.84</v>
      </c>
      <c r="K43" s="64"/>
      <c r="L43" s="31" cm="1">
        <f t="array" ref="L43">IFERROR(_xlfn.QUARTILE.INC(_xlfn._xlws.FILTER($V43:$CK43,$V$13:$CK$13="P.U"),1),"-")</f>
        <v>73081.84</v>
      </c>
      <c r="M43" s="64"/>
      <c r="N43" s="31" cm="1">
        <f t="array" ref="N43">IFERROR(_xlfn.QUARTILE.INC(_xlfn._xlws.FILTER($V43:$CK43,$V$13:$CK$13="P.U"),2),"-")</f>
        <v>73081.84</v>
      </c>
      <c r="O43" s="64"/>
      <c r="P43" s="31" cm="1">
        <f t="array" ref="P43">IFERROR(_xlfn.QUARTILE.INC(_xlfn._xlws.FILTER($V43:$CK43,$V$13:$CK$13="P.U"),3),"-")</f>
        <v>73081.84</v>
      </c>
      <c r="Q43" s="64"/>
      <c r="R43" s="31" cm="1">
        <f t="array" ref="R43">IFERROR(_xlfn.QUARTILE.INC(_xlfn._xlws.FILTER($V43:$CK43,$V$13:$CK$13="P.U"),4),"-")</f>
        <v>73081.84</v>
      </c>
      <c r="S43" s="32" t="str" cm="1">
        <f t="array" ref="S43">_xlfn.LET(_xlpm.p,_xlfn.UNIQUE(_xlfn._xlws.FILTER(T43:CH43,$T$13:$CH$13="U"),1),_xlpm.f,_xlfn._xlws.FILTER(_xlpm.p,_xlpm.p&lt;&gt;"",""),IF(COUNTA(_xlpm.f)=1,_xlpm.f,"différentes"))</f>
        <v>ens</v>
      </c>
      <c r="T43" s="33"/>
      <c r="U43" s="34"/>
      <c r="V43" s="43"/>
      <c r="W43" s="33"/>
      <c r="X43" s="34"/>
      <c r="Y43" s="34"/>
      <c r="Z43" s="33"/>
      <c r="AA43" s="34"/>
      <c r="AB43" s="34"/>
      <c r="AC43" s="33"/>
      <c r="AD43" s="34"/>
      <c r="AE43" s="34"/>
      <c r="AF43" s="33"/>
      <c r="AG43" s="34"/>
      <c r="AH43" s="34"/>
      <c r="AI43" s="40"/>
      <c r="AJ43" s="35"/>
      <c r="AK43" s="36"/>
      <c r="AL43" s="33"/>
      <c r="AM43" s="36"/>
      <c r="AN43" s="36"/>
      <c r="AO43" s="33"/>
      <c r="AP43" s="35"/>
      <c r="AQ43" s="36"/>
      <c r="AR43" s="33"/>
      <c r="AS43" s="35"/>
      <c r="AT43" s="36"/>
      <c r="AU43" s="33"/>
      <c r="AV43" s="35"/>
      <c r="AW43" s="36"/>
      <c r="AX43" s="33"/>
      <c r="AY43" s="35"/>
      <c r="AZ43" s="35"/>
      <c r="BA43" s="33"/>
      <c r="BB43" s="35"/>
      <c r="BC43" s="35"/>
      <c r="BD43" s="35"/>
      <c r="BE43" s="35"/>
      <c r="BF43" s="35"/>
      <c r="BG43" s="35"/>
      <c r="BH43" s="36"/>
      <c r="BI43" s="36"/>
      <c r="BJ43" s="35"/>
      <c r="BK43" s="35"/>
      <c r="BL43" s="36"/>
      <c r="BM43" s="35"/>
      <c r="BN43" s="35"/>
      <c r="BO43" s="35"/>
      <c r="BP43" s="35"/>
      <c r="BQ43" s="35"/>
      <c r="BR43" s="35"/>
      <c r="BS43" s="33"/>
      <c r="BT43" s="35"/>
      <c r="BU43" s="36"/>
      <c r="BV43" s="33" t="s">
        <v>17</v>
      </c>
      <c r="BW43" s="35">
        <v>1</v>
      </c>
      <c r="BX43" s="41">
        <v>73081.84</v>
      </c>
      <c r="BY43" s="37"/>
      <c r="BZ43" s="35"/>
      <c r="CA43" s="36"/>
      <c r="CB43" s="35"/>
      <c r="CC43" s="35"/>
      <c r="CD43" s="36"/>
      <c r="CE43" s="35"/>
      <c r="CF43" s="35"/>
      <c r="CG43" s="36"/>
      <c r="CH43" s="42"/>
      <c r="CI43" s="35"/>
      <c r="CJ43" s="36"/>
    </row>
    <row r="44" spans="1:89" x14ac:dyDescent="0.35">
      <c r="A44" s="60" t="s">
        <v>12</v>
      </c>
      <c r="B44" s="38" t="s">
        <v>50</v>
      </c>
      <c r="C44" s="30" cm="1">
        <f t="array" ref="C44">COUNT(_xlfn._xlws.FILTER(T44:CJ44,($T$13:$CJ$13="P.U")*(ISNUMBER(T44:CJ44)),""))</f>
        <v>0</v>
      </c>
      <c r="D44" s="30">
        <f>_xlfn.MINIFS(44:44,$13:$13,"P.U")</f>
        <v>0</v>
      </c>
      <c r="E44" s="30" t="str">
        <f>IFERROR(AVERAGEIFS(44:44,$13:$13,"P.U"), "-")</f>
        <v>-</v>
      </c>
      <c r="F44" s="30" t="str" cm="1">
        <f t="array" ref="F44">IFERROR(MEDIAN(_xlfn._xlws.FILTER($V44:$CJ44,$V$13:$CJ$13="P.U")),"-")</f>
        <v>-</v>
      </c>
      <c r="G44" s="30" t="str" cm="1">
        <f t="array" ref="G44">IFERROR(_xlfn.STDEV.P(_xlfn._xlws.FILTER($V44:$CJ44,$V$13:$CJ$13="P.U")),"-")</f>
        <v>-</v>
      </c>
      <c r="H44" s="31" t="str">
        <f t="shared" si="0"/>
        <v>0</v>
      </c>
      <c r="I44" s="64"/>
      <c r="J44" s="31" t="str" cm="1">
        <f t="array" ref="J44">IFERROR(_xlfn.QUARTILE.INC(_xlfn._xlws.FILTER($V44:$CK44,$V$13:$CK$13="P.U"),0),"-")</f>
        <v>-</v>
      </c>
      <c r="K44" s="64"/>
      <c r="L44" s="31" t="str" cm="1">
        <f t="array" ref="L44">IFERROR(_xlfn.QUARTILE.INC(_xlfn._xlws.FILTER($V44:$CK44,$V$13:$CK$13="P.U"),1),"-")</f>
        <v>-</v>
      </c>
      <c r="M44" s="64"/>
      <c r="N44" s="31" t="str" cm="1">
        <f t="array" ref="N44">IFERROR(_xlfn.QUARTILE.INC(_xlfn._xlws.FILTER($V44:$CK44,$V$13:$CK$13="P.U"),2),"-")</f>
        <v>-</v>
      </c>
      <c r="O44" s="64"/>
      <c r="P44" s="31" t="str" cm="1">
        <f t="array" ref="P44">IFERROR(_xlfn.QUARTILE.INC(_xlfn._xlws.FILTER($V44:$CK44,$V$13:$CK$13="P.U"),3),"-")</f>
        <v>-</v>
      </c>
      <c r="Q44" s="64"/>
      <c r="R44" s="31" t="str" cm="1">
        <f t="array" ref="R44">IFERROR(_xlfn.QUARTILE.INC(_xlfn._xlws.FILTER($V44:$CK44,$V$13:$CK$13="P.U"),4),"-")</f>
        <v>-</v>
      </c>
      <c r="S44" s="32" t="str" cm="1">
        <f t="array" ref="S44">_xlfn.LET(_xlpm.p,_xlfn.UNIQUE(_xlfn._xlws.FILTER(T44:CH44,$T$13:$CH$13="U"),1),_xlpm.f,_xlfn._xlws.FILTER(_xlpm.p,_xlpm.p&lt;&gt;"",""),IF(COUNTA(_xlpm.f)=1,_xlpm.f,"différentes"))</f>
        <v/>
      </c>
      <c r="T44" s="33"/>
      <c r="U44" s="34"/>
      <c r="V44" s="34"/>
      <c r="W44" s="33"/>
      <c r="X44" s="34"/>
      <c r="Y44" s="34"/>
      <c r="Z44" s="33"/>
      <c r="AA44" s="34"/>
      <c r="AB44" s="34"/>
      <c r="AC44" s="33"/>
      <c r="AD44" s="34"/>
      <c r="AE44" s="34"/>
      <c r="AF44" s="33"/>
      <c r="AG44" s="34"/>
      <c r="AH44" s="34"/>
      <c r="AI44" s="33"/>
      <c r="AJ44" s="35"/>
      <c r="AK44" s="36"/>
      <c r="AL44" s="33"/>
      <c r="AM44" s="36"/>
      <c r="AN44" s="36"/>
      <c r="AO44" s="33"/>
      <c r="AP44" s="35"/>
      <c r="AQ44" s="36"/>
      <c r="AR44" s="33"/>
      <c r="AS44" s="35"/>
      <c r="AT44" s="36"/>
      <c r="AU44" s="33"/>
      <c r="AV44" s="35"/>
      <c r="AW44" s="36"/>
      <c r="AX44" s="33"/>
      <c r="AY44" s="35"/>
      <c r="AZ44" s="35"/>
      <c r="BA44" s="33"/>
      <c r="BB44" s="35"/>
      <c r="BC44" s="35"/>
      <c r="BD44" s="35"/>
      <c r="BE44" s="35"/>
      <c r="BF44" s="35"/>
      <c r="BG44" s="35"/>
      <c r="BH44" s="36"/>
      <c r="BI44" s="36"/>
      <c r="BJ44" s="35"/>
      <c r="BK44" s="35"/>
      <c r="BL44" s="36"/>
      <c r="BM44" s="35"/>
      <c r="BN44" s="35"/>
      <c r="BO44" s="35"/>
      <c r="BP44" s="35"/>
      <c r="BQ44" s="35"/>
      <c r="BR44" s="35"/>
      <c r="BS44" s="33"/>
      <c r="BT44" s="35"/>
      <c r="BU44" s="36"/>
      <c r="BV44" s="33"/>
      <c r="BW44" s="35"/>
      <c r="BX44" s="36"/>
      <c r="BY44" s="37"/>
      <c r="BZ44" s="35"/>
      <c r="CA44" s="36"/>
      <c r="CB44" s="35"/>
      <c r="CC44" s="35"/>
      <c r="CD44" s="36"/>
      <c r="CE44" s="35"/>
      <c r="CF44" s="35"/>
      <c r="CG44" s="36"/>
      <c r="CH44" s="42"/>
      <c r="CI44" s="35"/>
      <c r="CJ44" s="36"/>
    </row>
    <row r="45" spans="1:89" x14ac:dyDescent="0.35">
      <c r="A45" s="61"/>
      <c r="B45" s="38" t="s">
        <v>51</v>
      </c>
      <c r="C45" s="30" cm="1">
        <f t="array" ref="C45">COUNT(_xlfn._xlws.FILTER(T45:CJ45,($T$13:$CJ$13="P.U")*(ISNUMBER(T45:CJ45)),""))</f>
        <v>0</v>
      </c>
      <c r="D45" s="30">
        <f>_xlfn.MINIFS(45:45,$13:$13,"P.U")</f>
        <v>0</v>
      </c>
      <c r="E45" s="30" t="str">
        <f>IFERROR(AVERAGEIFS(45:45,$13:$13,"P.U"), "-")</f>
        <v>-</v>
      </c>
      <c r="F45" s="30" t="str" cm="1">
        <f t="array" ref="F45">IFERROR(MEDIAN(_xlfn._xlws.FILTER($V45:$CJ45,$V$13:$CJ$13="P.U")),"-")</f>
        <v>-</v>
      </c>
      <c r="G45" s="30" t="str" cm="1">
        <f t="array" ref="G45">IFERROR(_xlfn.STDEV.P(_xlfn._xlws.FILTER($V45:$CJ45,$V$13:$CJ$13="P.U")),"-")</f>
        <v>-</v>
      </c>
      <c r="H45" s="31" t="str">
        <f t="shared" si="0"/>
        <v>0</v>
      </c>
      <c r="I45" s="64"/>
      <c r="J45" s="31" t="str" cm="1">
        <f t="array" ref="J45">IFERROR(_xlfn.QUARTILE.INC(_xlfn._xlws.FILTER($V45:$CK45,$V$13:$CK$13="P.U"),0),"-")</f>
        <v>-</v>
      </c>
      <c r="K45" s="64"/>
      <c r="L45" s="31" t="str" cm="1">
        <f t="array" ref="L45">IFERROR(_xlfn.QUARTILE.INC(_xlfn._xlws.FILTER($V45:$CK45,$V$13:$CK$13="P.U"),1),"-")</f>
        <v>-</v>
      </c>
      <c r="M45" s="64"/>
      <c r="N45" s="31" t="str" cm="1">
        <f t="array" ref="N45">IFERROR(_xlfn.QUARTILE.INC(_xlfn._xlws.FILTER($V45:$CK45,$V$13:$CK$13="P.U"),2),"-")</f>
        <v>-</v>
      </c>
      <c r="O45" s="64"/>
      <c r="P45" s="31" t="str" cm="1">
        <f t="array" ref="P45">IFERROR(_xlfn.QUARTILE.INC(_xlfn._xlws.FILTER($V45:$CK45,$V$13:$CK$13="P.U"),3),"-")</f>
        <v>-</v>
      </c>
      <c r="Q45" s="64"/>
      <c r="R45" s="31" t="str" cm="1">
        <f t="array" ref="R45">IFERROR(_xlfn.QUARTILE.INC(_xlfn._xlws.FILTER($V45:$CK45,$V$13:$CK$13="P.U"),4),"-")</f>
        <v>-</v>
      </c>
      <c r="S45" s="32" t="str" cm="1">
        <f t="array" ref="S45">_xlfn.LET(_xlpm.p,_xlfn.UNIQUE(_xlfn._xlws.FILTER(T45:CH45,$T$13:$CH$13="U"),1),_xlpm.f,_xlfn._xlws.FILTER(_xlpm.p,_xlpm.p&lt;&gt;"",""),IF(COUNTA(_xlpm.f)=1,_xlpm.f,"différentes"))</f>
        <v/>
      </c>
      <c r="T45" s="33"/>
      <c r="U45" s="34"/>
      <c r="V45" s="34"/>
      <c r="W45" s="33"/>
      <c r="X45" s="34"/>
      <c r="Y45" s="34"/>
      <c r="Z45" s="33"/>
      <c r="AA45" s="34"/>
      <c r="AB45" s="34"/>
      <c r="AC45" s="33"/>
      <c r="AD45" s="34"/>
      <c r="AE45" s="34"/>
      <c r="AF45" s="33"/>
      <c r="AG45" s="34"/>
      <c r="AH45" s="34"/>
      <c r="AI45" s="33"/>
      <c r="AJ45" s="35"/>
      <c r="AK45" s="36"/>
      <c r="AL45" s="33"/>
      <c r="AM45" s="36"/>
      <c r="AN45" s="36"/>
      <c r="AO45" s="33"/>
      <c r="AP45" s="35"/>
      <c r="AQ45" s="36"/>
      <c r="AR45" s="33"/>
      <c r="AS45" s="35"/>
      <c r="AT45" s="36"/>
      <c r="AU45" s="33"/>
      <c r="AV45" s="35"/>
      <c r="AW45" s="36"/>
      <c r="AX45" s="33"/>
      <c r="AY45" s="35"/>
      <c r="AZ45" s="35"/>
      <c r="BA45" s="33"/>
      <c r="BB45" s="35"/>
      <c r="BC45" s="35"/>
      <c r="BD45" s="35"/>
      <c r="BE45" s="35"/>
      <c r="BF45" s="35"/>
      <c r="BG45" s="35"/>
      <c r="BH45" s="36"/>
      <c r="BI45" s="36"/>
      <c r="BJ45" s="35"/>
      <c r="BK45" s="35"/>
      <c r="BL45" s="36"/>
      <c r="BM45" s="35"/>
      <c r="BN45" s="35"/>
      <c r="BO45" s="35"/>
      <c r="BP45" s="35"/>
      <c r="BQ45" s="35"/>
      <c r="BR45" s="35"/>
      <c r="BS45" s="33"/>
      <c r="BT45" s="35"/>
      <c r="BU45" s="36"/>
      <c r="BV45" s="33"/>
      <c r="BW45" s="35"/>
      <c r="BX45" s="36"/>
      <c r="BY45" s="37"/>
      <c r="BZ45" s="35"/>
      <c r="CA45" s="36"/>
      <c r="CB45" s="35"/>
      <c r="CC45" s="35"/>
      <c r="CD45" s="36"/>
      <c r="CE45" s="35"/>
      <c r="CF45" s="35"/>
      <c r="CG45" s="36"/>
      <c r="CH45" s="42"/>
      <c r="CI45" s="35"/>
      <c r="CJ45" s="36"/>
    </row>
    <row r="46" spans="1:89" x14ac:dyDescent="0.35">
      <c r="A46" s="61"/>
      <c r="B46" s="38" t="s">
        <v>52</v>
      </c>
      <c r="C46" s="30" cm="1">
        <f t="array" ref="C46">COUNT(_xlfn._xlws.FILTER(T46:CJ46,($T$13:$CJ$13="P.U")*(ISNUMBER(T46:CJ46)),""))</f>
        <v>21</v>
      </c>
      <c r="D46" s="30">
        <f>_xlfn.MINIFS(46:46,$13:$13,"P.U")</f>
        <v>246.55779999999999</v>
      </c>
      <c r="E46" s="30">
        <f>IFERROR(AVERAGEIFS(46:46,$13:$13,"P.U"), "-")</f>
        <v>12589.649514285715</v>
      </c>
      <c r="F46" s="30" cm="1">
        <f t="array" ref="F46">IFERROR(MEDIAN(_xlfn._xlws.FILTER($V46:$CJ46,$V$13:$CJ$13="P.U")),"-")</f>
        <v>6307.9</v>
      </c>
      <c r="G46" s="30" cm="1">
        <f t="array" ref="G46">IFERROR(_xlfn.STDEV.P(_xlfn._xlws.FILTER($V46:$CJ46,$V$13:$CJ$13="P.U")),"-")</f>
        <v>18135.703867445485</v>
      </c>
      <c r="H46" s="31">
        <f t="shared" si="0"/>
        <v>1.440524920639495</v>
      </c>
      <c r="I46" s="64"/>
      <c r="J46" s="31" cm="1">
        <f t="array" ref="J46">IFERROR(_xlfn.QUARTILE.INC(_xlfn._xlws.FILTER($V46:$CK46,$V$13:$CK$13="P.U"),0),"-")</f>
        <v>246.55779999999999</v>
      </c>
      <c r="K46" s="64"/>
      <c r="L46" s="31" cm="1">
        <f t="array" ref="L46">IFERROR(_xlfn.QUARTILE.INC(_xlfn._xlws.FILTER($V46:$CK46,$V$13:$CK$13="P.U"),1),"-")</f>
        <v>6299.14</v>
      </c>
      <c r="M46" s="64"/>
      <c r="N46" s="31" cm="1">
        <f t="array" ref="N46">IFERROR(_xlfn.QUARTILE.INC(_xlfn._xlws.FILTER($V46:$CK46,$V$13:$CK$13="P.U"),2),"-")</f>
        <v>6307.9</v>
      </c>
      <c r="O46" s="64"/>
      <c r="P46" s="31" cm="1">
        <f t="array" ref="P46">IFERROR(_xlfn.QUARTILE.INC(_xlfn._xlws.FILTER($V46:$CK46,$V$13:$CK$13="P.U"),3),"-")</f>
        <v>12615.8</v>
      </c>
      <c r="Q46" s="64"/>
      <c r="R46" s="31" cm="1">
        <f t="array" ref="R46">IFERROR(_xlfn.QUARTILE.INC(_xlfn._xlws.FILTER($V46:$CK46,$V$13:$CK$13="P.U"),4),"-")</f>
        <v>88002.17</v>
      </c>
      <c r="S46" s="32" t="str" cm="1">
        <f t="array" ref="S46">_xlfn.LET(_xlpm.p,_xlfn.UNIQUE(_xlfn._xlws.FILTER(T46:CH46,$T$13:$CH$13="U"),1),_xlpm.f,_xlfn._xlws.FILTER(_xlpm.p,_xlpm.p&lt;&gt;"",""),IF(COUNTA(_xlpm.f)=1,_xlpm.f,"différentes"))</f>
        <v>ens</v>
      </c>
      <c r="T46" s="33" t="s">
        <v>17</v>
      </c>
      <c r="U46" s="34">
        <v>1</v>
      </c>
      <c r="V46" s="39">
        <v>2137.41</v>
      </c>
      <c r="W46" s="33" t="s">
        <v>17</v>
      </c>
      <c r="X46" s="34">
        <v>1</v>
      </c>
      <c r="Y46" s="39">
        <v>249.68199999999999</v>
      </c>
      <c r="Z46" s="40" t="s">
        <v>17</v>
      </c>
      <c r="AA46" s="34"/>
      <c r="AB46" s="34"/>
      <c r="AC46" s="33" t="s">
        <v>17</v>
      </c>
      <c r="AD46" s="34"/>
      <c r="AE46" s="34"/>
      <c r="AF46" s="33" t="s">
        <v>17</v>
      </c>
      <c r="AG46" s="34">
        <v>1</v>
      </c>
      <c r="AH46" s="39">
        <v>246.55779999999999</v>
      </c>
      <c r="AI46" s="33" t="s">
        <v>17</v>
      </c>
      <c r="AJ46" s="35">
        <v>1</v>
      </c>
      <c r="AK46" s="41">
        <v>25231.4</v>
      </c>
      <c r="AL46" s="33" t="s">
        <v>17</v>
      </c>
      <c r="AM46" s="36">
        <v>1</v>
      </c>
      <c r="AN46" s="36">
        <f>6307.9+6307.9</f>
        <v>12615.8</v>
      </c>
      <c r="AO46" s="33" t="s">
        <v>17</v>
      </c>
      <c r="AP46" s="35">
        <v>1</v>
      </c>
      <c r="AQ46" s="41">
        <v>6307.9</v>
      </c>
      <c r="AR46" s="33" t="s">
        <v>17</v>
      </c>
      <c r="AS46" s="35">
        <v>1</v>
      </c>
      <c r="AT46" s="41">
        <v>6307.9</v>
      </c>
      <c r="AU46" s="33" t="s">
        <v>17</v>
      </c>
      <c r="AV46" s="35">
        <v>1</v>
      </c>
      <c r="AW46" s="41">
        <v>6307.9</v>
      </c>
      <c r="AX46" s="33" t="s">
        <v>17</v>
      </c>
      <c r="AY46" s="35">
        <v>1</v>
      </c>
      <c r="AZ46" s="35">
        <v>6307.9</v>
      </c>
      <c r="BA46" s="33" t="s">
        <v>17</v>
      </c>
      <c r="BB46" s="35">
        <v>1</v>
      </c>
      <c r="BC46" s="39">
        <v>25196.6</v>
      </c>
      <c r="BD46" s="35" t="s">
        <v>17</v>
      </c>
      <c r="BE46" s="35">
        <v>1</v>
      </c>
      <c r="BF46" s="39">
        <v>6299.1</v>
      </c>
      <c r="BG46" s="35" t="s">
        <v>17</v>
      </c>
      <c r="BH46" s="36">
        <v>1</v>
      </c>
      <c r="BI46" s="36">
        <v>6299.1</v>
      </c>
      <c r="BJ46" s="35" t="s">
        <v>17</v>
      </c>
      <c r="BK46" s="35">
        <v>1</v>
      </c>
      <c r="BL46" s="41">
        <v>6299.14</v>
      </c>
      <c r="BM46" s="35" t="s">
        <v>17</v>
      </c>
      <c r="BN46" s="35">
        <v>1</v>
      </c>
      <c r="BO46" s="39">
        <v>6299.14</v>
      </c>
      <c r="BP46" s="35" t="s">
        <v>17</v>
      </c>
      <c r="BQ46" s="35">
        <v>1</v>
      </c>
      <c r="BR46" s="35">
        <v>6299.14</v>
      </c>
      <c r="BS46" s="33" t="s">
        <v>17</v>
      </c>
      <c r="BT46" s="35">
        <v>1</v>
      </c>
      <c r="BU46" s="39">
        <v>6299.14</v>
      </c>
      <c r="BV46" s="33" t="s">
        <v>17</v>
      </c>
      <c r="BW46" s="35">
        <v>1</v>
      </c>
      <c r="BX46" s="41">
        <v>88002.17</v>
      </c>
      <c r="BY46" s="37" t="s">
        <v>17</v>
      </c>
      <c r="BZ46" s="35">
        <v>1</v>
      </c>
      <c r="CA46" s="39">
        <v>16668.86</v>
      </c>
      <c r="CB46" s="35" t="s">
        <v>17</v>
      </c>
      <c r="CC46" s="35">
        <v>1</v>
      </c>
      <c r="CD46" s="39">
        <v>16669</v>
      </c>
      <c r="CE46" s="35" t="s">
        <v>17</v>
      </c>
      <c r="CF46" s="35">
        <v>1</v>
      </c>
      <c r="CG46" s="41">
        <v>7169.4</v>
      </c>
      <c r="CH46" s="42" t="s">
        <v>17</v>
      </c>
      <c r="CI46" s="35">
        <v>1</v>
      </c>
      <c r="CJ46" s="49">
        <v>7169.4</v>
      </c>
    </row>
    <row r="47" spans="1:89" x14ac:dyDescent="0.35">
      <c r="A47" s="61"/>
      <c r="B47" s="38" t="s">
        <v>53</v>
      </c>
      <c r="C47" s="30" cm="1">
        <f t="array" ref="C47">COUNT(_xlfn._xlws.FILTER(T47:CJ47,($T$13:$CJ$13="P.U")*(ISNUMBER(T47:CJ47)),""))</f>
        <v>0</v>
      </c>
      <c r="D47" s="30">
        <f>_xlfn.MINIFS(47:47,$13:$13,"P.U")</f>
        <v>0</v>
      </c>
      <c r="E47" s="30" t="str">
        <f>IFERROR(AVERAGEIFS(47:47,$13:$13,"P.U"), "-")</f>
        <v>-</v>
      </c>
      <c r="F47" s="30" t="str" cm="1">
        <f t="array" ref="F47">IFERROR(MEDIAN(_xlfn._xlws.FILTER($V47:$CJ47,$V$13:$CJ$13="P.U")),"-")</f>
        <v>-</v>
      </c>
      <c r="G47" s="30" t="str" cm="1">
        <f t="array" ref="G47">IFERROR(_xlfn.STDEV.P(_xlfn._xlws.FILTER($V47:$CJ47,$V$13:$CJ$13="P.U")),"-")</f>
        <v>-</v>
      </c>
      <c r="H47" s="31" t="str">
        <f t="shared" si="0"/>
        <v>0</v>
      </c>
      <c r="I47" s="64"/>
      <c r="J47" s="31" t="str" cm="1">
        <f t="array" ref="J47">IFERROR(_xlfn.QUARTILE.INC(_xlfn._xlws.FILTER($V47:$CK47,$V$13:$CK$13="P.U"),0),"-")</f>
        <v>-</v>
      </c>
      <c r="K47" s="64"/>
      <c r="L47" s="31" t="str" cm="1">
        <f t="array" ref="L47">IFERROR(_xlfn.QUARTILE.INC(_xlfn._xlws.FILTER($V47:$CK47,$V$13:$CK$13="P.U"),1),"-")</f>
        <v>-</v>
      </c>
      <c r="M47" s="64"/>
      <c r="N47" s="31" t="str" cm="1">
        <f t="array" ref="N47">IFERROR(_xlfn.QUARTILE.INC(_xlfn._xlws.FILTER($V47:$CK47,$V$13:$CK$13="P.U"),2),"-")</f>
        <v>-</v>
      </c>
      <c r="O47" s="64"/>
      <c r="P47" s="31" t="str" cm="1">
        <f t="array" ref="P47">IFERROR(_xlfn.QUARTILE.INC(_xlfn._xlws.FILTER($V47:$CK47,$V$13:$CK$13="P.U"),3),"-")</f>
        <v>-</v>
      </c>
      <c r="Q47" s="64"/>
      <c r="R47" s="31" t="str" cm="1">
        <f t="array" ref="R47">IFERROR(_xlfn.QUARTILE.INC(_xlfn._xlws.FILTER($V47:$CK47,$V$13:$CK$13="P.U"),4),"-")</f>
        <v>-</v>
      </c>
      <c r="S47" s="32" t="str" cm="1">
        <f t="array" ref="S47">_xlfn.LET(_xlpm.p,_xlfn.UNIQUE(_xlfn._xlws.FILTER(T47:CH47,$T$13:$CH$13="U"),1),_xlpm.f,_xlfn._xlws.FILTER(_xlpm.p,_xlpm.p&lt;&gt;"",""),IF(COUNTA(_xlpm.f)=1,_xlpm.f,"différentes"))</f>
        <v/>
      </c>
      <c r="T47" s="33"/>
      <c r="U47" s="34"/>
      <c r="V47" s="34"/>
      <c r="W47" s="33"/>
      <c r="X47" s="34"/>
      <c r="Y47" s="34"/>
      <c r="Z47" s="33"/>
      <c r="AA47" s="34"/>
      <c r="AB47" s="34"/>
      <c r="AC47" s="33"/>
      <c r="AD47" s="34"/>
      <c r="AE47" s="34"/>
      <c r="AF47" s="33"/>
      <c r="AG47" s="34"/>
      <c r="AH47" s="34"/>
      <c r="AI47" s="33"/>
      <c r="AJ47" s="35"/>
      <c r="AK47" s="36"/>
      <c r="AL47" s="33"/>
      <c r="AM47" s="36"/>
      <c r="AN47" s="36"/>
      <c r="AO47" s="33"/>
      <c r="AP47" s="35"/>
      <c r="AQ47" s="36"/>
      <c r="AR47" s="33"/>
      <c r="AS47" s="35"/>
      <c r="AT47" s="36"/>
      <c r="AU47" s="33"/>
      <c r="AV47" s="35"/>
      <c r="AW47" s="36"/>
      <c r="AX47" s="33"/>
      <c r="AY47" s="35"/>
      <c r="AZ47" s="35"/>
      <c r="BA47" s="33"/>
      <c r="BB47" s="35"/>
      <c r="BC47" s="35"/>
      <c r="BD47" s="35"/>
      <c r="BE47" s="35"/>
      <c r="BF47" s="35"/>
      <c r="BG47" s="35"/>
      <c r="BH47" s="36"/>
      <c r="BI47" s="36"/>
      <c r="BJ47" s="35"/>
      <c r="BK47" s="35"/>
      <c r="BL47" s="36"/>
      <c r="BM47" s="35"/>
      <c r="BN47" s="35"/>
      <c r="BO47" s="35"/>
      <c r="BP47" s="35"/>
      <c r="BQ47" s="35"/>
      <c r="BR47" s="35"/>
      <c r="BS47" s="33"/>
      <c r="BT47" s="35"/>
      <c r="BU47" s="36"/>
      <c r="BV47" s="33"/>
      <c r="BW47" s="35"/>
      <c r="BX47" s="36"/>
      <c r="BY47" s="37"/>
      <c r="BZ47" s="35"/>
      <c r="CA47" s="36"/>
      <c r="CB47" s="35"/>
      <c r="CC47" s="35"/>
      <c r="CD47" s="36"/>
      <c r="CE47" s="35"/>
      <c r="CF47" s="35"/>
      <c r="CG47" s="36"/>
      <c r="CH47" s="42"/>
      <c r="CI47" s="35"/>
      <c r="CJ47" s="36"/>
    </row>
    <row r="48" spans="1:89" x14ac:dyDescent="0.35">
      <c r="A48" s="61"/>
      <c r="B48" s="38" t="s">
        <v>54</v>
      </c>
      <c r="C48" s="30" cm="1">
        <f t="array" ref="C48">COUNT(_xlfn._xlws.FILTER(T48:CJ48,($T$13:$CJ$13="P.U")*(ISNUMBER(T48:CJ48)),""))</f>
        <v>2</v>
      </c>
      <c r="D48" s="30">
        <f>_xlfn.MINIFS(48:48,$13:$13,"P.U")</f>
        <v>635</v>
      </c>
      <c r="E48" s="30">
        <f>IFERROR(AVERAGEIFS(48:48,$13:$13,"P.U"), "-")</f>
        <v>2643.5050000000001</v>
      </c>
      <c r="F48" s="30" cm="1">
        <f t="array" ref="F48">IFERROR(MEDIAN(_xlfn._xlws.FILTER($V48:$CJ48,$V$13:$CJ$13="P.U")),"-")</f>
        <v>2643.5050000000001</v>
      </c>
      <c r="G48" s="30" cm="1">
        <f t="array" ref="G48">IFERROR(_xlfn.STDEV.P(_xlfn._xlws.FILTER($V48:$CJ48,$V$13:$CJ$13="P.U")),"-")</f>
        <v>2008.5049999999999</v>
      </c>
      <c r="H48" s="31">
        <f t="shared" si="0"/>
        <v>0.75978861398030262</v>
      </c>
      <c r="I48" s="64"/>
      <c r="J48" s="31" cm="1">
        <f t="array" ref="J48">IFERROR(_xlfn.QUARTILE.INC(_xlfn._xlws.FILTER($V48:$CK48,$V$13:$CK$13="P.U"),0),"-")</f>
        <v>635</v>
      </c>
      <c r="K48" s="64"/>
      <c r="L48" s="31" cm="1">
        <f t="array" ref="L48">IFERROR(_xlfn.QUARTILE.INC(_xlfn._xlws.FILTER($V48:$CK48,$V$13:$CK$13="P.U"),1),"-")</f>
        <v>1639.2525000000001</v>
      </c>
      <c r="M48" s="64"/>
      <c r="N48" s="31" cm="1">
        <f t="array" ref="N48">IFERROR(_xlfn.QUARTILE.INC(_xlfn._xlws.FILTER($V48:$CK48,$V$13:$CK$13="P.U"),2),"-")</f>
        <v>2643.5050000000001</v>
      </c>
      <c r="O48" s="64"/>
      <c r="P48" s="31" cm="1">
        <f t="array" ref="P48">IFERROR(_xlfn.QUARTILE.INC(_xlfn._xlws.FILTER($V48:$CK48,$V$13:$CK$13="P.U"),3),"-")</f>
        <v>3647.7575000000002</v>
      </c>
      <c r="Q48" s="64"/>
      <c r="R48" s="31" cm="1">
        <f t="array" ref="R48">IFERROR(_xlfn.QUARTILE.INC(_xlfn._xlws.FILTER($V48:$CK48,$V$13:$CK$13="P.U"),4),"-")</f>
        <v>4652.01</v>
      </c>
      <c r="S48" s="32" t="str" cm="1">
        <f t="array" ref="S48">_xlfn.LET(_xlpm.p,_xlfn.UNIQUE(_xlfn._xlws.FILTER(T48:CH48,$T$13:$CH$13="U"),1),_xlpm.f,_xlfn._xlws.FILTER(_xlpm.p,_xlpm.p&lt;&gt;"",""),IF(COUNTA(_xlpm.f)=1,_xlpm.f,"différentes"))</f>
        <v>ens</v>
      </c>
      <c r="T48" s="33" t="s">
        <v>17</v>
      </c>
      <c r="U48" s="34">
        <v>1</v>
      </c>
      <c r="V48" s="39">
        <v>4652.01</v>
      </c>
      <c r="W48" s="33"/>
      <c r="X48" s="34"/>
      <c r="Y48" s="39"/>
      <c r="Z48" s="33" t="s">
        <v>17</v>
      </c>
      <c r="AA48" s="34">
        <v>1</v>
      </c>
      <c r="AB48" s="39">
        <v>635</v>
      </c>
      <c r="AC48" s="33"/>
      <c r="AD48" s="34"/>
      <c r="AE48" s="34"/>
      <c r="AF48" s="33"/>
      <c r="AG48" s="34"/>
      <c r="AH48" s="34"/>
      <c r="AI48" s="33"/>
      <c r="AJ48" s="35"/>
      <c r="AK48" s="36"/>
      <c r="AL48" s="33"/>
      <c r="AM48" s="36"/>
      <c r="AN48" s="36"/>
      <c r="AO48" s="33"/>
      <c r="AP48" s="35"/>
      <c r="AQ48" s="36"/>
      <c r="AR48" s="33"/>
      <c r="AS48" s="35"/>
      <c r="AT48" s="36"/>
      <c r="AU48" s="33"/>
      <c r="AV48" s="35"/>
      <c r="AW48" s="36"/>
      <c r="AX48" s="33"/>
      <c r="AY48" s="35"/>
      <c r="AZ48" s="35"/>
      <c r="BA48" s="33"/>
      <c r="BB48" s="35"/>
      <c r="BC48" s="35"/>
      <c r="BD48" s="35"/>
      <c r="BE48" s="35"/>
      <c r="BF48" s="35"/>
      <c r="BG48" s="35"/>
      <c r="BH48" s="36"/>
      <c r="BI48" s="36"/>
      <c r="BJ48" s="35"/>
      <c r="BK48" s="35"/>
      <c r="BL48" s="36"/>
      <c r="BM48" s="35"/>
      <c r="BN48" s="35"/>
      <c r="BO48" s="35"/>
      <c r="BP48" s="35"/>
      <c r="BQ48" s="35"/>
      <c r="BR48" s="35"/>
      <c r="BS48" s="33"/>
      <c r="BT48" s="35"/>
      <c r="BU48" s="36"/>
      <c r="BV48" s="33"/>
      <c r="BW48" s="35"/>
      <c r="BX48" s="36"/>
      <c r="BY48" s="37"/>
      <c r="BZ48" s="35"/>
      <c r="CA48" s="36"/>
      <c r="CB48" s="35"/>
      <c r="CC48" s="35"/>
      <c r="CD48" s="36"/>
      <c r="CE48" s="35"/>
      <c r="CF48" s="35"/>
      <c r="CG48" s="36"/>
      <c r="CH48" s="42"/>
      <c r="CI48" s="35"/>
      <c r="CJ48" s="36"/>
    </row>
    <row r="49" spans="1:88" x14ac:dyDescent="0.35">
      <c r="A49" s="61"/>
      <c r="B49" s="38" t="s">
        <v>55</v>
      </c>
      <c r="C49" s="30" cm="1">
        <f t="array" ref="C49">COUNT(_xlfn._xlws.FILTER(T49:CJ49,($T$13:$CJ$13="P.U")*(ISNUMBER(T49:CJ49)),""))</f>
        <v>0</v>
      </c>
      <c r="D49" s="30">
        <f>_xlfn.MINIFS(49:49,$13:$13,"P.U")</f>
        <v>0</v>
      </c>
      <c r="E49" s="30" t="str">
        <f>IFERROR(AVERAGEIFS(49:49,$13:$13,"P.U"), "-")</f>
        <v>-</v>
      </c>
      <c r="F49" s="30" t="str" cm="1">
        <f t="array" ref="F49">IFERROR(MEDIAN(_xlfn._xlws.FILTER($V49:$CJ49,$V$13:$CJ$13="P.U")),"-")</f>
        <v>-</v>
      </c>
      <c r="G49" s="30" t="str" cm="1">
        <f t="array" ref="G49">IFERROR(_xlfn.STDEV.P(_xlfn._xlws.FILTER($V49:$CJ49,$V$13:$CJ$13="P.U")),"-")</f>
        <v>-</v>
      </c>
      <c r="H49" s="31" t="str">
        <f t="shared" si="0"/>
        <v>0</v>
      </c>
      <c r="I49" s="64"/>
      <c r="J49" s="31" t="str" cm="1">
        <f t="array" ref="J49">IFERROR(_xlfn.QUARTILE.INC(_xlfn._xlws.FILTER($V49:$CK49,$V$13:$CK$13="P.U"),0),"-")</f>
        <v>-</v>
      </c>
      <c r="K49" s="64"/>
      <c r="L49" s="31" t="str" cm="1">
        <f t="array" ref="L49">IFERROR(_xlfn.QUARTILE.INC(_xlfn._xlws.FILTER($V49:$CK49,$V$13:$CK$13="P.U"),1),"-")</f>
        <v>-</v>
      </c>
      <c r="M49" s="64"/>
      <c r="N49" s="31" t="str" cm="1">
        <f t="array" ref="N49">IFERROR(_xlfn.QUARTILE.INC(_xlfn._xlws.FILTER($V49:$CK49,$V$13:$CK$13="P.U"),2),"-")</f>
        <v>-</v>
      </c>
      <c r="O49" s="64"/>
      <c r="P49" s="31" t="str" cm="1">
        <f t="array" ref="P49">IFERROR(_xlfn.QUARTILE.INC(_xlfn._xlws.FILTER($V49:$CK49,$V$13:$CK$13="P.U"),3),"-")</f>
        <v>-</v>
      </c>
      <c r="Q49" s="64"/>
      <c r="R49" s="31" t="str" cm="1">
        <f t="array" ref="R49">IFERROR(_xlfn.QUARTILE.INC(_xlfn._xlws.FILTER($V49:$CK49,$V$13:$CK$13="P.U"),4),"-")</f>
        <v>-</v>
      </c>
      <c r="S49" s="32" t="str" cm="1">
        <f t="array" ref="S49">_xlfn.LET(_xlpm.p,_xlfn.UNIQUE(_xlfn._xlws.FILTER(T49:CH49,$T$13:$CH$13="U"),1),_xlpm.f,_xlfn._xlws.FILTER(_xlpm.p,_xlpm.p&lt;&gt;"",""),IF(COUNTA(_xlpm.f)=1,_xlpm.f,"différentes"))</f>
        <v/>
      </c>
      <c r="T49" s="33"/>
      <c r="U49" s="34"/>
      <c r="V49" s="34"/>
      <c r="W49" s="33"/>
      <c r="X49" s="34"/>
      <c r="Y49" s="34"/>
      <c r="Z49" s="33"/>
      <c r="AA49" s="34"/>
      <c r="AB49" s="34"/>
      <c r="AC49" s="33"/>
      <c r="AD49" s="34"/>
      <c r="AE49" s="34"/>
      <c r="AF49" s="33"/>
      <c r="AG49" s="34"/>
      <c r="AH49" s="34"/>
      <c r="AI49" s="33"/>
      <c r="AJ49" s="35"/>
      <c r="AK49" s="36"/>
      <c r="AL49" s="33"/>
      <c r="AM49" s="36"/>
      <c r="AN49" s="36"/>
      <c r="AO49" s="33"/>
      <c r="AP49" s="35"/>
      <c r="AQ49" s="36"/>
      <c r="AR49" s="33"/>
      <c r="AS49" s="35"/>
      <c r="AT49" s="36"/>
      <c r="AU49" s="33"/>
      <c r="AV49" s="35"/>
      <c r="AW49" s="36"/>
      <c r="AX49" s="33"/>
      <c r="AY49" s="35"/>
      <c r="AZ49" s="35"/>
      <c r="BA49" s="33"/>
      <c r="BB49" s="35"/>
      <c r="BC49" s="35"/>
      <c r="BD49" s="35"/>
      <c r="BE49" s="35"/>
      <c r="BF49" s="35"/>
      <c r="BG49" s="35"/>
      <c r="BH49" s="36"/>
      <c r="BI49" s="36"/>
      <c r="BJ49" s="35"/>
      <c r="BK49" s="35"/>
      <c r="BL49" s="36"/>
      <c r="BM49" s="35"/>
      <c r="BN49" s="35"/>
      <c r="BO49" s="35"/>
      <c r="BP49" s="35"/>
      <c r="BQ49" s="35"/>
      <c r="BR49" s="35"/>
      <c r="BS49" s="33"/>
      <c r="BT49" s="35"/>
      <c r="BU49" s="36"/>
      <c r="BV49" s="33"/>
      <c r="BW49" s="35"/>
      <c r="BX49" s="36"/>
      <c r="BY49" s="37"/>
      <c r="BZ49" s="35"/>
      <c r="CA49" s="36"/>
      <c r="CB49" s="35"/>
      <c r="CC49" s="35"/>
      <c r="CD49" s="36"/>
      <c r="CE49" s="35"/>
      <c r="CF49" s="35"/>
      <c r="CG49" s="36"/>
      <c r="CH49" s="42"/>
      <c r="CI49" s="35"/>
      <c r="CJ49" s="36"/>
    </row>
    <row r="50" spans="1:88" x14ac:dyDescent="0.35">
      <c r="A50" s="62"/>
      <c r="B50" s="38" t="s">
        <v>56</v>
      </c>
      <c r="C50" s="30" cm="1">
        <f t="array" ref="C50">COUNT(_xlfn._xlws.FILTER(T50:CJ50,($T$13:$CJ$13="P.U")*(ISNUMBER(T50:CJ50)),""))</f>
        <v>3</v>
      </c>
      <c r="D50" s="30">
        <f>_xlfn.MINIFS(50:50,$13:$13,"P.U")</f>
        <v>251.46</v>
      </c>
      <c r="E50" s="30">
        <f>IFERROR(AVERAGEIFS(50:50,$13:$13,"P.U"), "-")</f>
        <v>924.28666666666652</v>
      </c>
      <c r="F50" s="30" cm="1">
        <f t="array" ref="F50">IFERROR(MEDIAN(_xlfn._xlws.FILTER($V50:$CJ50,$V$13:$CJ$13="P.U")),"-")</f>
        <v>1259.8</v>
      </c>
      <c r="G50" s="30" cm="1">
        <f t="array" ref="G50">IFERROR(_xlfn.STDEV.P(_xlfn._xlws.FILTER($V50:$CJ50,$V$13:$CJ$13="P.U")),"-")</f>
        <v>475.76086607547808</v>
      </c>
      <c r="H50" s="31">
        <f t="shared" si="0"/>
        <v>0.51473301869781907</v>
      </c>
      <c r="I50" s="64"/>
      <c r="J50" s="31" cm="1">
        <f t="array" ref="J50">IFERROR(_xlfn.QUARTILE.INC(_xlfn._xlws.FILTER($V50:$CK50,$V$13:$CK$13="P.U"),0),"-")</f>
        <v>251.46</v>
      </c>
      <c r="K50" s="64"/>
      <c r="L50" s="31" cm="1">
        <f t="array" ref="L50">IFERROR(_xlfn.QUARTILE.INC(_xlfn._xlws.FILTER($V50:$CK50,$V$13:$CK$13="P.U"),1),"-")</f>
        <v>755.63</v>
      </c>
      <c r="M50" s="64"/>
      <c r="N50" s="31" cm="1">
        <f t="array" ref="N50">IFERROR(_xlfn.QUARTILE.INC(_xlfn._xlws.FILTER($V50:$CK50,$V$13:$CK$13="P.U"),2),"-")</f>
        <v>1259.8</v>
      </c>
      <c r="O50" s="64"/>
      <c r="P50" s="31" cm="1">
        <f t="array" ref="P50">IFERROR(_xlfn.QUARTILE.INC(_xlfn._xlws.FILTER($V50:$CK50,$V$13:$CK$13="P.U"),3),"-")</f>
        <v>1260.6999999999998</v>
      </c>
      <c r="Q50" s="64"/>
      <c r="R50" s="31" cm="1">
        <f t="array" ref="R50">IFERROR(_xlfn.QUARTILE.INC(_xlfn._xlws.FILTER($V50:$CK50,$V$13:$CK$13="P.U"),4),"-")</f>
        <v>1261.5999999999999</v>
      </c>
      <c r="S50" s="32" t="str" cm="1">
        <f t="array" ref="S50">_xlfn.LET(_xlpm.p,_xlfn.UNIQUE(_xlfn._xlws.FILTER(T50:CH50,$T$13:$CH$13="U"),1),_xlpm.f,_xlfn._xlws.FILTER(_xlpm.p,_xlpm.p&lt;&gt;"",""),IF(COUNTA(_xlpm.f)=1,_xlpm.f,"différentes"))</f>
        <v>ens</v>
      </c>
      <c r="T50" s="33" t="s">
        <v>17</v>
      </c>
      <c r="U50" s="34">
        <v>1</v>
      </c>
      <c r="V50" s="39">
        <v>251.46</v>
      </c>
      <c r="W50" s="33"/>
      <c r="X50" s="34"/>
      <c r="Y50" s="34"/>
      <c r="Z50" s="33"/>
      <c r="AA50" s="34"/>
      <c r="AB50" s="34"/>
      <c r="AC50" s="33"/>
      <c r="AD50" s="34"/>
      <c r="AE50" s="34"/>
      <c r="AF50" s="33"/>
      <c r="AG50" s="34"/>
      <c r="AH50" s="34"/>
      <c r="AI50" s="33" t="s">
        <v>17</v>
      </c>
      <c r="AJ50" s="35">
        <v>1</v>
      </c>
      <c r="AK50" s="41">
        <v>1261.5999999999999</v>
      </c>
      <c r="AL50" s="33"/>
      <c r="AM50" s="36"/>
      <c r="AN50" s="36"/>
      <c r="AO50" s="33"/>
      <c r="AP50" s="35"/>
      <c r="AQ50" s="36"/>
      <c r="AR50" s="33"/>
      <c r="AS50" s="35"/>
      <c r="AT50" s="36"/>
      <c r="AU50" s="33"/>
      <c r="AV50" s="35"/>
      <c r="AW50" s="36"/>
      <c r="AX50" s="33"/>
      <c r="AY50" s="35"/>
      <c r="AZ50" s="35"/>
      <c r="BA50" s="33" t="s">
        <v>17</v>
      </c>
      <c r="BB50" s="35">
        <v>1</v>
      </c>
      <c r="BC50" s="39">
        <v>1259.8</v>
      </c>
      <c r="BD50" s="35"/>
      <c r="BE50" s="35"/>
      <c r="BF50" s="35"/>
      <c r="BG50" s="35"/>
      <c r="BH50" s="36"/>
      <c r="BI50" s="36"/>
      <c r="BJ50" s="35"/>
      <c r="BK50" s="35"/>
      <c r="BL50" s="36"/>
      <c r="BM50" s="35"/>
      <c r="BN50" s="35"/>
      <c r="BO50" s="35"/>
      <c r="BP50" s="35"/>
      <c r="BQ50" s="35"/>
      <c r="BR50" s="35"/>
      <c r="BS50" s="33"/>
      <c r="BT50" s="35"/>
      <c r="BU50" s="36"/>
      <c r="BV50" s="33"/>
      <c r="BW50" s="35"/>
      <c r="BX50" s="36"/>
      <c r="BY50" s="37"/>
      <c r="BZ50" s="35"/>
      <c r="CA50" s="36"/>
      <c r="CB50" s="35"/>
      <c r="CC50" s="35"/>
      <c r="CD50" s="36"/>
      <c r="CE50" s="35"/>
      <c r="CF50" s="35"/>
      <c r="CG50" s="36"/>
      <c r="CH50" s="42"/>
      <c r="CI50" s="35"/>
      <c r="CJ50" s="36"/>
    </row>
  </sheetData>
  <mergeCells count="4">
    <mergeCell ref="A14:B14"/>
    <mergeCell ref="A29:A31"/>
    <mergeCell ref="A38:A41"/>
    <mergeCell ref="A44:A50"/>
  </mergeCells>
  <phoneticPr fontId="8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TIR Mehdi</dc:creator>
  <cp:lastModifiedBy>TIR Mehdi</cp:lastModifiedBy>
  <dcterms:created xsi:type="dcterms:W3CDTF">2015-06-05T18:19:34Z</dcterms:created>
  <dcterms:modified xsi:type="dcterms:W3CDTF">2024-06-11T13:34:18Z</dcterms:modified>
</cp:coreProperties>
</file>