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C:\Users\m.tir\Desktop\"/>
    </mc:Choice>
  </mc:AlternateContent>
  <xr:revisionPtr revIDLastSave="0" documentId="13_ncr:1_{177B5135-20CD-4AEC-A040-0A5E662B991E}" xr6:coauthVersionLast="47" xr6:coauthVersionMax="47" xr10:uidLastSave="{00000000-0000-0000-0000-000000000000}"/>
  <bookViews>
    <workbookView xWindow="28680" yWindow="-120" windowWidth="38640" windowHeight="212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G30" i="1" l="1"/>
  <c r="BD30" i="1"/>
  <c r="AX30" i="1"/>
  <c r="AU30" i="1"/>
  <c r="AR30" i="1"/>
  <c r="AL30" i="1"/>
  <c r="AI30" i="1"/>
  <c r="AF30" i="1"/>
  <c r="AC30" i="1"/>
  <c r="Z30" i="1"/>
  <c r="BV28" i="1"/>
  <c r="BS28" i="1"/>
  <c r="BP28" i="1"/>
  <c r="BM28" i="1"/>
  <c r="BG28" i="1"/>
  <c r="BD28" i="1"/>
  <c r="BA28" i="1"/>
  <c r="AX28" i="1"/>
  <c r="AU28" i="1"/>
  <c r="AO28" i="1"/>
  <c r="AL28" i="1"/>
  <c r="AI28" i="1"/>
  <c r="AF28" i="1"/>
  <c r="AC28" i="1"/>
  <c r="Z28" i="1"/>
  <c r="BV27" i="1"/>
  <c r="BS27" i="1"/>
  <c r="BP27" i="1"/>
  <c r="BM27" i="1"/>
  <c r="BJ27" i="1"/>
  <c r="BG27" i="1"/>
  <c r="BD27" i="1"/>
  <c r="BA27" i="1"/>
  <c r="AX27" i="1"/>
  <c r="AU27" i="1"/>
  <c r="AR27" i="1"/>
  <c r="AO27" i="1"/>
  <c r="AL27" i="1"/>
  <c r="AI27" i="1"/>
  <c r="AF27" i="1"/>
  <c r="AC27" i="1"/>
  <c r="Z27" i="1"/>
  <c r="W27" i="1"/>
  <c r="T27" i="1"/>
  <c r="Q27" i="1"/>
  <c r="N27" i="1"/>
  <c r="K27" i="1"/>
  <c r="BJ20" i="1"/>
  <c r="C30" i="1" l="1"/>
  <c r="D30" i="1"/>
  <c r="C31" i="1"/>
  <c r="C27" i="1"/>
  <c r="D28" i="1"/>
  <c r="C17" i="1"/>
  <c r="E13" i="1"/>
  <c r="E22" i="1"/>
  <c r="D27" i="1"/>
  <c r="D12" i="1"/>
  <c r="E11" i="1"/>
  <c r="D17" i="1"/>
  <c r="C11" i="1"/>
  <c r="D26" i="1"/>
  <c r="D29" i="1"/>
  <c r="D31" i="1"/>
  <c r="D11" i="1"/>
  <c r="E10" i="1"/>
  <c r="D15" i="1"/>
  <c r="C19" i="1"/>
  <c r="D22" i="1"/>
  <c r="D23" i="1"/>
  <c r="D14" i="1"/>
  <c r="C18" i="1"/>
  <c r="E27" i="1"/>
  <c r="C22" i="1"/>
  <c r="C24" i="1"/>
  <c r="E30" i="1"/>
  <c r="D21" i="1"/>
  <c r="E24" i="1"/>
  <c r="E28" i="1"/>
  <c r="E20" i="1"/>
  <c r="D25" i="1"/>
  <c r="E14" i="1"/>
  <c r="C26" i="1"/>
  <c r="E21" i="1"/>
  <c r="C15" i="1"/>
  <c r="E31" i="1"/>
  <c r="D24" i="1"/>
  <c r="C20" i="1"/>
  <c r="D10" i="1"/>
  <c r="E29" i="1"/>
  <c r="E26" i="1"/>
  <c r="E18" i="1"/>
  <c r="C21" i="1"/>
  <c r="D18" i="1"/>
  <c r="C10" i="1"/>
  <c r="C23" i="1"/>
  <c r="C25" i="1"/>
  <c r="C29" i="1"/>
  <c r="E17" i="1"/>
  <c r="E23" i="1"/>
  <c r="E15" i="1"/>
  <c r="C12" i="1"/>
  <c r="C28" i="1"/>
  <c r="E19" i="1"/>
  <c r="E12" i="1"/>
  <c r="E16" i="1"/>
  <c r="C14" i="1"/>
  <c r="D16" i="1"/>
  <c r="D19" i="1"/>
  <c r="D20" i="1"/>
  <c r="D13" i="1"/>
  <c r="E25" i="1"/>
  <c r="C13" i="1"/>
  <c r="C16" i="1"/>
</calcChain>
</file>

<file path=xl/sharedStrings.xml><?xml version="1.0" encoding="utf-8"?>
<sst xmlns="http://schemas.openxmlformats.org/spreadsheetml/2006/main" count="386" uniqueCount="63">
  <si>
    <t>N° de livret</t>
  </si>
  <si>
    <t>DESIGNATION</t>
  </si>
  <si>
    <t>Min</t>
  </si>
  <si>
    <t>Moyenne</t>
  </si>
  <si>
    <t>Max</t>
  </si>
  <si>
    <t>U</t>
  </si>
  <si>
    <t>Qté</t>
  </si>
  <si>
    <t>P.U</t>
  </si>
  <si>
    <t>TACHES GENERALES</t>
  </si>
  <si>
    <t>TGE</t>
  </si>
  <si>
    <t>FRAIS D'INSTALLATIONS DE CHANTIER</t>
  </si>
  <si>
    <t>Gardiennage</t>
  </si>
  <si>
    <t>mois</t>
  </si>
  <si>
    <t>inclut ci-desso</t>
  </si>
  <si>
    <t>cis ci-dessous</t>
  </si>
  <si>
    <t>Préchauffage</t>
  </si>
  <si>
    <t>Accès et clôtures</t>
  </si>
  <si>
    <t>ens</t>
  </si>
  <si>
    <t>Locaux de chantier</t>
  </si>
  <si>
    <t>Zones d'entretiens</t>
  </si>
  <si>
    <t>Plateformes de chantier</t>
  </si>
  <si>
    <t>Equipements</t>
  </si>
  <si>
    <t>cis</t>
  </si>
  <si>
    <t>Gestion des fluides de la base travaux</t>
  </si>
  <si>
    <t>Equipements divers en tunnel</t>
  </si>
  <si>
    <t>Nettoyage et gestion des déchets</t>
  </si>
  <si>
    <t>Installations Générales</t>
  </si>
  <si>
    <t>Encadrement de chantier pour tous les ouvrages</t>
  </si>
  <si>
    <t>cis DPF Gare</t>
  </si>
  <si>
    <t>Prestations pour permettre les essais de désenfumage ventilation tunnel</t>
  </si>
  <si>
    <t>PERIODE DE PREPARATION</t>
  </si>
  <si>
    <t>Réalisation des documents tels que prévus au CCTC / CCAP / etc.</t>
  </si>
  <si>
    <t>inclus</t>
  </si>
  <si>
    <t>Préparation des fournitures et stocks</t>
  </si>
  <si>
    <t>FRAIS D'ETUDES</t>
  </si>
  <si>
    <t>Participation à la cellule de synthèse (compris études BIM)</t>
  </si>
  <si>
    <t>Etudes EXE</t>
  </si>
  <si>
    <t>Etablissement des procédures d'essais</t>
  </si>
  <si>
    <t>Dossier des ouvrages executés (DOE)</t>
  </si>
  <si>
    <t>FRAIS D'ESSAIS phases 1 &amp; 2</t>
  </si>
  <si>
    <t>A</t>
  </si>
  <si>
    <t>A1</t>
  </si>
  <si>
    <t>A2</t>
  </si>
  <si>
    <t>A3</t>
  </si>
  <si>
    <t>A4</t>
  </si>
  <si>
    <t>B1</t>
  </si>
  <si>
    <t>B2</t>
  </si>
  <si>
    <t>B</t>
  </si>
  <si>
    <t>B3</t>
  </si>
  <si>
    <t>B4</t>
  </si>
  <si>
    <t>B5</t>
  </si>
  <si>
    <t>C</t>
  </si>
  <si>
    <t>C1</t>
  </si>
  <si>
    <t>C2</t>
  </si>
  <si>
    <t>C3</t>
  </si>
  <si>
    <t>C4</t>
  </si>
  <si>
    <t>C5</t>
  </si>
  <si>
    <t>C6</t>
  </si>
  <si>
    <t>D</t>
  </si>
  <si>
    <t>D1</t>
  </si>
  <si>
    <t>D2</t>
  </si>
  <si>
    <t>D3</t>
  </si>
  <si>
    <t>D4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</si>
</sst>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.00\ [$€-40C]_-;\-* #,##0.00\ [$€-40C]_-;_-* &quot;-&quot;??\ [$€-40C]_-;_-@_-"/>
    <numFmt numFmtId="165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3"/>
      <color indexed="30"/>
      <name val="Arial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/>
  </cellStyleXfs>
  <cellXfs count="194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top" wrapText="1"/>
    </xf>
    <xf numFmtId="43" fontId="2" fillId="0" borderId="0" xfId="1" applyFont="1" applyBorder="1" applyAlignment="1">
      <alignment horizontal="right" vertical="top" wrapText="1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top" wrapText="1"/>
    </xf>
    <xf numFmtId="43" fontId="2" fillId="2" borderId="1" xfId="1" applyFont="1" applyFill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center"/>
    </xf>
    <xf numFmtId="4" fontId="2" fillId="0" borderId="1" xfId="0" applyNumberFormat="1" applyFont="1" applyBorder="1" applyAlignment="1">
      <alignment horizontal="center" vertical="center"/>
    </xf>
    <xf numFmtId="4" fontId="2" fillId="0" borderId="1" xfId="0" applyNumberFormat="1" applyFont="1" applyBorder="1" applyAlignment="1">
      <alignment horizontal="center"/>
    </xf>
    <xf numFmtId="0" fontId="2" fillId="0" borderId="22" xfId="0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43" fontId="2" fillId="0" borderId="18" xfId="1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43" fontId="2" fillId="0" borderId="1" xfId="1" applyFont="1" applyBorder="1" applyAlignment="1">
      <alignment horizontal="center"/>
    </xf>
    <xf numFmtId="43" fontId="2" fillId="0" borderId="25" xfId="1" applyFont="1" applyBorder="1" applyAlignment="1">
      <alignment horizontal="center" vertical="center"/>
    </xf>
    <xf numFmtId="0" fontId="2" fillId="0" borderId="22" xfId="0" applyFont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43" fontId="2" fillId="0" borderId="18" xfId="1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2" fontId="2" fillId="0" borderId="18" xfId="0" applyNumberFormat="1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164" fontId="2" fillId="0" borderId="1" xfId="1" applyNumberFormat="1" applyFont="1" applyBorder="1" applyAlignment="1">
      <alignment horizontal="center"/>
    </xf>
    <xf numFmtId="43" fontId="2" fillId="0" borderId="22" xfId="1" applyFont="1" applyFill="1" applyBorder="1" applyAlignment="1">
      <alignment horizontal="center" vertical="center"/>
    </xf>
    <xf numFmtId="43" fontId="2" fillId="0" borderId="1" xfId="1" applyFont="1" applyBorder="1" applyAlignment="1">
      <alignment horizontal="center" vertical="center"/>
    </xf>
    <xf numFmtId="43" fontId="2" fillId="0" borderId="26" xfId="1" applyFont="1" applyBorder="1" applyAlignment="1">
      <alignment horizontal="center" vertical="center"/>
    </xf>
    <xf numFmtId="0" fontId="2" fillId="3" borderId="1" xfId="0" quotePrefix="1" applyFont="1" applyFill="1" applyBorder="1" applyAlignment="1">
      <alignment horizontal="left"/>
    </xf>
    <xf numFmtId="43" fontId="2" fillId="2" borderId="1" xfId="1" quotePrefix="1" applyFont="1" applyFill="1" applyBorder="1" applyAlignment="1">
      <alignment horizontal="right"/>
    </xf>
    <xf numFmtId="0" fontId="2" fillId="3" borderId="20" xfId="0" quotePrefix="1" applyFont="1" applyFill="1" applyBorder="1"/>
    <xf numFmtId="4" fontId="2" fillId="3" borderId="20" xfId="0" quotePrefix="1" applyNumberFormat="1" applyFont="1" applyFill="1" applyBorder="1" applyAlignment="1">
      <alignment horizontal="center"/>
    </xf>
    <xf numFmtId="4" fontId="2" fillId="3" borderId="21" xfId="0" quotePrefix="1" applyNumberFormat="1" applyFont="1" applyFill="1" applyBorder="1"/>
    <xf numFmtId="4" fontId="2" fillId="3" borderId="20" xfId="0" quotePrefix="1" applyNumberFormat="1" applyFont="1" applyFill="1" applyBorder="1"/>
    <xf numFmtId="0" fontId="2" fillId="3" borderId="27" xfId="0" quotePrefix="1" applyFont="1" applyFill="1" applyBorder="1"/>
    <xf numFmtId="4" fontId="2" fillId="3" borderId="23" xfId="0" quotePrefix="1" applyNumberFormat="1" applyFont="1" applyFill="1" applyBorder="1"/>
    <xf numFmtId="0" fontId="2" fillId="3" borderId="19" xfId="0" quotePrefix="1" applyFont="1" applyFill="1" applyBorder="1" applyAlignment="1">
      <alignment vertical="center"/>
    </xf>
    <xf numFmtId="2" fontId="2" fillId="3" borderId="20" xfId="0" quotePrefix="1" applyNumberFormat="1" applyFont="1" applyFill="1" applyBorder="1" applyAlignment="1">
      <alignment vertical="center"/>
    </xf>
    <xf numFmtId="43" fontId="2" fillId="3" borderId="20" xfId="1" quotePrefix="1" applyFont="1" applyFill="1" applyBorder="1" applyAlignment="1">
      <alignment vertical="center"/>
    </xf>
    <xf numFmtId="0" fontId="2" fillId="3" borderId="24" xfId="0" quotePrefix="1" applyFont="1" applyFill="1" applyBorder="1" applyAlignment="1">
      <alignment horizontal="center" vertical="center"/>
    </xf>
    <xf numFmtId="43" fontId="2" fillId="3" borderId="1" xfId="1" quotePrefix="1" applyFont="1" applyFill="1" applyBorder="1" applyAlignment="1">
      <alignment horizontal="center"/>
    </xf>
    <xf numFmtId="43" fontId="2" fillId="3" borderId="25" xfId="1" quotePrefix="1" applyFont="1" applyFill="1" applyBorder="1" applyAlignment="1">
      <alignment horizontal="right" vertical="center"/>
    </xf>
    <xf numFmtId="0" fontId="2" fillId="3" borderId="22" xfId="0" quotePrefix="1" applyFont="1" applyFill="1" applyBorder="1"/>
    <xf numFmtId="2" fontId="2" fillId="3" borderId="1" xfId="0" quotePrefix="1" applyNumberFormat="1" applyFont="1" applyFill="1" applyBorder="1"/>
    <xf numFmtId="43" fontId="2" fillId="3" borderId="18" xfId="1" quotePrefix="1" applyFont="1" applyFill="1" applyBorder="1" applyAlignment="1">
      <alignment horizontal="right"/>
    </xf>
    <xf numFmtId="2" fontId="2" fillId="3" borderId="1" xfId="0" quotePrefix="1" applyNumberFormat="1" applyFont="1" applyFill="1" applyBorder="1" applyAlignment="1">
      <alignment horizontal="center" vertical="center"/>
    </xf>
    <xf numFmtId="43" fontId="2" fillId="3" borderId="25" xfId="1" quotePrefix="1" applyFont="1" applyFill="1" applyBorder="1" applyAlignment="1">
      <alignment vertical="center"/>
    </xf>
    <xf numFmtId="43" fontId="2" fillId="3" borderId="18" xfId="1" quotePrefix="1" applyFont="1" applyFill="1" applyBorder="1"/>
    <xf numFmtId="0" fontId="2" fillId="3" borderId="24" xfId="0" quotePrefix="1" applyFont="1" applyFill="1" applyBorder="1"/>
    <xf numFmtId="2" fontId="2" fillId="3" borderId="18" xfId="0" quotePrefix="1" applyNumberFormat="1" applyFont="1" applyFill="1" applyBorder="1"/>
    <xf numFmtId="0" fontId="2" fillId="3" borderId="19" xfId="0" quotePrefix="1" applyFont="1" applyFill="1" applyBorder="1"/>
    <xf numFmtId="2" fontId="2" fillId="3" borderId="20" xfId="0" quotePrefix="1" applyNumberFormat="1" applyFont="1" applyFill="1" applyBorder="1"/>
    <xf numFmtId="43" fontId="2" fillId="3" borderId="20" xfId="1" quotePrefix="1" applyFont="1" applyFill="1" applyBorder="1"/>
    <xf numFmtId="0" fontId="2" fillId="3" borderId="20" xfId="0" quotePrefix="1" applyFont="1" applyFill="1" applyBorder="1" applyAlignment="1">
      <alignment horizontal="center"/>
    </xf>
    <xf numFmtId="43" fontId="2" fillId="3" borderId="21" xfId="1" quotePrefix="1" applyFont="1" applyFill="1" applyBorder="1" applyAlignment="1">
      <alignment horizontal="center" vertical="center"/>
    </xf>
    <xf numFmtId="43" fontId="2" fillId="0" borderId="20" xfId="1" quotePrefix="1" applyFont="1" applyFill="1" applyBorder="1" applyAlignment="1">
      <alignment horizontal="center" vertical="center"/>
    </xf>
    <xf numFmtId="0" fontId="2" fillId="3" borderId="20" xfId="0" quotePrefix="1" applyFont="1" applyFill="1" applyBorder="1" applyAlignment="1">
      <alignment horizontal="center" vertical="center"/>
    </xf>
    <xf numFmtId="43" fontId="2" fillId="3" borderId="20" xfId="1" quotePrefix="1" applyFont="1" applyFill="1" applyBorder="1" applyAlignment="1">
      <alignment horizontal="center" vertical="center"/>
    </xf>
    <xf numFmtId="43" fontId="2" fillId="3" borderId="23" xfId="1" quotePrefix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3" fontId="5" fillId="4" borderId="18" xfId="2" applyNumberFormat="1" applyFont="1" applyFill="1" applyBorder="1" applyAlignment="1">
      <alignment horizontal="left" vertical="top" wrapText="1"/>
    </xf>
    <xf numFmtId="43" fontId="5" fillId="2" borderId="1" xfId="1" applyFont="1" applyFill="1" applyBorder="1" applyAlignment="1">
      <alignment horizontal="right" vertical="top" wrapText="1"/>
    </xf>
    <xf numFmtId="0" fontId="3" fillId="0" borderId="22" xfId="0" applyFont="1" applyBorder="1" applyAlignment="1">
      <alignment horizontal="center" vertical="center"/>
    </xf>
    <xf numFmtId="4" fontId="3" fillId="0" borderId="1" xfId="0" applyNumberFormat="1" applyFont="1" applyBorder="1" applyAlignment="1">
      <alignment horizontal="center" vertical="center"/>
    </xf>
    <xf numFmtId="4" fontId="3" fillId="0" borderId="25" xfId="0" applyNumberFormat="1" applyFont="1" applyBorder="1" applyAlignment="1">
      <alignment vertical="center"/>
    </xf>
    <xf numFmtId="4" fontId="3" fillId="0" borderId="18" xfId="0" applyNumberFormat="1" applyFont="1" applyBorder="1" applyAlignment="1">
      <alignment vertical="center"/>
    </xf>
    <xf numFmtId="0" fontId="3" fillId="0" borderId="24" xfId="0" applyFont="1" applyBorder="1" applyAlignment="1">
      <alignment horizontal="center" vertical="center"/>
    </xf>
    <xf numFmtId="4" fontId="3" fillId="0" borderId="25" xfId="0" applyNumberFormat="1" applyFont="1" applyBorder="1" applyAlignment="1">
      <alignment horizontal="right" vertical="center"/>
    </xf>
    <xf numFmtId="0" fontId="3" fillId="0" borderId="24" xfId="0" applyFont="1" applyBorder="1"/>
    <xf numFmtId="4" fontId="3" fillId="0" borderId="1" xfId="0" applyNumberFormat="1" applyFont="1" applyBorder="1" applyAlignment="1">
      <alignment horizontal="center"/>
    </xf>
    <xf numFmtId="0" fontId="3" fillId="0" borderId="22" xfId="0" applyFont="1" applyBorder="1"/>
    <xf numFmtId="4" fontId="3" fillId="0" borderId="1" xfId="0" applyNumberFormat="1" applyFont="1" applyBorder="1"/>
    <xf numFmtId="4" fontId="3" fillId="0" borderId="26" xfId="0" applyNumberFormat="1" applyFont="1" applyBorder="1"/>
    <xf numFmtId="0" fontId="3" fillId="0" borderId="17" xfId="0" applyFont="1" applyBorder="1" applyAlignment="1">
      <alignment vertical="center"/>
    </xf>
    <xf numFmtId="2" fontId="3" fillId="0" borderId="1" xfId="0" applyNumberFormat="1" applyFont="1" applyBorder="1" applyAlignment="1">
      <alignment horizontal="center" vertical="center"/>
    </xf>
    <xf numFmtId="43" fontId="3" fillId="0" borderId="18" xfId="1" applyFont="1" applyBorder="1" applyAlignment="1">
      <alignment vertical="center"/>
    </xf>
    <xf numFmtId="43" fontId="3" fillId="0" borderId="1" xfId="1" applyFont="1" applyBorder="1" applyAlignment="1">
      <alignment horizontal="center"/>
    </xf>
    <xf numFmtId="43" fontId="3" fillId="0" borderId="25" xfId="1" applyFont="1" applyBorder="1" applyAlignment="1">
      <alignment horizontal="right" vertical="center"/>
    </xf>
    <xf numFmtId="2" fontId="3" fillId="0" borderId="1" xfId="0" applyNumberFormat="1" applyFont="1" applyBorder="1"/>
    <xf numFmtId="43" fontId="3" fillId="0" borderId="18" xfId="1" applyFont="1" applyBorder="1" applyAlignment="1">
      <alignment horizontal="right"/>
    </xf>
    <xf numFmtId="43" fontId="3" fillId="0" borderId="25" xfId="1" applyFont="1" applyBorder="1" applyAlignment="1">
      <alignment vertical="center"/>
    </xf>
    <xf numFmtId="0" fontId="3" fillId="0" borderId="22" xfId="0" applyFont="1" applyBorder="1" applyAlignment="1">
      <alignment horizontal="center"/>
    </xf>
    <xf numFmtId="43" fontId="3" fillId="0" borderId="18" xfId="1" applyFont="1" applyBorder="1"/>
    <xf numFmtId="2" fontId="3" fillId="0" borderId="18" xfId="0" applyNumberFormat="1" applyFont="1" applyBorder="1"/>
    <xf numFmtId="0" fontId="3" fillId="0" borderId="19" xfId="0" applyFont="1" applyBorder="1"/>
    <xf numFmtId="2" fontId="3" fillId="0" borderId="22" xfId="0" applyNumberFormat="1" applyFont="1" applyBorder="1"/>
    <xf numFmtId="43" fontId="3" fillId="0" borderId="1" xfId="1" applyFont="1" applyBorder="1"/>
    <xf numFmtId="0" fontId="3" fillId="0" borderId="1" xfId="0" applyFont="1" applyBorder="1"/>
    <xf numFmtId="0" fontId="3" fillId="0" borderId="17" xfId="0" applyFont="1" applyBorder="1"/>
    <xf numFmtId="2" fontId="3" fillId="0" borderId="1" xfId="0" applyNumberFormat="1" applyFont="1" applyBorder="1" applyAlignment="1">
      <alignment horizontal="center"/>
    </xf>
    <xf numFmtId="43" fontId="3" fillId="0" borderId="25" xfId="1" applyFont="1" applyBorder="1" applyAlignment="1">
      <alignment horizontal="center" vertical="center"/>
    </xf>
    <xf numFmtId="43" fontId="3" fillId="0" borderId="22" xfId="1" applyFont="1" applyFill="1" applyBorder="1" applyAlignment="1">
      <alignment horizontal="center" vertical="center"/>
    </xf>
    <xf numFmtId="43" fontId="3" fillId="0" borderId="1" xfId="1" applyFont="1" applyBorder="1" applyAlignment="1">
      <alignment horizontal="center" vertical="center"/>
    </xf>
    <xf numFmtId="2" fontId="3" fillId="0" borderId="22" xfId="0" applyNumberFormat="1" applyFont="1" applyBorder="1" applyAlignment="1">
      <alignment horizontal="center" vertical="center"/>
    </xf>
    <xf numFmtId="43" fontId="3" fillId="0" borderId="26" xfId="1" applyFont="1" applyBorder="1" applyAlignment="1">
      <alignment horizontal="center" vertical="center"/>
    </xf>
    <xf numFmtId="3" fontId="6" fillId="5" borderId="18" xfId="2" applyNumberFormat="1" applyFont="1" applyFill="1" applyBorder="1" applyAlignment="1">
      <alignment vertical="top" wrapText="1"/>
    </xf>
    <xf numFmtId="43" fontId="6" fillId="2" borderId="1" xfId="1" applyFont="1" applyFill="1" applyBorder="1" applyAlignment="1">
      <alignment horizontal="right" vertical="top" wrapText="1"/>
    </xf>
    <xf numFmtId="4" fontId="3" fillId="0" borderId="18" xfId="0" applyNumberFormat="1" applyFont="1" applyBorder="1" applyAlignment="1">
      <alignment horizontal="center" vertical="center"/>
    </xf>
    <xf numFmtId="4" fontId="6" fillId="5" borderId="25" xfId="2" applyNumberFormat="1" applyFont="1" applyFill="1" applyBorder="1" applyAlignment="1">
      <alignment horizontal="right" vertical="center"/>
    </xf>
    <xf numFmtId="3" fontId="6" fillId="5" borderId="22" xfId="2" applyNumberFormat="1" applyFont="1" applyFill="1" applyBorder="1" applyAlignment="1">
      <alignment horizontal="center" vertical="center"/>
    </xf>
    <xf numFmtId="4" fontId="6" fillId="5" borderId="18" xfId="2" applyNumberFormat="1" applyFont="1" applyFill="1" applyBorder="1" applyAlignment="1">
      <alignment horizontal="right" vertical="center"/>
    </xf>
    <xf numFmtId="3" fontId="6" fillId="5" borderId="24" xfId="2" applyNumberFormat="1" applyFont="1" applyFill="1" applyBorder="1" applyAlignment="1">
      <alignment horizontal="center" vertical="center"/>
    </xf>
    <xf numFmtId="4" fontId="6" fillId="5" borderId="1" xfId="2" applyNumberFormat="1" applyFont="1" applyFill="1" applyBorder="1" applyAlignment="1">
      <alignment horizontal="center" vertical="center"/>
    </xf>
    <xf numFmtId="3" fontId="6" fillId="5" borderId="24" xfId="2" applyNumberFormat="1" applyFont="1" applyFill="1" applyBorder="1" applyAlignment="1">
      <alignment horizontal="center"/>
    </xf>
    <xf numFmtId="4" fontId="6" fillId="5" borderId="1" xfId="2" applyNumberFormat="1" applyFont="1" applyFill="1" applyBorder="1" applyAlignment="1">
      <alignment horizontal="center"/>
    </xf>
    <xf numFmtId="4" fontId="6" fillId="5" borderId="22" xfId="2" applyNumberFormat="1" applyFont="1" applyFill="1" applyBorder="1" applyAlignment="1">
      <alignment horizontal="center"/>
    </xf>
    <xf numFmtId="4" fontId="6" fillId="5" borderId="26" xfId="2" applyNumberFormat="1" applyFont="1" applyFill="1" applyBorder="1" applyAlignment="1">
      <alignment horizontal="right" vertical="center"/>
    </xf>
    <xf numFmtId="0" fontId="3" fillId="0" borderId="17" xfId="0" applyFont="1" applyBorder="1" applyAlignment="1">
      <alignment horizontal="center" vertical="center"/>
    </xf>
    <xf numFmtId="43" fontId="6" fillId="5" borderId="18" xfId="1" applyFont="1" applyFill="1" applyBorder="1" applyAlignment="1">
      <alignment horizontal="right" vertical="center"/>
    </xf>
    <xf numFmtId="0" fontId="3" fillId="0" borderId="27" xfId="0" applyFont="1" applyBorder="1" applyAlignment="1">
      <alignment horizontal="center" vertical="center"/>
    </xf>
    <xf numFmtId="43" fontId="6" fillId="5" borderId="1" xfId="1" applyFont="1" applyFill="1" applyBorder="1" applyAlignment="1">
      <alignment horizontal="center"/>
    </xf>
    <xf numFmtId="43" fontId="6" fillId="5" borderId="25" xfId="1" applyFont="1" applyFill="1" applyBorder="1" applyAlignment="1">
      <alignment horizontal="right" vertical="center"/>
    </xf>
    <xf numFmtId="43" fontId="6" fillId="5" borderId="28" xfId="1" applyFont="1" applyFill="1" applyBorder="1" applyAlignment="1">
      <alignment horizontal="right"/>
    </xf>
    <xf numFmtId="43" fontId="6" fillId="5" borderId="28" xfId="1" applyFont="1" applyFill="1" applyBorder="1" applyAlignment="1">
      <alignment horizontal="right" vertical="center"/>
    </xf>
    <xf numFmtId="0" fontId="3" fillId="0" borderId="27" xfId="0" applyFont="1" applyBorder="1"/>
    <xf numFmtId="3" fontId="6" fillId="5" borderId="1" xfId="2" applyNumberFormat="1" applyFont="1" applyFill="1" applyBorder="1" applyAlignment="1">
      <alignment horizontal="right"/>
    </xf>
    <xf numFmtId="4" fontId="6" fillId="5" borderId="29" xfId="2" applyNumberFormat="1" applyFont="1" applyFill="1" applyBorder="1" applyAlignment="1">
      <alignment horizontal="right"/>
    </xf>
    <xf numFmtId="4" fontId="6" fillId="5" borderId="1" xfId="2" applyNumberFormat="1" applyFont="1" applyFill="1" applyBorder="1" applyAlignment="1">
      <alignment horizontal="right"/>
    </xf>
    <xf numFmtId="43" fontId="6" fillId="5" borderId="1" xfId="1" applyFont="1" applyFill="1" applyBorder="1" applyAlignment="1">
      <alignment horizontal="right"/>
    </xf>
    <xf numFmtId="2" fontId="3" fillId="0" borderId="0" xfId="0" applyNumberFormat="1" applyFont="1"/>
    <xf numFmtId="43" fontId="6" fillId="5" borderId="18" xfId="1" applyFont="1" applyFill="1" applyBorder="1" applyAlignment="1">
      <alignment horizontal="right"/>
    </xf>
    <xf numFmtId="3" fontId="6" fillId="5" borderId="30" xfId="2" applyNumberFormat="1" applyFont="1" applyFill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/>
    </xf>
    <xf numFmtId="2" fontId="3" fillId="0" borderId="0" xfId="0" applyNumberFormat="1" applyFont="1" applyAlignment="1">
      <alignment horizontal="center" vertical="center"/>
    </xf>
    <xf numFmtId="165" fontId="3" fillId="0" borderId="22" xfId="0" applyNumberFormat="1" applyFont="1" applyBorder="1" applyAlignment="1">
      <alignment horizontal="center" vertical="center"/>
    </xf>
    <xf numFmtId="3" fontId="6" fillId="5" borderId="0" xfId="2" applyNumberFormat="1" applyFont="1" applyFill="1" applyAlignment="1">
      <alignment vertical="top"/>
    </xf>
    <xf numFmtId="3" fontId="6" fillId="5" borderId="22" xfId="2" applyNumberFormat="1" applyFont="1" applyFill="1" applyBorder="1" applyAlignment="1">
      <alignment horizontal="center"/>
    </xf>
    <xf numFmtId="4" fontId="3" fillId="0" borderId="20" xfId="0" applyNumberFormat="1" applyFont="1" applyBorder="1" applyAlignment="1">
      <alignment horizontal="center" vertical="center"/>
    </xf>
    <xf numFmtId="4" fontId="6" fillId="5" borderId="22" xfId="2" applyNumberFormat="1" applyFont="1" applyFill="1" applyBorder="1" applyAlignment="1">
      <alignment horizontal="right"/>
    </xf>
    <xf numFmtId="4" fontId="3" fillId="0" borderId="31" xfId="0" applyNumberFormat="1" applyFont="1" applyBorder="1"/>
    <xf numFmtId="2" fontId="3" fillId="0" borderId="20" xfId="0" applyNumberFormat="1" applyFont="1" applyBorder="1"/>
    <xf numFmtId="2" fontId="3" fillId="0" borderId="22" xfId="0" applyNumberFormat="1" applyFont="1" applyBorder="1" applyAlignment="1">
      <alignment horizontal="center"/>
    </xf>
    <xf numFmtId="2" fontId="3" fillId="0" borderId="20" xfId="0" applyNumberFormat="1" applyFont="1" applyBorder="1" applyAlignment="1">
      <alignment horizontal="center" vertical="center"/>
    </xf>
    <xf numFmtId="3" fontId="6" fillId="0" borderId="22" xfId="2" applyNumberFormat="1" applyFont="1" applyBorder="1" applyAlignment="1">
      <alignment horizontal="center" vertical="center"/>
    </xf>
    <xf numFmtId="3" fontId="6" fillId="5" borderId="18" xfId="2" applyNumberFormat="1" applyFont="1" applyFill="1" applyBorder="1" applyAlignment="1">
      <alignment vertical="top"/>
    </xf>
    <xf numFmtId="4" fontId="6" fillId="0" borderId="18" xfId="2" applyNumberFormat="1" applyFont="1" applyBorder="1" applyAlignment="1">
      <alignment horizontal="right" vertical="center"/>
    </xf>
    <xf numFmtId="4" fontId="3" fillId="0" borderId="22" xfId="0" applyNumberFormat="1" applyFont="1" applyBorder="1"/>
    <xf numFmtId="3" fontId="6" fillId="5" borderId="17" xfId="2" applyNumberFormat="1" applyFont="1" applyFill="1" applyBorder="1" applyAlignment="1">
      <alignment horizontal="center" vertical="center"/>
    </xf>
    <xf numFmtId="43" fontId="6" fillId="5" borderId="32" xfId="1" applyFont="1" applyFill="1" applyBorder="1" applyAlignment="1">
      <alignment horizontal="right"/>
    </xf>
    <xf numFmtId="43" fontId="3" fillId="0" borderId="20" xfId="1" applyFont="1" applyBorder="1" applyAlignment="1">
      <alignment horizontal="right"/>
    </xf>
    <xf numFmtId="43" fontId="3" fillId="0" borderId="20" xfId="1" applyFont="1" applyBorder="1"/>
    <xf numFmtId="4" fontId="3" fillId="0" borderId="25" xfId="1" applyNumberFormat="1" applyFont="1" applyBorder="1" applyAlignment="1">
      <alignment horizontal="right" vertical="center"/>
    </xf>
    <xf numFmtId="3" fontId="6" fillId="5" borderId="20" xfId="2" applyNumberFormat="1" applyFont="1" applyFill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4" fontId="6" fillId="5" borderId="25" xfId="1" applyNumberFormat="1" applyFont="1" applyFill="1" applyBorder="1" applyAlignment="1">
      <alignment horizontal="right" vertical="center"/>
    </xf>
    <xf numFmtId="43" fontId="6" fillId="5" borderId="33" xfId="1" applyFont="1" applyFill="1" applyBorder="1" applyAlignment="1">
      <alignment horizontal="right" vertical="center"/>
    </xf>
    <xf numFmtId="4" fontId="6" fillId="5" borderId="0" xfId="2" applyNumberFormat="1" applyFont="1" applyFill="1" applyAlignment="1">
      <alignment horizontal="right"/>
    </xf>
    <xf numFmtId="43" fontId="6" fillId="0" borderId="25" xfId="1" applyFont="1" applyBorder="1" applyAlignment="1">
      <alignment horizontal="center" vertical="center"/>
    </xf>
    <xf numFmtId="43" fontId="6" fillId="0" borderId="1" xfId="1" applyFont="1" applyBorder="1" applyAlignment="1">
      <alignment horizontal="right"/>
    </xf>
    <xf numFmtId="2" fontId="3" fillId="0" borderId="18" xfId="0" applyNumberFormat="1" applyFont="1" applyBorder="1" applyAlignment="1">
      <alignment horizontal="center" vertical="center"/>
    </xf>
    <xf numFmtId="43" fontId="6" fillId="0" borderId="1" xfId="1" applyFont="1" applyBorder="1" applyAlignment="1">
      <alignment horizontal="center" vertical="center"/>
    </xf>
    <xf numFmtId="43" fontId="6" fillId="0" borderId="28" xfId="1" applyFont="1" applyBorder="1" applyAlignment="1">
      <alignment horizontal="center" vertical="center"/>
    </xf>
    <xf numFmtId="43" fontId="6" fillId="5" borderId="0" xfId="1" applyFont="1" applyFill="1" applyBorder="1" applyAlignment="1">
      <alignment horizontal="right"/>
    </xf>
    <xf numFmtId="43" fontId="6" fillId="5" borderId="0" xfId="1" applyFont="1" applyFill="1" applyAlignment="1">
      <alignment horizontal="right"/>
    </xf>
    <xf numFmtId="0" fontId="3" fillId="0" borderId="24" xfId="0" applyFont="1" applyBorder="1" applyAlignment="1">
      <alignment horizontal="center"/>
    </xf>
    <xf numFmtId="3" fontId="5" fillId="0" borderId="0" xfId="2" applyNumberFormat="1" applyFont="1" applyAlignment="1">
      <alignment vertical="top"/>
    </xf>
    <xf numFmtId="3" fontId="6" fillId="0" borderId="18" xfId="2" applyNumberFormat="1" applyFont="1" applyBorder="1" applyAlignment="1">
      <alignment vertical="top"/>
    </xf>
    <xf numFmtId="4" fontId="6" fillId="5" borderId="25" xfId="2" applyNumberFormat="1" applyFont="1" applyFill="1" applyBorder="1" applyAlignment="1">
      <alignment horizontal="right"/>
    </xf>
    <xf numFmtId="4" fontId="6" fillId="5" borderId="18" xfId="2" applyNumberFormat="1" applyFont="1" applyFill="1" applyBorder="1" applyAlignment="1">
      <alignment horizontal="right"/>
    </xf>
    <xf numFmtId="3" fontId="6" fillId="5" borderId="17" xfId="2" applyNumberFormat="1" applyFont="1" applyFill="1" applyBorder="1" applyAlignment="1">
      <alignment horizontal="center"/>
    </xf>
    <xf numFmtId="43" fontId="3" fillId="0" borderId="18" xfId="1" applyFont="1" applyBorder="1" applyAlignment="1">
      <alignment horizontal="center" vertical="center"/>
    </xf>
    <xf numFmtId="3" fontId="6" fillId="0" borderId="1" xfId="2" applyNumberFormat="1" applyFont="1" applyBorder="1" applyAlignment="1">
      <alignment horizontal="center" vertical="center"/>
    </xf>
    <xf numFmtId="3" fontId="5" fillId="4" borderId="18" xfId="2" applyNumberFormat="1" applyFont="1" applyFill="1" applyBorder="1" applyAlignment="1">
      <alignment vertical="top" wrapText="1"/>
    </xf>
    <xf numFmtId="4" fontId="6" fillId="5" borderId="22" xfId="2" applyNumberFormat="1" applyFont="1" applyFill="1" applyBorder="1" applyAlignment="1">
      <alignment horizontal="center" vertical="center"/>
    </xf>
    <xf numFmtId="43" fontId="3" fillId="0" borderId="25" xfId="1" applyFont="1" applyBorder="1" applyAlignment="1">
      <alignment horizontal="right"/>
    </xf>
    <xf numFmtId="4" fontId="6" fillId="5" borderId="26" xfId="2" applyNumberFormat="1" applyFont="1" applyFill="1" applyBorder="1" applyAlignment="1">
      <alignment horizontal="right"/>
    </xf>
    <xf numFmtId="43" fontId="6" fillId="5" borderId="25" xfId="1" applyFont="1" applyFill="1" applyBorder="1" applyAlignment="1">
      <alignment horizontal="right"/>
    </xf>
    <xf numFmtId="4" fontId="6" fillId="5" borderId="33" xfId="2" applyNumberFormat="1" applyFont="1" applyFill="1" applyBorder="1" applyAlignment="1">
      <alignment horizontal="right"/>
    </xf>
    <xf numFmtId="4" fontId="6" fillId="5" borderId="28" xfId="2" applyNumberFormat="1" applyFont="1" applyFill="1" applyBorder="1" applyAlignment="1">
      <alignment horizontal="right"/>
    </xf>
  </cellXfs>
  <cellStyles count="3">
    <cellStyle name="Milliers" xfId="1" builtinId="3"/>
    <cellStyle name="Normal" xfId="0" builtinId="0"/>
    <cellStyle name="Normal_avec reprise ESTIMATION LOT 1A v1" xfId="2" xr:uid="{7910B7FC-8C36-4D5D-BC2C-8A6FA8F555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BV31"/>
  <sheetViews>
    <sheetView tabSelected="1" workbookViewId="0">
      <selection activeCell="C41" sqref="C41"/>
    </sheetView>
  </sheetViews>
  <sheetFormatPr baseColWidth="10" defaultColWidth="8.7265625" defaultRowHeight="14.5" x14ac:dyDescent="0.35"/>
  <cols>
    <col min="1" max="1" width="13.36328125" customWidth="1"/>
    <col min="2" max="2" width="74.81640625" customWidth="1"/>
    <col min="3" max="3" width="17.6328125" customWidth="1"/>
    <col min="4" max="4" width="19.81640625" customWidth="1"/>
    <col min="5" max="5" width="17.1796875" customWidth="1"/>
    <col min="70" max="71" width="14.08984375" customWidth="1"/>
    <col min="74" max="74" width="14.54296875" customWidth="1"/>
  </cols>
  <sheetData>
    <row r="4" spans="1:74" ht="15" thickBot="1" x14ac:dyDescent="0.4"/>
    <row r="5" spans="1:74" ht="15.5" thickTop="1" thickBot="1" x14ac:dyDescent="0.4">
      <c r="A5" s="1"/>
      <c r="B5" s="2"/>
      <c r="C5" s="3"/>
      <c r="D5" s="3"/>
      <c r="E5" s="3"/>
      <c r="F5" s="4">
        <v>1</v>
      </c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5">
        <v>2</v>
      </c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6">
        <v>3</v>
      </c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8"/>
      <c r="BH5" s="9">
        <v>4</v>
      </c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1"/>
    </row>
    <row r="6" spans="1:74" x14ac:dyDescent="0.35">
      <c r="A6" s="1"/>
      <c r="B6" s="12"/>
      <c r="C6" s="3"/>
      <c r="D6" s="3"/>
      <c r="E6" s="3"/>
      <c r="F6" s="13" t="s">
        <v>40</v>
      </c>
      <c r="G6" s="13"/>
      <c r="H6" s="13"/>
      <c r="I6" s="4" t="s">
        <v>41</v>
      </c>
      <c r="J6" s="4"/>
      <c r="K6" s="4"/>
      <c r="L6" s="4" t="s">
        <v>42</v>
      </c>
      <c r="M6" s="4"/>
      <c r="N6" s="4"/>
      <c r="O6" s="4" t="s">
        <v>43</v>
      </c>
      <c r="P6" s="4"/>
      <c r="Q6" s="4"/>
      <c r="R6" s="4" t="s">
        <v>44</v>
      </c>
      <c r="S6" s="4"/>
      <c r="T6" s="4"/>
      <c r="U6" s="14" t="s">
        <v>47</v>
      </c>
      <c r="V6" s="15"/>
      <c r="W6" s="16"/>
      <c r="X6" s="17" t="s">
        <v>45</v>
      </c>
      <c r="Y6" s="18"/>
      <c r="Z6" s="19"/>
      <c r="AA6" s="20" t="s">
        <v>46</v>
      </c>
      <c r="AB6" s="21"/>
      <c r="AC6" s="22"/>
      <c r="AD6" s="17" t="s">
        <v>48</v>
      </c>
      <c r="AE6" s="18"/>
      <c r="AF6" s="19"/>
      <c r="AG6" s="20" t="s">
        <v>49</v>
      </c>
      <c r="AH6" s="21"/>
      <c r="AI6" s="22"/>
      <c r="AJ6" s="17" t="s">
        <v>50</v>
      </c>
      <c r="AK6" s="18"/>
      <c r="AL6" s="23"/>
      <c r="AM6" s="24" t="s">
        <v>51</v>
      </c>
      <c r="AN6" s="4"/>
      <c r="AO6" s="4"/>
      <c r="AP6" s="4" t="s">
        <v>52</v>
      </c>
      <c r="AQ6" s="4"/>
      <c r="AR6" s="4"/>
      <c r="AS6" s="4" t="s">
        <v>53</v>
      </c>
      <c r="AT6" s="4"/>
      <c r="AU6" s="4"/>
      <c r="AV6" s="4" t="s">
        <v>54</v>
      </c>
      <c r="AW6" s="4"/>
      <c r="AX6" s="4"/>
      <c r="AY6" s="4" t="s">
        <v>55</v>
      </c>
      <c r="AZ6" s="4"/>
      <c r="BA6" s="4"/>
      <c r="BB6" s="4" t="s">
        <v>56</v>
      </c>
      <c r="BC6" s="4"/>
      <c r="BD6" s="4"/>
      <c r="BE6" s="4" t="s">
        <v>57</v>
      </c>
      <c r="BF6" s="4"/>
      <c r="BG6" s="25"/>
      <c r="BH6" s="26" t="s">
        <v>58</v>
      </c>
      <c r="BI6" s="27"/>
      <c r="BJ6" s="28"/>
      <c r="BK6" s="27" t="s">
        <v>59</v>
      </c>
      <c r="BL6" s="27"/>
      <c r="BM6" s="29"/>
      <c r="BN6" s="25" t="s">
        <v>60</v>
      </c>
      <c r="BO6" s="27"/>
      <c r="BP6" s="29"/>
      <c r="BQ6" s="25" t="s">
        <v>61</v>
      </c>
      <c r="BR6" s="27"/>
      <c r="BS6" s="29"/>
      <c r="BT6" s="25" t="s">
        <v>62</v>
      </c>
      <c r="BU6" s="27"/>
      <c r="BV6" s="30"/>
    </row>
    <row r="7" spans="1:74" x14ac:dyDescent="0.35">
      <c r="A7" s="31" t="s">
        <v>0</v>
      </c>
      <c r="B7" s="32" t="s">
        <v>1</v>
      </c>
      <c r="C7" s="33" t="s">
        <v>2</v>
      </c>
      <c r="D7" s="33" t="s">
        <v>3</v>
      </c>
      <c r="E7" s="33" t="s">
        <v>4</v>
      </c>
      <c r="F7" s="37" t="s">
        <v>5</v>
      </c>
      <c r="G7" s="35" t="s">
        <v>6</v>
      </c>
      <c r="H7" s="35" t="s">
        <v>7</v>
      </c>
      <c r="I7" s="34" t="s">
        <v>5</v>
      </c>
      <c r="J7" s="35" t="s">
        <v>6</v>
      </c>
      <c r="K7" s="35" t="s">
        <v>7</v>
      </c>
      <c r="L7" s="34" t="s">
        <v>5</v>
      </c>
      <c r="M7" s="35" t="s">
        <v>6</v>
      </c>
      <c r="N7" s="35" t="s">
        <v>7</v>
      </c>
      <c r="O7" s="31" t="s">
        <v>5</v>
      </c>
      <c r="P7" s="36" t="s">
        <v>6</v>
      </c>
      <c r="Q7" s="35" t="s">
        <v>7</v>
      </c>
      <c r="R7" s="31" t="s">
        <v>5</v>
      </c>
      <c r="S7" s="36" t="s">
        <v>6</v>
      </c>
      <c r="T7" s="36" t="s">
        <v>7</v>
      </c>
      <c r="U7" s="37" t="s">
        <v>5</v>
      </c>
      <c r="V7" s="38" t="s">
        <v>6</v>
      </c>
      <c r="W7" s="39" t="s">
        <v>7</v>
      </c>
      <c r="X7" s="40" t="s">
        <v>5</v>
      </c>
      <c r="Y7" s="41" t="s">
        <v>6</v>
      </c>
      <c r="Z7" s="42" t="s">
        <v>7</v>
      </c>
      <c r="AA7" s="43" t="s">
        <v>5</v>
      </c>
      <c r="AB7" s="44" t="s">
        <v>6</v>
      </c>
      <c r="AC7" s="45" t="s">
        <v>7</v>
      </c>
      <c r="AD7" s="40" t="s">
        <v>5</v>
      </c>
      <c r="AE7" s="38" t="s">
        <v>6</v>
      </c>
      <c r="AF7" s="42" t="s">
        <v>7</v>
      </c>
      <c r="AG7" s="43" t="s">
        <v>5</v>
      </c>
      <c r="AH7" s="44" t="s">
        <v>6</v>
      </c>
      <c r="AI7" s="45" t="s">
        <v>7</v>
      </c>
      <c r="AJ7" s="46" t="s">
        <v>5</v>
      </c>
      <c r="AK7" s="44" t="s">
        <v>6</v>
      </c>
      <c r="AL7" s="47" t="s">
        <v>7</v>
      </c>
      <c r="AM7" s="48" t="s">
        <v>5</v>
      </c>
      <c r="AN7" s="44" t="s">
        <v>6</v>
      </c>
      <c r="AO7" s="44" t="s">
        <v>7</v>
      </c>
      <c r="AP7" s="31" t="s">
        <v>5</v>
      </c>
      <c r="AQ7" s="44" t="s">
        <v>6</v>
      </c>
      <c r="AR7" s="44" t="s">
        <v>7</v>
      </c>
      <c r="AS7" s="31" t="s">
        <v>5</v>
      </c>
      <c r="AT7" s="41" t="s">
        <v>6</v>
      </c>
      <c r="AU7" s="49" t="s">
        <v>7</v>
      </c>
      <c r="AV7" s="31" t="s">
        <v>5</v>
      </c>
      <c r="AW7" s="44" t="s">
        <v>6</v>
      </c>
      <c r="AX7" s="41" t="s">
        <v>7</v>
      </c>
      <c r="AY7" s="31" t="s">
        <v>5</v>
      </c>
      <c r="AZ7" s="44" t="s">
        <v>6</v>
      </c>
      <c r="BA7" s="44" t="s">
        <v>7</v>
      </c>
      <c r="BB7" s="31" t="s">
        <v>5</v>
      </c>
      <c r="BC7" s="44" t="s">
        <v>6</v>
      </c>
      <c r="BD7" s="44" t="s">
        <v>7</v>
      </c>
      <c r="BE7" s="31" t="s">
        <v>5</v>
      </c>
      <c r="BF7" s="44" t="s">
        <v>6</v>
      </c>
      <c r="BG7" s="45" t="s">
        <v>7</v>
      </c>
      <c r="BH7" s="48" t="s">
        <v>5</v>
      </c>
      <c r="BI7" s="44" t="s">
        <v>6</v>
      </c>
      <c r="BJ7" s="42" t="s">
        <v>7</v>
      </c>
      <c r="BK7" s="50" t="s">
        <v>5</v>
      </c>
      <c r="BL7" s="44" t="s">
        <v>6</v>
      </c>
      <c r="BM7" s="41" t="s">
        <v>7</v>
      </c>
      <c r="BN7" s="34" t="s">
        <v>5</v>
      </c>
      <c r="BO7" s="38" t="s">
        <v>6</v>
      </c>
      <c r="BP7" s="51" t="s">
        <v>7</v>
      </c>
      <c r="BQ7" s="34" t="s">
        <v>5</v>
      </c>
      <c r="BR7" s="38" t="s">
        <v>6</v>
      </c>
      <c r="BS7" s="51" t="s">
        <v>7</v>
      </c>
      <c r="BT7" s="34" t="s">
        <v>5</v>
      </c>
      <c r="BU7" s="38" t="s">
        <v>6</v>
      </c>
      <c r="BV7" s="52" t="s">
        <v>7</v>
      </c>
    </row>
    <row r="8" spans="1:74" x14ac:dyDescent="0.35">
      <c r="A8" s="53" t="s">
        <v>8</v>
      </c>
      <c r="B8" s="53"/>
      <c r="C8" s="54"/>
      <c r="D8" s="54"/>
      <c r="E8" s="54"/>
      <c r="F8" s="55"/>
      <c r="G8" s="56"/>
      <c r="H8" s="57"/>
      <c r="I8" s="55"/>
      <c r="J8" s="58"/>
      <c r="K8" s="58"/>
      <c r="L8" s="59"/>
      <c r="M8" s="58"/>
      <c r="N8" s="57"/>
      <c r="O8" s="59"/>
      <c r="P8" s="58"/>
      <c r="Q8" s="57"/>
      <c r="R8" s="55"/>
      <c r="S8" s="58"/>
      <c r="T8" s="60"/>
      <c r="U8" s="61"/>
      <c r="V8" s="62"/>
      <c r="W8" s="63"/>
      <c r="X8" s="64"/>
      <c r="Y8" s="65"/>
      <c r="Z8" s="66"/>
      <c r="AA8" s="67"/>
      <c r="AB8" s="68"/>
      <c r="AC8" s="69"/>
      <c r="AD8" s="64"/>
      <c r="AE8" s="70"/>
      <c r="AF8" s="71"/>
      <c r="AG8" s="67"/>
      <c r="AH8" s="68"/>
      <c r="AI8" s="72"/>
      <c r="AJ8" s="73"/>
      <c r="AK8" s="68"/>
      <c r="AL8" s="74"/>
      <c r="AM8" s="75"/>
      <c r="AN8" s="76"/>
      <c r="AO8" s="55"/>
      <c r="AP8" s="55"/>
      <c r="AQ8" s="55"/>
      <c r="AR8" s="55"/>
      <c r="AS8" s="55"/>
      <c r="AT8" s="77"/>
      <c r="AU8" s="77"/>
      <c r="AV8" s="55"/>
      <c r="AW8" s="55"/>
      <c r="AX8" s="77"/>
      <c r="AY8" s="55"/>
      <c r="AZ8" s="55"/>
      <c r="BA8" s="55"/>
      <c r="BB8" s="55"/>
      <c r="BC8" s="55"/>
      <c r="BD8" s="55"/>
      <c r="BE8" s="55"/>
      <c r="BF8" s="55"/>
      <c r="BG8" s="77"/>
      <c r="BH8" s="75"/>
      <c r="BI8" s="78"/>
      <c r="BJ8" s="79"/>
      <c r="BK8" s="80"/>
      <c r="BL8" s="78"/>
      <c r="BM8" s="77"/>
      <c r="BN8" s="81"/>
      <c r="BO8" s="81"/>
      <c r="BP8" s="82"/>
      <c r="BQ8" s="81"/>
      <c r="BR8" s="81"/>
      <c r="BS8" s="82"/>
      <c r="BT8" s="81"/>
      <c r="BU8" s="81"/>
      <c r="BV8" s="83"/>
    </row>
    <row r="9" spans="1:74" x14ac:dyDescent="0.35">
      <c r="A9" s="84" t="s">
        <v>9</v>
      </c>
      <c r="B9" s="85" t="s">
        <v>10</v>
      </c>
      <c r="C9" s="86"/>
      <c r="D9" s="86"/>
      <c r="E9" s="86"/>
      <c r="F9" s="87"/>
      <c r="G9" s="88"/>
      <c r="H9" s="89"/>
      <c r="I9" s="87"/>
      <c r="J9" s="88"/>
      <c r="K9" s="90"/>
      <c r="L9" s="91"/>
      <c r="M9" s="88"/>
      <c r="N9" s="92"/>
      <c r="O9" s="93"/>
      <c r="P9" s="94"/>
      <c r="Q9" s="92"/>
      <c r="R9" s="95"/>
      <c r="S9" s="96"/>
      <c r="T9" s="97"/>
      <c r="U9" s="98"/>
      <c r="V9" s="99"/>
      <c r="W9" s="100"/>
      <c r="X9" s="91"/>
      <c r="Y9" s="101"/>
      <c r="Z9" s="102"/>
      <c r="AA9" s="95"/>
      <c r="AB9" s="103"/>
      <c r="AC9" s="104"/>
      <c r="AD9" s="91"/>
      <c r="AE9" s="99"/>
      <c r="AF9" s="105"/>
      <c r="AG9" s="106"/>
      <c r="AH9" s="103"/>
      <c r="AI9" s="107"/>
      <c r="AJ9" s="93"/>
      <c r="AK9" s="103"/>
      <c r="AL9" s="108"/>
      <c r="AM9" s="109"/>
      <c r="AN9" s="103"/>
      <c r="AO9" s="103"/>
      <c r="AP9" s="110"/>
      <c r="AQ9" s="103"/>
      <c r="AR9" s="103"/>
      <c r="AS9" s="103"/>
      <c r="AT9" s="111"/>
      <c r="AU9" s="111"/>
      <c r="AV9" s="103"/>
      <c r="AW9" s="103"/>
      <c r="AX9" s="111"/>
      <c r="AY9" s="103"/>
      <c r="AZ9" s="103"/>
      <c r="BA9" s="103"/>
      <c r="BB9" s="103"/>
      <c r="BC9" s="103"/>
      <c r="BD9" s="103"/>
      <c r="BE9" s="112"/>
      <c r="BF9" s="103"/>
      <c r="BG9" s="107"/>
      <c r="BH9" s="113"/>
      <c r="BI9" s="114"/>
      <c r="BJ9" s="115"/>
      <c r="BK9" s="116"/>
      <c r="BL9" s="114"/>
      <c r="BM9" s="111"/>
      <c r="BN9" s="99"/>
      <c r="BO9" s="99"/>
      <c r="BP9" s="117"/>
      <c r="BQ9" s="118"/>
      <c r="BR9" s="99"/>
      <c r="BS9" s="117"/>
      <c r="BT9" s="84"/>
      <c r="BU9" s="99"/>
      <c r="BV9" s="119"/>
    </row>
    <row r="10" spans="1:74" x14ac:dyDescent="0.35">
      <c r="A10" s="84" t="s">
        <v>9</v>
      </c>
      <c r="B10" s="120" t="s">
        <v>11</v>
      </c>
      <c r="C10" s="86">
        <f ca="1">_xlfn.MINIFS(10:10,$13:$13,"P.U")</f>
        <v>5631.7</v>
      </c>
      <c r="D10" s="121">
        <f ca="1">IFERROR(AVERAGEIFS(10:10,$13:$13,"P.U"), "-")</f>
        <v>10602.876066666668</v>
      </c>
      <c r="E10" s="86">
        <f ca="1">_xlfn.MAXIFS(10:10,$13:$13,"P.U")</f>
        <v>29754.1188</v>
      </c>
      <c r="F10" s="87" t="s">
        <v>12</v>
      </c>
      <c r="G10" s="122">
        <v>14</v>
      </c>
      <c r="H10" s="123">
        <v>29754.1188</v>
      </c>
      <c r="I10" s="124" t="s">
        <v>12</v>
      </c>
      <c r="J10" s="88">
        <v>17</v>
      </c>
      <c r="K10" s="125">
        <v>10333.837600000001</v>
      </c>
      <c r="L10" s="126" t="s">
        <v>12</v>
      </c>
      <c r="M10" s="127">
        <v>11</v>
      </c>
      <c r="N10" s="123">
        <v>10333.837600000001</v>
      </c>
      <c r="O10" s="128" t="s">
        <v>12</v>
      </c>
      <c r="P10" s="129">
        <v>17</v>
      </c>
      <c r="Q10" s="123">
        <v>10333.837600000001</v>
      </c>
      <c r="R10" s="130" t="s">
        <v>12</v>
      </c>
      <c r="S10" s="129">
        <v>12</v>
      </c>
      <c r="T10" s="131">
        <v>10333.837600000001</v>
      </c>
      <c r="U10" s="132" t="s">
        <v>12</v>
      </c>
      <c r="V10" s="99">
        <v>34</v>
      </c>
      <c r="W10" s="133">
        <v>12548.5</v>
      </c>
      <c r="X10" s="134" t="s">
        <v>12</v>
      </c>
      <c r="Y10" s="135">
        <v>22</v>
      </c>
      <c r="Z10" s="136">
        <v>11764.2</v>
      </c>
      <c r="AA10" s="106" t="s">
        <v>12</v>
      </c>
      <c r="AB10" s="114">
        <v>11</v>
      </c>
      <c r="AC10" s="137">
        <v>11764.2</v>
      </c>
      <c r="AD10" s="91" t="s">
        <v>12</v>
      </c>
      <c r="AE10" s="99">
        <v>24</v>
      </c>
      <c r="AF10" s="138">
        <v>11764.2</v>
      </c>
      <c r="AG10" s="106" t="s">
        <v>12</v>
      </c>
      <c r="AH10" s="114">
        <v>32</v>
      </c>
      <c r="AI10" s="137">
        <v>9029.7000000000007</v>
      </c>
      <c r="AJ10" s="139" t="s">
        <v>12</v>
      </c>
      <c r="AK10" s="140">
        <v>28</v>
      </c>
      <c r="AL10" s="141">
        <v>7524.8</v>
      </c>
      <c r="AM10" s="109" t="s">
        <v>12</v>
      </c>
      <c r="AN10" s="103">
        <v>17</v>
      </c>
      <c r="AO10" s="142">
        <v>9935.7999999999993</v>
      </c>
      <c r="AP10" s="114" t="s">
        <v>12</v>
      </c>
      <c r="AQ10" s="103">
        <v>25</v>
      </c>
      <c r="AR10" s="142">
        <v>8560.7999999999993</v>
      </c>
      <c r="AS10" s="110" t="s">
        <v>12</v>
      </c>
      <c r="AT10" s="111">
        <v>12</v>
      </c>
      <c r="AU10" s="143">
        <v>5631.7</v>
      </c>
      <c r="AV10" s="144" t="s">
        <v>12</v>
      </c>
      <c r="AW10" s="103">
        <v>18</v>
      </c>
      <c r="AX10" s="143">
        <v>8484.6</v>
      </c>
      <c r="AY10" s="110" t="s">
        <v>12</v>
      </c>
      <c r="AZ10" s="108">
        <v>24</v>
      </c>
      <c r="BA10" s="142">
        <v>8484.6</v>
      </c>
      <c r="BB10" s="110" t="s">
        <v>12</v>
      </c>
      <c r="BC10" s="103">
        <v>12</v>
      </c>
      <c r="BD10" s="103">
        <v>5784.6</v>
      </c>
      <c r="BE10" s="112" t="s">
        <v>12</v>
      </c>
      <c r="BF10" s="108">
        <v>14</v>
      </c>
      <c r="BG10" s="145">
        <v>8484.6</v>
      </c>
      <c r="BH10" s="146" t="s">
        <v>12</v>
      </c>
      <c r="BI10" s="114">
        <v>27</v>
      </c>
      <c r="BJ10" s="115" t="s">
        <v>13</v>
      </c>
      <c r="BK10" s="116" t="s">
        <v>12</v>
      </c>
      <c r="BL10" s="147">
        <v>26</v>
      </c>
      <c r="BM10" s="103" t="s">
        <v>14</v>
      </c>
      <c r="BN10" s="118" t="s">
        <v>12</v>
      </c>
      <c r="BO10" s="99">
        <v>22</v>
      </c>
      <c r="BP10" s="117" t="s">
        <v>14</v>
      </c>
      <c r="BQ10" s="148" t="s">
        <v>12</v>
      </c>
      <c r="BR10" s="127">
        <v>31</v>
      </c>
      <c r="BS10" s="117" t="s">
        <v>14</v>
      </c>
      <c r="BT10" s="149" t="s">
        <v>12</v>
      </c>
      <c r="BU10" s="99">
        <v>1</v>
      </c>
      <c r="BV10" s="117" t="s">
        <v>14</v>
      </c>
    </row>
    <row r="11" spans="1:74" x14ac:dyDescent="0.35">
      <c r="A11" s="84" t="s">
        <v>9</v>
      </c>
      <c r="B11" s="150" t="s">
        <v>15</v>
      </c>
      <c r="C11" s="86">
        <f ca="1">_xlfn.MINIFS(11:11,$13:$13,"P.U")</f>
        <v>5584.6</v>
      </c>
      <c r="D11" s="121">
        <f ca="1">IFERROR(AVERAGEIFS(11:11,$13:$13,"P.U"), "-")</f>
        <v>5584.5999999999995</v>
      </c>
      <c r="E11" s="86">
        <f ca="1">_xlfn.MAXIFS(11:11,$13:$13,"P.U")</f>
        <v>5584.6</v>
      </c>
      <c r="F11" s="151" t="s">
        <v>12</v>
      </c>
      <c r="G11" s="152"/>
      <c r="H11" s="123"/>
      <c r="I11" s="124"/>
      <c r="J11" s="88"/>
      <c r="K11" s="125"/>
      <c r="L11" s="91"/>
      <c r="M11" s="88"/>
      <c r="N11" s="92"/>
      <c r="O11" s="93"/>
      <c r="P11" s="94"/>
      <c r="Q11" s="92"/>
      <c r="R11" s="153"/>
      <c r="S11" s="96"/>
      <c r="T11" s="154"/>
      <c r="U11" s="132"/>
      <c r="V11" s="99"/>
      <c r="W11" s="100"/>
      <c r="X11" s="91"/>
      <c r="Y11" s="101"/>
      <c r="Z11" s="102"/>
      <c r="AA11" s="106"/>
      <c r="AB11" s="114"/>
      <c r="AC11" s="104"/>
      <c r="AD11" s="91"/>
      <c r="AE11" s="99"/>
      <c r="AF11" s="105"/>
      <c r="AG11" s="106"/>
      <c r="AH11" s="114"/>
      <c r="AI11" s="107"/>
      <c r="AJ11" s="139"/>
      <c r="AK11" s="103"/>
      <c r="AL11" s="155"/>
      <c r="AM11" s="109" t="s">
        <v>12</v>
      </c>
      <c r="AN11" s="103">
        <v>8</v>
      </c>
      <c r="AO11" s="142">
        <v>5584.6</v>
      </c>
      <c r="AP11" s="156" t="s">
        <v>12</v>
      </c>
      <c r="AQ11" s="108">
        <v>14</v>
      </c>
      <c r="AR11" s="142">
        <v>5584.6</v>
      </c>
      <c r="AS11" s="110" t="s">
        <v>12</v>
      </c>
      <c r="AT11" s="111">
        <v>7</v>
      </c>
      <c r="AU11" s="143">
        <v>5584.6</v>
      </c>
      <c r="AV11" s="110" t="s">
        <v>12</v>
      </c>
      <c r="AW11" s="103">
        <v>14</v>
      </c>
      <c r="AX11" s="143">
        <v>5584.6</v>
      </c>
      <c r="AY11" s="110" t="s">
        <v>12</v>
      </c>
      <c r="AZ11" s="108">
        <v>12</v>
      </c>
      <c r="BA11" s="142">
        <v>5584.6</v>
      </c>
      <c r="BB11" s="110" t="s">
        <v>12</v>
      </c>
      <c r="BC11" s="103">
        <v>6</v>
      </c>
      <c r="BD11" s="103">
        <v>5584.6</v>
      </c>
      <c r="BE11" s="112" t="s">
        <v>12</v>
      </c>
      <c r="BF11" s="108">
        <v>8</v>
      </c>
      <c r="BG11" s="145">
        <v>5584.6</v>
      </c>
      <c r="BH11" s="132"/>
      <c r="BI11" s="114"/>
      <c r="BJ11" s="115"/>
      <c r="BK11" s="116"/>
      <c r="BL11" s="147"/>
      <c r="BM11" s="101"/>
      <c r="BN11" s="118"/>
      <c r="BO11" s="99"/>
      <c r="BP11" s="117"/>
      <c r="BQ11" s="157"/>
      <c r="BR11" s="99"/>
      <c r="BS11" s="117"/>
      <c r="BT11" s="149"/>
      <c r="BU11" s="99"/>
      <c r="BV11" s="119"/>
    </row>
    <row r="12" spans="1:74" x14ac:dyDescent="0.35">
      <c r="A12" s="84" t="s">
        <v>9</v>
      </c>
      <c r="B12" s="120" t="s">
        <v>16</v>
      </c>
      <c r="C12" s="86">
        <f ca="1">_xlfn.MINIFS(12:12,$13:$13,"P.U")</f>
        <v>0</v>
      </c>
      <c r="D12" s="121" t="str">
        <f ca="1">IFERROR(AVERAGEIFS(12:12,$13:$13,"P.U"), "-")</f>
        <v>-</v>
      </c>
      <c r="E12" s="86">
        <f ca="1">_xlfn.MAXIFS(12:12,$13:$13,"P.U")</f>
        <v>0</v>
      </c>
      <c r="F12" s="87" t="s">
        <v>17</v>
      </c>
      <c r="G12" s="122"/>
      <c r="H12" s="123"/>
      <c r="I12" s="124"/>
      <c r="J12" s="88"/>
      <c r="K12" s="125"/>
      <c r="L12" s="91"/>
      <c r="M12" s="88"/>
      <c r="N12" s="92"/>
      <c r="O12" s="93"/>
      <c r="P12" s="94"/>
      <c r="Q12" s="92"/>
      <c r="R12" s="153"/>
      <c r="S12" s="96"/>
      <c r="T12" s="131"/>
      <c r="U12" s="132"/>
      <c r="V12" s="99"/>
      <c r="W12" s="100"/>
      <c r="X12" s="91"/>
      <c r="Y12" s="101"/>
      <c r="Z12" s="102"/>
      <c r="AA12" s="106"/>
      <c r="AB12" s="114"/>
      <c r="AC12" s="104"/>
      <c r="AD12" s="91"/>
      <c r="AE12" s="99"/>
      <c r="AF12" s="105"/>
      <c r="AG12" s="106"/>
      <c r="AH12" s="114"/>
      <c r="AI12" s="107"/>
      <c r="AJ12" s="139"/>
      <c r="AK12" s="103"/>
      <c r="AL12" s="155"/>
      <c r="AM12" s="109"/>
      <c r="AN12" s="103"/>
      <c r="AO12" s="103"/>
      <c r="AP12" s="156"/>
      <c r="AQ12" s="103"/>
      <c r="AR12" s="103"/>
      <c r="AS12" s="110"/>
      <c r="AT12" s="111"/>
      <c r="AU12" s="111"/>
      <c r="AV12" s="110"/>
      <c r="AW12" s="103"/>
      <c r="AX12" s="111"/>
      <c r="AY12" s="110"/>
      <c r="AZ12" s="103"/>
      <c r="BA12" s="103"/>
      <c r="BB12" s="110"/>
      <c r="BC12" s="103"/>
      <c r="BD12" s="103"/>
      <c r="BE12" s="112"/>
      <c r="BF12" s="103"/>
      <c r="BG12" s="107"/>
      <c r="BH12" s="132"/>
      <c r="BI12" s="114"/>
      <c r="BJ12" s="115"/>
      <c r="BK12" s="116"/>
      <c r="BL12" s="147"/>
      <c r="BM12" s="101"/>
      <c r="BN12" s="118"/>
      <c r="BO12" s="99"/>
      <c r="BP12" s="117"/>
      <c r="BQ12" s="157"/>
      <c r="BR12" s="99"/>
      <c r="BS12" s="117"/>
      <c r="BT12" s="149"/>
      <c r="BU12" s="99"/>
      <c r="BV12" s="119"/>
    </row>
    <row r="13" spans="1:74" x14ac:dyDescent="0.35">
      <c r="A13" s="84" t="s">
        <v>9</v>
      </c>
      <c r="B13" s="120" t="s">
        <v>18</v>
      </c>
      <c r="C13" s="86">
        <f ca="1">_xlfn.MINIFS(13:13,$13:$13,"P.U")</f>
        <v>0</v>
      </c>
      <c r="D13" s="121" t="str">
        <f ca="1">IFERROR(AVERAGEIFS(13:13,$13:$13,"P.U"), "-")</f>
        <v>-</v>
      </c>
      <c r="E13" s="86">
        <f ca="1">_xlfn.MAXIFS(13:13,$13:$13,"P.U")</f>
        <v>0</v>
      </c>
      <c r="F13" s="87" t="s">
        <v>17</v>
      </c>
      <c r="G13" s="122"/>
      <c r="H13" s="123"/>
      <c r="I13" s="158"/>
      <c r="J13" s="88"/>
      <c r="K13" s="125"/>
      <c r="L13" s="91"/>
      <c r="M13" s="88"/>
      <c r="N13" s="92"/>
      <c r="O13" s="93"/>
      <c r="P13" s="94"/>
      <c r="Q13" s="92"/>
      <c r="R13" s="153"/>
      <c r="S13" s="96"/>
      <c r="T13" s="97"/>
      <c r="U13" s="132"/>
      <c r="V13" s="99"/>
      <c r="W13" s="100"/>
      <c r="X13" s="91"/>
      <c r="Y13" s="101"/>
      <c r="Z13" s="102"/>
      <c r="AA13" s="106"/>
      <c r="AB13" s="114"/>
      <c r="AC13" s="104"/>
      <c r="AD13" s="91"/>
      <c r="AE13" s="99"/>
      <c r="AF13" s="105"/>
      <c r="AG13" s="106"/>
      <c r="AH13" s="114"/>
      <c r="AI13" s="107"/>
      <c r="AJ13" s="139"/>
      <c r="AK13" s="103"/>
      <c r="AL13" s="155"/>
      <c r="AM13" s="109"/>
      <c r="AN13" s="103"/>
      <c r="AO13" s="103"/>
      <c r="AP13" s="156"/>
      <c r="AQ13" s="103"/>
      <c r="AR13" s="103"/>
      <c r="AS13" s="110"/>
      <c r="AT13" s="111"/>
      <c r="AU13" s="111"/>
      <c r="AV13" s="110"/>
      <c r="AW13" s="103"/>
      <c r="AX13" s="111"/>
      <c r="AY13" s="110"/>
      <c r="AZ13" s="103"/>
      <c r="BA13" s="103"/>
      <c r="BB13" s="110"/>
      <c r="BC13" s="103"/>
      <c r="BD13" s="103"/>
      <c r="BE13" s="112"/>
      <c r="BF13" s="103"/>
      <c r="BG13" s="107"/>
      <c r="BH13" s="132"/>
      <c r="BI13" s="114"/>
      <c r="BJ13" s="115"/>
      <c r="BK13" s="116"/>
      <c r="BL13" s="147"/>
      <c r="BM13" s="101"/>
      <c r="BN13" s="118"/>
      <c r="BO13" s="99"/>
      <c r="BP13" s="117"/>
      <c r="BQ13" s="157"/>
      <c r="BR13" s="99"/>
      <c r="BS13" s="117"/>
      <c r="BT13" s="149"/>
      <c r="BU13" s="99"/>
      <c r="BV13" s="119"/>
    </row>
    <row r="14" spans="1:74" x14ac:dyDescent="0.35">
      <c r="A14" s="84" t="s">
        <v>9</v>
      </c>
      <c r="B14" s="120" t="s">
        <v>19</v>
      </c>
      <c r="C14" s="86">
        <f ca="1">_xlfn.MINIFS(14:14,$13:$13,"P.U")</f>
        <v>0</v>
      </c>
      <c r="D14" s="121" t="str">
        <f ca="1">IFERROR(AVERAGEIFS(14:14,$13:$13,"P.U"), "-")</f>
        <v>-</v>
      </c>
      <c r="E14" s="86">
        <f ca="1">_xlfn.MAXIFS(14:14,$13:$13,"P.U")</f>
        <v>0</v>
      </c>
      <c r="F14" s="87" t="s">
        <v>17</v>
      </c>
      <c r="G14" s="122"/>
      <c r="H14" s="123"/>
      <c r="I14" s="124"/>
      <c r="J14" s="88"/>
      <c r="K14" s="125"/>
      <c r="L14" s="91"/>
      <c r="M14" s="88"/>
      <c r="N14" s="92"/>
      <c r="O14" s="93"/>
      <c r="P14" s="94"/>
      <c r="Q14" s="92"/>
      <c r="R14" s="153"/>
      <c r="S14" s="96"/>
      <c r="T14" s="97"/>
      <c r="U14" s="132"/>
      <c r="V14" s="99"/>
      <c r="W14" s="100"/>
      <c r="X14" s="91"/>
      <c r="Y14" s="101"/>
      <c r="Z14" s="102"/>
      <c r="AA14" s="106"/>
      <c r="AB14" s="114"/>
      <c r="AC14" s="104"/>
      <c r="AD14" s="91"/>
      <c r="AE14" s="99"/>
      <c r="AF14" s="105"/>
      <c r="AG14" s="106"/>
      <c r="AH14" s="114"/>
      <c r="AI14" s="107"/>
      <c r="AJ14" s="139"/>
      <c r="AK14" s="103"/>
      <c r="AL14" s="155"/>
      <c r="AM14" s="109"/>
      <c r="AN14" s="103"/>
      <c r="AO14" s="103"/>
      <c r="AP14" s="156"/>
      <c r="AQ14" s="103"/>
      <c r="AR14" s="103"/>
      <c r="AS14" s="110"/>
      <c r="AT14" s="111"/>
      <c r="AU14" s="111"/>
      <c r="AV14" s="110"/>
      <c r="AW14" s="103"/>
      <c r="AX14" s="111"/>
      <c r="AY14" s="110"/>
      <c r="AZ14" s="103"/>
      <c r="BA14" s="103"/>
      <c r="BB14" s="110"/>
      <c r="BC14" s="103"/>
      <c r="BD14" s="103"/>
      <c r="BE14" s="112"/>
      <c r="BF14" s="103"/>
      <c r="BG14" s="107"/>
      <c r="BH14" s="132"/>
      <c r="BI14" s="114"/>
      <c r="BJ14" s="115"/>
      <c r="BK14" s="116"/>
      <c r="BL14" s="147"/>
      <c r="BM14" s="101"/>
      <c r="BN14" s="118"/>
      <c r="BO14" s="99"/>
      <c r="BP14" s="117"/>
      <c r="BQ14" s="157"/>
      <c r="BR14" s="99"/>
      <c r="BS14" s="117"/>
      <c r="BT14" s="149"/>
      <c r="BU14" s="99"/>
      <c r="BV14" s="119"/>
    </row>
    <row r="15" spans="1:74" x14ac:dyDescent="0.35">
      <c r="A15" s="84" t="s">
        <v>9</v>
      </c>
      <c r="B15" s="120" t="s">
        <v>20</v>
      </c>
      <c r="C15" s="86">
        <f ca="1">_xlfn.MINIFS(15:15,$13:$13,"P.U")</f>
        <v>0</v>
      </c>
      <c r="D15" s="121" t="str">
        <f ca="1">IFERROR(AVERAGEIFS(15:15,$13:$13,"P.U"), "-")</f>
        <v>-</v>
      </c>
      <c r="E15" s="86">
        <f ca="1">_xlfn.MAXIFS(15:15,$13:$13,"P.U")</f>
        <v>0</v>
      </c>
      <c r="F15" s="87" t="s">
        <v>17</v>
      </c>
      <c r="G15" s="122"/>
      <c r="H15" s="123"/>
      <c r="I15" s="124"/>
      <c r="J15" s="88"/>
      <c r="K15" s="125"/>
      <c r="L15" s="91"/>
      <c r="M15" s="88"/>
      <c r="N15" s="92"/>
      <c r="O15" s="93"/>
      <c r="P15" s="94"/>
      <c r="Q15" s="92"/>
      <c r="R15" s="153"/>
      <c r="S15" s="96"/>
      <c r="T15" s="97"/>
      <c r="U15" s="132"/>
      <c r="V15" s="99"/>
      <c r="W15" s="100"/>
      <c r="X15" s="91"/>
      <c r="Y15" s="101"/>
      <c r="Z15" s="102"/>
      <c r="AA15" s="106"/>
      <c r="AB15" s="114"/>
      <c r="AC15" s="104"/>
      <c r="AD15" s="91"/>
      <c r="AE15" s="99"/>
      <c r="AF15" s="105"/>
      <c r="AG15" s="106"/>
      <c r="AH15" s="114"/>
      <c r="AI15" s="107"/>
      <c r="AJ15" s="139"/>
      <c r="AK15" s="103"/>
      <c r="AL15" s="155"/>
      <c r="AM15" s="109"/>
      <c r="AN15" s="103"/>
      <c r="AO15" s="103"/>
      <c r="AP15" s="156"/>
      <c r="AQ15" s="103"/>
      <c r="AR15" s="103"/>
      <c r="AS15" s="110"/>
      <c r="AT15" s="111"/>
      <c r="AU15" s="111"/>
      <c r="AV15" s="110"/>
      <c r="AW15" s="103"/>
      <c r="AX15" s="111"/>
      <c r="AY15" s="110"/>
      <c r="AZ15" s="103"/>
      <c r="BA15" s="103"/>
      <c r="BB15" s="110"/>
      <c r="BC15" s="103"/>
      <c r="BD15" s="103"/>
      <c r="BE15" s="112"/>
      <c r="BF15" s="103"/>
      <c r="BG15" s="107"/>
      <c r="BH15" s="132"/>
      <c r="BI15" s="114"/>
      <c r="BJ15" s="115"/>
      <c r="BK15" s="116"/>
      <c r="BL15" s="147"/>
      <c r="BM15" s="101"/>
      <c r="BN15" s="118"/>
      <c r="BO15" s="99"/>
      <c r="BP15" s="117"/>
      <c r="BQ15" s="157"/>
      <c r="BR15" s="99"/>
      <c r="BS15" s="117"/>
      <c r="BT15" s="149"/>
      <c r="BU15" s="99"/>
      <c r="BV15" s="119"/>
    </row>
    <row r="16" spans="1:74" x14ac:dyDescent="0.35">
      <c r="A16" s="84" t="s">
        <v>9</v>
      </c>
      <c r="B16" s="159" t="s">
        <v>21</v>
      </c>
      <c r="C16" s="86">
        <f ca="1">_xlfn.MINIFS(16:16,$13:$13,"P.U")</f>
        <v>872056.1</v>
      </c>
      <c r="D16" s="121">
        <f ca="1">IFERROR(AVERAGEIFS(16:16,$13:$13,"P.U"), "-")</f>
        <v>1425276.7471428569</v>
      </c>
      <c r="E16" s="86">
        <f ca="1">_xlfn.MAXIFS(16:16,$13:$13,"P.U")</f>
        <v>2270136.5299999993</v>
      </c>
      <c r="F16" s="87" t="s">
        <v>17</v>
      </c>
      <c r="G16" s="122"/>
      <c r="H16" s="123"/>
      <c r="I16" s="124" t="s">
        <v>17</v>
      </c>
      <c r="J16" s="88"/>
      <c r="K16" s="160"/>
      <c r="L16" s="91" t="s">
        <v>17</v>
      </c>
      <c r="M16" s="88"/>
      <c r="N16" s="92"/>
      <c r="O16" s="128" t="s">
        <v>17</v>
      </c>
      <c r="P16" s="94"/>
      <c r="Q16" s="92"/>
      <c r="R16" s="151" t="s">
        <v>17</v>
      </c>
      <c r="S16" s="161"/>
      <c r="T16" s="131"/>
      <c r="U16" s="162" t="s">
        <v>22</v>
      </c>
      <c r="V16" s="99"/>
      <c r="W16" s="100"/>
      <c r="X16" s="91" t="s">
        <v>22</v>
      </c>
      <c r="Y16" s="101"/>
      <c r="Z16" s="102"/>
      <c r="AA16" s="106" t="s">
        <v>17</v>
      </c>
      <c r="AB16" s="114"/>
      <c r="AC16" s="104"/>
      <c r="AD16" s="91" t="s">
        <v>22</v>
      </c>
      <c r="AE16" s="99"/>
      <c r="AF16" s="105"/>
      <c r="AG16" s="106"/>
      <c r="AH16" s="114"/>
      <c r="AI16" s="107"/>
      <c r="AJ16" s="139" t="s">
        <v>22</v>
      </c>
      <c r="AK16" s="103"/>
      <c r="AL16" s="155"/>
      <c r="AM16" s="109" t="s">
        <v>17</v>
      </c>
      <c r="AN16" s="103">
        <v>1</v>
      </c>
      <c r="AO16" s="142">
        <v>2270136.5299999993</v>
      </c>
      <c r="AP16" s="156" t="s">
        <v>17</v>
      </c>
      <c r="AQ16" s="108">
        <v>1</v>
      </c>
      <c r="AR16" s="142">
        <v>1672670.5</v>
      </c>
      <c r="AS16" s="110" t="s">
        <v>17</v>
      </c>
      <c r="AT16" s="111">
        <v>1</v>
      </c>
      <c r="AU16" s="143">
        <v>1132848.1000000001</v>
      </c>
      <c r="AV16" s="110" t="s">
        <v>17</v>
      </c>
      <c r="AW16" s="103">
        <v>1</v>
      </c>
      <c r="AX16" s="143">
        <v>1474677.1</v>
      </c>
      <c r="AY16" s="110" t="s">
        <v>17</v>
      </c>
      <c r="AZ16" s="108">
        <v>1</v>
      </c>
      <c r="BA16" s="142">
        <v>1388757.4</v>
      </c>
      <c r="BB16" s="110" t="s">
        <v>17</v>
      </c>
      <c r="BC16" s="103">
        <v>1</v>
      </c>
      <c r="BD16" s="142">
        <v>872056.1</v>
      </c>
      <c r="BE16" s="95" t="s">
        <v>17</v>
      </c>
      <c r="BF16" s="103">
        <v>1</v>
      </c>
      <c r="BG16" s="163">
        <v>1165791.5</v>
      </c>
      <c r="BH16" s="132" t="s">
        <v>17</v>
      </c>
      <c r="BI16" s="114">
        <v>1</v>
      </c>
      <c r="BJ16" s="115" t="s">
        <v>13</v>
      </c>
      <c r="BK16" s="116" t="s">
        <v>17</v>
      </c>
      <c r="BL16" s="147"/>
      <c r="BM16" s="103" t="s">
        <v>14</v>
      </c>
      <c r="BN16" s="118"/>
      <c r="BO16" s="99"/>
      <c r="BP16" s="117" t="s">
        <v>14</v>
      </c>
      <c r="BQ16" s="157" t="s">
        <v>17</v>
      </c>
      <c r="BR16" s="99">
        <v>1</v>
      </c>
      <c r="BS16" s="117" t="s">
        <v>14</v>
      </c>
      <c r="BT16" s="149" t="s">
        <v>17</v>
      </c>
      <c r="BU16" s="99">
        <v>1</v>
      </c>
      <c r="BV16" s="117" t="s">
        <v>14</v>
      </c>
    </row>
    <row r="17" spans="1:74" x14ac:dyDescent="0.35">
      <c r="A17" s="84" t="s">
        <v>9</v>
      </c>
      <c r="B17" s="159" t="s">
        <v>23</v>
      </c>
      <c r="C17" s="86">
        <f ca="1">_xlfn.MINIFS(17:17,$13:$13,"P.U")</f>
        <v>0</v>
      </c>
      <c r="D17" s="121" t="str">
        <f ca="1">IFERROR(AVERAGEIFS(17:17,$13:$13,"P.U"), "-")</f>
        <v>-</v>
      </c>
      <c r="E17" s="86">
        <f ca="1">_xlfn.MAXIFS(17:17,$13:$13,"P.U")</f>
        <v>0</v>
      </c>
      <c r="F17" s="87" t="s">
        <v>17</v>
      </c>
      <c r="G17" s="122"/>
      <c r="H17" s="123"/>
      <c r="I17" s="124"/>
      <c r="J17" s="88"/>
      <c r="K17" s="125"/>
      <c r="L17" s="91"/>
      <c r="M17" s="88"/>
      <c r="N17" s="92"/>
      <c r="O17" s="93"/>
      <c r="P17" s="94"/>
      <c r="Q17" s="92"/>
      <c r="R17" s="153"/>
      <c r="S17" s="94"/>
      <c r="T17" s="131"/>
      <c r="U17" s="132"/>
      <c r="V17" s="99"/>
      <c r="W17" s="100"/>
      <c r="X17" s="91"/>
      <c r="Y17" s="101"/>
      <c r="Z17" s="102"/>
      <c r="AA17" s="106"/>
      <c r="AB17" s="114"/>
      <c r="AC17" s="164"/>
      <c r="AD17" s="91"/>
      <c r="AE17" s="99"/>
      <c r="AF17" s="105"/>
      <c r="AG17" s="106"/>
      <c r="AH17" s="114"/>
      <c r="AI17" s="165"/>
      <c r="AJ17" s="139"/>
      <c r="AK17" s="103"/>
      <c r="AL17" s="155"/>
      <c r="AM17" s="109"/>
      <c r="AN17" s="103"/>
      <c r="AO17" s="103"/>
      <c r="AP17" s="110"/>
      <c r="AQ17" s="103"/>
      <c r="AR17" s="103"/>
      <c r="AS17" s="110"/>
      <c r="AT17" s="111"/>
      <c r="AU17" s="111"/>
      <c r="AV17" s="110"/>
      <c r="AW17" s="103"/>
      <c r="AX17" s="111"/>
      <c r="AY17" s="110"/>
      <c r="AZ17" s="103"/>
      <c r="BA17" s="103"/>
      <c r="BB17" s="110"/>
      <c r="BC17" s="103"/>
      <c r="BD17" s="103"/>
      <c r="BE17" s="112"/>
      <c r="BF17" s="103"/>
      <c r="BG17" s="107"/>
      <c r="BH17" s="132"/>
      <c r="BI17" s="114"/>
      <c r="BJ17" s="115"/>
      <c r="BK17" s="116"/>
      <c r="BL17" s="147"/>
      <c r="BM17" s="101"/>
      <c r="BN17" s="118"/>
      <c r="BO17" s="99"/>
      <c r="BP17" s="117"/>
      <c r="BQ17" s="157"/>
      <c r="BR17" s="99"/>
      <c r="BS17" s="117"/>
      <c r="BT17" s="149"/>
      <c r="BU17" s="99"/>
      <c r="BV17" s="119"/>
    </row>
    <row r="18" spans="1:74" x14ac:dyDescent="0.35">
      <c r="A18" s="84" t="s">
        <v>9</v>
      </c>
      <c r="B18" s="159" t="s">
        <v>24</v>
      </c>
      <c r="C18" s="86">
        <f ca="1">_xlfn.MINIFS(18:18,$13:$13,"P.U")</f>
        <v>0</v>
      </c>
      <c r="D18" s="121" t="str">
        <f ca="1">IFERROR(AVERAGEIFS(18:18,$13:$13,"P.U"), "-")</f>
        <v>-</v>
      </c>
      <c r="E18" s="86">
        <f ca="1">_xlfn.MAXIFS(18:18,$13:$13,"P.U")</f>
        <v>0</v>
      </c>
      <c r="F18" s="87" t="s">
        <v>17</v>
      </c>
      <c r="G18" s="122"/>
      <c r="H18" s="123"/>
      <c r="I18" s="124"/>
      <c r="J18" s="88"/>
      <c r="K18" s="125"/>
      <c r="L18" s="91"/>
      <c r="M18" s="88"/>
      <c r="N18" s="92"/>
      <c r="O18" s="93"/>
      <c r="P18" s="94"/>
      <c r="Q18" s="166"/>
      <c r="R18" s="153"/>
      <c r="S18" s="94"/>
      <c r="T18" s="131"/>
      <c r="U18" s="132"/>
      <c r="V18" s="99"/>
      <c r="W18" s="100"/>
      <c r="X18" s="91"/>
      <c r="Y18" s="101"/>
      <c r="Z18" s="102"/>
      <c r="AA18" s="106"/>
      <c r="AB18" s="114"/>
      <c r="AC18" s="164"/>
      <c r="AD18" s="91"/>
      <c r="AE18" s="99"/>
      <c r="AF18" s="105"/>
      <c r="AG18" s="106"/>
      <c r="AH18" s="114"/>
      <c r="AI18" s="165"/>
      <c r="AJ18" s="139"/>
      <c r="AK18" s="103"/>
      <c r="AL18" s="155"/>
      <c r="AM18" s="109"/>
      <c r="AN18" s="103"/>
      <c r="AO18" s="103"/>
      <c r="AP18" s="110"/>
      <c r="AQ18" s="103"/>
      <c r="AR18" s="103"/>
      <c r="AS18" s="110"/>
      <c r="AT18" s="111"/>
      <c r="AU18" s="111"/>
      <c r="AV18" s="110"/>
      <c r="AW18" s="103"/>
      <c r="AX18" s="111"/>
      <c r="AY18" s="110"/>
      <c r="AZ18" s="103"/>
      <c r="BA18" s="103"/>
      <c r="BB18" s="110"/>
      <c r="BC18" s="103"/>
      <c r="BD18" s="103"/>
      <c r="BE18" s="112"/>
      <c r="BF18" s="103"/>
      <c r="BG18" s="107"/>
      <c r="BH18" s="132"/>
      <c r="BI18" s="114"/>
      <c r="BJ18" s="115"/>
      <c r="BK18" s="116"/>
      <c r="BL18" s="147"/>
      <c r="BM18" s="101"/>
      <c r="BN18" s="118"/>
      <c r="BO18" s="99"/>
      <c r="BP18" s="117"/>
      <c r="BQ18" s="118"/>
      <c r="BR18" s="99"/>
      <c r="BS18" s="117"/>
      <c r="BT18" s="149"/>
      <c r="BU18" s="99"/>
      <c r="BV18" s="119"/>
    </row>
    <row r="19" spans="1:74" x14ac:dyDescent="0.35">
      <c r="A19" s="84" t="s">
        <v>9</v>
      </c>
      <c r="B19" s="150" t="s">
        <v>25</v>
      </c>
      <c r="C19" s="86">
        <f ca="1">_xlfn.MINIFS(19:19,$13:$13,"P.U")</f>
        <v>0</v>
      </c>
      <c r="D19" s="121" t="str">
        <f ca="1">IFERROR(AVERAGEIFS(19:19,$13:$13,"P.U"), "-")</f>
        <v>-</v>
      </c>
      <c r="E19" s="86">
        <f ca="1">_xlfn.MAXIFS(19:19,$13:$13,"P.U")</f>
        <v>0</v>
      </c>
      <c r="F19" s="87" t="s">
        <v>17</v>
      </c>
      <c r="G19" s="122"/>
      <c r="H19" s="123"/>
      <c r="I19" s="167"/>
      <c r="J19" s="88"/>
      <c r="K19" s="125"/>
      <c r="L19" s="91"/>
      <c r="M19" s="88"/>
      <c r="N19" s="92"/>
      <c r="O19" s="93"/>
      <c r="P19" s="94"/>
      <c r="Q19" s="166"/>
      <c r="R19" s="153"/>
      <c r="S19" s="94"/>
      <c r="T19" s="131"/>
      <c r="U19" s="132"/>
      <c r="V19" s="99"/>
      <c r="W19" s="100"/>
      <c r="X19" s="91"/>
      <c r="Y19" s="101"/>
      <c r="Z19" s="102"/>
      <c r="AA19" s="106"/>
      <c r="AB19" s="114"/>
      <c r="AC19" s="164"/>
      <c r="AD19" s="91"/>
      <c r="AE19" s="99"/>
      <c r="AF19" s="105"/>
      <c r="AG19" s="106"/>
      <c r="AH19" s="114"/>
      <c r="AI19" s="165"/>
      <c r="AJ19" s="139"/>
      <c r="AK19" s="103"/>
      <c r="AL19" s="155"/>
      <c r="AM19" s="109"/>
      <c r="AN19" s="103"/>
      <c r="AO19" s="103"/>
      <c r="AP19" s="110"/>
      <c r="AQ19" s="103"/>
      <c r="AR19" s="103"/>
      <c r="AS19" s="110"/>
      <c r="AT19" s="111"/>
      <c r="AU19" s="111"/>
      <c r="AV19" s="110"/>
      <c r="AW19" s="103"/>
      <c r="AX19" s="111"/>
      <c r="AY19" s="110"/>
      <c r="AZ19" s="103"/>
      <c r="BA19" s="103"/>
      <c r="BB19" s="110"/>
      <c r="BC19" s="103"/>
      <c r="BD19" s="103"/>
      <c r="BE19" s="112"/>
      <c r="BF19" s="103"/>
      <c r="BG19" s="107"/>
      <c r="BH19" s="132"/>
      <c r="BI19" s="114"/>
      <c r="BJ19" s="115"/>
      <c r="BK19" s="116"/>
      <c r="BL19" s="147"/>
      <c r="BM19" s="101"/>
      <c r="BN19" s="118"/>
      <c r="BO19" s="99"/>
      <c r="BP19" s="117"/>
      <c r="BQ19" s="118"/>
      <c r="BR19" s="99"/>
      <c r="BS19" s="117"/>
      <c r="BT19" s="149"/>
      <c r="BU19" s="99"/>
      <c r="BV19" s="119"/>
    </row>
    <row r="20" spans="1:74" x14ac:dyDescent="0.35">
      <c r="A20" s="84" t="s">
        <v>9</v>
      </c>
      <c r="B20" s="120" t="s">
        <v>26</v>
      </c>
      <c r="C20" s="86">
        <f ca="1">_xlfn.MINIFS(20:20,$13:$13,"P.U")</f>
        <v>245715.87</v>
      </c>
      <c r="D20" s="121">
        <f ca="1">IFERROR(AVERAGEIFS(20:20,$13:$13,"P.U"), "-")</f>
        <v>1612739.2853125001</v>
      </c>
      <c r="E20" s="86">
        <f ca="1">_xlfn.MAXIFS(20:20,$13:$13,"P.U")</f>
        <v>5920053.0249999948</v>
      </c>
      <c r="F20" s="87" t="s">
        <v>17</v>
      </c>
      <c r="G20" s="122">
        <v>1</v>
      </c>
      <c r="H20" s="123">
        <v>4864068.8899999997</v>
      </c>
      <c r="I20" s="168" t="s">
        <v>17</v>
      </c>
      <c r="J20" s="88">
        <v>1</v>
      </c>
      <c r="K20" s="125">
        <v>1181366.3700000001</v>
      </c>
      <c r="L20" s="91" t="s">
        <v>17</v>
      </c>
      <c r="M20" s="127">
        <v>1</v>
      </c>
      <c r="N20" s="123">
        <v>569233.84</v>
      </c>
      <c r="O20" s="128" t="s">
        <v>17</v>
      </c>
      <c r="P20" s="129">
        <v>1</v>
      </c>
      <c r="Q20" s="169">
        <v>341611.97</v>
      </c>
      <c r="R20" s="151" t="s">
        <v>17</v>
      </c>
      <c r="S20" s="129">
        <v>1</v>
      </c>
      <c r="T20" s="131">
        <v>649878.24</v>
      </c>
      <c r="U20" s="132" t="s">
        <v>17</v>
      </c>
      <c r="V20" s="99">
        <v>1</v>
      </c>
      <c r="W20" s="133">
        <v>5920053.0249999948</v>
      </c>
      <c r="X20" s="134" t="s">
        <v>17</v>
      </c>
      <c r="Y20" s="135">
        <v>1</v>
      </c>
      <c r="Z20" s="136">
        <v>1007464.9</v>
      </c>
      <c r="AA20" s="106" t="s">
        <v>17</v>
      </c>
      <c r="AB20" s="114">
        <v>1</v>
      </c>
      <c r="AC20" s="137">
        <v>957475.5</v>
      </c>
      <c r="AD20" s="91" t="s">
        <v>17</v>
      </c>
      <c r="AE20" s="99">
        <v>1</v>
      </c>
      <c r="AF20" s="170">
        <v>1107511.8</v>
      </c>
      <c r="AG20" s="106" t="s">
        <v>17</v>
      </c>
      <c r="AH20" s="114">
        <v>1</v>
      </c>
      <c r="AI20" s="137">
        <v>851449.6</v>
      </c>
      <c r="AJ20" s="139" t="s">
        <v>17</v>
      </c>
      <c r="AK20" s="103">
        <v>1</v>
      </c>
      <c r="AL20" s="171">
        <v>798659.6</v>
      </c>
      <c r="AM20" s="109"/>
      <c r="AN20" s="103"/>
      <c r="AO20" s="103"/>
      <c r="AP20" s="110"/>
      <c r="AQ20" s="103"/>
      <c r="AR20" s="103"/>
      <c r="AS20" s="110"/>
      <c r="AT20" s="111"/>
      <c r="AU20" s="111"/>
      <c r="AV20" s="110"/>
      <c r="AW20" s="103"/>
      <c r="AX20" s="111"/>
      <c r="AY20" s="110"/>
      <c r="AZ20" s="103"/>
      <c r="BA20" s="103"/>
      <c r="BB20" s="110"/>
      <c r="BC20" s="103"/>
      <c r="BD20" s="103"/>
      <c r="BE20" s="112"/>
      <c r="BF20" s="103"/>
      <c r="BG20" s="107"/>
      <c r="BH20" s="132" t="s">
        <v>17</v>
      </c>
      <c r="BI20" s="114">
        <v>1</v>
      </c>
      <c r="BJ20" s="172">
        <f>4205147.37</f>
        <v>4205147.37</v>
      </c>
      <c r="BK20" s="116" t="s">
        <v>17</v>
      </c>
      <c r="BL20" s="147">
        <v>1</v>
      </c>
      <c r="BM20" s="173">
        <v>852720.87</v>
      </c>
      <c r="BN20" s="118" t="s">
        <v>17</v>
      </c>
      <c r="BO20" s="174">
        <v>1</v>
      </c>
      <c r="BP20" s="175">
        <v>1609295.1</v>
      </c>
      <c r="BQ20" s="118" t="s">
        <v>17</v>
      </c>
      <c r="BR20" s="99">
        <v>1</v>
      </c>
      <c r="BS20" s="175">
        <v>642175.62</v>
      </c>
      <c r="BT20" s="149" t="s">
        <v>17</v>
      </c>
      <c r="BU20" s="99">
        <v>1</v>
      </c>
      <c r="BV20" s="176">
        <v>245715.87</v>
      </c>
    </row>
    <row r="21" spans="1:74" x14ac:dyDescent="0.35">
      <c r="A21" s="84" t="s">
        <v>9</v>
      </c>
      <c r="B21" s="120" t="s">
        <v>27</v>
      </c>
      <c r="C21" s="86">
        <f ca="1">_xlfn.MINIFS(21:21,$13:$13,"P.U")</f>
        <v>5213143</v>
      </c>
      <c r="D21" s="121">
        <f ca="1">IFERROR(AVERAGEIFS(21:21,$13:$13,"P.U"), "-")</f>
        <v>5213143</v>
      </c>
      <c r="E21" s="86">
        <f ca="1">_xlfn.MAXIFS(21:21,$13:$13,"P.U")</f>
        <v>5213143</v>
      </c>
      <c r="F21" s="87"/>
      <c r="G21" s="122"/>
      <c r="H21" s="123"/>
      <c r="I21" s="168"/>
      <c r="J21" s="122"/>
      <c r="K21" s="125"/>
      <c r="L21" s="91"/>
      <c r="M21" s="127"/>
      <c r="N21" s="123"/>
      <c r="O21" s="128"/>
      <c r="P21" s="129"/>
      <c r="Q21" s="169"/>
      <c r="R21" s="151"/>
      <c r="S21" s="129"/>
      <c r="T21" s="131"/>
      <c r="U21" s="132"/>
      <c r="V21" s="99"/>
      <c r="W21" s="133"/>
      <c r="X21" s="134"/>
      <c r="Y21" s="135"/>
      <c r="Z21" s="136"/>
      <c r="AA21" s="106"/>
      <c r="AB21" s="114"/>
      <c r="AC21" s="177"/>
      <c r="AD21" s="91"/>
      <c r="AE21" s="99"/>
      <c r="AF21" s="138"/>
      <c r="AG21" s="106"/>
      <c r="AH21" s="114"/>
      <c r="AI21" s="178"/>
      <c r="AJ21" s="139"/>
      <c r="AK21" s="103"/>
      <c r="AL21" s="171"/>
      <c r="AM21" s="109"/>
      <c r="AN21" s="103"/>
      <c r="AO21" s="103"/>
      <c r="AP21" s="110"/>
      <c r="AQ21" s="103"/>
      <c r="AR21" s="103"/>
      <c r="AS21" s="110"/>
      <c r="AT21" s="111"/>
      <c r="AU21" s="111"/>
      <c r="AV21" s="110"/>
      <c r="AW21" s="103"/>
      <c r="AX21" s="111"/>
      <c r="AY21" s="110"/>
      <c r="AZ21" s="103"/>
      <c r="BA21" s="103"/>
      <c r="BB21" s="110"/>
      <c r="BC21" s="103"/>
      <c r="BD21" s="103"/>
      <c r="BE21" s="112"/>
      <c r="BF21" s="103"/>
      <c r="BG21" s="107"/>
      <c r="BH21" s="132" t="s">
        <v>17</v>
      </c>
      <c r="BI21" s="114">
        <v>1</v>
      </c>
      <c r="BJ21" s="172">
        <v>5213143</v>
      </c>
      <c r="BK21" s="116" t="s">
        <v>17</v>
      </c>
      <c r="BL21" s="147">
        <v>1</v>
      </c>
      <c r="BM21" s="101" t="s">
        <v>28</v>
      </c>
      <c r="BN21" s="118" t="s">
        <v>17</v>
      </c>
      <c r="BO21" s="99">
        <v>1</v>
      </c>
      <c r="BP21" s="117" t="s">
        <v>28</v>
      </c>
      <c r="BQ21" s="118" t="s">
        <v>17</v>
      </c>
      <c r="BR21" s="99">
        <v>1</v>
      </c>
      <c r="BS21" s="117" t="s">
        <v>28</v>
      </c>
      <c r="BT21" s="149" t="s">
        <v>17</v>
      </c>
      <c r="BU21" s="99">
        <v>1</v>
      </c>
      <c r="BV21" s="117" t="s">
        <v>28</v>
      </c>
    </row>
    <row r="22" spans="1:74" x14ac:dyDescent="0.35">
      <c r="A22" s="84" t="s">
        <v>9</v>
      </c>
      <c r="B22" s="120" t="s">
        <v>29</v>
      </c>
      <c r="C22" s="86">
        <f ca="1">_xlfn.MINIFS(22:22,$13:$13,"P.U")</f>
        <v>114300</v>
      </c>
      <c r="D22" s="121">
        <f ca="1">IFERROR(AVERAGEIFS(22:22,$13:$13,"P.U"), "-")</f>
        <v>114300</v>
      </c>
      <c r="E22" s="86">
        <f ca="1">_xlfn.MAXIFS(22:22,$13:$13,"P.U")</f>
        <v>114300</v>
      </c>
      <c r="F22" s="87" t="s">
        <v>17</v>
      </c>
      <c r="G22" s="122">
        <v>1</v>
      </c>
      <c r="H22" s="123">
        <v>114300</v>
      </c>
      <c r="I22" s="87"/>
      <c r="J22" s="122"/>
      <c r="K22" s="90"/>
      <c r="L22" s="91"/>
      <c r="M22" s="88"/>
      <c r="N22" s="92"/>
      <c r="O22" s="179"/>
      <c r="P22" s="94"/>
      <c r="Q22" s="166"/>
      <c r="R22" s="153"/>
      <c r="S22" s="94"/>
      <c r="T22" s="131"/>
      <c r="U22" s="132"/>
      <c r="V22" s="99"/>
      <c r="W22" s="100"/>
      <c r="X22" s="91"/>
      <c r="Y22" s="101"/>
      <c r="Z22" s="102"/>
      <c r="AA22" s="106"/>
      <c r="AB22" s="114"/>
      <c r="AC22" s="164"/>
      <c r="AD22" s="91"/>
      <c r="AE22" s="99"/>
      <c r="AF22" s="105"/>
      <c r="AG22" s="106"/>
      <c r="AH22" s="114"/>
      <c r="AI22" s="165"/>
      <c r="AJ22" s="139"/>
      <c r="AK22" s="103"/>
      <c r="AL22" s="155"/>
      <c r="AM22" s="109"/>
      <c r="AN22" s="103"/>
      <c r="AO22" s="103"/>
      <c r="AP22" s="110"/>
      <c r="AQ22" s="103"/>
      <c r="AR22" s="103"/>
      <c r="AS22" s="110"/>
      <c r="AT22" s="111"/>
      <c r="AU22" s="111"/>
      <c r="AV22" s="110"/>
      <c r="AW22" s="103"/>
      <c r="AX22" s="111"/>
      <c r="AY22" s="110"/>
      <c r="AZ22" s="103"/>
      <c r="BA22" s="103"/>
      <c r="BB22" s="110"/>
      <c r="BC22" s="103"/>
      <c r="BD22" s="103"/>
      <c r="BE22" s="112"/>
      <c r="BF22" s="103"/>
      <c r="BG22" s="107"/>
      <c r="BH22" s="132"/>
      <c r="BI22" s="114"/>
      <c r="BJ22" s="115"/>
      <c r="BK22" s="116"/>
      <c r="BL22" s="147"/>
      <c r="BM22" s="111"/>
      <c r="BN22" s="118"/>
      <c r="BO22" s="99"/>
      <c r="BP22" s="117"/>
      <c r="BQ22" s="118"/>
      <c r="BR22" s="99"/>
      <c r="BS22" s="117"/>
      <c r="BT22" s="149"/>
      <c r="BU22" s="99"/>
      <c r="BV22" s="119"/>
    </row>
    <row r="23" spans="1:74" x14ac:dyDescent="0.35">
      <c r="A23" s="84" t="s">
        <v>9</v>
      </c>
      <c r="B23" s="180" t="s">
        <v>30</v>
      </c>
      <c r="C23" s="86">
        <f ca="1">_xlfn.MINIFS(23:23,$13:$13,"P.U")</f>
        <v>0</v>
      </c>
      <c r="D23" s="121" t="str">
        <f ca="1">IFERROR(AVERAGEIFS(23:23,$13:$13,"P.U"), "-")</f>
        <v>-</v>
      </c>
      <c r="E23" s="86">
        <f ca="1">_xlfn.MAXIFS(23:23,$13:$13,"P.U")</f>
        <v>0</v>
      </c>
      <c r="F23" s="87"/>
      <c r="G23" s="122"/>
      <c r="H23" s="123"/>
      <c r="I23" s="87"/>
      <c r="J23" s="122"/>
      <c r="K23" s="90"/>
      <c r="L23" s="91"/>
      <c r="M23" s="88"/>
      <c r="N23" s="92"/>
      <c r="O23" s="179"/>
      <c r="P23" s="94"/>
      <c r="Q23" s="166"/>
      <c r="R23" s="153"/>
      <c r="S23" s="94"/>
      <c r="T23" s="131"/>
      <c r="U23" s="132"/>
      <c r="V23" s="99"/>
      <c r="W23" s="100"/>
      <c r="X23" s="91"/>
      <c r="Y23" s="101"/>
      <c r="Z23" s="102"/>
      <c r="AA23" s="106"/>
      <c r="AB23" s="114"/>
      <c r="AC23" s="104"/>
      <c r="AD23" s="91"/>
      <c r="AE23" s="99"/>
      <c r="AF23" s="105"/>
      <c r="AG23" s="95"/>
      <c r="AH23" s="114"/>
      <c r="AI23" s="165"/>
      <c r="AJ23" s="139"/>
      <c r="AK23" s="103"/>
      <c r="AL23" s="155"/>
      <c r="AM23" s="109"/>
      <c r="AN23" s="103"/>
      <c r="AO23" s="103"/>
      <c r="AP23" s="110"/>
      <c r="AQ23" s="103"/>
      <c r="AR23" s="103"/>
      <c r="AS23" s="110"/>
      <c r="AT23" s="111"/>
      <c r="AU23" s="111"/>
      <c r="AV23" s="110"/>
      <c r="AW23" s="103"/>
      <c r="AX23" s="111"/>
      <c r="AY23" s="110"/>
      <c r="AZ23" s="103"/>
      <c r="BA23" s="103"/>
      <c r="BB23" s="110"/>
      <c r="BC23" s="103"/>
      <c r="BD23" s="103"/>
      <c r="BE23" s="112"/>
      <c r="BF23" s="103"/>
      <c r="BG23" s="107"/>
      <c r="BH23" s="132"/>
      <c r="BI23" s="114"/>
      <c r="BJ23" s="115"/>
      <c r="BK23" s="116"/>
      <c r="BL23" s="147"/>
      <c r="BM23" s="111"/>
      <c r="BN23" s="118"/>
      <c r="BO23" s="99"/>
      <c r="BP23" s="117"/>
      <c r="BQ23" s="118"/>
      <c r="BR23" s="99"/>
      <c r="BS23" s="117"/>
      <c r="BT23" s="149"/>
      <c r="BU23" s="99"/>
      <c r="BV23" s="119"/>
    </row>
    <row r="24" spans="1:74" x14ac:dyDescent="0.35">
      <c r="A24" s="84" t="s">
        <v>9</v>
      </c>
      <c r="B24" s="181" t="s">
        <v>31</v>
      </c>
      <c r="C24" s="86">
        <f ca="1">_xlfn.MINIFS(24:24,$13:$13,"P.U")</f>
        <v>10080.280000000001</v>
      </c>
      <c r="D24" s="121">
        <f ca="1">IFERROR(AVERAGEIFS(24:24,$13:$13,"P.U"), "-")</f>
        <v>22680.6325</v>
      </c>
      <c r="E24" s="86">
        <f ca="1">_xlfn.MAXIFS(24:24,$13:$13,"P.U")</f>
        <v>35280.99</v>
      </c>
      <c r="F24" s="87"/>
      <c r="G24" s="122"/>
      <c r="H24" s="182"/>
      <c r="I24" s="87" t="s">
        <v>17</v>
      </c>
      <c r="J24" s="122">
        <v>1</v>
      </c>
      <c r="K24" s="183">
        <v>35280.99</v>
      </c>
      <c r="L24" s="91" t="s">
        <v>17</v>
      </c>
      <c r="M24" s="127">
        <v>1</v>
      </c>
      <c r="N24" s="123">
        <v>20160.560000000001</v>
      </c>
      <c r="O24" s="128" t="s">
        <v>17</v>
      </c>
      <c r="P24" s="94">
        <v>1</v>
      </c>
      <c r="Q24" s="169">
        <v>25200.7</v>
      </c>
      <c r="R24" s="151" t="s">
        <v>17</v>
      </c>
      <c r="S24" s="94">
        <v>1</v>
      </c>
      <c r="T24" s="131">
        <v>10080.280000000001</v>
      </c>
      <c r="U24" s="162" t="s">
        <v>22</v>
      </c>
      <c r="V24" s="99"/>
      <c r="W24" s="100"/>
      <c r="X24" s="91" t="s">
        <v>22</v>
      </c>
      <c r="Y24" s="101"/>
      <c r="Z24" s="102"/>
      <c r="AA24" s="106" t="s">
        <v>17</v>
      </c>
      <c r="AB24" s="114"/>
      <c r="AC24" s="104"/>
      <c r="AD24" s="91" t="s">
        <v>22</v>
      </c>
      <c r="AE24" s="99"/>
      <c r="AF24" s="105"/>
      <c r="AG24" s="95"/>
      <c r="AH24" s="114"/>
      <c r="AI24" s="165"/>
      <c r="AJ24" s="139" t="s">
        <v>22</v>
      </c>
      <c r="AK24" s="103"/>
      <c r="AL24" s="155"/>
      <c r="AM24" s="184" t="s">
        <v>22</v>
      </c>
      <c r="AN24" s="103"/>
      <c r="AO24" s="103"/>
      <c r="AP24" s="110"/>
      <c r="AQ24" s="103"/>
      <c r="AR24" s="103"/>
      <c r="AS24" s="110" t="s">
        <v>22</v>
      </c>
      <c r="AT24" s="111"/>
      <c r="AU24" s="111"/>
      <c r="AV24" s="110" t="s">
        <v>22</v>
      </c>
      <c r="AW24" s="103"/>
      <c r="AX24" s="111"/>
      <c r="AY24" s="110" t="s">
        <v>22</v>
      </c>
      <c r="AZ24" s="103"/>
      <c r="BA24" s="103"/>
      <c r="BB24" s="110" t="s">
        <v>22</v>
      </c>
      <c r="BC24" s="103"/>
      <c r="BD24" s="103"/>
      <c r="BE24" s="112" t="s">
        <v>32</v>
      </c>
      <c r="BF24" s="103"/>
      <c r="BG24" s="107"/>
      <c r="BH24" s="132" t="s">
        <v>17</v>
      </c>
      <c r="BI24" s="114">
        <v>1</v>
      </c>
      <c r="BJ24" s="185" t="s">
        <v>22</v>
      </c>
      <c r="BK24" s="186" t="s">
        <v>17</v>
      </c>
      <c r="BL24" s="147">
        <v>1</v>
      </c>
      <c r="BM24" s="101" t="s">
        <v>22</v>
      </c>
      <c r="BN24" s="118" t="s">
        <v>17</v>
      </c>
      <c r="BO24" s="99">
        <v>1</v>
      </c>
      <c r="BP24" s="117" t="s">
        <v>22</v>
      </c>
      <c r="BQ24" s="118" t="s">
        <v>17</v>
      </c>
      <c r="BR24" s="99">
        <v>1</v>
      </c>
      <c r="BS24" s="117" t="s">
        <v>22</v>
      </c>
      <c r="BT24" s="149" t="s">
        <v>17</v>
      </c>
      <c r="BU24" s="99">
        <v>1</v>
      </c>
      <c r="BV24" s="119" t="s">
        <v>22</v>
      </c>
    </row>
    <row r="25" spans="1:74" x14ac:dyDescent="0.35">
      <c r="A25" s="84" t="s">
        <v>9</v>
      </c>
      <c r="B25" s="181" t="s">
        <v>33</v>
      </c>
      <c r="C25" s="86">
        <f ca="1">_xlfn.MINIFS(25:25,$13:$13,"P.U")</f>
        <v>4110.1499999999996</v>
      </c>
      <c r="D25" s="121">
        <f ca="1">IFERROR(AVERAGEIFS(25:25,$13:$13,"P.U"), "-")</f>
        <v>9247.84</v>
      </c>
      <c r="E25" s="86">
        <f ca="1">_xlfn.MAXIFS(25:25,$13:$13,"P.U")</f>
        <v>14385.53</v>
      </c>
      <c r="F25" s="87"/>
      <c r="G25" s="122"/>
      <c r="H25" s="182"/>
      <c r="I25" s="87" t="s">
        <v>17</v>
      </c>
      <c r="J25" s="122">
        <v>1</v>
      </c>
      <c r="K25" s="183">
        <v>14385.53</v>
      </c>
      <c r="L25" s="91" t="s">
        <v>17</v>
      </c>
      <c r="M25" s="127">
        <v>1</v>
      </c>
      <c r="N25" s="123">
        <v>8220.2999999999993</v>
      </c>
      <c r="O25" s="128" t="s">
        <v>17</v>
      </c>
      <c r="P25" s="94">
        <v>1</v>
      </c>
      <c r="Q25" s="169">
        <v>10275.379999999999</v>
      </c>
      <c r="R25" s="151" t="s">
        <v>17</v>
      </c>
      <c r="S25" s="94">
        <v>1</v>
      </c>
      <c r="T25" s="131">
        <v>4110.1499999999996</v>
      </c>
      <c r="U25" s="162" t="s">
        <v>22</v>
      </c>
      <c r="V25" s="99"/>
      <c r="W25" s="100"/>
      <c r="X25" s="91" t="s">
        <v>22</v>
      </c>
      <c r="Y25" s="101"/>
      <c r="Z25" s="102"/>
      <c r="AA25" s="106" t="s">
        <v>17</v>
      </c>
      <c r="AB25" s="114"/>
      <c r="AC25" s="104"/>
      <c r="AD25" s="91" t="s">
        <v>22</v>
      </c>
      <c r="AE25" s="99"/>
      <c r="AF25" s="105"/>
      <c r="AG25" s="95"/>
      <c r="AH25" s="114"/>
      <c r="AI25" s="165"/>
      <c r="AJ25" s="139" t="s">
        <v>22</v>
      </c>
      <c r="AK25" s="103"/>
      <c r="AL25" s="155"/>
      <c r="AM25" s="184" t="s">
        <v>22</v>
      </c>
      <c r="AN25" s="103"/>
      <c r="AO25" s="103"/>
      <c r="AP25" s="110"/>
      <c r="AQ25" s="103"/>
      <c r="AR25" s="103"/>
      <c r="AS25" s="110" t="s">
        <v>22</v>
      </c>
      <c r="AT25" s="111"/>
      <c r="AU25" s="111"/>
      <c r="AV25" s="110" t="s">
        <v>22</v>
      </c>
      <c r="AW25" s="103"/>
      <c r="AX25" s="111"/>
      <c r="AY25" s="110" t="s">
        <v>22</v>
      </c>
      <c r="AZ25" s="103"/>
      <c r="BA25" s="103"/>
      <c r="BB25" s="110" t="s">
        <v>22</v>
      </c>
      <c r="BC25" s="103"/>
      <c r="BD25" s="103"/>
      <c r="BE25" s="112" t="s">
        <v>32</v>
      </c>
      <c r="BF25" s="103"/>
      <c r="BG25" s="107"/>
      <c r="BH25" s="132" t="s">
        <v>17</v>
      </c>
      <c r="BI25" s="114">
        <v>1</v>
      </c>
      <c r="BJ25" s="185" t="s">
        <v>22</v>
      </c>
      <c r="BK25" s="186" t="s">
        <v>17</v>
      </c>
      <c r="BL25" s="147">
        <v>1</v>
      </c>
      <c r="BM25" s="101" t="s">
        <v>22</v>
      </c>
      <c r="BN25" s="118" t="s">
        <v>17</v>
      </c>
      <c r="BO25" s="99">
        <v>1</v>
      </c>
      <c r="BP25" s="117" t="s">
        <v>22</v>
      </c>
      <c r="BQ25" s="118" t="s">
        <v>17</v>
      </c>
      <c r="BR25" s="99">
        <v>1</v>
      </c>
      <c r="BS25" s="117" t="s">
        <v>22</v>
      </c>
      <c r="BT25" s="149" t="s">
        <v>17</v>
      </c>
      <c r="BU25" s="99">
        <v>1</v>
      </c>
      <c r="BV25" s="119" t="s">
        <v>22</v>
      </c>
    </row>
    <row r="26" spans="1:74" x14ac:dyDescent="0.35">
      <c r="A26" s="84" t="s">
        <v>9</v>
      </c>
      <c r="B26" s="187" t="s">
        <v>34</v>
      </c>
      <c r="C26" s="86">
        <f ca="1">_xlfn.MINIFS(26:26,$13:$13,"P.U")</f>
        <v>0</v>
      </c>
      <c r="D26" s="121" t="str">
        <f ca="1">IFERROR(AVERAGEIFS(26:26,$13:$13,"P.U"), "-")</f>
        <v>-</v>
      </c>
      <c r="E26" s="86">
        <f ca="1">_xlfn.MAXIFS(26:26,$13:$13,"P.U")</f>
        <v>0</v>
      </c>
      <c r="F26" s="87"/>
      <c r="G26" s="122"/>
      <c r="H26" s="89"/>
      <c r="I26" s="87"/>
      <c r="J26" s="122"/>
      <c r="K26" s="90"/>
      <c r="L26" s="91"/>
      <c r="M26" s="88"/>
      <c r="N26" s="92"/>
      <c r="O26" s="179"/>
      <c r="P26" s="94"/>
      <c r="Q26" s="166"/>
      <c r="R26" s="153"/>
      <c r="S26" s="94"/>
      <c r="T26" s="131"/>
      <c r="U26" s="132"/>
      <c r="V26" s="99"/>
      <c r="W26" s="100"/>
      <c r="X26" s="91"/>
      <c r="Y26" s="101"/>
      <c r="Z26" s="102"/>
      <c r="AA26" s="106"/>
      <c r="AB26" s="114"/>
      <c r="AC26" s="104"/>
      <c r="AD26" s="91"/>
      <c r="AE26" s="99"/>
      <c r="AF26" s="105"/>
      <c r="AG26" s="106"/>
      <c r="AH26" s="114"/>
      <c r="AI26" s="165"/>
      <c r="AJ26" s="139"/>
      <c r="AK26" s="103"/>
      <c r="AL26" s="155"/>
      <c r="AM26" s="113"/>
      <c r="AN26" s="103"/>
      <c r="AO26" s="103"/>
      <c r="AP26" s="110"/>
      <c r="AQ26" s="103"/>
      <c r="AR26" s="103"/>
      <c r="AS26" s="110"/>
      <c r="AT26" s="111"/>
      <c r="AU26" s="111"/>
      <c r="AV26" s="110"/>
      <c r="AW26" s="103"/>
      <c r="AX26" s="111"/>
      <c r="AY26" s="110"/>
      <c r="AZ26" s="103"/>
      <c r="BA26" s="103"/>
      <c r="BB26" s="110"/>
      <c r="BC26" s="103"/>
      <c r="BD26" s="103"/>
      <c r="BE26" s="112"/>
      <c r="BF26" s="103"/>
      <c r="BG26" s="107"/>
      <c r="BH26" s="132"/>
      <c r="BI26" s="114"/>
      <c r="BJ26" s="115"/>
      <c r="BK26" s="116"/>
      <c r="BL26" s="147"/>
      <c r="BM26" s="111"/>
      <c r="BN26" s="118"/>
      <c r="BO26" s="99"/>
      <c r="BP26" s="117"/>
      <c r="BQ26" s="118"/>
      <c r="BR26" s="99"/>
      <c r="BS26" s="117"/>
      <c r="BT26" s="149"/>
      <c r="BU26" s="99"/>
      <c r="BV26" s="119"/>
    </row>
    <row r="27" spans="1:74" x14ac:dyDescent="0.35">
      <c r="A27" s="84" t="s">
        <v>9</v>
      </c>
      <c r="B27" s="120" t="s">
        <v>35</v>
      </c>
      <c r="C27" s="86">
        <f ca="1">_xlfn.MINIFS(27:27,$13:$13,"P.U")</f>
        <v>2418.87</v>
      </c>
      <c r="D27" s="121">
        <f ca="1">IFERROR(AVERAGEIFS(27:27,$13:$13,"P.U"), "-")</f>
        <v>173597.23826086964</v>
      </c>
      <c r="E27" s="86">
        <f ca="1">_xlfn.MAXIFS(27:27,$13:$13,"P.U")</f>
        <v>1597094.23</v>
      </c>
      <c r="F27" s="87" t="s">
        <v>17</v>
      </c>
      <c r="G27" s="122">
        <v>1</v>
      </c>
      <c r="H27" s="123">
        <v>1597094.23</v>
      </c>
      <c r="I27" s="87" t="s">
        <v>17</v>
      </c>
      <c r="J27" s="122">
        <v>1</v>
      </c>
      <c r="K27" s="183">
        <f>60946.69+75390.63</f>
        <v>136337.32</v>
      </c>
      <c r="L27" s="91" t="s">
        <v>17</v>
      </c>
      <c r="M27" s="127">
        <v>1</v>
      </c>
      <c r="N27" s="166">
        <f>34826.68+43080.36</f>
        <v>77907.040000000008</v>
      </c>
      <c r="O27" s="179" t="s">
        <v>17</v>
      </c>
      <c r="P27" s="94">
        <v>1</v>
      </c>
      <c r="Q27" s="166">
        <f>43533.35+53850.45</f>
        <v>97383.799999999988</v>
      </c>
      <c r="R27" s="188" t="s">
        <v>17</v>
      </c>
      <c r="S27" s="94">
        <v>1</v>
      </c>
      <c r="T27" s="131">
        <f>17413.34+21540.18</f>
        <v>38953.520000000004</v>
      </c>
      <c r="U27" s="132" t="s">
        <v>17</v>
      </c>
      <c r="V27" s="99">
        <v>1</v>
      </c>
      <c r="W27" s="133">
        <f>200526.5+124220.8</f>
        <v>324747.3</v>
      </c>
      <c r="X27" s="91" t="s">
        <v>17</v>
      </c>
      <c r="Y27" s="101">
        <v>1</v>
      </c>
      <c r="Z27" s="102">
        <f>1614.8+807.4</f>
        <v>2422.1999999999998</v>
      </c>
      <c r="AA27" s="106" t="s">
        <v>17</v>
      </c>
      <c r="AB27" s="114">
        <v>1</v>
      </c>
      <c r="AC27" s="189">
        <f>1614.8+807.4</f>
        <v>2422.1999999999998</v>
      </c>
      <c r="AD27" s="87" t="s">
        <v>17</v>
      </c>
      <c r="AE27" s="99">
        <v>1</v>
      </c>
      <c r="AF27" s="105">
        <f>1614.8+807.4</f>
        <v>2422.1999999999998</v>
      </c>
      <c r="AG27" s="106" t="s">
        <v>17</v>
      </c>
      <c r="AH27" s="114">
        <v>1</v>
      </c>
      <c r="AI27" s="165">
        <f>1614.8+807.4</f>
        <v>2422.1999999999998</v>
      </c>
      <c r="AJ27" s="139" t="s">
        <v>17</v>
      </c>
      <c r="AK27" s="103">
        <v>1</v>
      </c>
      <c r="AL27" s="155">
        <f>1614.8+807.4</f>
        <v>2422.1999999999998</v>
      </c>
      <c r="AM27" s="109" t="s">
        <v>17</v>
      </c>
      <c r="AN27" s="103">
        <v>1</v>
      </c>
      <c r="AO27" s="103">
        <f>184936.6+126557.4</f>
        <v>311494</v>
      </c>
      <c r="AP27" s="110" t="s">
        <v>17</v>
      </c>
      <c r="AQ27" s="103">
        <v>1</v>
      </c>
      <c r="AR27" s="103">
        <f>1612.6+806.29</f>
        <v>2418.89</v>
      </c>
      <c r="AS27" s="110" t="s">
        <v>17</v>
      </c>
      <c r="AT27" s="111">
        <v>1</v>
      </c>
      <c r="AU27" s="111">
        <f>1612.6+806.3</f>
        <v>2418.8999999999996</v>
      </c>
      <c r="AV27" s="110" t="s">
        <v>17</v>
      </c>
      <c r="AW27" s="103">
        <v>1</v>
      </c>
      <c r="AX27" s="111">
        <f>1612.58+806.29</f>
        <v>2418.87</v>
      </c>
      <c r="AY27" s="110" t="s">
        <v>17</v>
      </c>
      <c r="AZ27" s="103">
        <v>1</v>
      </c>
      <c r="BA27" s="103">
        <f>1612.58+806.29</f>
        <v>2418.87</v>
      </c>
      <c r="BB27" s="103" t="s">
        <v>17</v>
      </c>
      <c r="BC27" s="103">
        <v>1</v>
      </c>
      <c r="BD27" s="103">
        <f>1612.58+806.29</f>
        <v>2418.87</v>
      </c>
      <c r="BE27" s="95" t="s">
        <v>17</v>
      </c>
      <c r="BF27" s="103">
        <v>1</v>
      </c>
      <c r="BG27" s="107">
        <f>1612.58+806.29</f>
        <v>2418.87</v>
      </c>
      <c r="BH27" s="132" t="s">
        <v>17</v>
      </c>
      <c r="BI27" s="114">
        <v>1</v>
      </c>
      <c r="BJ27" s="115">
        <f>590670+523986</f>
        <v>1114656</v>
      </c>
      <c r="BK27" s="116" t="s">
        <v>17</v>
      </c>
      <c r="BL27" s="147">
        <v>1</v>
      </c>
      <c r="BM27" s="111">
        <f>46927+54918</f>
        <v>101845</v>
      </c>
      <c r="BN27" s="118" t="s">
        <v>17</v>
      </c>
      <c r="BO27" s="99">
        <v>1</v>
      </c>
      <c r="BP27" s="117">
        <f>50809+40095</f>
        <v>90904</v>
      </c>
      <c r="BQ27" s="118" t="s">
        <v>17</v>
      </c>
      <c r="BR27" s="99">
        <v>1</v>
      </c>
      <c r="BS27" s="117">
        <f>18496+22546</f>
        <v>41042</v>
      </c>
      <c r="BT27" s="149" t="s">
        <v>17</v>
      </c>
      <c r="BU27" s="99">
        <v>1</v>
      </c>
      <c r="BV27" s="119">
        <f>17167+16581</f>
        <v>33748</v>
      </c>
    </row>
    <row r="28" spans="1:74" x14ac:dyDescent="0.35">
      <c r="A28" s="84" t="s">
        <v>9</v>
      </c>
      <c r="B28" s="120" t="s">
        <v>36</v>
      </c>
      <c r="C28" s="86">
        <f ca="1">_xlfn.MINIFS(28:28,$13:$13,"P.U")</f>
        <v>38335</v>
      </c>
      <c r="D28" s="121">
        <f ca="1">IFERROR(AVERAGEIFS(28:28,$13:$13,"P.U"), "-")</f>
        <v>360643.79565217393</v>
      </c>
      <c r="E28" s="86">
        <f ca="1">_xlfn.MAXIFS(28:28,$13:$13,"P.U")</f>
        <v>2192133</v>
      </c>
      <c r="F28" s="87" t="s">
        <v>17</v>
      </c>
      <c r="G28" s="122">
        <v>1</v>
      </c>
      <c r="H28" s="123">
        <v>2097625.2799999998</v>
      </c>
      <c r="I28" s="87" t="s">
        <v>17</v>
      </c>
      <c r="J28" s="122">
        <v>1</v>
      </c>
      <c r="K28" s="183">
        <v>151879</v>
      </c>
      <c r="L28" s="91" t="s">
        <v>17</v>
      </c>
      <c r="M28" s="127">
        <v>1</v>
      </c>
      <c r="N28" s="123">
        <v>86788</v>
      </c>
      <c r="O28" s="179" t="s">
        <v>17</v>
      </c>
      <c r="P28" s="94">
        <v>1</v>
      </c>
      <c r="Q28" s="123">
        <v>108485</v>
      </c>
      <c r="R28" s="188" t="s">
        <v>17</v>
      </c>
      <c r="S28" s="88">
        <v>1</v>
      </c>
      <c r="T28" s="131">
        <v>43394</v>
      </c>
      <c r="U28" s="132" t="s">
        <v>17</v>
      </c>
      <c r="V28" s="99">
        <v>1</v>
      </c>
      <c r="W28" s="133">
        <v>1655039.5</v>
      </c>
      <c r="X28" s="91" t="s">
        <v>17</v>
      </c>
      <c r="Y28" s="101">
        <v>1</v>
      </c>
      <c r="Z28" s="102">
        <f>67786+21659.2</f>
        <v>89445.2</v>
      </c>
      <c r="AA28" s="106" t="s">
        <v>17</v>
      </c>
      <c r="AB28" s="114">
        <v>1</v>
      </c>
      <c r="AC28" s="189">
        <f>46751.4+18791.2</f>
        <v>65542.600000000006</v>
      </c>
      <c r="AD28" s="87" t="s">
        <v>17</v>
      </c>
      <c r="AE28" s="99">
        <v>1</v>
      </c>
      <c r="AF28" s="105">
        <f>62497.1+21416.5</f>
        <v>83913.600000000006</v>
      </c>
      <c r="AG28" s="106" t="s">
        <v>17</v>
      </c>
      <c r="AH28" s="114">
        <v>1</v>
      </c>
      <c r="AI28" s="165">
        <f>62830.8+17208.6</f>
        <v>80039.399999999994</v>
      </c>
      <c r="AJ28" s="139" t="s">
        <v>17</v>
      </c>
      <c r="AK28" s="103">
        <v>1</v>
      </c>
      <c r="AL28" s="155">
        <f>62557.7+19458.7</f>
        <v>82016.399999999994</v>
      </c>
      <c r="AM28" s="109" t="s">
        <v>17</v>
      </c>
      <c r="AN28" s="103">
        <v>1</v>
      </c>
      <c r="AO28" s="103">
        <f>491633.4+200535.6+101034.7</f>
        <v>793203.7</v>
      </c>
      <c r="AP28" s="110" t="s">
        <v>17</v>
      </c>
      <c r="AQ28" s="103">
        <v>1</v>
      </c>
      <c r="AR28" s="103">
        <v>67204.399999999994</v>
      </c>
      <c r="AS28" s="110" t="s">
        <v>17</v>
      </c>
      <c r="AT28" s="111">
        <v>1</v>
      </c>
      <c r="AU28" s="111">
        <f>46703.5+18783.1</f>
        <v>65486.6</v>
      </c>
      <c r="AV28" s="110" t="s">
        <v>17</v>
      </c>
      <c r="AW28" s="103">
        <v>1</v>
      </c>
      <c r="AX28" s="111">
        <f>56782.12+25321.05</f>
        <v>82103.17</v>
      </c>
      <c r="AY28" s="110" t="s">
        <v>17</v>
      </c>
      <c r="AZ28" s="103">
        <v>1</v>
      </c>
      <c r="BA28" s="103">
        <f>48719.22+20921.51</f>
        <v>69640.73</v>
      </c>
      <c r="BB28" s="103" t="s">
        <v>17</v>
      </c>
      <c r="BC28" s="103">
        <v>1</v>
      </c>
      <c r="BD28" s="103">
        <f>41664.18+17652.52</f>
        <v>59316.7</v>
      </c>
      <c r="BE28" s="95" t="s">
        <v>17</v>
      </c>
      <c r="BF28" s="103">
        <v>1</v>
      </c>
      <c r="BG28" s="107">
        <f>54766.39+23182.63</f>
        <v>77949.02</v>
      </c>
      <c r="BH28" s="132" t="s">
        <v>17</v>
      </c>
      <c r="BI28" s="114">
        <v>1</v>
      </c>
      <c r="BJ28" s="115">
        <v>2192133</v>
      </c>
      <c r="BK28" s="116" t="s">
        <v>17</v>
      </c>
      <c r="BL28" s="147">
        <v>1</v>
      </c>
      <c r="BM28" s="111">
        <f>823+49845+1204+2128+20798+13900+5925+12589</f>
        <v>107212</v>
      </c>
      <c r="BN28" s="118" t="s">
        <v>17</v>
      </c>
      <c r="BO28" s="99">
        <v>1</v>
      </c>
      <c r="BP28" s="117">
        <f>31701+658+43214+3237+2347+20798+13900+7777+19330</f>
        <v>142962</v>
      </c>
      <c r="BQ28" s="118" t="s">
        <v>17</v>
      </c>
      <c r="BR28" s="99">
        <v>1</v>
      </c>
      <c r="BS28" s="117">
        <f>205+17903+282+398+7587+5038+1496+5426</f>
        <v>38335</v>
      </c>
      <c r="BT28" s="149" t="s">
        <v>17</v>
      </c>
      <c r="BU28" s="99">
        <v>1</v>
      </c>
      <c r="BV28" s="119">
        <f>13592+265+18219+491+457+7587+5038+2043+7401</f>
        <v>55093</v>
      </c>
    </row>
    <row r="29" spans="1:74" x14ac:dyDescent="0.35">
      <c r="A29" s="84" t="s">
        <v>9</v>
      </c>
      <c r="B29" s="120" t="s">
        <v>37</v>
      </c>
      <c r="C29" s="86">
        <f ca="1">_xlfn.MINIFS(29:29,$13:$13,"P.U")</f>
        <v>1511.79</v>
      </c>
      <c r="D29" s="121">
        <f ca="1">IFERROR(AVERAGEIFS(29:29,$13:$13,"P.U"), "-")</f>
        <v>11110.74722222222</v>
      </c>
      <c r="E29" s="86">
        <f ca="1">_xlfn.MAXIFS(29:29,$13:$13,"P.U")</f>
        <v>137902.92000000001</v>
      </c>
      <c r="F29" s="87" t="s">
        <v>17</v>
      </c>
      <c r="G29" s="122">
        <v>1</v>
      </c>
      <c r="H29" s="123">
        <v>137902.92000000001</v>
      </c>
      <c r="I29" s="87" t="s">
        <v>17</v>
      </c>
      <c r="J29" s="122">
        <v>1</v>
      </c>
      <c r="K29" s="183">
        <v>11772.2</v>
      </c>
      <c r="L29" s="91" t="s">
        <v>17</v>
      </c>
      <c r="M29" s="127">
        <v>1</v>
      </c>
      <c r="N29" s="182">
        <v>6726.97</v>
      </c>
      <c r="O29" s="179" t="s">
        <v>17</v>
      </c>
      <c r="P29" s="94">
        <v>1</v>
      </c>
      <c r="Q29" s="123">
        <v>8408.7099999999991</v>
      </c>
      <c r="R29" s="188" t="s">
        <v>17</v>
      </c>
      <c r="S29" s="94">
        <v>1</v>
      </c>
      <c r="T29" s="190">
        <v>3363.49</v>
      </c>
      <c r="U29" s="132" t="s">
        <v>17</v>
      </c>
      <c r="V29" s="99">
        <v>1</v>
      </c>
      <c r="W29" s="133">
        <v>7569.4</v>
      </c>
      <c r="X29" s="91" t="s">
        <v>17</v>
      </c>
      <c r="Y29" s="101">
        <v>1</v>
      </c>
      <c r="Z29" s="182">
        <v>1513.9</v>
      </c>
      <c r="AA29" s="106" t="s">
        <v>17</v>
      </c>
      <c r="AB29" s="114">
        <v>1</v>
      </c>
      <c r="AC29" s="191">
        <v>1513.9</v>
      </c>
      <c r="AD29" s="87" t="s">
        <v>17</v>
      </c>
      <c r="AE29" s="99">
        <v>1</v>
      </c>
      <c r="AF29" s="105">
        <v>1564.4</v>
      </c>
      <c r="AG29" s="106" t="s">
        <v>17</v>
      </c>
      <c r="AH29" s="114">
        <v>1</v>
      </c>
      <c r="AI29" s="137">
        <v>1513.9</v>
      </c>
      <c r="AJ29" s="139" t="s">
        <v>17</v>
      </c>
      <c r="AK29" s="103">
        <v>1</v>
      </c>
      <c r="AL29" s="155">
        <v>1513.9</v>
      </c>
      <c r="AM29" s="109" t="s">
        <v>17</v>
      </c>
      <c r="AN29" s="103">
        <v>1</v>
      </c>
      <c r="AO29" s="103">
        <v>7559</v>
      </c>
      <c r="AP29" s="110" t="s">
        <v>17</v>
      </c>
      <c r="AQ29" s="103">
        <v>1</v>
      </c>
      <c r="AR29" s="103">
        <v>1511.8</v>
      </c>
      <c r="AS29" s="110" t="s">
        <v>17</v>
      </c>
      <c r="AT29" s="111">
        <v>1</v>
      </c>
      <c r="AU29" s="192">
        <v>1511.8</v>
      </c>
      <c r="AV29" s="110" t="s">
        <v>17</v>
      </c>
      <c r="AW29" s="103">
        <v>1</v>
      </c>
      <c r="AX29" s="143">
        <v>1511.79</v>
      </c>
      <c r="AY29" s="110" t="s">
        <v>17</v>
      </c>
      <c r="AZ29" s="103">
        <v>1</v>
      </c>
      <c r="BA29" s="142">
        <v>1511.79</v>
      </c>
      <c r="BB29" s="103" t="s">
        <v>17</v>
      </c>
      <c r="BC29" s="103">
        <v>1</v>
      </c>
      <c r="BD29" s="142">
        <v>1511.79</v>
      </c>
      <c r="BE29" s="95" t="s">
        <v>17</v>
      </c>
      <c r="BF29" s="108">
        <v>1</v>
      </c>
      <c r="BG29" s="145">
        <v>1511.79</v>
      </c>
      <c r="BH29" s="132" t="s">
        <v>17</v>
      </c>
      <c r="BI29" s="114">
        <v>1</v>
      </c>
      <c r="BJ29" s="115" t="s">
        <v>22</v>
      </c>
      <c r="BK29" s="116" t="s">
        <v>17</v>
      </c>
      <c r="BL29" s="147">
        <v>1</v>
      </c>
      <c r="BM29" s="101" t="s">
        <v>22</v>
      </c>
      <c r="BN29" s="118" t="s">
        <v>17</v>
      </c>
      <c r="BO29" s="99">
        <v>1</v>
      </c>
      <c r="BP29" s="117" t="s">
        <v>22</v>
      </c>
      <c r="BQ29" s="118" t="s">
        <v>17</v>
      </c>
      <c r="BR29" s="99">
        <v>1</v>
      </c>
      <c r="BS29" s="117" t="s">
        <v>22</v>
      </c>
      <c r="BT29" s="149" t="s">
        <v>17</v>
      </c>
      <c r="BU29" s="99">
        <v>1</v>
      </c>
      <c r="BV29" s="119" t="s">
        <v>22</v>
      </c>
    </row>
    <row r="30" spans="1:74" x14ac:dyDescent="0.35">
      <c r="A30" s="84" t="s">
        <v>9</v>
      </c>
      <c r="B30" s="120" t="s">
        <v>38</v>
      </c>
      <c r="C30" s="86">
        <f ca="1">_xlfn.MINIFS(30:30,$13:$13,"P.U")</f>
        <v>2018</v>
      </c>
      <c r="D30" s="121">
        <f ca="1">IFERROR(AVERAGEIFS(30:30,$13:$13,"P.U"), "-")</f>
        <v>33063.685454545455</v>
      </c>
      <c r="E30" s="86">
        <f ca="1">_xlfn.MAXIFS(30:30,$13:$13,"P.U")</f>
        <v>382016.89</v>
      </c>
      <c r="F30" s="87" t="s">
        <v>17</v>
      </c>
      <c r="G30" s="122">
        <v>1</v>
      </c>
      <c r="H30" s="123">
        <v>382016.89</v>
      </c>
      <c r="I30" s="87" t="s">
        <v>17</v>
      </c>
      <c r="J30" s="122">
        <v>1</v>
      </c>
      <c r="K30" s="183">
        <v>18225.669999999998</v>
      </c>
      <c r="L30" s="91" t="s">
        <v>17</v>
      </c>
      <c r="M30" s="127">
        <v>1</v>
      </c>
      <c r="N30" s="182">
        <v>10414.67</v>
      </c>
      <c r="O30" s="179" t="s">
        <v>17</v>
      </c>
      <c r="P30" s="94">
        <v>1</v>
      </c>
      <c r="Q30" s="123">
        <v>13018.34</v>
      </c>
      <c r="R30" s="188" t="s">
        <v>17</v>
      </c>
      <c r="S30" s="94">
        <v>1</v>
      </c>
      <c r="T30" s="190">
        <v>5207.33</v>
      </c>
      <c r="U30" s="132" t="s">
        <v>17</v>
      </c>
      <c r="V30" s="99">
        <v>1</v>
      </c>
      <c r="W30" s="133">
        <v>38153.599999999999</v>
      </c>
      <c r="X30" s="91" t="s">
        <v>17</v>
      </c>
      <c r="Y30" s="101">
        <v>1</v>
      </c>
      <c r="Z30" s="182">
        <f>9893.2+4037</f>
        <v>13930.2</v>
      </c>
      <c r="AA30" s="106" t="s">
        <v>17</v>
      </c>
      <c r="AB30" s="114">
        <v>1</v>
      </c>
      <c r="AC30" s="191">
        <f>7409.7+4037</f>
        <v>11446.7</v>
      </c>
      <c r="AD30" s="87" t="s">
        <v>17</v>
      </c>
      <c r="AE30" s="99">
        <v>1</v>
      </c>
      <c r="AF30" s="105">
        <f>9409+4037</f>
        <v>13446</v>
      </c>
      <c r="AG30" s="106" t="s">
        <v>17</v>
      </c>
      <c r="AH30" s="114">
        <v>1</v>
      </c>
      <c r="AI30" s="165">
        <f>9086.4+4037</f>
        <v>13123.4</v>
      </c>
      <c r="AJ30" s="139" t="s">
        <v>17</v>
      </c>
      <c r="AK30" s="103">
        <v>1</v>
      </c>
      <c r="AL30" s="155">
        <f>9409+4037</f>
        <v>13446</v>
      </c>
      <c r="AM30" s="109" t="s">
        <v>22</v>
      </c>
      <c r="AN30" s="103">
        <v>1</v>
      </c>
      <c r="AO30" s="103"/>
      <c r="AP30" s="110" t="s">
        <v>17</v>
      </c>
      <c r="AQ30" s="103">
        <v>1</v>
      </c>
      <c r="AR30" s="103">
        <f>7620.4+4031.5</f>
        <v>11651.9</v>
      </c>
      <c r="AS30" s="110" t="s">
        <v>17</v>
      </c>
      <c r="AT30" s="111">
        <v>1</v>
      </c>
      <c r="AU30" s="111">
        <f>7006.9+4031.5</f>
        <v>11038.4</v>
      </c>
      <c r="AV30" s="110" t="s">
        <v>17</v>
      </c>
      <c r="AW30" s="103">
        <v>1</v>
      </c>
      <c r="AX30" s="143">
        <f>10131.23+4031.45</f>
        <v>14162.68</v>
      </c>
      <c r="AY30" s="110" t="s">
        <v>17</v>
      </c>
      <c r="AZ30" s="103">
        <v>1</v>
      </c>
      <c r="BA30" s="142">
        <v>7410</v>
      </c>
      <c r="BB30" s="103" t="s">
        <v>17</v>
      </c>
      <c r="BC30" s="103">
        <v>1</v>
      </c>
      <c r="BD30" s="142">
        <f>6402.14+4031.45</f>
        <v>10433.59</v>
      </c>
      <c r="BE30" s="95" t="s">
        <v>17</v>
      </c>
      <c r="BF30" s="108">
        <v>1</v>
      </c>
      <c r="BG30" s="145">
        <f>8921.79+4031.45</f>
        <v>12953.240000000002</v>
      </c>
      <c r="BH30" s="132" t="s">
        <v>17</v>
      </c>
      <c r="BI30" s="114">
        <v>1</v>
      </c>
      <c r="BJ30" s="115">
        <v>109237.47</v>
      </c>
      <c r="BK30" s="116" t="s">
        <v>17</v>
      </c>
      <c r="BL30" s="147">
        <v>1</v>
      </c>
      <c r="BM30" s="143">
        <v>5643</v>
      </c>
      <c r="BN30" s="118" t="s">
        <v>17</v>
      </c>
      <c r="BO30" s="99">
        <v>1</v>
      </c>
      <c r="BP30" s="117">
        <v>7525</v>
      </c>
      <c r="BQ30" s="118" t="s">
        <v>17</v>
      </c>
      <c r="BR30" s="99">
        <v>1</v>
      </c>
      <c r="BS30" s="117">
        <v>2018</v>
      </c>
      <c r="BT30" s="149" t="s">
        <v>17</v>
      </c>
      <c r="BU30" s="99">
        <v>1</v>
      </c>
      <c r="BV30" s="193">
        <v>2899</v>
      </c>
    </row>
    <row r="31" spans="1:74" x14ac:dyDescent="0.35">
      <c r="A31" s="84" t="s">
        <v>9</v>
      </c>
      <c r="B31" s="187" t="s">
        <v>39</v>
      </c>
      <c r="C31" s="121">
        <f ca="1">_xlfn.MINIFS(31:31,$13:$13,"P.U")</f>
        <v>0</v>
      </c>
      <c r="D31" s="121" t="str">
        <f ca="1">IFERROR(AVERAGEIFS(31:31,$13:$13,"P.U"), "-")</f>
        <v>-</v>
      </c>
      <c r="E31" s="121">
        <f ca="1">_xlfn.MAXIFS(31:31,$13:$13,"P.U")</f>
        <v>0</v>
      </c>
      <c r="F31" s="87"/>
      <c r="G31" s="122"/>
      <c r="H31" s="89"/>
      <c r="I31" s="87"/>
      <c r="J31" s="122"/>
      <c r="K31" s="90"/>
      <c r="L31" s="91"/>
      <c r="M31" s="88"/>
      <c r="N31" s="92"/>
      <c r="O31" s="179"/>
      <c r="P31" s="94"/>
      <c r="Q31" s="92"/>
      <c r="R31" s="153"/>
      <c r="S31" s="94"/>
      <c r="T31" s="97"/>
      <c r="U31" s="132"/>
      <c r="V31" s="99"/>
      <c r="W31" s="133"/>
      <c r="X31" s="91"/>
      <c r="Y31" s="101"/>
      <c r="Z31" s="102"/>
      <c r="AA31" s="106"/>
      <c r="AB31" s="103"/>
      <c r="AC31" s="104"/>
      <c r="AD31" s="91"/>
      <c r="AE31" s="99"/>
      <c r="AF31" s="105"/>
      <c r="AG31" s="106"/>
      <c r="AH31" s="114"/>
      <c r="AI31" s="165"/>
      <c r="AJ31" s="139"/>
      <c r="AK31" s="103"/>
      <c r="AL31" s="155"/>
      <c r="AM31" s="109"/>
      <c r="AN31" s="103"/>
      <c r="AO31" s="103"/>
      <c r="AP31" s="110"/>
      <c r="AQ31" s="103"/>
      <c r="AR31" s="103"/>
      <c r="AS31" s="110"/>
      <c r="AT31" s="111"/>
      <c r="AU31" s="111"/>
      <c r="AV31" s="110"/>
      <c r="AW31" s="103"/>
      <c r="AX31" s="110"/>
      <c r="AY31" s="110"/>
      <c r="AZ31" s="103"/>
      <c r="BA31" s="103"/>
      <c r="BB31" s="110"/>
      <c r="BC31" s="103"/>
      <c r="BD31" s="103"/>
      <c r="BE31" s="112"/>
      <c r="BF31" s="103"/>
      <c r="BG31" s="107"/>
      <c r="BH31" s="132"/>
      <c r="BI31" s="114"/>
      <c r="BJ31" s="115"/>
      <c r="BK31" s="116"/>
      <c r="BL31" s="114"/>
      <c r="BM31" s="111"/>
      <c r="BN31" s="118"/>
      <c r="BO31" s="99"/>
      <c r="BP31" s="117"/>
      <c r="BQ31" s="118"/>
      <c r="BR31" s="99"/>
      <c r="BS31" s="117"/>
      <c r="BT31" s="149"/>
      <c r="BU31" s="99"/>
      <c r="BV31" s="119"/>
    </row>
  </sheetData>
  <mergeCells count="28">
    <mergeCell ref="BH6:BJ6"/>
    <mergeCell ref="BK6:BM6"/>
    <mergeCell ref="BN6:BP6"/>
    <mergeCell ref="BQ6:BS6"/>
    <mergeCell ref="BT6:BV6"/>
    <mergeCell ref="A8:B8"/>
    <mergeCell ref="AP6:AR6"/>
    <mergeCell ref="AS6:AU6"/>
    <mergeCell ref="AV6:AX6"/>
    <mergeCell ref="AY6:BA6"/>
    <mergeCell ref="BB6:BD6"/>
    <mergeCell ref="BE6:BG6"/>
    <mergeCell ref="X6:Z6"/>
    <mergeCell ref="AA6:AC6"/>
    <mergeCell ref="AD6:AF6"/>
    <mergeCell ref="AG6:AI6"/>
    <mergeCell ref="AJ6:AL6"/>
    <mergeCell ref="AM6:AO6"/>
    <mergeCell ref="F5:T5"/>
    <mergeCell ref="U5:AL5"/>
    <mergeCell ref="AM5:BG5"/>
    <mergeCell ref="BH5:BV5"/>
    <mergeCell ref="F6:H6"/>
    <mergeCell ref="I6:K6"/>
    <mergeCell ref="L6:N6"/>
    <mergeCell ref="O6:Q6"/>
    <mergeCell ref="R6:T6"/>
    <mergeCell ref="U6:W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TIR Mehdi</dc:creator>
  <cp:lastModifiedBy>TIR Mehdi</cp:lastModifiedBy>
  <dcterms:created xsi:type="dcterms:W3CDTF">2015-06-05T18:19:34Z</dcterms:created>
  <dcterms:modified xsi:type="dcterms:W3CDTF">2024-05-15T14:44:44Z</dcterms:modified>
</cp:coreProperties>
</file>