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ables/table1.xml" ContentType="application/vnd.openxmlformats-officedocument.spreadsheetml.table+xml"/>
  <Override PartName="/xl/comments4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R09127\Desktop\"/>
    </mc:Choice>
  </mc:AlternateContent>
  <xr:revisionPtr revIDLastSave="0" documentId="13_ncr:1_{9AEBFA4C-0CF4-4CE1-A86B-DC8078B4297E}" xr6:coauthVersionLast="47" xr6:coauthVersionMax="47" xr10:uidLastSave="{00000000-0000-0000-0000-000000000000}"/>
  <bookViews>
    <workbookView xWindow="-120" yWindow="-120" windowWidth="24240" windowHeight="13140" tabRatio="798" xr2:uid="{2DD161FD-4496-4022-A4B7-4EA5B00B74A4}"/>
  </bookViews>
  <sheets>
    <sheet name="SIMULATION" sheetId="3" r:id="rId1"/>
    <sheet name="ASSURANCE" sheetId="25" r:id="rId2"/>
    <sheet name="TA" sheetId="20" r:id="rId3"/>
    <sheet name="PIECE COMPTABLE CHF" sheetId="7" state="hidden" r:id="rId4"/>
    <sheet name="PERTE ET PROFIT CHF" sheetId="8" state="hidden" r:id="rId5"/>
  </sheets>
  <definedNames>
    <definedName name="_xleta.OR" hidden="1" xlm="1">#NAME?</definedName>
    <definedName name="CCI">#REF!</definedName>
    <definedName name="Copie">#REF!</definedName>
    <definedName name="Destinataires">#REF!</definedName>
    <definedName name="Expediteurs">#REF!</definedName>
    <definedName name="_xlnm.Print_Area" localSheetId="4">'PERTE ET PROFIT CHF'!$B$1:$N$54</definedName>
    <definedName name="_xlnm.Print_Area" localSheetId="3">'PIECE COMPTABLE CHF'!$B$1:$I$53</definedName>
    <definedName name="_xlnm.Print_Area" localSheetId="0">SIMULATION!$D$2:$I$14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3" l="1"/>
  <c r="C9" i="25"/>
  <c r="C12" i="25" s="1"/>
  <c r="C13" i="25" s="1"/>
  <c r="J4" i="25"/>
  <c r="G22" i="25" s="1"/>
  <c r="F22" i="25" s="1"/>
  <c r="F8" i="25" s="1"/>
  <c r="G8" i="25" s="1"/>
  <c r="G77" i="25" l="1"/>
  <c r="F77" i="25" s="1"/>
  <c r="R15" i="25" s="1"/>
  <c r="S15" i="25" s="1"/>
  <c r="G61" i="25"/>
  <c r="F61" i="25" s="1"/>
  <c r="O11" i="25" s="1"/>
  <c r="P11" i="25" s="1"/>
  <c r="G45" i="25"/>
  <c r="F45" i="25" s="1"/>
  <c r="L7" i="25" s="1"/>
  <c r="M7" i="25" s="1"/>
  <c r="G68" i="25"/>
  <c r="F68" i="25" s="1"/>
  <c r="O18" i="25" s="1"/>
  <c r="P18" i="25" s="1"/>
  <c r="G36" i="25"/>
  <c r="F36" i="25" s="1"/>
  <c r="I10" i="25" s="1"/>
  <c r="J10" i="25" s="1"/>
  <c r="G67" i="25"/>
  <c r="F67" i="25" s="1"/>
  <c r="O17" i="25" s="1"/>
  <c r="P17" i="25" s="1"/>
  <c r="G43" i="25"/>
  <c r="F43" i="25" s="1"/>
  <c r="I17" i="25" s="1"/>
  <c r="J17" i="25" s="1"/>
  <c r="G74" i="25"/>
  <c r="F74" i="25" s="1"/>
  <c r="R12" i="25" s="1"/>
  <c r="S12" i="25" s="1"/>
  <c r="G58" i="25"/>
  <c r="F58" i="25" s="1"/>
  <c r="O8" i="25" s="1"/>
  <c r="P8" i="25" s="1"/>
  <c r="G34" i="25"/>
  <c r="F34" i="25" s="1"/>
  <c r="I8" i="25" s="1"/>
  <c r="J8" i="25" s="1"/>
  <c r="G21" i="25"/>
  <c r="F21" i="25" s="1"/>
  <c r="F7" i="25" s="1"/>
  <c r="G73" i="25"/>
  <c r="F73" i="25" s="1"/>
  <c r="R11" i="25" s="1"/>
  <c r="S11" i="25" s="1"/>
  <c r="G65" i="25"/>
  <c r="F65" i="25" s="1"/>
  <c r="O15" i="25" s="1"/>
  <c r="P15" i="25" s="1"/>
  <c r="G57" i="25"/>
  <c r="F57" i="25" s="1"/>
  <c r="O7" i="25" s="1"/>
  <c r="P7" i="25" s="1"/>
  <c r="G49" i="25"/>
  <c r="F49" i="25" s="1"/>
  <c r="L11" i="25" s="1"/>
  <c r="M11" i="25" s="1"/>
  <c r="G41" i="25"/>
  <c r="F41" i="25" s="1"/>
  <c r="I15" i="25" s="1"/>
  <c r="J15" i="25" s="1"/>
  <c r="G33" i="25"/>
  <c r="G25" i="25"/>
  <c r="F25" i="25" s="1"/>
  <c r="F11" i="25" s="1"/>
  <c r="G11" i="25" s="1"/>
  <c r="G52" i="25"/>
  <c r="F52" i="25" s="1"/>
  <c r="L14" i="25" s="1"/>
  <c r="M14" i="25" s="1"/>
  <c r="G28" i="25"/>
  <c r="F28" i="25" s="1"/>
  <c r="F14" i="25" s="1"/>
  <c r="G14" i="25" s="1"/>
  <c r="G59" i="25"/>
  <c r="F59" i="25" s="1"/>
  <c r="O9" i="25" s="1"/>
  <c r="P9" i="25" s="1"/>
  <c r="G51" i="25"/>
  <c r="F51" i="25" s="1"/>
  <c r="L13" i="25" s="1"/>
  <c r="M13" i="25" s="1"/>
  <c r="G35" i="25"/>
  <c r="F35" i="25" s="1"/>
  <c r="I9" i="25" s="1"/>
  <c r="J9" i="25" s="1"/>
  <c r="G27" i="25"/>
  <c r="G66" i="25"/>
  <c r="F66" i="25" s="1"/>
  <c r="O16" i="25" s="1"/>
  <c r="P16" i="25" s="1"/>
  <c r="G50" i="25"/>
  <c r="F50" i="25" s="1"/>
  <c r="L12" i="25" s="1"/>
  <c r="M12" i="25" s="1"/>
  <c r="G42" i="25"/>
  <c r="F42" i="25" s="1"/>
  <c r="I16" i="25" s="1"/>
  <c r="J16" i="25" s="1"/>
  <c r="G26" i="25"/>
  <c r="F26" i="25" s="1"/>
  <c r="F12" i="25" s="1"/>
  <c r="G12" i="25" s="1"/>
  <c r="G80" i="25"/>
  <c r="F80" i="25" s="1"/>
  <c r="R18" i="25" s="1"/>
  <c r="S18" i="25" s="1"/>
  <c r="G72" i="25"/>
  <c r="F72" i="25" s="1"/>
  <c r="R10" i="25" s="1"/>
  <c r="S10" i="25" s="1"/>
  <c r="G64" i="25"/>
  <c r="F64" i="25" s="1"/>
  <c r="O14" i="25" s="1"/>
  <c r="P14" i="25" s="1"/>
  <c r="G56" i="25"/>
  <c r="F56" i="25" s="1"/>
  <c r="L18" i="25" s="1"/>
  <c r="M18" i="25" s="1"/>
  <c r="G48" i="25"/>
  <c r="F48" i="25" s="1"/>
  <c r="L10" i="25" s="1"/>
  <c r="M10" i="25" s="1"/>
  <c r="G40" i="25"/>
  <c r="F40" i="25" s="1"/>
  <c r="I14" i="25" s="1"/>
  <c r="J14" i="25" s="1"/>
  <c r="G32" i="25"/>
  <c r="G24" i="25"/>
  <c r="F24" i="25" s="1"/>
  <c r="F10" i="25" s="1"/>
  <c r="G10" i="25" s="1"/>
  <c r="G69" i="25"/>
  <c r="F69" i="25" s="1"/>
  <c r="R7" i="25" s="1"/>
  <c r="S7" i="25" s="1"/>
  <c r="G53" i="25"/>
  <c r="F53" i="25" s="1"/>
  <c r="L15" i="25" s="1"/>
  <c r="M15" i="25" s="1"/>
  <c r="G37" i="25"/>
  <c r="F37" i="25" s="1"/>
  <c r="I11" i="25" s="1"/>
  <c r="J11" i="25" s="1"/>
  <c r="G60" i="25"/>
  <c r="F60" i="25" s="1"/>
  <c r="O10" i="25" s="1"/>
  <c r="P10" i="25" s="1"/>
  <c r="G31" i="25"/>
  <c r="F31" i="25" s="1"/>
  <c r="F17" i="25" s="1"/>
  <c r="G17" i="25" s="1"/>
  <c r="G23" i="25"/>
  <c r="F23" i="25" s="1"/>
  <c r="F9" i="25" s="1"/>
  <c r="G9" i="25" s="1"/>
  <c r="G29" i="25"/>
  <c r="F29" i="25" s="1"/>
  <c r="F15" i="25" s="1"/>
  <c r="G15" i="25" s="1"/>
  <c r="G76" i="25"/>
  <c r="F76" i="25" s="1"/>
  <c r="R14" i="25" s="1"/>
  <c r="S14" i="25" s="1"/>
  <c r="G44" i="25"/>
  <c r="F44" i="25" s="1"/>
  <c r="I18" i="25" s="1"/>
  <c r="J18" i="25" s="1"/>
  <c r="G75" i="25"/>
  <c r="F75" i="25" s="1"/>
  <c r="R13" i="25" s="1"/>
  <c r="S13" i="25" s="1"/>
  <c r="G79" i="25"/>
  <c r="F79" i="25" s="1"/>
  <c r="R17" i="25" s="1"/>
  <c r="S17" i="25" s="1"/>
  <c r="G71" i="25"/>
  <c r="F71" i="25" s="1"/>
  <c r="R9" i="25" s="1"/>
  <c r="S9" i="25" s="1"/>
  <c r="G63" i="25"/>
  <c r="F63" i="25" s="1"/>
  <c r="O13" i="25" s="1"/>
  <c r="P13" i="25" s="1"/>
  <c r="G55" i="25"/>
  <c r="F55" i="25" s="1"/>
  <c r="L17" i="25" s="1"/>
  <c r="M17" i="25" s="1"/>
  <c r="G47" i="25"/>
  <c r="F47" i="25" s="1"/>
  <c r="L9" i="25" s="1"/>
  <c r="M9" i="25" s="1"/>
  <c r="G39" i="25"/>
  <c r="F39" i="25" s="1"/>
  <c r="I13" i="25" s="1"/>
  <c r="J13" i="25" s="1"/>
  <c r="G78" i="25"/>
  <c r="F78" i="25" s="1"/>
  <c r="R16" i="25" s="1"/>
  <c r="S16" i="25" s="1"/>
  <c r="G70" i="25"/>
  <c r="F70" i="25" s="1"/>
  <c r="R8" i="25" s="1"/>
  <c r="S8" i="25" s="1"/>
  <c r="G62" i="25"/>
  <c r="F62" i="25" s="1"/>
  <c r="O12" i="25" s="1"/>
  <c r="P12" i="25" s="1"/>
  <c r="G54" i="25"/>
  <c r="F54" i="25" s="1"/>
  <c r="L16" i="25" s="1"/>
  <c r="M16" i="25" s="1"/>
  <c r="G46" i="25"/>
  <c r="F46" i="25" s="1"/>
  <c r="L8" i="25" s="1"/>
  <c r="M8" i="25" s="1"/>
  <c r="G38" i="25"/>
  <c r="F38" i="25" s="1"/>
  <c r="I12" i="25" s="1"/>
  <c r="J12" i="25" s="1"/>
  <c r="G30" i="25"/>
  <c r="F30" i="25" s="1"/>
  <c r="F16" i="25" s="1"/>
  <c r="G16" i="25" s="1"/>
  <c r="F33" i="25" l="1"/>
  <c r="I7" i="25" s="1"/>
  <c r="J7" i="25" s="1"/>
  <c r="F27" i="25"/>
  <c r="F13" i="25" s="1"/>
  <c r="G13" i="25" s="1"/>
  <c r="F32" i="25"/>
  <c r="F18" i="25" s="1"/>
  <c r="G18" i="25" s="1"/>
  <c r="H3" i="20" l="1"/>
  <c r="F3" i="20"/>
  <c r="G11" i="3"/>
  <c r="F11" i="3"/>
  <c r="C10" i="3"/>
  <c r="C13" i="3" s="1"/>
  <c r="G4" i="20"/>
  <c r="G2" i="20"/>
  <c r="G3" i="20"/>
  <c r="E3" i="20" l="1"/>
  <c r="D3" i="20"/>
  <c r="C74" i="20" l="1"/>
  <c r="N65" i="20"/>
  <c r="N64" i="20"/>
  <c r="N63" i="20"/>
  <c r="N62" i="20"/>
  <c r="N61" i="20"/>
  <c r="N60" i="20"/>
  <c r="N59" i="20"/>
  <c r="N58" i="20"/>
  <c r="N57" i="20"/>
  <c r="N56" i="20"/>
  <c r="N55" i="20"/>
  <c r="N54" i="20"/>
  <c r="N53" i="20"/>
  <c r="N52" i="20"/>
  <c r="N51" i="20"/>
  <c r="N50" i="20"/>
  <c r="N49" i="20"/>
  <c r="N48" i="20"/>
  <c r="N47" i="20"/>
  <c r="N46" i="20"/>
  <c r="N45" i="20"/>
  <c r="N44" i="20"/>
  <c r="N43" i="20"/>
  <c r="N42" i="20"/>
  <c r="N41" i="20"/>
  <c r="N40" i="20"/>
  <c r="N39" i="20"/>
  <c r="N38" i="20"/>
  <c r="N37" i="20"/>
  <c r="N36" i="20"/>
  <c r="N35" i="20"/>
  <c r="N34" i="20"/>
  <c r="N33" i="20"/>
  <c r="N32" i="20"/>
  <c r="N31" i="20"/>
  <c r="N30" i="20"/>
  <c r="N29" i="20"/>
  <c r="N28" i="20"/>
  <c r="N27" i="20"/>
  <c r="N9" i="20" l="1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66" i="20"/>
  <c r="N67" i="20"/>
  <c r="N8" i="20"/>
  <c r="H2" i="20"/>
  <c r="E2" i="20" l="1"/>
  <c r="N68" i="20"/>
  <c r="H4" i="20"/>
  <c r="G6" i="3"/>
  <c r="D4" i="20"/>
  <c r="H12" i="3" l="1"/>
  <c r="E4" i="20"/>
  <c r="F12" i="3"/>
  <c r="E10" i="7" l="1"/>
  <c r="C10" i="7"/>
  <c r="H5" i="7"/>
  <c r="H8" i="7" s="1"/>
  <c r="D6" i="7"/>
  <c r="E8" i="7" s="1"/>
  <c r="D5" i="7"/>
  <c r="B27" i="8" s="1"/>
  <c r="B5" i="7"/>
  <c r="B7" i="7" s="1"/>
  <c r="K28" i="8" l="1"/>
  <c r="E7" i="7"/>
  <c r="I28" i="8" s="1"/>
  <c r="H6" i="7"/>
  <c r="H7" i="7" s="1"/>
  <c r="B6" i="7"/>
  <c r="B8" i="7"/>
  <c r="B33" i="8" l="1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  <c r="G7" i="25"/>
  <c r="M4" i="25" s="1"/>
  <c r="G5" i="3" l="1"/>
  <c r="F2" i="20"/>
  <c r="D2" i="20" s="1"/>
  <c r="F5" i="3" l="1"/>
  <c r="F8" i="3" l="1" a="1"/>
  <c r="F8" i="3" s="1"/>
  <c r="G8" i="3" a="1"/>
  <c r="G8" i="3" s="1"/>
  <c r="F13" i="3" l="1"/>
  <c r="G9" i="3"/>
  <c r="F9" i="3"/>
  <c r="F10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</author>
    <author>YOAN GUEROUX</author>
  </authors>
  <commentList>
    <comment ref="H6" authorId="0" shapeId="0" xr:uid="{B4B59360-516F-0140-A710-EF97297D3807}">
      <text>
        <r>
          <rPr>
            <sz val="10"/>
            <color rgb="FF000000"/>
            <rFont val="Tahoma"/>
            <family val="2"/>
          </rPr>
          <t>Si des frais d'avenant sont affichés, il faut les supprimer dans le tableau d'amortissement</t>
        </r>
      </text>
    </comment>
    <comment ref="H8" authorId="0" shapeId="0" xr:uid="{98D861F6-299D-C64A-A4D7-B5F83224A3D1}">
      <text>
        <r>
          <rPr>
            <sz val="10"/>
            <color rgb="FF000000"/>
            <rFont val="Tahoma"/>
            <family val="2"/>
          </rPr>
          <t>Si la cellule s'affiche rouge, c'est que le montant de l'extourne dépasse le montant des intérêts post décès</t>
        </r>
      </text>
    </comment>
    <comment ref="H12" authorId="1" shapeId="0" xr:uid="{03E4B8A0-0DF0-4D93-AB3C-EDC1046AEA2E}">
      <text>
        <r>
          <rPr>
            <sz val="10"/>
            <color rgb="FF000000"/>
            <rFont val="Tahoma"/>
            <family val="2"/>
          </rPr>
          <t xml:space="preserve">Différence entre le montant reçu par l'assurance et le montant pris en charge en fonction de la quotité assurée.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</authors>
  <commentList>
    <comment ref="C7" authorId="0" shapeId="0" xr:uid="{8A2C18B6-8A86-4A83-9ACD-5F663703D436}">
      <text>
        <r>
          <rPr>
            <sz val="9"/>
            <color indexed="81"/>
            <rFont val="Tahoma"/>
            <family val="2"/>
          </rPr>
          <t xml:space="preserve"> 
Renseigner le nominal du prêt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</author>
  </authors>
  <commentList>
    <comment ref="J7" authorId="0" shapeId="0" xr:uid="{86C33A40-1D2D-45B2-A99D-7428BD423149}">
      <text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La 1ère ligne du tableau n'est pas prise en compte dans les calculs, seul le CRD avant le décès remonte dans la simulation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<sst xmlns="http://schemas.openxmlformats.org/spreadsheetml/2006/main" count="153" uniqueCount="117">
  <si>
    <t>PRET EN EUROS</t>
  </si>
  <si>
    <t>Code risque</t>
  </si>
  <si>
    <t>Remboursement Evolan</t>
  </si>
  <si>
    <t xml:space="preserve">Montant versé par l'assurance </t>
  </si>
  <si>
    <t>Nom du rédacteur</t>
  </si>
  <si>
    <t xml:space="preserve">Échéance(s) à rendre au client </t>
  </si>
  <si>
    <t>Cotisation(s) assurance prélevées post décès</t>
  </si>
  <si>
    <t>Date de traitement</t>
  </si>
  <si>
    <t>Prestation(s) déjà versée(s)</t>
  </si>
  <si>
    <t>Nom du client décédé</t>
  </si>
  <si>
    <t>Échéance(s) impayée(s)</t>
  </si>
  <si>
    <t>Date du décès</t>
  </si>
  <si>
    <t>Trop perçu sur prêt</t>
  </si>
  <si>
    <t>Extourne sur prêt</t>
  </si>
  <si>
    <t>N° prêt</t>
  </si>
  <si>
    <t>TOTAL</t>
  </si>
  <si>
    <t>CRD à la date du décès</t>
  </si>
  <si>
    <t>Doit être à zéro</t>
  </si>
  <si>
    <t>Compagnie d'assurance</t>
  </si>
  <si>
    <t>Contrôle sinistre</t>
  </si>
  <si>
    <t>Contrôle écart CRD</t>
  </si>
  <si>
    <t>Quotité assurée en %</t>
  </si>
  <si>
    <t>Ecart sur sinistre</t>
  </si>
  <si>
    <t>Montant assuré</t>
  </si>
  <si>
    <r>
      <rPr>
        <b/>
        <sz val="10.5"/>
        <color theme="0"/>
        <rFont val="Calibri"/>
        <family val="2"/>
        <scheme val="minor"/>
      </rPr>
      <t xml:space="preserve">CRD
</t>
    </r>
    <r>
      <rPr>
        <i/>
        <sz val="10.5"/>
        <color theme="0"/>
        <rFont val="Calibri"/>
        <family val="2"/>
        <scheme val="minor"/>
      </rPr>
      <t>(cotisation dégressive)</t>
    </r>
  </si>
  <si>
    <t>Quotité assurée</t>
  </si>
  <si>
    <t>Total</t>
  </si>
  <si>
    <t>Taux de cotisation</t>
  </si>
  <si>
    <r>
      <rPr>
        <b/>
        <sz val="10.5"/>
        <color theme="0"/>
        <rFont val="Calibri"/>
        <family val="2"/>
        <scheme val="minor"/>
      </rPr>
      <t>NOMINAL</t>
    </r>
    <r>
      <rPr>
        <sz val="10.5"/>
        <color theme="0"/>
        <rFont val="Calibri"/>
        <family val="2"/>
        <scheme val="minor"/>
      </rPr>
      <t xml:space="preserve">
</t>
    </r>
    <r>
      <rPr>
        <i/>
        <sz val="10.5"/>
        <color theme="0"/>
        <rFont val="Calibri"/>
        <family val="2"/>
        <scheme val="minor"/>
      </rPr>
      <t>(cotisation fixe)</t>
    </r>
  </si>
  <si>
    <t>Nombre de cotisation(s)</t>
  </si>
  <si>
    <t>Cotisation mensuelle</t>
  </si>
  <si>
    <t>Assurance groupe à XX %</t>
  </si>
  <si>
    <t>Assurance groupe à 100 %</t>
  </si>
  <si>
    <t>Assurance externe / Kereis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</si>
  <si>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</si>
  <si>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</si>
  <si>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</si>
  <si>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</si>
  <si>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</si>
  <si>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</si>
  <si>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</si>
  <si>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</si>
  <si>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</si>
  <si>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</si>
  <si>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</si>
  <si>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</si>
  <si>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PIECES COMPTABLES SUR LISTE</t>
  </si>
  <si>
    <t>Référence opération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</si>
  <si>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</si>
  <si>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</si>
  <si>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</si>
  <si>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</si>
  <si>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</si>
  <si>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</si>
  <si>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</si>
  <si>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 xml:space="preserve">Date : </t>
  </si>
  <si>
    <t>PRET EN CHF CONVERTI EN EUROS</t>
  </si>
  <si>
    <t>Numero de compte *</t>
  </si>
  <si>
    <t>Date de valeur *</t>
  </si>
  <si>
    <t>Montant débit *</t>
  </si>
  <si>
    <t>Montant crédit *</t>
  </si>
  <si>
    <t>Code Opération *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</si>
  <si>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</si>
  <si>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</si>
  <si>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</si>
  <si>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</si>
  <si>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</si>
  <si>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</si>
  <si>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</si>
  <si>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</si>
  <si>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</si>
  <si>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</si>
  <si>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</si>
  <si>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</si>
  <si>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</si>
  <si>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</si>
  <si>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</si>
  <si>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</si>
  <si>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</si>
  <si>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</si>
  <si>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</si>
  <si>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</si>
  <si>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</si>
  <si>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</si>
  <si>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</si>
  <si>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</si>
  <si>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</si>
  <si>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</si>
  <si>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</si>
  <si>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</si>
  <si>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</si>
  <si>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</si>
  <si>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</si>
  <si>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</si>
  <si>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</si>
  <si>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</si>
  <si>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</si>
  <si>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</si>
  <si>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</si>
  <si>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</si>
  <si>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Nom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</si>
  <si>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</si>
  <si>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</si>
  <si>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</si>
  <si>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</si>
  <si>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</si>
  <si>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</si>
  <si>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Commentaires</t>
  </si>
  <si>
    <t>6012442</t>
  </si>
  <si>
    <t>ECH</t>
  </si>
  <si>
    <t>EUR - EURO</t>
  </si>
  <si>
    <t>BOB</t>
  </si>
  <si>
    <t>ASSUREUR</t>
  </si>
  <si>
    <t>Case G9</t>
  </si>
  <si>
    <t>Frais accessoires</t>
  </si>
  <si>
    <t xml:space="preserve">DEBIT
</t>
  </si>
  <si>
    <t xml:space="preserve">CREDIT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</si>
</sst>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  <numFmt numFmtId="170" formatCode="#,##0.000"/>
  </numFmts>
  <fonts count="5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.5"/>
      <color theme="1"/>
      <name val="Calibri"/>
      <family val="2"/>
      <scheme val="minor"/>
    </font>
    <font>
      <sz val="10"/>
      <color rgb="FF000000"/>
      <name val="Tahoma"/>
      <family val="2"/>
    </font>
    <font>
      <sz val="10.5"/>
      <color rgb="FF000000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.5"/>
      <color theme="0"/>
      <name val="Calibri"/>
      <family val="2"/>
      <scheme val="minor"/>
    </font>
    <font>
      <sz val="10.5"/>
      <name val="Calibri"/>
      <family val="2"/>
      <scheme val="minor"/>
    </font>
    <font>
      <b/>
      <u/>
      <sz val="10.5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b/>
      <sz val="10.5"/>
      <color rgb="FFFF0000"/>
      <name val="Calibri"/>
      <family val="2"/>
      <scheme val="minor"/>
    </font>
    <font>
      <b/>
      <sz val="10.5"/>
      <color rgb="FF00B050"/>
      <name val="Calibri"/>
      <family val="2"/>
      <scheme val="minor"/>
    </font>
    <font>
      <i/>
      <sz val="10.5"/>
      <color theme="0"/>
      <name val="Calibri"/>
      <family val="2"/>
      <scheme val="minor"/>
    </font>
    <font>
      <sz val="10.5"/>
      <color rgb="FF000000"/>
      <name val="Arial"/>
      <family val="2"/>
    </font>
    <font>
      <sz val="9"/>
      <color indexed="81"/>
      <name val="Tahoma"/>
      <family val="2"/>
    </font>
    <font>
      <b/>
      <sz val="13"/>
      <color rgb="FF000000"/>
      <name val="Calibri"/>
      <family val="2"/>
    </font>
    <font>
      <b/>
      <sz val="10.5"/>
      <color rgb="FF00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double">
        <color theme="1"/>
      </right>
      <top/>
      <bottom/>
      <diagonal/>
    </border>
    <border>
      <left style="double">
        <color theme="1"/>
      </left>
      <right/>
      <top/>
      <bottom/>
      <diagonal/>
    </border>
    <border>
      <left style="thin">
        <color indexed="64"/>
      </left>
      <right style="double">
        <color theme="1"/>
      </right>
      <top/>
      <bottom/>
      <diagonal/>
    </border>
    <border>
      <left style="double">
        <color theme="1"/>
      </left>
      <right style="thin">
        <color indexed="64"/>
      </right>
      <top/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1" fillId="0" borderId="0"/>
    <xf numFmtId="0" fontId="33" fillId="0" borderId="0" applyNumberFormat="0" applyFill="0" applyBorder="0" applyAlignment="0" applyProtection="0"/>
    <xf numFmtId="0" fontId="39" fillId="9" borderId="0" applyNumberFormat="0" applyBorder="0" applyAlignment="0" applyProtection="0"/>
    <xf numFmtId="0" fontId="39" fillId="11" borderId="0" applyNumberFormat="0" applyBorder="0" applyAlignment="0" applyProtection="0"/>
    <xf numFmtId="0" fontId="39" fillId="14" borderId="0" applyNumberFormat="0" applyBorder="0" applyAlignment="0" applyProtection="0"/>
    <xf numFmtId="9" fontId="39" fillId="0" borderId="0" applyFont="0" applyFill="0" applyBorder="0" applyAlignment="0" applyProtection="0"/>
  </cellStyleXfs>
  <cellXfs count="202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27" fillId="0" borderId="0" xfId="0" applyFont="1"/>
    <xf numFmtId="0" fontId="28" fillId="0" borderId="0" xfId="0" applyFont="1"/>
    <xf numFmtId="0" fontId="29" fillId="0" borderId="0" xfId="0" applyFont="1"/>
    <xf numFmtId="0" fontId="30" fillId="0" borderId="0" xfId="0" applyFont="1"/>
    <xf numFmtId="0" fontId="14" fillId="0" borderId="0" xfId="0" applyFont="1"/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7" borderId="12" xfId="0" applyFont="1" applyFill="1" applyBorder="1" applyAlignment="1">
      <alignment vertical="center" wrapText="1"/>
    </xf>
    <xf numFmtId="167" fontId="1" fillId="7" borderId="12" xfId="0" applyNumberFormat="1" applyFont="1" applyFill="1" applyBorder="1" applyAlignment="1">
      <alignment vertical="center" wrapText="1"/>
    </xf>
    <xf numFmtId="0" fontId="34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4" borderId="18" xfId="0" applyFill="1" applyBorder="1" applyProtection="1">
      <protection locked="0"/>
    </xf>
    <xf numFmtId="0" fontId="0" fillId="4" borderId="14" xfId="0" applyFill="1" applyBorder="1" applyProtection="1">
      <protection locked="0"/>
    </xf>
    <xf numFmtId="0" fontId="0" fillId="4" borderId="15" xfId="0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6" xfId="0" applyFill="1" applyBorder="1" applyProtection="1">
      <protection locked="0"/>
    </xf>
    <xf numFmtId="0" fontId="0" fillId="4" borderId="13" xfId="0" applyFill="1" applyBorder="1" applyProtection="1">
      <protection locked="0"/>
    </xf>
    <xf numFmtId="0" fontId="0" fillId="4" borderId="9" xfId="0" applyFill="1" applyBorder="1" applyProtection="1">
      <protection locked="0"/>
    </xf>
    <xf numFmtId="0" fontId="0" fillId="4" borderId="19" xfId="0" applyFill="1" applyBorder="1" applyProtection="1">
      <protection locked="0"/>
    </xf>
    <xf numFmtId="0" fontId="41" fillId="0" borderId="0" xfId="0" applyFont="1" applyProtection="1">
      <protection locked="0"/>
    </xf>
    <xf numFmtId="0" fontId="43" fillId="10" borderId="26" xfId="0" applyFont="1" applyFill="1" applyBorder="1" applyAlignment="1" applyProtection="1">
      <alignment horizontal="center" vertical="center"/>
      <protection locked="0"/>
    </xf>
    <xf numFmtId="14" fontId="43" fillId="10" borderId="26" xfId="0" applyNumberFormat="1" applyFont="1" applyFill="1" applyBorder="1" applyAlignment="1" applyProtection="1">
      <alignment horizontal="center" vertical="center"/>
      <protection locked="0"/>
    </xf>
    <xf numFmtId="4" fontId="43" fillId="10" borderId="26" xfId="0" applyNumberFormat="1" applyFont="1" applyFill="1" applyBorder="1" applyAlignment="1" applyProtection="1">
      <alignment horizontal="center" vertical="center"/>
      <protection locked="0"/>
    </xf>
    <xf numFmtId="4" fontId="41" fillId="16" borderId="26" xfId="4" applyNumberFormat="1" applyFont="1" applyFill="1" applyBorder="1" applyAlignment="1" applyProtection="1">
      <alignment horizontal="center" vertical="center"/>
      <protection locked="0"/>
    </xf>
    <xf numFmtId="4" fontId="41" fillId="9" borderId="32" xfId="4" applyNumberFormat="1" applyFont="1" applyBorder="1" applyAlignment="1" applyProtection="1">
      <alignment horizontal="center" vertical="center"/>
    </xf>
    <xf numFmtId="4" fontId="41" fillId="9" borderId="33" xfId="4" applyNumberFormat="1" applyFont="1" applyBorder="1" applyAlignment="1" applyProtection="1">
      <alignment horizontal="center" vertical="center"/>
    </xf>
    <xf numFmtId="4" fontId="41" fillId="9" borderId="12" xfId="4" applyNumberFormat="1" applyFont="1" applyBorder="1" applyAlignment="1" applyProtection="1">
      <alignment horizontal="center" vertical="center"/>
    </xf>
    <xf numFmtId="2" fontId="41" fillId="8" borderId="31" xfId="7" applyNumberFormat="1" applyFont="1" applyFill="1" applyBorder="1" applyAlignment="1" applyProtection="1">
      <alignment horizontal="left" vertical="center" wrapText="1"/>
    </xf>
    <xf numFmtId="14" fontId="43" fillId="10" borderId="34" xfId="0" applyNumberFormat="1" applyFont="1" applyFill="1" applyBorder="1" applyAlignment="1" applyProtection="1">
      <alignment horizontal="center" vertical="center"/>
      <protection locked="0"/>
    </xf>
    <xf numFmtId="0" fontId="43" fillId="10" borderId="34" xfId="0" applyFont="1" applyFill="1" applyBorder="1" applyAlignment="1" applyProtection="1">
      <alignment horizontal="center" vertical="center"/>
      <protection locked="0"/>
    </xf>
    <xf numFmtId="4" fontId="43" fillId="10" borderId="34" xfId="0" applyNumberFormat="1" applyFont="1" applyFill="1" applyBorder="1" applyAlignment="1" applyProtection="1">
      <alignment horizontal="center" vertical="center"/>
      <protection locked="0"/>
    </xf>
    <xf numFmtId="0" fontId="43" fillId="10" borderId="27" xfId="0" applyFont="1" applyFill="1" applyBorder="1" applyAlignment="1" applyProtection="1">
      <alignment horizontal="center" vertical="center"/>
      <protection locked="0"/>
    </xf>
    <xf numFmtId="14" fontId="43" fillId="10" borderId="27" xfId="0" applyNumberFormat="1" applyFont="1" applyFill="1" applyBorder="1" applyAlignment="1" applyProtection="1">
      <alignment horizontal="center" vertical="center"/>
      <protection locked="0"/>
    </xf>
    <xf numFmtId="4" fontId="43" fillId="10" borderId="27" xfId="0" applyNumberFormat="1" applyFont="1" applyFill="1" applyBorder="1" applyAlignment="1" applyProtection="1">
      <alignment horizontal="center" vertical="center"/>
      <protection locked="0"/>
    </xf>
    <xf numFmtId="4" fontId="41" fillId="5" borderId="4" xfId="0" applyNumberFormat="1" applyFont="1" applyFill="1" applyBorder="1" applyAlignment="1" applyProtection="1">
      <alignment horizontal="center" vertical="center"/>
      <protection locked="0"/>
    </xf>
    <xf numFmtId="0" fontId="41" fillId="0" borderId="0" xfId="0" applyFont="1" applyAlignment="1" applyProtection="1">
      <alignment vertical="center"/>
      <protection locked="0"/>
    </xf>
    <xf numFmtId="0" fontId="49" fillId="0" borderId="0" xfId="0" applyFont="1" applyAlignment="1" applyProtection="1">
      <alignment horizontal="center" vertical="center"/>
      <protection locked="0"/>
    </xf>
    <xf numFmtId="4" fontId="41" fillId="0" borderId="0" xfId="0" applyNumberFormat="1" applyFont="1" applyAlignment="1" applyProtection="1">
      <alignment vertical="center"/>
      <protection locked="0"/>
    </xf>
    <xf numFmtId="4" fontId="41" fillId="0" borderId="0" xfId="0" applyNumberFormat="1" applyFont="1" applyProtection="1">
      <protection locked="0"/>
    </xf>
    <xf numFmtId="0" fontId="49" fillId="3" borderId="4" xfId="5" applyFont="1" applyFill="1" applyBorder="1" applyAlignment="1" applyProtection="1">
      <alignment horizontal="center" vertical="center" wrapText="1"/>
      <protection locked="0"/>
    </xf>
    <xf numFmtId="0" fontId="50" fillId="3" borderId="4" xfId="5" applyFont="1" applyFill="1" applyBorder="1" applyAlignment="1" applyProtection="1">
      <alignment horizontal="center" vertical="center" wrapText="1"/>
      <protection locked="0"/>
    </xf>
    <xf numFmtId="10" fontId="41" fillId="0" borderId="0" xfId="0" applyNumberFormat="1" applyFont="1" applyProtection="1">
      <protection locked="0"/>
    </xf>
    <xf numFmtId="168" fontId="41" fillId="5" borderId="4" xfId="0" applyNumberFormat="1" applyFont="1" applyFill="1" applyBorder="1" applyAlignment="1" applyProtection="1">
      <alignment horizontal="center" vertical="center"/>
      <protection locked="0"/>
    </xf>
    <xf numFmtId="49" fontId="41" fillId="5" borderId="4" xfId="0" applyNumberFormat="1" applyFont="1" applyFill="1" applyBorder="1" applyAlignment="1" applyProtection="1">
      <alignment horizontal="center" vertical="center"/>
      <protection locked="0"/>
    </xf>
    <xf numFmtId="166" fontId="41" fillId="0" borderId="0" xfId="0" applyNumberFormat="1" applyFont="1" applyProtection="1">
      <protection locked="0"/>
    </xf>
    <xf numFmtId="49" fontId="41" fillId="0" borderId="0" xfId="0" applyNumberFormat="1" applyFont="1" applyProtection="1">
      <protection locked="0"/>
    </xf>
    <xf numFmtId="0" fontId="41" fillId="6" borderId="0" xfId="0" applyFont="1" applyFill="1" applyProtection="1">
      <protection locked="0"/>
    </xf>
    <xf numFmtId="49" fontId="52" fillId="0" borderId="0" xfId="0" applyNumberFormat="1" applyFont="1" applyAlignment="1" applyProtection="1">
      <alignment vertical="center"/>
      <protection locked="0"/>
    </xf>
    <xf numFmtId="0" fontId="52" fillId="0" borderId="0" xfId="0" applyFont="1" applyAlignment="1" applyProtection="1">
      <alignment vertical="center"/>
      <protection locked="0"/>
    </xf>
    <xf numFmtId="4" fontId="52" fillId="0" borderId="0" xfId="0" applyNumberFormat="1" applyFont="1" applyAlignment="1" applyProtection="1">
      <alignment vertical="center"/>
      <protection locked="0"/>
    </xf>
    <xf numFmtId="14" fontId="52" fillId="0" borderId="0" xfId="0" applyNumberFormat="1" applyFont="1" applyAlignment="1" applyProtection="1">
      <alignment vertical="center"/>
      <protection locked="0"/>
    </xf>
    <xf numFmtId="1" fontId="46" fillId="5" borderId="4" xfId="0" applyNumberFormat="1" applyFont="1" applyFill="1" applyBorder="1" applyAlignment="1" applyProtection="1">
      <alignment horizontal="left" vertical="center" indent="1"/>
      <protection locked="0"/>
    </xf>
    <xf numFmtId="14" fontId="41" fillId="5" borderId="4" xfId="0" applyNumberFormat="1" applyFont="1" applyFill="1" applyBorder="1" applyAlignment="1" applyProtection="1">
      <alignment horizontal="left" vertical="center" indent="1"/>
      <protection locked="0"/>
    </xf>
    <xf numFmtId="0" fontId="46" fillId="5" borderId="4" xfId="0" applyFont="1" applyFill="1" applyBorder="1" applyAlignment="1" applyProtection="1">
      <alignment horizontal="left" vertical="center" wrapText="1" indent="1"/>
      <protection locked="0"/>
    </xf>
    <xf numFmtId="14" fontId="46" fillId="5" borderId="4" xfId="0" applyNumberFormat="1" applyFont="1" applyFill="1" applyBorder="1" applyAlignment="1" applyProtection="1">
      <alignment horizontal="left" vertical="center" indent="1"/>
      <protection locked="0"/>
    </xf>
    <xf numFmtId="49" fontId="46" fillId="5" borderId="4" xfId="0" applyNumberFormat="1" applyFont="1" applyFill="1" applyBorder="1" applyAlignment="1" applyProtection="1">
      <alignment horizontal="left" vertical="center" indent="1"/>
      <protection locked="0"/>
    </xf>
    <xf numFmtId="0" fontId="41" fillId="5" borderId="4" xfId="0" applyFont="1" applyFill="1" applyBorder="1" applyAlignment="1" applyProtection="1">
      <alignment horizontal="left" vertical="center" indent="1"/>
      <protection locked="0"/>
    </xf>
    <xf numFmtId="0" fontId="48" fillId="13" borderId="11" xfId="0" applyFont="1" applyFill="1" applyBorder="1" applyAlignment="1" applyProtection="1">
      <alignment horizontal="centerContinuous" vertical="center"/>
      <protection locked="0"/>
    </xf>
    <xf numFmtId="0" fontId="48" fillId="13" borderId="2" xfId="0" applyFont="1" applyFill="1" applyBorder="1" applyAlignment="1" applyProtection="1">
      <alignment horizontal="centerContinuous" vertical="center"/>
      <protection locked="0"/>
    </xf>
    <xf numFmtId="0" fontId="41" fillId="0" borderId="28" xfId="0" applyFont="1" applyBorder="1" applyAlignment="1" applyProtection="1">
      <alignment vertical="top" wrapText="1"/>
      <protection locked="0"/>
    </xf>
    <xf numFmtId="0" fontId="41" fillId="0" borderId="29" xfId="0" applyFont="1" applyBorder="1" applyAlignment="1" applyProtection="1">
      <alignment vertical="top" wrapText="1"/>
      <protection locked="0"/>
    </xf>
    <xf numFmtId="0" fontId="41" fillId="6" borderId="29" xfId="0" applyFont="1" applyFill="1" applyBorder="1" applyProtection="1">
      <protection locked="0"/>
    </xf>
    <xf numFmtId="0" fontId="41" fillId="6" borderId="29" xfId="0" applyFont="1" applyFill="1" applyBorder="1" applyAlignment="1" applyProtection="1">
      <alignment horizontal="left"/>
      <protection locked="0"/>
    </xf>
    <xf numFmtId="0" fontId="41" fillId="6" borderId="0" xfId="0" applyFont="1" applyFill="1" applyAlignment="1" applyProtection="1">
      <alignment horizontal="left" wrapText="1"/>
      <protection locked="0"/>
    </xf>
    <xf numFmtId="10" fontId="41" fillId="5" borderId="4" xfId="0" applyNumberFormat="1" applyFont="1" applyFill="1" applyBorder="1" applyAlignment="1" applyProtection="1">
      <alignment horizontal="left" vertical="center" indent="1"/>
      <protection locked="0"/>
    </xf>
    <xf numFmtId="4" fontId="41" fillId="5" borderId="4" xfId="0" applyNumberFormat="1" applyFont="1" applyFill="1" applyBorder="1" applyAlignment="1">
      <alignment horizontal="left" vertical="center" indent="1"/>
    </xf>
    <xf numFmtId="4" fontId="44" fillId="3" borderId="4" xfId="0" applyNumberFormat="1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9" fontId="18" fillId="0" borderId="0" xfId="0" applyNumberFormat="1" applyFont="1" applyAlignment="1" applyProtection="1">
      <alignment horizontal="center" vertical="center"/>
      <protection locked="0"/>
    </xf>
    <xf numFmtId="2" fontId="0" fillId="0" borderId="0" xfId="0" applyNumberFormat="1" applyProtection="1">
      <protection locked="0"/>
    </xf>
    <xf numFmtId="0" fontId="38" fillId="0" borderId="0" xfId="0" applyFont="1" applyProtection="1"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2" fontId="0" fillId="8" borderId="31" xfId="7" applyNumberFormat="1" applyFont="1" applyFill="1" applyBorder="1" applyAlignment="1" applyProtection="1">
      <alignment horizontal="left" vertical="center" wrapText="1"/>
      <protection locked="0"/>
    </xf>
    <xf numFmtId="0" fontId="41" fillId="8" borderId="31" xfId="0" applyFont="1" applyFill="1" applyBorder="1" applyAlignment="1">
      <alignment horizontal="left" vertical="center" wrapText="1"/>
    </xf>
    <xf numFmtId="4" fontId="41" fillId="16" borderId="33" xfId="0" applyNumberFormat="1" applyFont="1" applyFill="1" applyBorder="1" applyAlignment="1">
      <alignment horizontal="center" vertical="center"/>
    </xf>
    <xf numFmtId="4" fontId="41" fillId="16" borderId="4" xfId="0" applyNumberFormat="1" applyFont="1" applyFill="1" applyBorder="1" applyAlignment="1">
      <alignment horizontal="center" vertical="center"/>
    </xf>
    <xf numFmtId="0" fontId="41" fillId="8" borderId="31" xfId="0" applyFont="1" applyFill="1" applyBorder="1" applyAlignment="1">
      <alignment horizontal="center" vertical="center" wrapText="1"/>
    </xf>
    <xf numFmtId="4" fontId="41" fillId="5" borderId="4" xfId="0" applyNumberFormat="1" applyFont="1" applyFill="1" applyBorder="1" applyAlignment="1">
      <alignment horizontal="center" vertical="center"/>
    </xf>
    <xf numFmtId="4" fontId="41" fillId="0" borderId="4" xfId="0" applyNumberFormat="1" applyFont="1" applyBorder="1" applyAlignment="1">
      <alignment horizontal="center" vertical="center"/>
    </xf>
    <xf numFmtId="0" fontId="45" fillId="12" borderId="4" xfId="0" applyFont="1" applyFill="1" applyBorder="1" applyAlignment="1">
      <alignment horizontal="left" vertical="center" wrapText="1"/>
    </xf>
    <xf numFmtId="0" fontId="45" fillId="12" borderId="4" xfId="0" applyFont="1" applyFill="1" applyBorder="1" applyAlignment="1">
      <alignment horizontal="left" vertical="center"/>
    </xf>
    <xf numFmtId="0" fontId="46" fillId="3" borderId="4" xfId="0" applyFont="1" applyFill="1" applyBorder="1" applyAlignment="1">
      <alignment horizontal="center" vertical="center"/>
    </xf>
    <xf numFmtId="0" fontId="45" fillId="12" borderId="4" xfId="0" applyFont="1" applyFill="1" applyBorder="1" applyAlignment="1">
      <alignment horizontal="center" vertical="center" wrapText="1"/>
    </xf>
    <xf numFmtId="0" fontId="41" fillId="0" borderId="35" xfId="0" applyFont="1" applyBorder="1" applyProtection="1">
      <protection locked="0"/>
    </xf>
    <xf numFmtId="0" fontId="41" fillId="0" borderId="36" xfId="0" applyFont="1" applyBorder="1" applyProtection="1">
      <protection locked="0"/>
    </xf>
    <xf numFmtId="0" fontId="2" fillId="6" borderId="0" xfId="0" applyFont="1" applyFill="1" applyAlignment="1">
      <alignment horizontal="center" vertical="center"/>
    </xf>
    <xf numFmtId="0" fontId="41" fillId="0" borderId="37" xfId="0" applyFont="1" applyBorder="1" applyProtection="1">
      <protection locked="0"/>
    </xf>
    <xf numFmtId="0" fontId="41" fillId="0" borderId="38" xfId="0" applyFont="1" applyBorder="1" applyProtection="1">
      <protection locked="0"/>
    </xf>
    <xf numFmtId="0" fontId="45" fillId="12" borderId="4" xfId="0" applyFont="1" applyFill="1" applyBorder="1" applyAlignment="1" applyProtection="1">
      <alignment horizontal="center" vertical="center"/>
      <protection locked="0" hidden="1"/>
    </xf>
    <xf numFmtId="4" fontId="41" fillId="5" borderId="4" xfId="0" applyNumberFormat="1" applyFont="1" applyFill="1" applyBorder="1" applyAlignment="1" applyProtection="1">
      <alignment horizontal="center" vertical="center"/>
      <protection locked="0" hidden="1"/>
    </xf>
    <xf numFmtId="4" fontId="41" fillId="6" borderId="0" xfId="0" applyNumberFormat="1" applyFont="1" applyFill="1" applyAlignment="1" applyProtection="1">
      <alignment horizontal="center" vertical="center"/>
      <protection locked="0" hidden="1"/>
    </xf>
    <xf numFmtId="2" fontId="41" fillId="0" borderId="0" xfId="0" applyNumberFormat="1" applyFont="1" applyProtection="1">
      <protection locked="0"/>
    </xf>
    <xf numFmtId="2" fontId="45" fillId="12" borderId="4" xfId="0" applyNumberFormat="1" applyFont="1" applyFill="1" applyBorder="1" applyAlignment="1" applyProtection="1">
      <alignment horizontal="center" vertical="center"/>
      <protection locked="0"/>
    </xf>
    <xf numFmtId="2" fontId="41" fillId="5" borderId="4" xfId="0" applyNumberFormat="1" applyFont="1" applyFill="1" applyBorder="1" applyAlignment="1" applyProtection="1">
      <alignment horizontal="center" vertical="center"/>
      <protection locked="0"/>
    </xf>
    <xf numFmtId="10" fontId="41" fillId="5" borderId="4" xfId="0" applyNumberFormat="1" applyFont="1" applyFill="1" applyBorder="1" applyAlignment="1">
      <alignment horizontal="center" vertical="center"/>
    </xf>
    <xf numFmtId="0" fontId="45" fillId="12" borderId="1" xfId="0" applyFont="1" applyFill="1" applyBorder="1" applyAlignment="1">
      <alignment horizontal="center" vertical="center"/>
    </xf>
    <xf numFmtId="0" fontId="45" fillId="12" borderId="4" xfId="0" applyFont="1" applyFill="1" applyBorder="1" applyAlignment="1">
      <alignment horizontal="center" vertical="center"/>
    </xf>
    <xf numFmtId="0" fontId="45" fillId="15" borderId="1" xfId="0" applyFont="1" applyFill="1" applyBorder="1" applyAlignment="1">
      <alignment horizontal="center" vertical="center"/>
    </xf>
    <xf numFmtId="0" fontId="48" fillId="15" borderId="4" xfId="0" applyFont="1" applyFill="1" applyBorder="1" applyAlignment="1">
      <alignment horizontal="center" vertical="center" wrapText="1"/>
    </xf>
    <xf numFmtId="49" fontId="41" fillId="3" borderId="30" xfId="0" applyNumberFormat="1" applyFont="1" applyFill="1" applyBorder="1" applyAlignment="1" applyProtection="1">
      <alignment vertical="top" wrapText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0" fillId="0" borderId="12" xfId="0" applyBorder="1" applyAlignment="1" applyProtection="1">
      <alignment vertical="top" wrapText="1"/>
      <protection locked="0"/>
    </xf>
    <xf numFmtId="4" fontId="41" fillId="5" borderId="30" xfId="0" applyNumberFormat="1" applyFont="1" applyFill="1" applyBorder="1" applyAlignment="1">
      <alignment horizontal="center" vertical="center"/>
    </xf>
    <xf numFmtId="0" fontId="41" fillId="5" borderId="12" xfId="0" applyFont="1" applyFill="1" applyBorder="1" applyAlignment="1">
      <alignment horizontal="center" vertical="center"/>
    </xf>
    <xf numFmtId="0" fontId="47" fillId="13" borderId="30" xfId="3" applyFont="1" applyFill="1" applyBorder="1" applyAlignment="1" applyProtection="1">
      <alignment horizontal="center" vertical="center"/>
      <protection hidden="1"/>
    </xf>
    <xf numFmtId="0" fontId="48" fillId="13" borderId="12" xfId="6" applyFont="1" applyFill="1" applyBorder="1" applyAlignment="1" applyProtection="1">
      <alignment horizontal="center" vertical="center"/>
      <protection hidden="1"/>
    </xf>
    <xf numFmtId="4" fontId="41" fillId="0" borderId="4" xfId="0" applyNumberFormat="1" applyFont="1" applyBorder="1" applyAlignment="1">
      <alignment horizontal="center" vertical="center"/>
    </xf>
    <xf numFmtId="4" fontId="48" fillId="15" borderId="1" xfId="0" applyNumberFormat="1" applyFont="1" applyFill="1" applyBorder="1" applyAlignment="1">
      <alignment horizontal="center" vertical="center"/>
    </xf>
    <xf numFmtId="4" fontId="48" fillId="15" borderId="3" xfId="0" applyNumberFormat="1" applyFont="1" applyFill="1" applyBorder="1" applyAlignment="1">
      <alignment horizontal="center" vertical="center"/>
    </xf>
    <xf numFmtId="4" fontId="41" fillId="0" borderId="1" xfId="0" applyNumberFormat="1" applyFont="1" applyBorder="1" applyAlignment="1">
      <alignment horizontal="center" vertical="center"/>
    </xf>
    <xf numFmtId="4" fontId="41" fillId="0" borderId="3" xfId="0" applyNumberFormat="1" applyFont="1" applyBorder="1" applyAlignment="1">
      <alignment horizontal="center" vertical="center"/>
    </xf>
    <xf numFmtId="0" fontId="48" fillId="15" borderId="0" xfId="0" applyFont="1" applyFill="1" applyAlignment="1">
      <alignment horizontal="center" vertical="center"/>
    </xf>
    <xf numFmtId="0" fontId="1" fillId="15" borderId="0" xfId="0" applyFont="1" applyFill="1" applyAlignment="1">
      <alignment horizontal="center" vertical="center"/>
    </xf>
    <xf numFmtId="4" fontId="46" fillId="5" borderId="30" xfId="0" applyNumberFormat="1" applyFont="1" applyFill="1" applyBorder="1" applyAlignment="1">
      <alignment horizontal="center" vertical="center"/>
    </xf>
    <xf numFmtId="0" fontId="40" fillId="5" borderId="12" xfId="0" applyFont="1" applyFill="1" applyBorder="1" applyAlignment="1">
      <alignment horizontal="center" vertical="center"/>
    </xf>
    <xf numFmtId="0" fontId="45" fillId="13" borderId="10" xfId="0" applyFont="1" applyFill="1" applyBorder="1" applyAlignment="1">
      <alignment horizontal="center" vertical="center" wrapText="1"/>
    </xf>
    <xf numFmtId="0" fontId="2" fillId="13" borderId="10" xfId="0" applyFont="1" applyFill="1" applyBorder="1" applyAlignment="1">
      <alignment horizontal="center" vertical="center"/>
    </xf>
    <xf numFmtId="0" fontId="0" fillId="0" borderId="0" xfId="0" applyAlignment="1"/>
    <xf numFmtId="0" fontId="45" fillId="13" borderId="30" xfId="0" applyFont="1" applyFill="1" applyBorder="1" applyAlignment="1">
      <alignment horizontal="center" vertical="center" wrapText="1"/>
    </xf>
    <xf numFmtId="0" fontId="2" fillId="13" borderId="12" xfId="0" applyFont="1" applyFill="1" applyBorder="1" applyAlignment="1">
      <alignment horizontal="center" vertical="center"/>
    </xf>
    <xf numFmtId="4" fontId="41" fillId="5" borderId="30" xfId="0" applyNumberFormat="1" applyFont="1" applyFill="1" applyBorder="1" applyAlignment="1" applyProtection="1">
      <alignment horizontal="center" vertical="center"/>
      <protection locked="0"/>
    </xf>
    <xf numFmtId="4" fontId="0" fillId="5" borderId="12" xfId="0" applyNumberForma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15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34" fillId="3" borderId="23" xfId="0" applyFont="1" applyFill="1" applyBorder="1" applyAlignment="1">
      <alignment horizontal="center" vertical="center"/>
    </xf>
    <xf numFmtId="0" fontId="34" fillId="3" borderId="24" xfId="0" applyFont="1" applyFill="1" applyBorder="1" applyAlignment="1">
      <alignment horizontal="center" vertical="center"/>
    </xf>
    <xf numFmtId="0" fontId="34" fillId="3" borderId="2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 applyAlignment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 applyAlignment="1"/>
    <xf numFmtId="0" fontId="3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0" fontId="25" fillId="0" borderId="0" xfId="0" applyFont="1" applyAlignment="1">
      <alignment horizontal="left" vertical="center"/>
    </xf>
    <xf numFmtId="0" fontId="17" fillId="0" borderId="0" xfId="0" applyFont="1" applyAlignment="1">
      <alignment horizontal="left"/>
    </xf>
    <xf numFmtId="0" fontId="34" fillId="3" borderId="1" xfId="0" applyFont="1" applyFill="1" applyBorder="1" applyAlignment="1">
      <alignment horizontal="center" vertical="center"/>
    </xf>
    <xf numFmtId="0" fontId="34" fillId="3" borderId="2" xfId="0" applyFont="1" applyFill="1" applyBorder="1" applyAlignment="1">
      <alignment horizontal="center" vertical="center"/>
    </xf>
    <xf numFmtId="0" fontId="34" fillId="3" borderId="3" xfId="0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14" fillId="0" borderId="4" xfId="0" applyFont="1" applyBorder="1" applyAlignment="1">
      <alignment horizontal="center" vertical="center"/>
    </xf>
    <xf numFmtId="4" fontId="14" fillId="0" borderId="4" xfId="0" applyNumberFormat="1" applyFont="1" applyBorder="1" applyAlignment="1">
      <alignment horizontal="center" vertical="center"/>
    </xf>
    <xf numFmtId="170" fontId="43" fillId="0" borderId="0" xfId="0" applyNumberFormat="1" applyFont="1" applyAlignment="1" applyProtection="1">
      <alignment horizontal="left" vertical="center"/>
      <protection locked="0"/>
    </xf>
    <xf numFmtId="4" fontId="55" fillId="17" borderId="0" xfId="0" applyNumberFormat="1" applyFont="1" applyFill="1" applyAlignment="1" applyProtection="1">
      <alignment vertical="center"/>
      <protection locked="0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3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  <fill>
        <patternFill>
          <bgColor rgb="FFEF8C4F"/>
        </patternFill>
      </fill>
    </dxf>
    <dxf>
      <font>
        <b/>
        <i val="0"/>
      </font>
      <fill>
        <patternFill>
          <bgColor rgb="FFEF8C4F"/>
        </patternFill>
      </fill>
    </dxf>
    <dxf>
      <font>
        <b val="0"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 patternType="solid">
          <bgColor rgb="FFD1AB7D"/>
        </patternFill>
      </fill>
    </dxf>
    <dxf>
      <font>
        <b val="0"/>
        <i val="0"/>
      </font>
      <fill>
        <patternFill patternType="solid">
          <bgColor rgb="FFDFC4A3"/>
        </patternFill>
      </fill>
    </dxf>
    <dxf>
      <font>
        <b val="0"/>
        <i val="0"/>
      </font>
      <fill>
        <patternFill patternType="solid">
          <bgColor rgb="FFDFC4A3"/>
        </patternFill>
      </fill>
    </dxf>
    <dxf>
      <font>
        <b val="0"/>
        <i val="0"/>
      </font>
      <fill>
        <patternFill patternType="solid">
          <bgColor rgb="FFDFC4A3"/>
        </patternFill>
      </fill>
    </dxf>
    <dxf>
      <font>
        <b/>
        <i val="0"/>
        <color auto="1"/>
      </font>
      <fill>
        <patternFill>
          <bgColor rgb="FFEF8C4F"/>
        </patternFill>
      </fill>
    </dxf>
    <dxf>
      <font>
        <b/>
        <i val="0"/>
      </font>
      <fill>
        <patternFill>
          <bgColor rgb="FFD1AB7D"/>
        </patternFill>
      </fill>
    </dxf>
    <dxf>
      <font>
        <b/>
        <i val="0"/>
        <color auto="1"/>
      </font>
      <fill>
        <patternFill>
          <bgColor rgb="FFEF8C4F"/>
        </patternFill>
      </fill>
    </dxf>
    <dxf>
      <font>
        <b/>
        <i val="0"/>
        <color auto="1"/>
      </font>
      <fill>
        <patternFill>
          <bgColor rgb="FFEF8C4F"/>
        </patternFill>
      </fill>
    </dxf>
    <dxf>
      <font>
        <b val="0"/>
        <i val="0"/>
      </font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EF8C4F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D1AB7D"/>
        </patternFill>
      </fill>
    </dxf>
    <dxf>
      <font>
        <b val="0"/>
        <i val="0"/>
      </font>
      <fill>
        <patternFill>
          <bgColor rgb="FFDFC4A3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0C9D6"/>
      <color rgb="FFD1D8E1"/>
      <color rgb="FF006100"/>
      <color rgb="FFC6EFCE"/>
      <color rgb="FF92D050"/>
      <color rgb="FFD1AB7D"/>
      <color rgb="FFDFC4A3"/>
      <color rgb="FFD6B48A"/>
      <color rgb="FFEF8C4F"/>
      <color rgb="FFED7D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219075</xdr:colOff>
          <xdr:row>13</xdr:row>
          <xdr:rowOff>171450</xdr:rowOff>
        </xdr:from>
        <xdr:to>
          <xdr:col>2</xdr:col>
          <xdr:colOff>1619250</xdr:colOff>
          <xdr:row>14</xdr:row>
          <xdr:rowOff>200025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33350" y="190501"/>
          <a:ext cx="6534150" cy="828675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12" dataDxfId="10" headerRowBorderDxfId="11" tableBorderDxfId="9">
  <autoFilter ref="A4:I8" xr:uid="{D180D7A4-6AC1-4690-8CBB-17DE72FE7FED}"/>
  <tableColumns count="9">
    <tableColumn id="1" xr3:uid="{6D61FA9C-8178-4340-96A8-4BB24E1AF516}" name="Numero de compte *" dataDxfId="8"/>
    <tableColumn id="2" xr3:uid="{F993531A-FB4B-4E50-B6DB-DE863805520A}" name="Référence opération" dataDxfId="7">
      <calculatedColumnFormula>B4</calculatedColumnFormula>
    </tableColumn>
    <tableColumn id="3" xr3:uid="{B263DC0A-D95B-4220-819F-A785FCDE372F}" name="Date de valeur *" dataDxfId="6"/>
    <tableColumn id="4" xr3:uid="{5A424E38-3296-46CB-B7D7-5312B6355A1B}" name="Montant débit *" dataDxfId="5"/>
    <tableColumn id="5" xr3:uid="{F0E1867B-95F0-4936-BFEE-EF7D41C944AF}" name="Montant crédit *" dataDxfId="4"/>
    <tableColumn id="6" xr3:uid="{059BBDB0-64F5-4B35-A4C7-52E97A1B60A0}" name="Code Opération *" dataDxfId="3"/>
    <tableColumn id="7" xr3:uid="{5D4F3052-3A24-452C-A6ED-03BCD1EFDAAB}" name="Zone Alpha" dataDxfId="2"/>
    <tableColumn id="8" xr3:uid="{F031D094-BCE9-4A0D-A354-341A0E97EDAF}" name="Libellé écriture 1" dataDxfId="1"/>
    <tableColumn id="9" xr3:uid="{15295A0C-80E9-415C-990F-055E7AB6502C}" name="Libellé écritur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J90"/>
  <sheetViews>
    <sheetView showGridLines="0" showRowColHeaders="0" tabSelected="1" topLeftCell="A2" zoomScaleNormal="100" workbookViewId="0">
      <selection activeCell="J15" sqref="J15"/>
    </sheetView>
  </sheetViews>
  <sheetFormatPr baseColWidth="10" defaultColWidth="11.42578125" defaultRowHeight="14.25" x14ac:dyDescent="0.25"/>
  <cols>
    <col min="1" max="1" width="4.7109375" style="53" customWidth="1"/>
    <col min="2" max="2" width="22.7109375" style="53" customWidth="1"/>
    <col min="3" max="3" width="28.7109375" style="53" customWidth="1"/>
    <col min="4" max="4" width="2.7109375" style="53" customWidth="1"/>
    <col min="5" max="5" width="28.7109375" style="53" customWidth="1"/>
    <col min="6" max="7" width="20.7109375" style="53" customWidth="1"/>
    <col min="8" max="8" width="28.7109375" style="53" customWidth="1"/>
    <col min="9" max="9" width="4.7109375" style="72" customWidth="1"/>
    <col min="10" max="10" width="54.7109375" style="53" customWidth="1"/>
    <col min="11" max="11" width="12.140625" style="53" customWidth="1"/>
    <col min="12" max="16384" width="11.42578125" style="53"/>
  </cols>
  <sheetData>
    <row r="1" spans="2:10" s="69" customFormat="1" ht="33.950000000000003" hidden="1" customHeight="1" x14ac:dyDescent="0.25">
      <c r="D1" s="91" t="s">
        <v>0</v>
      </c>
      <c r="E1" s="92"/>
      <c r="F1" s="92"/>
      <c r="G1" s="92"/>
      <c r="H1" s="92"/>
      <c r="I1" s="92"/>
    </row>
    <row r="2" spans="2:10" ht="14.1" customHeight="1" x14ac:dyDescent="0.25"/>
    <row r="3" spans="2:10" ht="30" customHeight="1" x14ac:dyDescent="0.25">
      <c r="F3" s="73" t="s">
        <v>115</v>
      </c>
      <c r="G3" s="74" t="s">
        <v>116</v>
      </c>
    </row>
    <row r="4" spans="2:10" ht="30" customHeight="1" x14ac:dyDescent="0.25">
      <c r="B4" s="114" t="s">
        <v>1</v>
      </c>
      <c r="C4" s="85">
        <v>843</v>
      </c>
      <c r="E4" s="114" t="s">
        <v>2</v>
      </c>
      <c r="F4" s="68">
        <v>91471.91</v>
      </c>
      <c r="G4" s="68">
        <v>91895.98</v>
      </c>
      <c r="H4" s="114" t="s">
        <v>3</v>
      </c>
      <c r="J4" s="133" t="s">
        <v>107</v>
      </c>
    </row>
    <row r="5" spans="2:10" ht="30" customHeight="1" x14ac:dyDescent="0.25">
      <c r="B5" s="114" t="s">
        <v>4</v>
      </c>
      <c r="C5" s="87" t="s">
        <v>111</v>
      </c>
      <c r="E5" s="114" t="s">
        <v>5</v>
      </c>
      <c r="F5" s="112">
        <f>IF(AND($C$12=1,$F$6=0,$F$7=0,TA!$F$7=0),TA!$D$4,
IF(AND($C$12=1,$F$6=0,$F$7=0,TA!$F$7&lt;&gt;0),TA!$D$3,
IF(AND($C$12=1,OR($F$6&lt;&gt;0,$F$7&lt;&gt;0),TA!$F$7=0),TA!$D$4-$F$7-$F$6,
IF(AND($C$12=1,OR($F$6&lt;&gt;0,$F$7&lt;&gt;0)),TA!$D$3-$F$7-$F$6,
IF(AND($C$12&lt;&gt;1,$F$6=0,$F$7=0,TA!$F$7=0),TA!$D$4,
IF(AND($C$12&lt;&gt;1,$F$6=0,$F$7=0,TA!$F$7&lt;&gt;0),TA!$D$2,
IF(AND($C$12&lt;&gt;1,OR($F$6&lt;&gt;0,$F$7&lt;&gt;0),TA!$F$7=0),TA!$D$4-$F$7-$F$6,
IF(AND($C$12&lt;&gt;1,OR($F$6&lt;&gt;0,$F$7&lt;&gt;0),TA!$F$7&lt;&gt;0),TA!$D$2-$F$7-$F$6))))))))</f>
        <v>521.79575631166665</v>
      </c>
      <c r="G5" s="112">
        <f>IF(C12&lt;1,IF(AND(ASSURANCE!J5&lt;&gt;0,ASSURANCE!C10&lt;&gt;0),0,IF(ASSURANCE!J5&gt;0,ASSURANCE!M4,ASSURANCE!C13)),TA!F3)</f>
        <v>69.714756311666662</v>
      </c>
      <c r="H5" s="114" t="s">
        <v>6</v>
      </c>
      <c r="J5" s="134"/>
    </row>
    <row r="6" spans="2:10" ht="30" customHeight="1" x14ac:dyDescent="0.25">
      <c r="B6" s="114" t="s">
        <v>7</v>
      </c>
      <c r="C6" s="86">
        <v>45779</v>
      </c>
      <c r="E6" s="114" t="s">
        <v>8</v>
      </c>
      <c r="F6" s="68"/>
      <c r="G6" s="112">
        <f>TA!G4</f>
        <v>0</v>
      </c>
      <c r="H6" s="115" t="s">
        <v>114</v>
      </c>
      <c r="J6" s="135"/>
    </row>
    <row r="7" spans="2:10" ht="30" customHeight="1" x14ac:dyDescent="0.25">
      <c r="B7" s="115" t="s">
        <v>9</v>
      </c>
      <c r="C7" s="87" t="s">
        <v>111</v>
      </c>
      <c r="E7" s="114" t="s">
        <v>10</v>
      </c>
      <c r="F7" s="68"/>
      <c r="G7" s="68"/>
      <c r="H7" s="114"/>
      <c r="J7" s="135"/>
    </row>
    <row r="8" spans="2:10" ht="30" customHeight="1" x14ac:dyDescent="0.25">
      <c r="B8" s="115" t="s">
        <v>11</v>
      </c>
      <c r="C8" s="88" t="s">
        <v>111</v>
      </c>
      <c r="E8" s="114" t="s">
        <v>12</v>
      </c>
      <c r="F8" s="112" cm="1">
        <f t="array" ref="F8">IF(SUM(G4:G7-F4:F7)&gt;0,SUM(G4:G7-F4:F7),0)</f>
        <v>0</v>
      </c>
      <c r="G8" s="112" cm="1">
        <f t="array" ref="G8">IF(SUM(G4:G7-F4:F7)&lt;0,-SUM(G4:G7-F4:F7),0)</f>
        <v>28.011000000007584</v>
      </c>
      <c r="H8" s="114" t="s">
        <v>13</v>
      </c>
      <c r="J8" s="135"/>
    </row>
    <row r="9" spans="2:10" ht="30" customHeight="1" x14ac:dyDescent="0.25">
      <c r="B9" s="115" t="s">
        <v>14</v>
      </c>
      <c r="C9" s="89" t="s">
        <v>108</v>
      </c>
      <c r="E9" s="115" t="s">
        <v>15</v>
      </c>
      <c r="F9" s="100">
        <f>SUM(F4:F8)</f>
        <v>91993.705756311669</v>
      </c>
      <c r="G9" s="100">
        <f>SUM(G4:G8)</f>
        <v>91993.705756311669</v>
      </c>
      <c r="H9" s="139"/>
      <c r="J9" s="135"/>
    </row>
    <row r="10" spans="2:10" ht="30" customHeight="1" x14ac:dyDescent="0.25">
      <c r="B10" s="114" t="s">
        <v>16</v>
      </c>
      <c r="C10" s="99">
        <f>TA!J7</f>
        <v>131186.62</v>
      </c>
      <c r="E10" s="114" t="s">
        <v>17</v>
      </c>
      <c r="F10" s="142">
        <f>G9-F9</f>
        <v>0</v>
      </c>
      <c r="G10" s="143"/>
      <c r="H10" s="140"/>
      <c r="I10" s="79"/>
      <c r="J10" s="136"/>
    </row>
    <row r="11" spans="2:10" ht="30" customHeight="1" x14ac:dyDescent="0.25">
      <c r="B11" s="114" t="s">
        <v>18</v>
      </c>
      <c r="C11" s="90" t="s">
        <v>112</v>
      </c>
      <c r="E11" s="116" t="s">
        <v>19</v>
      </c>
      <c r="F11" s="113">
        <f>F4+F7</f>
        <v>91471.91</v>
      </c>
      <c r="G11" s="113">
        <f>G4</f>
        <v>91895.98</v>
      </c>
      <c r="H11" s="117" t="s">
        <v>20</v>
      </c>
      <c r="I11" s="79"/>
      <c r="J11" s="83"/>
    </row>
    <row r="12" spans="2:10" ht="30" customHeight="1" x14ac:dyDescent="0.25">
      <c r="B12" s="114" t="s">
        <v>21</v>
      </c>
      <c r="C12" s="98">
        <v>0.7</v>
      </c>
      <c r="E12" s="116" t="s">
        <v>22</v>
      </c>
      <c r="F12" s="144">
        <f>G11-F11</f>
        <v>424.06999999999243</v>
      </c>
      <c r="G12" s="145"/>
      <c r="H12" s="137">
        <f>G4-C13</f>
        <v>65.346000000005006</v>
      </c>
      <c r="I12" s="79"/>
      <c r="J12" s="201" t="s">
        <v>113</v>
      </c>
    </row>
    <row r="13" spans="2:10" ht="30" customHeight="1" x14ac:dyDescent="0.25">
      <c r="B13" s="114" t="s">
        <v>23</v>
      </c>
      <c r="C13" s="99">
        <f>C10*C12</f>
        <v>91830.633999999991</v>
      </c>
      <c r="E13" s="116" t="s">
        <v>17</v>
      </c>
      <c r="F13" s="141">
        <f>F12-F8-F5-F6+(G5+G7+G6+G8)</f>
        <v>0</v>
      </c>
      <c r="G13" s="141"/>
      <c r="H13" s="138"/>
      <c r="I13" s="79"/>
      <c r="J13" s="200">
        <f>G9</f>
        <v>91993.705756311669</v>
      </c>
    </row>
    <row r="14" spans="2:10" ht="30" customHeight="1" x14ac:dyDescent="0.25">
      <c r="I14" s="81"/>
      <c r="J14" s="83"/>
    </row>
    <row r="15" spans="2:10" ht="30" customHeight="1" x14ac:dyDescent="0.25">
      <c r="I15" s="84"/>
      <c r="J15" s="83"/>
    </row>
    <row r="16" spans="2:10" ht="30" customHeight="1" x14ac:dyDescent="0.25">
      <c r="I16" s="84"/>
      <c r="J16" s="83"/>
    </row>
    <row r="17" spans="5:10" ht="30" customHeight="1" x14ac:dyDescent="0.25">
      <c r="I17" s="84"/>
      <c r="J17" s="83"/>
    </row>
    <row r="18" spans="5:10" ht="30" customHeight="1" x14ac:dyDescent="0.25">
      <c r="H18" s="82"/>
      <c r="I18" s="84"/>
      <c r="J18" s="83"/>
    </row>
    <row r="19" spans="5:10" ht="30" customHeight="1" x14ac:dyDescent="0.25">
      <c r="H19" s="82"/>
      <c r="I19" s="84"/>
      <c r="J19" s="83"/>
    </row>
    <row r="20" spans="5:10" ht="30" customHeight="1" x14ac:dyDescent="0.25">
      <c r="H20" s="82"/>
      <c r="I20" s="84"/>
      <c r="J20" s="83"/>
    </row>
    <row r="21" spans="5:10" ht="30" customHeight="1" x14ac:dyDescent="0.25">
      <c r="H21" s="82"/>
      <c r="I21" s="84"/>
      <c r="J21" s="83"/>
    </row>
    <row r="22" spans="5:10" ht="30" customHeight="1" x14ac:dyDescent="0.25">
      <c r="H22" s="82"/>
      <c r="I22" s="84"/>
      <c r="J22" s="83"/>
    </row>
    <row r="23" spans="5:10" ht="30" customHeight="1" x14ac:dyDescent="0.25">
      <c r="H23" s="82"/>
      <c r="I23" s="84"/>
      <c r="J23" s="83"/>
    </row>
    <row r="24" spans="5:10" ht="30" customHeight="1" x14ac:dyDescent="0.25">
      <c r="H24" s="82"/>
      <c r="I24" s="84"/>
      <c r="J24" s="83"/>
    </row>
    <row r="25" spans="5:10" ht="30" customHeight="1" x14ac:dyDescent="0.25">
      <c r="H25" s="82"/>
      <c r="I25" s="84"/>
      <c r="J25" s="83"/>
    </row>
    <row r="26" spans="5:10" ht="30" customHeight="1" x14ac:dyDescent="0.25"/>
    <row r="27" spans="5:10" ht="30" customHeight="1" x14ac:dyDescent="0.25"/>
    <row r="28" spans="5:10" ht="30" customHeight="1" x14ac:dyDescent="0.25">
      <c r="E28" s="93"/>
    </row>
    <row r="29" spans="5:10" ht="30" customHeight="1" x14ac:dyDescent="0.25">
      <c r="E29" s="94"/>
    </row>
    <row r="30" spans="5:10" ht="30" customHeight="1" x14ac:dyDescent="0.25">
      <c r="E30" s="95"/>
      <c r="F30" s="80"/>
      <c r="G30" s="80"/>
    </row>
    <row r="31" spans="5:10" ht="30" customHeight="1" x14ac:dyDescent="0.25">
      <c r="E31" s="96"/>
      <c r="F31" s="97"/>
      <c r="G31" s="80"/>
    </row>
    <row r="32" spans="5:10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</sheetData>
  <mergeCells count="6">
    <mergeCell ref="J5:J10"/>
    <mergeCell ref="H12:H13"/>
    <mergeCell ref="H9:H10"/>
    <mergeCell ref="F13:G13"/>
    <mergeCell ref="F10:G10"/>
    <mergeCell ref="F12:G12"/>
  </mergeCells>
  <conditionalFormatting sqref="F10:G10">
    <cfRule type="cellIs" dxfId="36" priority="8" operator="lessThan">
      <formula>0</formula>
    </cfRule>
    <cfRule type="cellIs" dxfId="35" priority="9" operator="greaterThan">
      <formula>0</formula>
    </cfRule>
  </conditionalFormatting>
  <conditionalFormatting sqref="H12">
    <cfRule type="cellIs" dxfId="34" priority="7" operator="lessThan">
      <formula>0</formula>
    </cfRule>
  </conditionalFormatting>
  <conditionalFormatting sqref="F9:G9">
    <cfRule type="cellIs" dxfId="33" priority="5" operator="equal">
      <formula>0</formula>
    </cfRule>
  </conditionalFormatting>
  <conditionalFormatting sqref="C13 C10 G6 F8:G8 F5:G5">
    <cfRule type="cellIs" dxfId="32" priority="2" operator="equal">
      <formula>0</formula>
    </cfRule>
  </conditionalFormatting>
  <dataValidations disablePrompts="1" count="2">
    <dataValidation type="textLength" operator="equal" allowBlank="1" showInputMessage="1" showErrorMessage="1" error="Le numéro de prêt doit être sur 7 caractères sans le 0" sqref="C9" xr:uid="{190DC7AD-0D64-4BF3-9CDF-020D702849EC}">
      <formula1>7</formula1>
    </dataValidation>
    <dataValidation type="list" allowBlank="1" showInputMessage="1" showErrorMessage="1" sqref="E25" xr:uid="{777A7D3B-E118-448E-B089-FAFC151E8844}">
      <formula1>CCI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set">
                <anchor moveWithCells="1" sizeWithCells="1">
                  <from>
                    <xdr:col>2</xdr:col>
                    <xdr:colOff>219075</xdr:colOff>
                    <xdr:row>13</xdr:row>
                    <xdr:rowOff>171450</xdr:rowOff>
                  </from>
                  <to>
                    <xdr:col>2</xdr:col>
                    <xdr:colOff>1619250</xdr:colOff>
                    <xdr:row>14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92972-DF15-4F8D-BE80-D2642F0E4B9E}">
  <sheetPr codeName="Feuil6"/>
  <dimension ref="B1:AE83"/>
  <sheetViews>
    <sheetView showGridLines="0" showRowColHeaders="0" topLeftCell="A2" workbookViewId="0">
      <selection activeCell="G7" sqref="G7"/>
    </sheetView>
  </sheetViews>
  <sheetFormatPr baseColWidth="10" defaultColWidth="11.42578125" defaultRowHeight="14.25" x14ac:dyDescent="0.25"/>
  <cols>
    <col min="1" max="1" width="3.7109375" style="53" customWidth="1"/>
    <col min="2" max="2" width="22.7109375" style="53" customWidth="1"/>
    <col min="3" max="3" width="14.7109375" style="53" customWidth="1"/>
    <col min="4" max="5" width="4.7109375" style="53" customWidth="1"/>
    <col min="6" max="6" width="18.7109375" style="53" customWidth="1"/>
    <col min="7" max="7" width="12.7109375" style="53" customWidth="1"/>
    <col min="8" max="8" width="0.85546875" style="53" customWidth="1"/>
    <col min="9" max="9" width="18.7109375" style="53" customWidth="1"/>
    <col min="10" max="10" width="12.7109375" style="53" customWidth="1"/>
    <col min="11" max="11" width="0.85546875" style="53" customWidth="1"/>
    <col min="12" max="12" width="18.7109375" style="53" customWidth="1"/>
    <col min="13" max="13" width="12.7109375" style="53" customWidth="1"/>
    <col min="14" max="14" width="0.85546875" style="53" customWidth="1"/>
    <col min="15" max="15" width="18.7109375" style="53" customWidth="1"/>
    <col min="16" max="16" width="12.7109375" style="72" customWidth="1"/>
    <col min="17" max="17" width="0.85546875" style="72" customWidth="1"/>
    <col min="18" max="18" width="18.7109375" style="72" customWidth="1"/>
    <col min="19" max="19" width="12.7109375" style="53" customWidth="1"/>
    <col min="20" max="20" width="1.7109375" style="53" customWidth="1"/>
    <col min="21" max="21" width="10.7109375" style="53" customWidth="1"/>
    <col min="22" max="22" width="23.28515625" style="53" customWidth="1"/>
    <col min="23" max="23" width="15.7109375" style="53" customWidth="1"/>
    <col min="24" max="24" width="10.7109375" style="53" customWidth="1"/>
    <col min="25" max="25" width="20.7109375" style="53" customWidth="1"/>
    <col min="26" max="26" width="10.7109375" style="53" customWidth="1"/>
    <col min="27" max="27" width="2.7109375" style="53" customWidth="1"/>
    <col min="28" max="28" width="8.42578125" style="53" customWidth="1"/>
    <col min="29" max="29" width="20.7109375" style="53" customWidth="1"/>
    <col min="30" max="30" width="12.140625" style="72" customWidth="1"/>
    <col min="31" max="32" width="12.140625" style="53" customWidth="1"/>
    <col min="33" max="16384" width="11.42578125" style="53"/>
  </cols>
  <sheetData>
    <row r="1" spans="2:31" s="69" customFormat="1" ht="33.950000000000003" hidden="1" customHeight="1" x14ac:dyDescent="0.25">
      <c r="P1" s="92"/>
      <c r="Q1" s="92"/>
      <c r="R1" s="92"/>
      <c r="S1" s="92"/>
      <c r="T1" s="92"/>
      <c r="U1" s="92"/>
      <c r="V1" s="92"/>
      <c r="W1" s="70"/>
      <c r="X1" s="70"/>
      <c r="Y1" s="70"/>
      <c r="Z1" s="70"/>
      <c r="AA1" s="70"/>
      <c r="AB1" s="70"/>
      <c r="AC1" s="70"/>
      <c r="AD1" s="71"/>
    </row>
    <row r="2" spans="2:31" s="69" customFormat="1" ht="10.5" customHeight="1" x14ac:dyDescent="0.25">
      <c r="P2" s="72"/>
      <c r="Q2" s="72"/>
      <c r="R2" s="72"/>
      <c r="S2" s="53"/>
      <c r="T2" s="53"/>
      <c r="U2" s="53"/>
      <c r="V2" s="53"/>
      <c r="W2" s="70"/>
      <c r="X2" s="70"/>
      <c r="Y2" s="70"/>
      <c r="Z2" s="70"/>
      <c r="AA2" s="70"/>
      <c r="AB2" s="70"/>
      <c r="AC2" s="70"/>
      <c r="AD2" s="71"/>
    </row>
    <row r="3" spans="2:31" ht="9.9499999999999993" customHeight="1" x14ac:dyDescent="0.25">
      <c r="D3" s="118"/>
      <c r="E3" s="119"/>
      <c r="U3" s="82"/>
    </row>
    <row r="4" spans="2:31" ht="24" customHeight="1" x14ac:dyDescent="0.25">
      <c r="D4" s="118"/>
      <c r="E4" s="119"/>
      <c r="F4" s="150" t="s">
        <v>24</v>
      </c>
      <c r="G4" s="151"/>
      <c r="H4" s="120"/>
      <c r="I4" s="132" t="s">
        <v>25</v>
      </c>
      <c r="J4" s="129">
        <f>SIMULATION!C12</f>
        <v>0.7</v>
      </c>
      <c r="L4" s="146" t="s">
        <v>26</v>
      </c>
      <c r="M4" s="148">
        <f>SUM(G7:G18,J7:J18,M7:M18,P7:P18,S7:S18)</f>
        <v>69.714756311666662</v>
      </c>
      <c r="N4" s="72"/>
      <c r="U4" s="82"/>
      <c r="AB4" s="72"/>
      <c r="AC4" s="72"/>
    </row>
    <row r="5" spans="2:31" ht="24" customHeight="1" x14ac:dyDescent="0.25">
      <c r="D5" s="118"/>
      <c r="E5" s="119"/>
      <c r="F5" s="152"/>
      <c r="G5" s="152"/>
      <c r="H5" s="120"/>
      <c r="I5" s="132" t="s">
        <v>27</v>
      </c>
      <c r="J5" s="76">
        <v>9.11E-3</v>
      </c>
      <c r="L5" s="147"/>
      <c r="M5" s="149"/>
      <c r="N5" s="72"/>
      <c r="S5" s="82"/>
      <c r="U5" s="82"/>
      <c r="W5" s="75"/>
      <c r="AB5" s="75"/>
      <c r="AC5" s="82"/>
    </row>
    <row r="6" spans="2:31" ht="5.0999999999999996" customHeight="1" x14ac:dyDescent="0.25">
      <c r="D6" s="118"/>
      <c r="E6" s="119"/>
      <c r="N6" s="72"/>
      <c r="U6" s="82"/>
      <c r="AA6" s="72"/>
      <c r="AB6" s="75"/>
      <c r="AC6" s="82"/>
    </row>
    <row r="7" spans="2:31" ht="21.95" customHeight="1" x14ac:dyDescent="0.25">
      <c r="B7" s="153" t="s">
        <v>28</v>
      </c>
      <c r="C7" s="155"/>
      <c r="D7" s="121"/>
      <c r="E7" s="122"/>
      <c r="F7" s="123" t="str">
        <f t="shared" ref="F7:F18" si="0">F21</f>
        <v>05/04/2025</v>
      </c>
      <c r="G7" s="124">
        <f t="shared" ref="G7:G18" si="1">IF(F7&lt;&gt;"",G21,"")</f>
        <v>69.714756311666662</v>
      </c>
      <c r="H7" s="125"/>
      <c r="I7" s="123" t="str">
        <f t="shared" ref="I7:I18" si="2">F33</f>
        <v/>
      </c>
      <c r="J7" s="124" t="str">
        <f t="shared" ref="J7:J18" si="3">IF(I7&lt;&gt;"",G33,"")</f>
        <v/>
      </c>
      <c r="L7" s="123" t="str">
        <f t="shared" ref="L7:L18" si="4">F45</f>
        <v/>
      </c>
      <c r="M7" s="124" t="str">
        <f t="shared" ref="M7:M18" si="5">IF(L7&lt;&gt;"",G45,"")</f>
        <v/>
      </c>
      <c r="N7" s="72"/>
      <c r="O7" s="123" t="str">
        <f t="shared" ref="O7:O18" si="6">F57</f>
        <v/>
      </c>
      <c r="P7" s="124" t="str">
        <f t="shared" ref="P7:P18" si="7">IF(O7&lt;&gt;"",G57,"")</f>
        <v/>
      </c>
      <c r="R7" s="123" t="str">
        <f t="shared" ref="R7:R18" si="8">F69</f>
        <v/>
      </c>
      <c r="S7" s="124" t="str">
        <f t="shared" ref="S7:S18" si="9">IF(R7&lt;&gt;"",G69,"")</f>
        <v/>
      </c>
      <c r="U7" s="82"/>
      <c r="AA7" s="72"/>
      <c r="AB7" s="78"/>
      <c r="AC7" s="82"/>
    </row>
    <row r="8" spans="2:31" ht="21.95" customHeight="1" x14ac:dyDescent="0.25">
      <c r="B8" s="154"/>
      <c r="C8" s="156"/>
      <c r="D8" s="121"/>
      <c r="E8" s="122"/>
      <c r="F8" s="123" t="str">
        <f t="shared" si="0"/>
        <v/>
      </c>
      <c r="G8" s="124" t="str">
        <f t="shared" si="1"/>
        <v/>
      </c>
      <c r="H8" s="125"/>
      <c r="I8" s="123" t="str">
        <f t="shared" si="2"/>
        <v/>
      </c>
      <c r="J8" s="124" t="str">
        <f t="shared" si="3"/>
        <v/>
      </c>
      <c r="L8" s="123" t="str">
        <f t="shared" si="4"/>
        <v/>
      </c>
      <c r="M8" s="124" t="str">
        <f t="shared" si="5"/>
        <v/>
      </c>
      <c r="N8" s="72"/>
      <c r="O8" s="123" t="str">
        <f t="shared" si="6"/>
        <v/>
      </c>
      <c r="P8" s="124" t="str">
        <f t="shared" si="7"/>
        <v/>
      </c>
      <c r="R8" s="123" t="str">
        <f t="shared" si="8"/>
        <v/>
      </c>
      <c r="S8" s="124" t="str">
        <f t="shared" si="9"/>
        <v/>
      </c>
      <c r="U8" s="82"/>
      <c r="AC8" s="82"/>
    </row>
    <row r="9" spans="2:31" ht="21.95" customHeight="1" x14ac:dyDescent="0.25">
      <c r="B9" s="130" t="s">
        <v>25</v>
      </c>
      <c r="C9" s="129">
        <f>SIMULATION!C12</f>
        <v>0.7</v>
      </c>
      <c r="D9" s="121"/>
      <c r="E9" s="122"/>
      <c r="F9" s="123" t="str">
        <f t="shared" si="0"/>
        <v/>
      </c>
      <c r="G9" s="124" t="str">
        <f t="shared" si="1"/>
        <v/>
      </c>
      <c r="H9" s="125"/>
      <c r="I9" s="123" t="str">
        <f t="shared" si="2"/>
        <v/>
      </c>
      <c r="J9" s="124" t="str">
        <f t="shared" si="3"/>
        <v/>
      </c>
      <c r="L9" s="123" t="str">
        <f t="shared" si="4"/>
        <v/>
      </c>
      <c r="M9" s="124" t="str">
        <f t="shared" si="5"/>
        <v/>
      </c>
      <c r="N9" s="72"/>
      <c r="O9" s="123" t="str">
        <f t="shared" si="6"/>
        <v/>
      </c>
      <c r="P9" s="124" t="str">
        <f t="shared" si="7"/>
        <v/>
      </c>
      <c r="R9" s="123" t="str">
        <f t="shared" si="8"/>
        <v/>
      </c>
      <c r="S9" s="124" t="str">
        <f t="shared" si="9"/>
        <v/>
      </c>
      <c r="U9" s="82"/>
    </row>
    <row r="10" spans="2:31" ht="21.95" customHeight="1" x14ac:dyDescent="0.25">
      <c r="B10" s="130" t="s">
        <v>27</v>
      </c>
      <c r="C10" s="76"/>
      <c r="D10" s="121"/>
      <c r="E10" s="122"/>
      <c r="F10" s="123" t="str">
        <f t="shared" si="0"/>
        <v/>
      </c>
      <c r="G10" s="124" t="str">
        <f t="shared" si="1"/>
        <v/>
      </c>
      <c r="H10" s="125"/>
      <c r="I10" s="123" t="str">
        <f t="shared" si="2"/>
        <v/>
      </c>
      <c r="J10" s="124" t="str">
        <f t="shared" si="3"/>
        <v/>
      </c>
      <c r="L10" s="123" t="str">
        <f t="shared" si="4"/>
        <v/>
      </c>
      <c r="M10" s="124" t="str">
        <f t="shared" si="5"/>
        <v/>
      </c>
      <c r="N10" s="72"/>
      <c r="O10" s="123" t="str">
        <f t="shared" si="6"/>
        <v/>
      </c>
      <c r="P10" s="124" t="str">
        <f t="shared" si="7"/>
        <v/>
      </c>
      <c r="R10" s="123" t="str">
        <f t="shared" si="8"/>
        <v/>
      </c>
      <c r="S10" s="124" t="str">
        <f t="shared" si="9"/>
        <v/>
      </c>
      <c r="U10" s="82"/>
    </row>
    <row r="11" spans="2:31" ht="21.95" customHeight="1" x14ac:dyDescent="0.25">
      <c r="B11" s="117" t="s">
        <v>29</v>
      </c>
      <c r="C11" s="77"/>
      <c r="D11" s="121"/>
      <c r="E11" s="122"/>
      <c r="F11" s="123" t="str">
        <f t="shared" si="0"/>
        <v/>
      </c>
      <c r="G11" s="124" t="str">
        <f t="shared" si="1"/>
        <v/>
      </c>
      <c r="H11" s="125"/>
      <c r="I11" s="123" t="str">
        <f t="shared" si="2"/>
        <v/>
      </c>
      <c r="J11" s="124" t="str">
        <f t="shared" si="3"/>
        <v/>
      </c>
      <c r="L11" s="123" t="str">
        <f t="shared" si="4"/>
        <v/>
      </c>
      <c r="M11" s="124" t="str">
        <f t="shared" si="5"/>
        <v/>
      </c>
      <c r="N11" s="72"/>
      <c r="O11" s="123" t="str">
        <f t="shared" si="6"/>
        <v/>
      </c>
      <c r="P11" s="124" t="str">
        <f t="shared" si="7"/>
        <v/>
      </c>
      <c r="R11" s="123" t="str">
        <f t="shared" si="8"/>
        <v/>
      </c>
      <c r="S11" s="124" t="str">
        <f t="shared" si="9"/>
        <v/>
      </c>
    </row>
    <row r="12" spans="2:31" ht="21.95" customHeight="1" x14ac:dyDescent="0.25">
      <c r="B12" s="131" t="s">
        <v>30</v>
      </c>
      <c r="C12" s="112">
        <f>((C7*C10)/12*C9)</f>
        <v>0</v>
      </c>
      <c r="D12" s="121"/>
      <c r="E12" s="122"/>
      <c r="F12" s="123" t="str">
        <f t="shared" si="0"/>
        <v/>
      </c>
      <c r="G12" s="124" t="str">
        <f t="shared" si="1"/>
        <v/>
      </c>
      <c r="H12" s="125"/>
      <c r="I12" s="123" t="str">
        <f t="shared" si="2"/>
        <v/>
      </c>
      <c r="J12" s="124" t="str">
        <f t="shared" si="3"/>
        <v/>
      </c>
      <c r="L12" s="123" t="str">
        <f t="shared" si="4"/>
        <v/>
      </c>
      <c r="M12" s="124" t="str">
        <f t="shared" si="5"/>
        <v/>
      </c>
      <c r="N12" s="72"/>
      <c r="O12" s="123" t="str">
        <f t="shared" si="6"/>
        <v/>
      </c>
      <c r="P12" s="124" t="str">
        <f t="shared" si="7"/>
        <v/>
      </c>
      <c r="R12" s="123" t="str">
        <f t="shared" si="8"/>
        <v/>
      </c>
      <c r="S12" s="124" t="str">
        <f t="shared" si="9"/>
        <v/>
      </c>
    </row>
    <row r="13" spans="2:31" ht="21.95" customHeight="1" x14ac:dyDescent="0.25">
      <c r="B13" s="146" t="s">
        <v>26</v>
      </c>
      <c r="C13" s="148">
        <f>C12*C11</f>
        <v>0</v>
      </c>
      <c r="D13" s="121"/>
      <c r="E13" s="122"/>
      <c r="F13" s="123" t="str">
        <f t="shared" si="0"/>
        <v/>
      </c>
      <c r="G13" s="124" t="str">
        <f t="shared" si="1"/>
        <v/>
      </c>
      <c r="H13" s="125"/>
      <c r="I13" s="123" t="str">
        <f t="shared" si="2"/>
        <v/>
      </c>
      <c r="J13" s="124" t="str">
        <f t="shared" si="3"/>
        <v/>
      </c>
      <c r="L13" s="123" t="str">
        <f t="shared" si="4"/>
        <v/>
      </c>
      <c r="M13" s="124" t="str">
        <f t="shared" si="5"/>
        <v/>
      </c>
      <c r="N13" s="72"/>
      <c r="O13" s="123" t="str">
        <f t="shared" si="6"/>
        <v/>
      </c>
      <c r="P13" s="124" t="str">
        <f t="shared" si="7"/>
        <v/>
      </c>
      <c r="R13" s="123" t="str">
        <f t="shared" si="8"/>
        <v/>
      </c>
      <c r="S13" s="124" t="str">
        <f t="shared" si="9"/>
        <v/>
      </c>
      <c r="U13" s="82"/>
    </row>
    <row r="14" spans="2:31" ht="21.95" customHeight="1" x14ac:dyDescent="0.25">
      <c r="B14" s="147"/>
      <c r="C14" s="149"/>
      <c r="D14" s="121"/>
      <c r="E14" s="122"/>
      <c r="F14" s="123" t="str">
        <f t="shared" si="0"/>
        <v/>
      </c>
      <c r="G14" s="124" t="str">
        <f t="shared" si="1"/>
        <v/>
      </c>
      <c r="H14" s="125"/>
      <c r="I14" s="123" t="str">
        <f t="shared" si="2"/>
        <v/>
      </c>
      <c r="J14" s="124" t="str">
        <f t="shared" si="3"/>
        <v/>
      </c>
      <c r="L14" s="123" t="str">
        <f t="shared" si="4"/>
        <v/>
      </c>
      <c r="M14" s="124" t="str">
        <f t="shared" si="5"/>
        <v/>
      </c>
      <c r="N14" s="72"/>
      <c r="O14" s="123" t="str">
        <f t="shared" si="6"/>
        <v/>
      </c>
      <c r="P14" s="124" t="str">
        <f t="shared" si="7"/>
        <v/>
      </c>
      <c r="R14" s="123" t="str">
        <f t="shared" si="8"/>
        <v/>
      </c>
      <c r="S14" s="124" t="str">
        <f t="shared" si="9"/>
        <v/>
      </c>
      <c r="U14" s="82"/>
      <c r="AA14" s="72"/>
    </row>
    <row r="15" spans="2:31" ht="21.95" customHeight="1" x14ac:dyDescent="0.25">
      <c r="D15" s="118"/>
      <c r="E15" s="119"/>
      <c r="F15" s="123" t="str">
        <f t="shared" si="0"/>
        <v/>
      </c>
      <c r="G15" s="124" t="str">
        <f t="shared" si="1"/>
        <v/>
      </c>
      <c r="H15" s="125"/>
      <c r="I15" s="123" t="str">
        <f t="shared" si="2"/>
        <v/>
      </c>
      <c r="J15" s="124" t="str">
        <f t="shared" si="3"/>
        <v/>
      </c>
      <c r="L15" s="123" t="str">
        <f t="shared" si="4"/>
        <v/>
      </c>
      <c r="M15" s="124" t="str">
        <f t="shared" si="5"/>
        <v/>
      </c>
      <c r="N15" s="72"/>
      <c r="O15" s="123" t="str">
        <f t="shared" si="6"/>
        <v/>
      </c>
      <c r="P15" s="124" t="str">
        <f t="shared" si="7"/>
        <v/>
      </c>
      <c r="R15" s="123" t="str">
        <f t="shared" si="8"/>
        <v/>
      </c>
      <c r="S15" s="124" t="str">
        <f t="shared" si="9"/>
        <v/>
      </c>
      <c r="U15" s="82"/>
      <c r="AA15" s="82"/>
      <c r="AB15" s="82"/>
      <c r="AC15" s="82"/>
      <c r="AD15" s="82"/>
      <c r="AE15" s="83"/>
    </row>
    <row r="16" spans="2:31" ht="21.95" customHeight="1" x14ac:dyDescent="0.25">
      <c r="D16" s="118"/>
      <c r="E16" s="119"/>
      <c r="F16" s="123" t="str">
        <f t="shared" si="0"/>
        <v/>
      </c>
      <c r="G16" s="124" t="str">
        <f t="shared" si="1"/>
        <v/>
      </c>
      <c r="H16" s="125"/>
      <c r="I16" s="123" t="str">
        <f t="shared" si="2"/>
        <v/>
      </c>
      <c r="J16" s="124" t="str">
        <f t="shared" si="3"/>
        <v/>
      </c>
      <c r="L16" s="123" t="str">
        <f t="shared" si="4"/>
        <v/>
      </c>
      <c r="M16" s="124" t="str">
        <f t="shared" si="5"/>
        <v/>
      </c>
      <c r="N16" s="72"/>
      <c r="O16" s="123" t="str">
        <f t="shared" si="6"/>
        <v/>
      </c>
      <c r="P16" s="124" t="str">
        <f t="shared" si="7"/>
        <v/>
      </c>
      <c r="R16" s="123" t="str">
        <f t="shared" si="8"/>
        <v/>
      </c>
      <c r="S16" s="124" t="str">
        <f t="shared" si="9"/>
        <v/>
      </c>
      <c r="U16" s="82"/>
      <c r="AA16" s="82"/>
      <c r="AB16" s="82"/>
      <c r="AC16" s="82"/>
      <c r="AD16" s="82"/>
      <c r="AE16" s="83"/>
    </row>
    <row r="17" spans="4:31" ht="21.95" customHeight="1" x14ac:dyDescent="0.25">
      <c r="D17" s="118"/>
      <c r="E17" s="119"/>
      <c r="F17" s="123" t="str">
        <f t="shared" si="0"/>
        <v/>
      </c>
      <c r="G17" s="124" t="str">
        <f t="shared" si="1"/>
        <v/>
      </c>
      <c r="H17" s="125"/>
      <c r="I17" s="123" t="str">
        <f t="shared" si="2"/>
        <v/>
      </c>
      <c r="J17" s="124" t="str">
        <f t="shared" si="3"/>
        <v/>
      </c>
      <c r="L17" s="123" t="str">
        <f t="shared" si="4"/>
        <v/>
      </c>
      <c r="M17" s="124" t="str">
        <f t="shared" si="5"/>
        <v/>
      </c>
      <c r="N17" s="72"/>
      <c r="O17" s="123" t="str">
        <f t="shared" si="6"/>
        <v/>
      </c>
      <c r="P17" s="124" t="str">
        <f t="shared" si="7"/>
        <v/>
      </c>
      <c r="R17" s="123" t="str">
        <f t="shared" si="8"/>
        <v/>
      </c>
      <c r="S17" s="124" t="str">
        <f t="shared" si="9"/>
        <v/>
      </c>
      <c r="U17" s="82"/>
      <c r="V17" s="82"/>
      <c r="W17" s="82"/>
      <c r="AA17" s="82"/>
      <c r="AB17" s="82"/>
      <c r="AC17" s="82"/>
      <c r="AD17" s="82"/>
      <c r="AE17" s="83"/>
    </row>
    <row r="18" spans="4:31" ht="21.95" customHeight="1" x14ac:dyDescent="0.25">
      <c r="D18" s="118"/>
      <c r="E18" s="119"/>
      <c r="F18" s="123" t="str">
        <f t="shared" si="0"/>
        <v/>
      </c>
      <c r="G18" s="124" t="str">
        <f t="shared" si="1"/>
        <v/>
      </c>
      <c r="H18" s="125"/>
      <c r="I18" s="123" t="str">
        <f t="shared" si="2"/>
        <v/>
      </c>
      <c r="J18" s="124" t="str">
        <f t="shared" si="3"/>
        <v/>
      </c>
      <c r="L18" s="123" t="str">
        <f t="shared" si="4"/>
        <v/>
      </c>
      <c r="M18" s="124" t="str">
        <f t="shared" si="5"/>
        <v/>
      </c>
      <c r="N18" s="72"/>
      <c r="O18" s="123" t="str">
        <f t="shared" si="6"/>
        <v/>
      </c>
      <c r="P18" s="124" t="str">
        <f t="shared" si="7"/>
        <v/>
      </c>
      <c r="R18" s="123" t="str">
        <f t="shared" si="8"/>
        <v/>
      </c>
      <c r="S18" s="124" t="str">
        <f t="shared" si="9"/>
        <v/>
      </c>
      <c r="U18" s="82"/>
      <c r="V18" s="82"/>
      <c r="W18" s="82"/>
      <c r="AA18" s="82"/>
      <c r="AB18" s="82"/>
      <c r="AC18" s="82"/>
      <c r="AD18" s="82"/>
      <c r="AE18" s="83"/>
    </row>
    <row r="19" spans="4:31" ht="9.9499999999999993" customHeight="1" x14ac:dyDescent="0.25">
      <c r="D19" s="118"/>
      <c r="E19" s="119"/>
      <c r="P19" s="84"/>
      <c r="Q19" s="84"/>
      <c r="U19" s="82"/>
      <c r="V19" s="82"/>
      <c r="W19" s="82"/>
      <c r="AA19" s="82"/>
      <c r="AB19" s="82"/>
      <c r="AC19" s="82"/>
      <c r="AD19" s="82"/>
      <c r="AE19" s="83"/>
    </row>
    <row r="20" spans="4:31" ht="21.95" hidden="1" customHeight="1" x14ac:dyDescent="0.25">
      <c r="F20" s="126"/>
      <c r="G20" s="126"/>
      <c r="H20" s="126"/>
      <c r="I20" s="126"/>
      <c r="J20" s="126"/>
      <c r="P20" s="84"/>
      <c r="Q20" s="84"/>
      <c r="U20" s="82"/>
      <c r="V20" s="82"/>
      <c r="W20" s="82"/>
      <c r="AB20" s="82"/>
      <c r="AC20" s="82"/>
      <c r="AD20" s="82"/>
      <c r="AE20" s="83"/>
    </row>
    <row r="21" spans="4:31" ht="21.95" hidden="1" customHeight="1" x14ac:dyDescent="0.25">
      <c r="F21" s="127" t="str">
        <f>IF(AND(TA!B8&gt;0,G21&lt;&gt;""),CONCATENATE("",TEXT(TA!B8,"jj/mm/aaaa")),"")</f>
        <v>05/04/2025</v>
      </c>
      <c r="G21" s="128">
        <f>IF($J$5="","",(TA!J7*$J$5)/12*$J$4)</f>
        <v>69.714756311666662</v>
      </c>
      <c r="H21" s="126"/>
      <c r="I21" s="126"/>
      <c r="J21" s="126"/>
      <c r="P21" s="84"/>
      <c r="Q21" s="84"/>
      <c r="U21" s="82"/>
      <c r="V21" s="82"/>
      <c r="W21" s="82"/>
      <c r="AB21" s="82"/>
      <c r="AC21" s="82"/>
      <c r="AD21" s="82"/>
      <c r="AE21" s="83"/>
    </row>
    <row r="22" spans="4:31" ht="21.95" hidden="1" customHeight="1" x14ac:dyDescent="0.25">
      <c r="F22" s="127" t="str">
        <f>IF(AND(TA!B9&gt;0,G22&lt;&gt;""),CONCATENATE("",TEXT(TA!B9,"jj/mm/aaaa")),"")</f>
        <v/>
      </c>
      <c r="G22" s="128">
        <f>IF($J$5="","",(TA!J8*$J$5)/12*$J$4)</f>
        <v>69.442426526666665</v>
      </c>
      <c r="H22" s="126"/>
      <c r="I22" s="126"/>
      <c r="J22" s="126"/>
    </row>
    <row r="23" spans="4:31" ht="21.95" hidden="1" customHeight="1" x14ac:dyDescent="0.25">
      <c r="F23" s="127" t="str">
        <f>IF(AND(TA!B10&gt;0,G23&lt;&gt;""),CONCATENATE("",TEXT(TA!B10,"jj/mm/aaaa")),"")</f>
        <v/>
      </c>
      <c r="G23" s="128">
        <f>IF($J$5="","",(TA!J9*$J$5)/12*$J$4)</f>
        <v>0</v>
      </c>
      <c r="H23" s="126"/>
      <c r="I23" s="126"/>
      <c r="J23" s="126"/>
      <c r="W23" s="72"/>
    </row>
    <row r="24" spans="4:31" ht="21.95" hidden="1" customHeight="1" x14ac:dyDescent="0.25">
      <c r="F24" s="127" t="str">
        <f>IF(AND(TA!B11&gt;0,G24&lt;&gt;""),CONCATENATE("",TEXT(TA!B11,"jj/mm/aaaa")),"")</f>
        <v/>
      </c>
      <c r="G24" s="128">
        <f>IF($J$5="","",(TA!J10*$J$5)/12*$J$4)</f>
        <v>0</v>
      </c>
      <c r="H24" s="126"/>
      <c r="I24" s="126"/>
      <c r="J24" s="126"/>
    </row>
    <row r="25" spans="4:31" ht="21.95" hidden="1" customHeight="1" x14ac:dyDescent="0.25">
      <c r="F25" s="127" t="str">
        <f>IF(AND(TA!B12&gt;0,G25&lt;&gt;""),CONCATENATE("",TEXT(TA!B12,"jj/mm/aaaa")),"")</f>
        <v/>
      </c>
      <c r="G25" s="128">
        <f>IF($J$5="","",(TA!J11*$J$5)/12*$J$4)</f>
        <v>0</v>
      </c>
      <c r="H25" s="126"/>
      <c r="I25" s="126"/>
      <c r="J25" s="126"/>
    </row>
    <row r="26" spans="4:31" ht="21.95" hidden="1" customHeight="1" x14ac:dyDescent="0.25">
      <c r="F26" s="127" t="str">
        <f>IF(AND(TA!B13&gt;0,G26&lt;&gt;""),CONCATENATE("",TEXT(TA!B13,"jj/mm/aaaa")),"")</f>
        <v/>
      </c>
      <c r="G26" s="128">
        <f>IF($J$5="","",(TA!J12*$J$5)/12*$J$4)</f>
        <v>0</v>
      </c>
      <c r="H26" s="126"/>
      <c r="I26" s="126"/>
      <c r="J26" s="126"/>
    </row>
    <row r="27" spans="4:31" ht="21.95" hidden="1" customHeight="1" x14ac:dyDescent="0.25">
      <c r="F27" s="127" t="str">
        <f>IF(AND(TA!B14&gt;0,G27&lt;&gt;""),CONCATENATE("",TEXT(TA!B14,"jj/mm/aaaa")),"")</f>
        <v/>
      </c>
      <c r="G27" s="128">
        <f>IF($J$5="","",(TA!J13*$J$5)/12*$J$4)</f>
        <v>0</v>
      </c>
      <c r="H27" s="126"/>
      <c r="I27" s="126"/>
      <c r="J27" s="126"/>
    </row>
    <row r="28" spans="4:31" ht="21.95" hidden="1" customHeight="1" x14ac:dyDescent="0.25">
      <c r="F28" s="127" t="str">
        <f>IF(AND(TA!B15&gt;0,G28&lt;&gt;""),CONCATENATE("",TEXT(TA!B15,"jj/mm/aaaa")),"")</f>
        <v/>
      </c>
      <c r="G28" s="128">
        <f>IF($J$5="","",(TA!J14*$J$5)/12*$J$4)</f>
        <v>0</v>
      </c>
      <c r="H28" s="126"/>
      <c r="I28" s="126"/>
      <c r="J28" s="126"/>
    </row>
    <row r="29" spans="4:31" ht="21.95" hidden="1" customHeight="1" x14ac:dyDescent="0.25">
      <c r="F29" s="127" t="str">
        <f>IF(AND(TA!B16&gt;0,G29&lt;&gt;""),CONCATENATE("",TEXT(TA!B16,"jj/mm/aaaa")),"")</f>
        <v/>
      </c>
      <c r="G29" s="128">
        <f>IF($J$5="","",(TA!J15*$J$5)/12*$J$4)</f>
        <v>0</v>
      </c>
      <c r="H29" s="126"/>
      <c r="I29" s="126"/>
      <c r="J29" s="126"/>
    </row>
    <row r="30" spans="4:31" ht="21.95" hidden="1" customHeight="1" x14ac:dyDescent="0.25">
      <c r="F30" s="127" t="str">
        <f>IF(AND(TA!B17&gt;0,G30&lt;&gt;""),CONCATENATE("",TEXT(TA!B17,"jj/mm/aaaa")),"")</f>
        <v/>
      </c>
      <c r="G30" s="128">
        <f>IF($J$5="","",(TA!J16*$J$5)/12*$J$4)</f>
        <v>0</v>
      </c>
      <c r="H30" s="126"/>
      <c r="I30" s="126"/>
      <c r="J30" s="126"/>
    </row>
    <row r="31" spans="4:31" ht="21.95" hidden="1" customHeight="1" x14ac:dyDescent="0.25">
      <c r="F31" s="127" t="str">
        <f>IF(AND(TA!B18&gt;0,G31&lt;&gt;""),CONCATENATE("",TEXT(TA!B18,"jj/mm/aaaa")),"")</f>
        <v/>
      </c>
      <c r="G31" s="128">
        <f>IF($J$5="","",(TA!J17*$J$5)/12*$J$4)</f>
        <v>0</v>
      </c>
      <c r="H31" s="126"/>
      <c r="I31" s="126"/>
      <c r="J31" s="126"/>
    </row>
    <row r="32" spans="4:31" ht="21.95" hidden="1" customHeight="1" x14ac:dyDescent="0.25">
      <c r="F32" s="127" t="str">
        <f>IF(AND(TA!B19&gt;0,G32&lt;&gt;""),CONCATENATE("",TEXT(TA!B19,"jj/mm/aaaa")),"")</f>
        <v/>
      </c>
      <c r="G32" s="128">
        <f>IF($J$5="","",(TA!J18*$J$5)/12*$J$4)</f>
        <v>0</v>
      </c>
      <c r="H32" s="126"/>
      <c r="I32" s="126"/>
      <c r="J32" s="126"/>
    </row>
    <row r="33" spans="6:10" ht="21.95" hidden="1" customHeight="1" x14ac:dyDescent="0.25">
      <c r="F33" s="127" t="str">
        <f>IF(AND(TA!B20&gt;0,G33&lt;&gt;""),CONCATENATE("",TEXT(TA!B20,"jj/mm/aaaa")),"")</f>
        <v/>
      </c>
      <c r="G33" s="128">
        <f>IF($J$5="","",(TA!J19*$J$5)/12*$J$4)</f>
        <v>0</v>
      </c>
      <c r="H33" s="126"/>
      <c r="I33" s="126"/>
      <c r="J33" s="126"/>
    </row>
    <row r="34" spans="6:10" ht="21.95" hidden="1" customHeight="1" x14ac:dyDescent="0.25">
      <c r="F34" s="127" t="str">
        <f>IF(AND(TA!B21&gt;0,G34&lt;&gt;""),CONCATENATE("",TEXT(TA!B21,"jj/mm/aaaa")),"")</f>
        <v/>
      </c>
      <c r="G34" s="128">
        <f>IF($J$5="","",(TA!J20*$J$5)/12*$J$4)</f>
        <v>0</v>
      </c>
      <c r="H34" s="126"/>
      <c r="I34" s="126"/>
      <c r="J34" s="126"/>
    </row>
    <row r="35" spans="6:10" ht="21.95" hidden="1" customHeight="1" x14ac:dyDescent="0.25">
      <c r="F35" s="127" t="str">
        <f>IF(AND(TA!B22&gt;0,G35&lt;&gt;""),CONCATENATE("",TEXT(TA!B22,"jj/mm/aaaa")),"")</f>
        <v/>
      </c>
      <c r="G35" s="128">
        <f>IF($J$5="","",(TA!J21*$J$5)/12*$J$4)</f>
        <v>0</v>
      </c>
      <c r="H35" s="126"/>
      <c r="I35" s="126"/>
      <c r="J35" s="126"/>
    </row>
    <row r="36" spans="6:10" ht="21.95" hidden="1" customHeight="1" x14ac:dyDescent="0.25">
      <c r="F36" s="127" t="str">
        <f>IF(AND(TA!B23&gt;0,G36&lt;&gt;""),CONCATENATE("",TEXT(TA!B23,"jj/mm/aaaa")),"")</f>
        <v/>
      </c>
      <c r="G36" s="128">
        <f>IF($J$5="","",(TA!J22*$J$5)/12*$J$4)</f>
        <v>0</v>
      </c>
      <c r="H36" s="126"/>
      <c r="I36" s="126"/>
      <c r="J36" s="126"/>
    </row>
    <row r="37" spans="6:10" ht="21.95" hidden="1" customHeight="1" x14ac:dyDescent="0.25">
      <c r="F37" s="127" t="str">
        <f>IF(AND(TA!B24&gt;0,G37&lt;&gt;""),CONCATENATE("",TEXT(TA!B24,"jj/mm/aaaa")),"")</f>
        <v/>
      </c>
      <c r="G37" s="128">
        <f>IF($J$5="","",(TA!J23*$J$5)/12*$J$4)</f>
        <v>0</v>
      </c>
      <c r="H37" s="126"/>
      <c r="I37" s="126"/>
      <c r="J37" s="126"/>
    </row>
    <row r="38" spans="6:10" ht="21.95" hidden="1" customHeight="1" x14ac:dyDescent="0.25">
      <c r="F38" s="127" t="str">
        <f>IF(AND(TA!B25&gt;0,G38&lt;&gt;""),CONCATENATE("",TEXT(TA!B25,"jj/mm/aaaa")),"")</f>
        <v/>
      </c>
      <c r="G38" s="128">
        <f>IF($J$5="","",(TA!J24*$J$5)/12*$J$4)</f>
        <v>0</v>
      </c>
      <c r="H38" s="126"/>
      <c r="I38" s="126"/>
      <c r="J38" s="126"/>
    </row>
    <row r="39" spans="6:10" ht="21.95" hidden="1" customHeight="1" x14ac:dyDescent="0.25">
      <c r="F39" s="127" t="str">
        <f>IF(AND(TA!B26&gt;0,G39&lt;&gt;""),CONCATENATE("",TEXT(TA!B26,"jj/mm/aaaa")),"")</f>
        <v/>
      </c>
      <c r="G39" s="128">
        <f>IF($J$5="","",(TA!J25*$J$5)/12*$J$4)</f>
        <v>0</v>
      </c>
      <c r="H39" s="126"/>
      <c r="I39" s="126"/>
      <c r="J39" s="126"/>
    </row>
    <row r="40" spans="6:10" ht="21.95" hidden="1" customHeight="1" x14ac:dyDescent="0.25">
      <c r="F40" s="127" t="str">
        <f>IF(AND(TA!B27&gt;0,G40&lt;&gt;""),CONCATENATE("",TEXT(TA!B27,"jj/mm/aaaa")),"")</f>
        <v/>
      </c>
      <c r="G40" s="128">
        <f>IF($J$5="","",(TA!J26*$J$5)/12*$J$4)</f>
        <v>0</v>
      </c>
      <c r="H40" s="126"/>
      <c r="I40" s="126"/>
      <c r="J40" s="126"/>
    </row>
    <row r="41" spans="6:10" ht="21.95" hidden="1" customHeight="1" x14ac:dyDescent="0.25">
      <c r="F41" s="127" t="str">
        <f>IF(AND(TA!B28&gt;0,G41&lt;&gt;""),CONCATENATE("",TEXT(TA!B28,"jj/mm/aaaa")),"")</f>
        <v/>
      </c>
      <c r="G41" s="128">
        <f>IF($J$5="","",(TA!J27*$J$5)/12*$J$4)</f>
        <v>0</v>
      </c>
      <c r="H41" s="126"/>
      <c r="I41" s="126"/>
      <c r="J41" s="126"/>
    </row>
    <row r="42" spans="6:10" ht="21.95" hidden="1" customHeight="1" x14ac:dyDescent="0.25">
      <c r="F42" s="127" t="str">
        <f>IF(AND(TA!B29&gt;0,G42&lt;&gt;""),CONCATENATE("",TEXT(TA!B29,"jj/mm/aaaa")),"")</f>
        <v/>
      </c>
      <c r="G42" s="128">
        <f>IF($J$5="","",(TA!J28*$J$5)/12*$J$4)</f>
        <v>0</v>
      </c>
      <c r="H42" s="126"/>
      <c r="I42" s="126"/>
      <c r="J42" s="126"/>
    </row>
    <row r="43" spans="6:10" ht="21.95" hidden="1" customHeight="1" x14ac:dyDescent="0.25">
      <c r="F43" s="127" t="str">
        <f>IF(AND(TA!B30&gt;0,G43&lt;&gt;""),CONCATENATE("",TEXT(TA!B30,"jj/mm/aaaa")),"")</f>
        <v/>
      </c>
      <c r="G43" s="128">
        <f>IF($J$5="","",(TA!J29*$J$5)/12*$J$4)</f>
        <v>0</v>
      </c>
      <c r="H43" s="126"/>
      <c r="I43" s="126"/>
      <c r="J43" s="126"/>
    </row>
    <row r="44" spans="6:10" ht="21.95" hidden="1" customHeight="1" x14ac:dyDescent="0.25">
      <c r="F44" s="127" t="str">
        <f>IF(AND(TA!B31&gt;0,G44&lt;&gt;""),CONCATENATE("",TEXT(TA!B31,"jj/mm/aaaa")),"")</f>
        <v/>
      </c>
      <c r="G44" s="128">
        <f>IF($J$5="","",(TA!J30*$J$5)/12*$J$4)</f>
        <v>0</v>
      </c>
      <c r="H44" s="126"/>
      <c r="I44" s="126"/>
      <c r="J44" s="126"/>
    </row>
    <row r="45" spans="6:10" ht="21.95" hidden="1" customHeight="1" x14ac:dyDescent="0.25">
      <c r="F45" s="127" t="str">
        <f>IF(AND(TA!B32&gt;0,G45&lt;&gt;""),CONCATENATE("",TEXT(TA!B32,"jj/mm/aaaa")),"")</f>
        <v/>
      </c>
      <c r="G45" s="128">
        <f>IF($J$5="","",(TA!J31*$J$5)/12*$J$4)</f>
        <v>0</v>
      </c>
      <c r="H45" s="126"/>
      <c r="I45" s="126"/>
      <c r="J45" s="126"/>
    </row>
    <row r="46" spans="6:10" ht="21.95" hidden="1" customHeight="1" x14ac:dyDescent="0.25">
      <c r="F46" s="127" t="str">
        <f>IF(AND(TA!B33&gt;0,G46&lt;&gt;""),CONCATENATE("",TEXT(TA!B33,"jj/mm/aaaa")),"")</f>
        <v/>
      </c>
      <c r="G46" s="128">
        <f>IF($J$5="","",(TA!J32*$J$5)/12*$J$4)</f>
        <v>0</v>
      </c>
      <c r="H46" s="126"/>
      <c r="I46" s="126"/>
      <c r="J46" s="126"/>
    </row>
    <row r="47" spans="6:10" ht="21.95" hidden="1" customHeight="1" x14ac:dyDescent="0.25">
      <c r="F47" s="127" t="str">
        <f>IF(AND(TA!B34&gt;0,G47&lt;&gt;""),CONCATENATE("",TEXT(TA!B34,"jj/mm/aaaa")),"")</f>
        <v/>
      </c>
      <c r="G47" s="128">
        <f>IF($J$5="","",(TA!J33*$J$5)/12*$J$4)</f>
        <v>0</v>
      </c>
      <c r="H47" s="126"/>
      <c r="I47" s="126"/>
      <c r="J47" s="126"/>
    </row>
    <row r="48" spans="6:10" ht="21.95" hidden="1" customHeight="1" x14ac:dyDescent="0.25">
      <c r="F48" s="127" t="str">
        <f>IF(AND(TA!B35&gt;0,G48&lt;&gt;""),CONCATENATE("",TEXT(TA!B35,"jj/mm/aaaa")),"")</f>
        <v/>
      </c>
      <c r="G48" s="128">
        <f>IF($J$5="","",(TA!J34*$J$5)/12*$J$4)</f>
        <v>0</v>
      </c>
      <c r="H48" s="126"/>
      <c r="I48" s="126"/>
      <c r="J48" s="126"/>
    </row>
    <row r="49" spans="6:10" ht="21.95" hidden="1" customHeight="1" x14ac:dyDescent="0.25">
      <c r="F49" s="127" t="str">
        <f>IF(AND(TA!B36&gt;0,G49&lt;&gt;""),CONCATENATE("",TEXT(TA!B36,"jj/mm/aaaa")),"")</f>
        <v/>
      </c>
      <c r="G49" s="128">
        <f>IF($J$5="","",(TA!J35*$J$5)/12*$J$4)</f>
        <v>0</v>
      </c>
      <c r="H49" s="126"/>
      <c r="I49" s="126"/>
      <c r="J49" s="126"/>
    </row>
    <row r="50" spans="6:10" ht="21.95" hidden="1" customHeight="1" x14ac:dyDescent="0.25">
      <c r="F50" s="127" t="str">
        <f>IF(AND(TA!B37&gt;0,G50&lt;&gt;""),CONCATENATE("",TEXT(TA!B37,"jj/mm/aaaa")),"")</f>
        <v/>
      </c>
      <c r="G50" s="128">
        <f>IF($J$5="","",(TA!J36*$J$5)/12*$J$4)</f>
        <v>0</v>
      </c>
      <c r="H50" s="126"/>
      <c r="I50" s="126"/>
      <c r="J50" s="126"/>
    </row>
    <row r="51" spans="6:10" ht="21.95" hidden="1" customHeight="1" x14ac:dyDescent="0.25">
      <c r="F51" s="127" t="str">
        <f>IF(AND(TA!B38&gt;0,G51&lt;&gt;""),CONCATENATE("",TEXT(TA!B38,"jj/mm/aaaa")),"")</f>
        <v/>
      </c>
      <c r="G51" s="128">
        <f>IF($J$5="","",(TA!J37*$J$5)/12*$J$4)</f>
        <v>0</v>
      </c>
      <c r="H51" s="126"/>
      <c r="I51" s="126"/>
      <c r="J51" s="126"/>
    </row>
    <row r="52" spans="6:10" ht="21.95" hidden="1" customHeight="1" x14ac:dyDescent="0.25">
      <c r="F52" s="127" t="str">
        <f>IF(AND(TA!B39&gt;0,G52&lt;&gt;""),CONCATENATE("",TEXT(TA!B39,"jj/mm/aaaa")),"")</f>
        <v/>
      </c>
      <c r="G52" s="128">
        <f>IF($J$5="","",(TA!J38*$J$5)/12*$J$4)</f>
        <v>0</v>
      </c>
      <c r="H52" s="126"/>
      <c r="I52" s="126"/>
      <c r="J52" s="126"/>
    </row>
    <row r="53" spans="6:10" ht="21.95" hidden="1" customHeight="1" x14ac:dyDescent="0.25">
      <c r="F53" s="127" t="str">
        <f>IF(AND(TA!B40&gt;0,G53&lt;&gt;""),CONCATENATE("",TEXT(TA!B40,"jj/mm/aaaa")),"")</f>
        <v/>
      </c>
      <c r="G53" s="128">
        <f>IF($J$5="","",(TA!J39*$J$5)/12*$J$4)</f>
        <v>0</v>
      </c>
      <c r="H53" s="126"/>
      <c r="I53" s="126"/>
      <c r="J53" s="126"/>
    </row>
    <row r="54" spans="6:10" ht="21.95" hidden="1" customHeight="1" x14ac:dyDescent="0.25">
      <c r="F54" s="127" t="str">
        <f>IF(AND(TA!B41&gt;0,G54&lt;&gt;""),CONCATENATE("",TEXT(TA!B41,"jj/mm/aaaa")),"")</f>
        <v/>
      </c>
      <c r="G54" s="128">
        <f>IF($J$5="","",(TA!J40*$J$5)/12*$J$4)</f>
        <v>0</v>
      </c>
      <c r="H54" s="126"/>
      <c r="I54" s="126"/>
      <c r="J54" s="126"/>
    </row>
    <row r="55" spans="6:10" ht="21.95" hidden="1" customHeight="1" x14ac:dyDescent="0.25">
      <c r="F55" s="127" t="str">
        <f>IF(AND(TA!B42&gt;0,G55&lt;&gt;""),CONCATENATE("",TEXT(TA!B42,"jj/mm/aaaa")),"")</f>
        <v/>
      </c>
      <c r="G55" s="128">
        <f>IF($J$5="","",(TA!J41*$J$5)/12*$J$4)</f>
        <v>0</v>
      </c>
      <c r="H55" s="126"/>
      <c r="I55" s="126"/>
      <c r="J55" s="126"/>
    </row>
    <row r="56" spans="6:10" ht="21.95" hidden="1" customHeight="1" x14ac:dyDescent="0.25">
      <c r="F56" s="127" t="str">
        <f>IF(AND(TA!B43&gt;0,G56&lt;&gt;""),CONCATENATE("",TEXT(TA!B43,"jj/mm/aaaa")),"")</f>
        <v/>
      </c>
      <c r="G56" s="128">
        <f>IF($J$5="","",(TA!J42*$J$5)/12*$J$4)</f>
        <v>0</v>
      </c>
      <c r="H56" s="126"/>
      <c r="I56" s="126"/>
      <c r="J56" s="126"/>
    </row>
    <row r="57" spans="6:10" ht="21.95" hidden="1" customHeight="1" x14ac:dyDescent="0.25">
      <c r="F57" s="127" t="str">
        <f>IF(AND(TA!B44&gt;0,G57&lt;&gt;""),CONCATENATE("",TEXT(TA!B44,"jj/mm/aaaa")),"")</f>
        <v/>
      </c>
      <c r="G57" s="128">
        <f>IF($J$5="","",(TA!J43*$J$5)/12*$J$4)</f>
        <v>0</v>
      </c>
      <c r="H57" s="126"/>
      <c r="I57" s="126"/>
      <c r="J57" s="126"/>
    </row>
    <row r="58" spans="6:10" ht="21.95" hidden="1" customHeight="1" x14ac:dyDescent="0.25">
      <c r="F58" s="127" t="str">
        <f>IF(AND(TA!B45&gt;0,G58&lt;&gt;""),CONCATENATE("",TEXT(TA!B45,"jj/mm/aaaa")),"")</f>
        <v/>
      </c>
      <c r="G58" s="128">
        <f>IF($J$5="","",(TA!J44*$J$5)/12*$J$4)</f>
        <v>0</v>
      </c>
      <c r="H58" s="126"/>
      <c r="I58" s="126"/>
      <c r="J58" s="126"/>
    </row>
    <row r="59" spans="6:10" ht="21.95" hidden="1" customHeight="1" x14ac:dyDescent="0.25">
      <c r="F59" s="127" t="str">
        <f>IF(AND(TA!B46&gt;0,G59&lt;&gt;""),CONCATENATE("",TEXT(TA!B46,"jj/mm/aaaa")),"")</f>
        <v/>
      </c>
      <c r="G59" s="128">
        <f>IF($J$5="","",(TA!J45*$J$5)/12*$J$4)</f>
        <v>0</v>
      </c>
      <c r="H59" s="126"/>
      <c r="I59" s="126"/>
      <c r="J59" s="126"/>
    </row>
    <row r="60" spans="6:10" ht="21.95" hidden="1" customHeight="1" x14ac:dyDescent="0.25">
      <c r="F60" s="127" t="str">
        <f>IF(AND(TA!B47&gt;0,G60&lt;&gt;""),CONCATENATE("",TEXT(TA!B47,"jj/mm/aaaa")),"")</f>
        <v/>
      </c>
      <c r="G60" s="128">
        <f>IF($J$5="","",(TA!J46*$J$5)/12*$J$4)</f>
        <v>0</v>
      </c>
      <c r="H60" s="126"/>
      <c r="I60" s="126"/>
      <c r="J60" s="126"/>
    </row>
    <row r="61" spans="6:10" ht="21.95" hidden="1" customHeight="1" x14ac:dyDescent="0.25">
      <c r="F61" s="127" t="str">
        <f>IF(AND(TA!B48&gt;0,G61&lt;&gt;""),CONCATENATE("",TEXT(TA!B48,"jj/mm/aaaa")),"")</f>
        <v/>
      </c>
      <c r="G61" s="128">
        <f>IF($J$5="","",(TA!J47*$J$5)/12*$J$4)</f>
        <v>0</v>
      </c>
      <c r="H61" s="126"/>
      <c r="I61" s="126"/>
      <c r="J61" s="126"/>
    </row>
    <row r="62" spans="6:10" ht="21.95" hidden="1" customHeight="1" x14ac:dyDescent="0.25">
      <c r="F62" s="127" t="str">
        <f>IF(AND(TA!B49&gt;0,G62&lt;&gt;""),CONCATENATE("",TEXT(TA!B49,"jj/mm/aaaa")),"")</f>
        <v/>
      </c>
      <c r="G62" s="128">
        <f>IF($J$5="","",(TA!J48*$J$5)/12*$J$4)</f>
        <v>0</v>
      </c>
      <c r="H62" s="126"/>
      <c r="I62" s="126"/>
      <c r="J62" s="126"/>
    </row>
    <row r="63" spans="6:10" ht="21.95" hidden="1" customHeight="1" x14ac:dyDescent="0.25">
      <c r="F63" s="127" t="str">
        <f>IF(AND(TA!B50&gt;0,G63&lt;&gt;""),CONCATENATE("",TEXT(TA!B50,"jj/mm/aaaa")),"")</f>
        <v/>
      </c>
      <c r="G63" s="128">
        <f>IF($J$5="","",(TA!J49*$J$5)/12*$J$4)</f>
        <v>0</v>
      </c>
      <c r="H63" s="126"/>
      <c r="I63" s="126"/>
      <c r="J63" s="126"/>
    </row>
    <row r="64" spans="6:10" ht="21.95" hidden="1" customHeight="1" x14ac:dyDescent="0.25">
      <c r="F64" s="127" t="str">
        <f>IF(AND(TA!B51&gt;0,G64&lt;&gt;""),CONCATENATE("",TEXT(TA!B51,"jj/mm/aaaa")),"")</f>
        <v/>
      </c>
      <c r="G64" s="128">
        <f>IF($J$5="","",(TA!J50*$J$5)/12*$J$4)</f>
        <v>0</v>
      </c>
      <c r="H64" s="126"/>
      <c r="I64" s="126"/>
      <c r="J64" s="126"/>
    </row>
    <row r="65" spans="6:10" ht="21.95" hidden="1" customHeight="1" x14ac:dyDescent="0.25">
      <c r="F65" s="127" t="str">
        <f>IF(AND(TA!B52&gt;0,G65&lt;&gt;""),CONCATENATE("",TEXT(TA!B52,"jj/mm/aaaa")),"")</f>
        <v/>
      </c>
      <c r="G65" s="128">
        <f>IF($J$5="","",(TA!J51*$J$5)/12*$J$4)</f>
        <v>0</v>
      </c>
      <c r="H65" s="126"/>
      <c r="I65" s="126"/>
      <c r="J65" s="126"/>
    </row>
    <row r="66" spans="6:10" ht="21.95" hidden="1" customHeight="1" x14ac:dyDescent="0.25">
      <c r="F66" s="127" t="str">
        <f>IF(AND(TA!B53&gt;0,G66&lt;&gt;""),CONCATENATE("",TEXT(TA!B53,"jj/mm/aaaa")),"")</f>
        <v/>
      </c>
      <c r="G66" s="128">
        <f>IF($J$5="","",(TA!J52*$J$5)/12*$J$4)</f>
        <v>0</v>
      </c>
      <c r="H66" s="126"/>
      <c r="I66" s="126"/>
      <c r="J66" s="126"/>
    </row>
    <row r="67" spans="6:10" ht="21.95" hidden="1" customHeight="1" x14ac:dyDescent="0.25">
      <c r="F67" s="127" t="str">
        <f>IF(AND(TA!B54&gt;0,G67&lt;&gt;""),CONCATENATE("",TEXT(TA!B54,"jj/mm/aaaa")),"")</f>
        <v/>
      </c>
      <c r="G67" s="128">
        <f>IF($J$5="","",(TA!J53*$J$5)/12*$J$4)</f>
        <v>0</v>
      </c>
      <c r="H67" s="126"/>
      <c r="I67" s="126"/>
      <c r="J67" s="126"/>
    </row>
    <row r="68" spans="6:10" ht="21.95" hidden="1" customHeight="1" x14ac:dyDescent="0.25">
      <c r="F68" s="127" t="str">
        <f>IF(AND(TA!B55&gt;0,G68&lt;&gt;""),CONCATENATE("",TEXT(TA!B55,"jj/mm/aaaa")),"")</f>
        <v/>
      </c>
      <c r="G68" s="128">
        <f>IF($J$5="","",(TA!J54*$J$5)/12*$J$4)</f>
        <v>0</v>
      </c>
      <c r="H68" s="126"/>
      <c r="I68" s="126"/>
      <c r="J68" s="126"/>
    </row>
    <row r="69" spans="6:10" ht="21.95" hidden="1" customHeight="1" x14ac:dyDescent="0.25">
      <c r="F69" s="127" t="str">
        <f>IF(AND(TA!B56&gt;0,G69&lt;&gt;""),CONCATENATE("",TEXT(TA!B56,"jj/mm/aaaa")),"")</f>
        <v/>
      </c>
      <c r="G69" s="128">
        <f>IF($J$5="","",(TA!J55*$J$5)/12*$J$4)</f>
        <v>0</v>
      </c>
      <c r="H69" s="126"/>
      <c r="I69" s="126"/>
      <c r="J69" s="126"/>
    </row>
    <row r="70" spans="6:10" ht="21.95" hidden="1" customHeight="1" x14ac:dyDescent="0.25">
      <c r="F70" s="127" t="str">
        <f>IF(AND(TA!B57&gt;0,G70&lt;&gt;""),CONCATENATE("",TEXT(TA!B57,"jj/mm/aaaa")),"")</f>
        <v/>
      </c>
      <c r="G70" s="128">
        <f>IF($J$5="","",(TA!J56*$J$5)/12*$J$4)</f>
        <v>0</v>
      </c>
      <c r="H70" s="126"/>
      <c r="I70" s="126"/>
      <c r="J70" s="126"/>
    </row>
    <row r="71" spans="6:10" ht="21.95" hidden="1" customHeight="1" x14ac:dyDescent="0.25">
      <c r="F71" s="127" t="str">
        <f>IF(AND(TA!B58&gt;0,G71&lt;&gt;""),CONCATENATE("",TEXT(TA!B58,"jj/mm/aaaa")),"")</f>
        <v/>
      </c>
      <c r="G71" s="128">
        <f>IF($J$5="","",(TA!J57*$J$5)/12*$J$4)</f>
        <v>0</v>
      </c>
      <c r="H71" s="126"/>
      <c r="I71" s="126"/>
      <c r="J71" s="126"/>
    </row>
    <row r="72" spans="6:10" ht="21.95" hidden="1" customHeight="1" x14ac:dyDescent="0.25">
      <c r="F72" s="127" t="str">
        <f>IF(AND(TA!B59&gt;0,G72&lt;&gt;""),CONCATENATE("",TEXT(TA!B59,"jj/mm/aaaa")),"")</f>
        <v/>
      </c>
      <c r="G72" s="128">
        <f>IF($J$5="","",(TA!J58*$J$5)/12*$J$4)</f>
        <v>0</v>
      </c>
      <c r="H72" s="126"/>
      <c r="I72" s="126"/>
      <c r="J72" s="126"/>
    </row>
    <row r="73" spans="6:10" ht="21.95" hidden="1" customHeight="1" x14ac:dyDescent="0.25">
      <c r="F73" s="127" t="str">
        <f>IF(AND(TA!B60&gt;0,G73&lt;&gt;""),CONCATENATE("",TEXT(TA!B60,"jj/mm/aaaa")),"")</f>
        <v/>
      </c>
      <c r="G73" s="128">
        <f>IF($J$5="","",(TA!J59*$J$5)/12*$J$4)</f>
        <v>0</v>
      </c>
      <c r="H73" s="126"/>
      <c r="I73" s="126"/>
      <c r="J73" s="126"/>
    </row>
    <row r="74" spans="6:10" ht="21.95" hidden="1" customHeight="1" x14ac:dyDescent="0.25">
      <c r="F74" s="127" t="str">
        <f>IF(AND(TA!B61&gt;0,G74&lt;&gt;""),CONCATENATE("",TEXT(TA!B61,"jj/mm/aaaa")),"")</f>
        <v/>
      </c>
      <c r="G74" s="128">
        <f>IF($J$5="","",(TA!J60*$J$5)/12*$J$4)</f>
        <v>0</v>
      </c>
      <c r="H74" s="126"/>
      <c r="I74" s="126"/>
      <c r="J74" s="126"/>
    </row>
    <row r="75" spans="6:10" ht="21.95" hidden="1" customHeight="1" x14ac:dyDescent="0.25">
      <c r="F75" s="127" t="str">
        <f>IF(AND(TA!B62&gt;0,G75&lt;&gt;""),CONCATENATE("",TEXT(TA!B62,"jj/mm/aaaa")),"")</f>
        <v/>
      </c>
      <c r="G75" s="128">
        <f>IF($J$5="","",(TA!J61*$J$5)/12*$J$4)</f>
        <v>0</v>
      </c>
      <c r="H75" s="126"/>
      <c r="I75" s="126"/>
      <c r="J75" s="126"/>
    </row>
    <row r="76" spans="6:10" ht="21.95" hidden="1" customHeight="1" x14ac:dyDescent="0.25">
      <c r="F76" s="127" t="str">
        <f>IF(AND(TA!B63&gt;0,G76&lt;&gt;""),CONCATENATE("",TEXT(TA!B63,"jj/mm/aaaa")),"")</f>
        <v/>
      </c>
      <c r="G76" s="128">
        <f>IF($J$5="","",(TA!J62*$J$5)/12*$J$4)</f>
        <v>0</v>
      </c>
      <c r="H76" s="126"/>
      <c r="I76" s="126"/>
      <c r="J76" s="126"/>
    </row>
    <row r="77" spans="6:10" ht="21.95" hidden="1" customHeight="1" x14ac:dyDescent="0.25">
      <c r="F77" s="127" t="str">
        <f>IF(AND(TA!B64&gt;0,G77&lt;&gt;""),CONCATENATE("",TEXT(TA!B64,"jj/mm/aaaa")),"")</f>
        <v/>
      </c>
      <c r="G77" s="128">
        <f>IF($J$5="","",(TA!J63*$J$5)/12*$J$4)</f>
        <v>0</v>
      </c>
      <c r="H77" s="126"/>
      <c r="I77" s="126"/>
      <c r="J77" s="126"/>
    </row>
    <row r="78" spans="6:10" ht="21.95" hidden="1" customHeight="1" x14ac:dyDescent="0.25">
      <c r="F78" s="127" t="str">
        <f>IF(AND(TA!B65&gt;0,G78&lt;&gt;""),CONCATENATE("",TEXT(TA!B65,"jj/mm/aaaa")),"")</f>
        <v/>
      </c>
      <c r="G78" s="128">
        <f>IF($J$5="","",(TA!J64*$J$5)/12*$J$4)</f>
        <v>0</v>
      </c>
      <c r="H78" s="126"/>
      <c r="I78" s="126"/>
      <c r="J78" s="126"/>
    </row>
    <row r="79" spans="6:10" ht="21.95" hidden="1" customHeight="1" x14ac:dyDescent="0.25">
      <c r="F79" s="127" t="str">
        <f>IF(AND(TA!B66&gt;0,G79&lt;&gt;""),CONCATENATE("",TEXT(TA!B66,"jj/mm/aaaa")),"")</f>
        <v/>
      </c>
      <c r="G79" s="128">
        <f>IF($J$5="","",(TA!J65*$J$5)/12*$J$4)</f>
        <v>0</v>
      </c>
      <c r="H79" s="126"/>
      <c r="I79" s="126"/>
      <c r="J79" s="126"/>
    </row>
    <row r="80" spans="6:10" ht="21.95" hidden="1" customHeight="1" x14ac:dyDescent="0.25">
      <c r="F80" s="127" t="str">
        <f>IF(AND(TA!B67&gt;0,G80&lt;&gt;""),CONCATENATE("",TEXT(TA!B67,"jj/mm/aaaa")),"")</f>
        <v/>
      </c>
      <c r="G80" s="128">
        <f>IF($J$5="","",(TA!J66*$J$5)/12*$J$4)</f>
        <v>0</v>
      </c>
      <c r="H80" s="126"/>
      <c r="I80" s="126"/>
      <c r="J80" s="126"/>
    </row>
    <row r="81" spans="6:10" ht="21.95" customHeight="1" x14ac:dyDescent="0.25">
      <c r="F81" s="126"/>
      <c r="G81" s="126"/>
      <c r="H81" s="126"/>
      <c r="I81" s="126"/>
      <c r="J81" s="126"/>
    </row>
    <row r="82" spans="6:10" ht="21.95" customHeight="1" x14ac:dyDescent="0.25">
      <c r="F82" s="126"/>
      <c r="G82" s="126"/>
      <c r="H82" s="126"/>
      <c r="I82" s="126"/>
      <c r="J82" s="126"/>
    </row>
    <row r="83" spans="6:10" ht="21.95" customHeight="1" x14ac:dyDescent="0.25">
      <c r="F83" s="72"/>
    </row>
  </sheetData>
  <mergeCells count="7">
    <mergeCell ref="B13:B14"/>
    <mergeCell ref="C13:C14"/>
    <mergeCell ref="F4:G5"/>
    <mergeCell ref="L4:L5"/>
    <mergeCell ref="M4:M5"/>
    <mergeCell ref="B7:B8"/>
    <mergeCell ref="C7:C8"/>
  </mergeCells>
  <conditionalFormatting sqref="C12:C14 M4:M5">
    <cfRule type="cellIs" dxfId="31" priority="7" operator="equal">
      <formula>0</formula>
    </cfRule>
  </conditionalFormatting>
  <conditionalFormatting sqref="C12">
    <cfRule type="expression" dxfId="30" priority="8">
      <formula>IF($C$11&lt;&gt;0,"",$C$12)</formula>
    </cfRule>
  </conditionalFormatting>
  <conditionalFormatting sqref="C9 J4">
    <cfRule type="cellIs" dxfId="29" priority="1" operator="equal">
      <formula>0</formula>
    </cfRule>
  </conditionalFormatting>
  <dataValidations count="2">
    <dataValidation type="custom" allowBlank="1" showInputMessage="1" showErrorMessage="1" error="Un seul taux de cotisation doit être renseigné." sqref="J5" xr:uid="{3D1E0480-16CB-4BA2-8113-0B8849F3269F}">
      <formula1>OR(J5=0,C10=0)</formula1>
    </dataValidation>
    <dataValidation type="custom" allowBlank="1" showInputMessage="1" showErrorMessage="1" error="Un seul taux de cotisation doit être renseigné." sqref="C10" xr:uid="{9B496845-F3A4-4E1C-8E5B-37D982ABD494}">
      <formula1>OR(J5=0,C10=0)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74"/>
  <sheetViews>
    <sheetView showGridLines="0" showRowColHeaders="0" zoomScaleNormal="100" workbookViewId="0">
      <pane ySplit="6" topLeftCell="A7" activePane="bottomLeft" state="frozen"/>
      <selection pane="bottomLeft" activeCell="F2" sqref="F2"/>
    </sheetView>
  </sheetViews>
  <sheetFormatPr baseColWidth="10" defaultColWidth="11.42578125" defaultRowHeight="15" x14ac:dyDescent="0.25"/>
  <cols>
    <col min="1" max="1" width="9.7109375" style="101" customWidth="1"/>
    <col min="2" max="2" width="12.7109375" style="101" customWidth="1"/>
    <col min="3" max="3" width="25.7109375" style="101" customWidth="1"/>
    <col min="4" max="4" width="22.7109375" style="101" customWidth="1"/>
    <col min="5" max="5" width="18.7109375" style="101" customWidth="1"/>
    <col min="6" max="6" width="14.7109375" style="101" customWidth="1"/>
    <col min="7" max="7" width="16.7109375" style="101" customWidth="1"/>
    <col min="8" max="10" width="18.7109375" style="101" customWidth="1"/>
    <col min="11" max="11" width="17.140625" style="101" customWidth="1"/>
    <col min="12" max="12" width="25.42578125" style="101" customWidth="1"/>
    <col min="13" max="13" width="14.28515625" style="101" customWidth="1"/>
    <col min="14" max="14" width="10.7109375" style="102" hidden="1" customWidth="1"/>
    <col min="15" max="16384" width="11.42578125" style="101"/>
  </cols>
  <sheetData>
    <row r="1" spans="1:16" ht="6" customHeight="1" x14ac:dyDescent="0.25"/>
    <row r="2" spans="1:16" ht="20.100000000000001" customHeight="1" x14ac:dyDescent="0.25">
      <c r="C2" s="108" t="s">
        <v>31</v>
      </c>
      <c r="D2" s="58">
        <f>E2+F2+H2</f>
        <v>521.79575631166665</v>
      </c>
      <c r="E2" s="59">
        <f>E3*SIMULATION!C12</f>
        <v>93.358999999999995</v>
      </c>
      <c r="F2" s="59">
        <f>IF(AND(ASSURANCE!J5&lt;&gt;0,ASSURANCE!C10&lt;&gt;0),0,IF(ASSURANCE!J5&gt;0,ASSURANCE!M4,ASSURANCE!C13))</f>
        <v>69.714756311666662</v>
      </c>
      <c r="G2" s="59">
        <f>SUM(G8:G67)</f>
        <v>0</v>
      </c>
      <c r="H2" s="109">
        <f>H3*SIMULATION!C12</f>
        <v>358.72199999999998</v>
      </c>
    </row>
    <row r="3" spans="1:16" ht="20.100000000000001" customHeight="1" x14ac:dyDescent="0.25">
      <c r="C3" s="108" t="s">
        <v>32</v>
      </c>
      <c r="D3" s="60">
        <f>SUM(D8:D67)</f>
        <v>781.35</v>
      </c>
      <c r="E3" s="60">
        <f>SUM(E8:E67)</f>
        <v>133.37</v>
      </c>
      <c r="F3" s="59">
        <f>SUM(F8:F67)</f>
        <v>135.52000000000001</v>
      </c>
      <c r="G3" s="60">
        <f>SUM(G8:G67)</f>
        <v>0</v>
      </c>
      <c r="H3" s="110">
        <f>SUM(H8:H67)</f>
        <v>512.46</v>
      </c>
    </row>
    <row r="4" spans="1:16" ht="20.100000000000001" customHeight="1" x14ac:dyDescent="0.25">
      <c r="C4" s="61" t="s">
        <v>33</v>
      </c>
      <c r="D4" s="58">
        <f>D3*SIMULATION!C12</f>
        <v>546.94499999999994</v>
      </c>
      <c r="E4" s="59">
        <f>E3*SIMULATION!C12</f>
        <v>93.358999999999995</v>
      </c>
      <c r="F4" s="59">
        <v>0</v>
      </c>
      <c r="G4" s="59">
        <f>SUM(G8:G67)</f>
        <v>0</v>
      </c>
      <c r="H4" s="109">
        <f>H3*SIMULATION!C12</f>
        <v>358.72199999999998</v>
      </c>
    </row>
    <row r="5" spans="1:16" ht="6" customHeight="1" x14ac:dyDescent="0.25"/>
    <row r="6" spans="1:16" ht="35.1" customHeight="1" x14ac:dyDescent="0.25">
      <c r="A6" s="111" t="s">
        <v>34</v>
      </c>
      <c r="B6" s="111" t="s">
        <v>35</v>
      </c>
      <c r="C6" s="111" t="s">
        <v>36</v>
      </c>
      <c r="D6" s="111" t="s">
        <v>37</v>
      </c>
      <c r="E6" s="111" t="s">
        <v>38</v>
      </c>
      <c r="F6" s="111" t="s">
        <v>39</v>
      </c>
      <c r="G6" s="111" t="s">
        <v>40</v>
      </c>
      <c r="H6" s="111" t="s">
        <v>41</v>
      </c>
      <c r="I6" s="111" t="s">
        <v>42</v>
      </c>
      <c r="J6" s="111" t="s">
        <v>43</v>
      </c>
      <c r="K6" s="111" t="s">
        <v>44</v>
      </c>
      <c r="L6" s="111" t="s">
        <v>45</v>
      </c>
    </row>
    <row r="7" spans="1:16" ht="15" customHeight="1" x14ac:dyDescent="0.25">
      <c r="A7" s="54" t="s">
        <v>109</v>
      </c>
      <c r="B7" s="55">
        <v>45721</v>
      </c>
      <c r="C7" s="54" t="s">
        <v>110</v>
      </c>
      <c r="D7" s="56">
        <v>781.35</v>
      </c>
      <c r="E7" s="56">
        <v>133.88999999999999</v>
      </c>
      <c r="F7" s="56">
        <v>136.06</v>
      </c>
      <c r="G7" s="56">
        <v>0</v>
      </c>
      <c r="H7" s="56">
        <v>511.4</v>
      </c>
      <c r="I7" s="56">
        <v>0</v>
      </c>
      <c r="J7" s="57">
        <v>131186.62</v>
      </c>
      <c r="K7" s="56">
        <v>0</v>
      </c>
      <c r="L7" s="56">
        <v>131186.62</v>
      </c>
    </row>
    <row r="8" spans="1:16" ht="15" customHeight="1" x14ac:dyDescent="0.25">
      <c r="A8" s="54" t="s">
        <v>109</v>
      </c>
      <c r="B8" s="55">
        <v>45752</v>
      </c>
      <c r="C8" s="54" t="s">
        <v>110</v>
      </c>
      <c r="D8" s="56">
        <v>781.35</v>
      </c>
      <c r="E8" s="56">
        <v>133.37</v>
      </c>
      <c r="F8" s="56">
        <v>135.52000000000001</v>
      </c>
      <c r="G8" s="56">
        <v>0</v>
      </c>
      <c r="H8" s="56">
        <v>512.46</v>
      </c>
      <c r="I8" s="56">
        <v>0</v>
      </c>
      <c r="J8" s="56">
        <v>130674.16</v>
      </c>
      <c r="K8" s="56">
        <v>0</v>
      </c>
      <c r="L8" s="56">
        <v>130674.16</v>
      </c>
      <c r="N8" s="103" t="str">
        <f t="shared" ref="N8:N15" si="0">IF(ISERROR(SEARCH("ECH",A8)),"0","1")</f>
        <v>1</v>
      </c>
    </row>
    <row r="9" spans="1:16" ht="15" customHeight="1" x14ac:dyDescent="0.25">
      <c r="A9" s="54"/>
      <c r="B9" s="55"/>
      <c r="C9" s="54"/>
      <c r="D9" s="56"/>
      <c r="E9" s="56"/>
      <c r="F9" s="56"/>
      <c r="G9" s="56"/>
      <c r="H9" s="56"/>
      <c r="I9" s="56"/>
      <c r="J9" s="56"/>
      <c r="K9" s="56"/>
      <c r="L9" s="56"/>
      <c r="N9" s="103" t="str">
        <f t="shared" si="0"/>
        <v>0</v>
      </c>
    </row>
    <row r="10" spans="1:16" ht="15" customHeight="1" x14ac:dyDescent="0.25">
      <c r="A10" s="54"/>
      <c r="B10" s="62"/>
      <c r="C10" s="63"/>
      <c r="D10" s="56"/>
      <c r="E10" s="56"/>
      <c r="F10" s="56"/>
      <c r="G10" s="64"/>
      <c r="H10" s="64"/>
      <c r="I10" s="64"/>
      <c r="J10" s="64"/>
      <c r="K10" s="64"/>
      <c r="L10" s="64"/>
      <c r="N10" s="103" t="str">
        <f t="shared" si="0"/>
        <v>0</v>
      </c>
    </row>
    <row r="11" spans="1:16" ht="15" customHeight="1" x14ac:dyDescent="0.25">
      <c r="A11" s="54"/>
      <c r="B11" s="62"/>
      <c r="C11" s="63"/>
      <c r="D11" s="64"/>
      <c r="E11" s="64"/>
      <c r="F11" s="64"/>
      <c r="G11" s="64"/>
      <c r="H11" s="64"/>
      <c r="I11" s="64"/>
      <c r="J11" s="64"/>
      <c r="K11" s="64"/>
      <c r="L11" s="64"/>
      <c r="N11" s="103" t="str">
        <f t="shared" si="0"/>
        <v>0</v>
      </c>
    </row>
    <row r="12" spans="1:16" ht="15" customHeight="1" x14ac:dyDescent="0.25">
      <c r="A12" s="54"/>
      <c r="B12" s="55"/>
      <c r="C12" s="54"/>
      <c r="D12" s="56"/>
      <c r="E12" s="56"/>
      <c r="F12" s="56"/>
      <c r="G12" s="56"/>
      <c r="H12" s="56"/>
      <c r="I12" s="56"/>
      <c r="J12" s="56"/>
      <c r="K12" s="56"/>
      <c r="L12" s="56"/>
      <c r="N12" s="103" t="str">
        <f t="shared" si="0"/>
        <v>0</v>
      </c>
    </row>
    <row r="13" spans="1:16" ht="15" customHeight="1" x14ac:dyDescent="0.25">
      <c r="A13" s="54"/>
      <c r="B13" s="62"/>
      <c r="C13" s="63"/>
      <c r="D13" s="56"/>
      <c r="E13" s="56"/>
      <c r="F13" s="56"/>
      <c r="G13" s="64"/>
      <c r="H13" s="56"/>
      <c r="I13" s="64"/>
      <c r="J13" s="64"/>
      <c r="K13" s="64"/>
      <c r="L13" s="64"/>
      <c r="N13" s="103" t="str">
        <f t="shared" si="0"/>
        <v>0</v>
      </c>
    </row>
    <row r="14" spans="1:16" ht="15" customHeight="1" x14ac:dyDescent="0.25">
      <c r="A14" s="54"/>
      <c r="B14" s="55"/>
      <c r="C14" s="54"/>
      <c r="D14" s="56"/>
      <c r="E14" s="56"/>
      <c r="F14" s="56"/>
      <c r="G14" s="56"/>
      <c r="H14" s="56"/>
      <c r="I14" s="56"/>
      <c r="J14" s="56"/>
      <c r="K14" s="56"/>
      <c r="L14" s="56"/>
      <c r="N14" s="103" t="str">
        <f t="shared" si="0"/>
        <v>0</v>
      </c>
    </row>
    <row r="15" spans="1:16" ht="15" customHeight="1" x14ac:dyDescent="0.25">
      <c r="A15" s="54"/>
      <c r="B15" s="55"/>
      <c r="C15" s="54"/>
      <c r="D15" s="56"/>
      <c r="E15" s="56"/>
      <c r="F15" s="56"/>
      <c r="G15" s="56"/>
      <c r="H15" s="56"/>
      <c r="I15" s="56"/>
      <c r="J15" s="56"/>
      <c r="K15" s="56"/>
      <c r="L15" s="56"/>
      <c r="N15" s="103" t="str">
        <f t="shared" si="0"/>
        <v>0</v>
      </c>
    </row>
    <row r="16" spans="1:16" ht="15" customHeight="1" x14ac:dyDescent="0.25">
      <c r="A16" s="54"/>
      <c r="B16" s="62"/>
      <c r="C16" s="63"/>
      <c r="D16" s="56"/>
      <c r="E16" s="56"/>
      <c r="F16" s="56"/>
      <c r="G16" s="64"/>
      <c r="H16" s="56"/>
      <c r="I16" s="64"/>
      <c r="J16" s="64"/>
      <c r="K16" s="64"/>
      <c r="L16" s="64"/>
      <c r="N16" s="103" t="str">
        <f t="shared" ref="N16:N67" si="1">IF(ISERROR(SEARCH("ECH",A16)),"0","1")</f>
        <v>0</v>
      </c>
      <c r="P16" s="104"/>
    </row>
    <row r="17" spans="1:16" ht="15" customHeight="1" x14ac:dyDescent="0.25">
      <c r="A17" s="54"/>
      <c r="B17" s="55"/>
      <c r="C17" s="54"/>
      <c r="D17" s="56"/>
      <c r="E17" s="56"/>
      <c r="F17" s="56"/>
      <c r="G17" s="56"/>
      <c r="H17" s="56"/>
      <c r="I17" s="56"/>
      <c r="J17" s="56"/>
      <c r="K17" s="56"/>
      <c r="L17" s="56"/>
      <c r="N17" s="103" t="str">
        <f t="shared" si="1"/>
        <v>0</v>
      </c>
    </row>
    <row r="18" spans="1:16" ht="15" customHeight="1" x14ac:dyDescent="0.25">
      <c r="A18" s="54"/>
      <c r="B18" s="55"/>
      <c r="C18" s="54"/>
      <c r="D18" s="56"/>
      <c r="E18" s="56"/>
      <c r="F18" s="56"/>
      <c r="G18" s="56"/>
      <c r="H18" s="56"/>
      <c r="I18" s="56"/>
      <c r="J18" s="56"/>
      <c r="K18" s="56"/>
      <c r="L18" s="56"/>
      <c r="N18" s="103" t="str">
        <f t="shared" si="1"/>
        <v>0</v>
      </c>
    </row>
    <row r="19" spans="1:16" ht="15" customHeight="1" x14ac:dyDescent="0.25">
      <c r="A19" s="54"/>
      <c r="B19" s="55"/>
      <c r="C19" s="54"/>
      <c r="D19" s="56"/>
      <c r="E19" s="56"/>
      <c r="F19" s="56"/>
      <c r="G19" s="56"/>
      <c r="H19" s="56"/>
      <c r="I19" s="56"/>
      <c r="J19" s="56"/>
      <c r="K19" s="56"/>
      <c r="L19" s="56"/>
      <c r="M19" s="105"/>
      <c r="N19" s="103" t="str">
        <f t="shared" si="1"/>
        <v>0</v>
      </c>
    </row>
    <row r="20" spans="1:16" ht="15" customHeight="1" x14ac:dyDescent="0.25">
      <c r="A20" s="54"/>
      <c r="B20" s="55"/>
      <c r="C20" s="54"/>
      <c r="D20" s="56"/>
      <c r="E20" s="56"/>
      <c r="F20" s="56"/>
      <c r="G20" s="56"/>
      <c r="H20" s="56"/>
      <c r="I20" s="56"/>
      <c r="J20" s="56"/>
      <c r="K20" s="56"/>
      <c r="L20" s="56"/>
      <c r="M20" s="105"/>
      <c r="N20" s="103" t="str">
        <f t="shared" si="1"/>
        <v>0</v>
      </c>
    </row>
    <row r="21" spans="1:16" ht="15" customHeight="1" x14ac:dyDescent="0.25">
      <c r="A21" s="54"/>
      <c r="B21" s="55"/>
      <c r="C21" s="54"/>
      <c r="D21" s="56"/>
      <c r="E21" s="56"/>
      <c r="F21" s="56"/>
      <c r="G21" s="56"/>
      <c r="H21" s="56"/>
      <c r="I21" s="56"/>
      <c r="J21" s="56"/>
      <c r="K21" s="56"/>
      <c r="L21" s="56"/>
      <c r="M21" s="105"/>
      <c r="N21" s="103" t="str">
        <f t="shared" si="1"/>
        <v>0</v>
      </c>
    </row>
    <row r="22" spans="1:16" ht="15" customHeight="1" x14ac:dyDescent="0.25">
      <c r="A22" s="54"/>
      <c r="B22" s="55"/>
      <c r="C22" s="54"/>
      <c r="D22" s="56"/>
      <c r="E22" s="56"/>
      <c r="F22" s="56"/>
      <c r="G22" s="56"/>
      <c r="H22" s="56"/>
      <c r="I22" s="56"/>
      <c r="J22" s="56"/>
      <c r="K22" s="56"/>
      <c r="L22" s="56"/>
      <c r="M22" s="105"/>
      <c r="N22" s="103" t="str">
        <f t="shared" si="1"/>
        <v>0</v>
      </c>
    </row>
    <row r="23" spans="1:16" ht="15" customHeight="1" x14ac:dyDescent="0.25">
      <c r="A23" s="54"/>
      <c r="B23" s="55"/>
      <c r="C23" s="54"/>
      <c r="D23" s="56"/>
      <c r="E23" s="56"/>
      <c r="F23" s="56"/>
      <c r="G23" s="56"/>
      <c r="H23" s="56"/>
      <c r="I23" s="56"/>
      <c r="J23" s="56"/>
      <c r="K23" s="56"/>
      <c r="L23" s="56"/>
      <c r="N23" s="103" t="str">
        <f t="shared" si="1"/>
        <v>0</v>
      </c>
    </row>
    <row r="24" spans="1:16" ht="15" customHeight="1" x14ac:dyDescent="0.25">
      <c r="A24" s="54"/>
      <c r="B24" s="55"/>
      <c r="C24" s="54"/>
      <c r="D24" s="56"/>
      <c r="E24" s="56"/>
      <c r="F24" s="56"/>
      <c r="G24" s="56"/>
      <c r="H24" s="56"/>
      <c r="I24" s="56"/>
      <c r="J24" s="56"/>
      <c r="K24" s="56"/>
      <c r="L24" s="56"/>
      <c r="N24" s="103" t="str">
        <f t="shared" si="1"/>
        <v>0</v>
      </c>
    </row>
    <row r="25" spans="1:16" ht="15" customHeight="1" x14ac:dyDescent="0.25">
      <c r="A25" s="54"/>
      <c r="B25" s="62"/>
      <c r="C25" s="63"/>
      <c r="D25" s="56"/>
      <c r="E25" s="56"/>
      <c r="F25" s="56"/>
      <c r="G25" s="64"/>
      <c r="H25" s="64"/>
      <c r="I25" s="64"/>
      <c r="J25" s="64"/>
      <c r="K25" s="64"/>
      <c r="L25" s="64"/>
      <c r="N25" s="103" t="str">
        <f t="shared" si="1"/>
        <v>0</v>
      </c>
    </row>
    <row r="26" spans="1:16" ht="15" customHeight="1" x14ac:dyDescent="0.25">
      <c r="A26" s="54"/>
      <c r="B26" s="62"/>
      <c r="C26" s="63"/>
      <c r="D26" s="64"/>
      <c r="E26" s="64"/>
      <c r="F26" s="64"/>
      <c r="G26" s="64"/>
      <c r="H26" s="64"/>
      <c r="I26" s="64"/>
      <c r="J26" s="64"/>
      <c r="K26" s="64"/>
      <c r="L26" s="64"/>
      <c r="N26" s="103" t="str">
        <f t="shared" si="1"/>
        <v>0</v>
      </c>
    </row>
    <row r="27" spans="1:16" ht="15" customHeight="1" x14ac:dyDescent="0.25">
      <c r="A27" s="54"/>
      <c r="B27" s="55"/>
      <c r="C27" s="54"/>
      <c r="D27" s="56"/>
      <c r="E27" s="56"/>
      <c r="F27" s="56"/>
      <c r="G27" s="56"/>
      <c r="H27" s="56"/>
      <c r="I27" s="56"/>
      <c r="J27" s="56"/>
      <c r="K27" s="56"/>
      <c r="L27" s="56"/>
      <c r="N27" s="103" t="str">
        <f t="shared" ref="N27:N51" si="2">IF(ISERROR(SEARCH("ECH",A27)),"0","1")</f>
        <v>0</v>
      </c>
    </row>
    <row r="28" spans="1:16" ht="15" customHeight="1" x14ac:dyDescent="0.25">
      <c r="A28" s="54"/>
      <c r="B28" s="62"/>
      <c r="C28" s="63"/>
      <c r="D28" s="56"/>
      <c r="E28" s="56"/>
      <c r="F28" s="56"/>
      <c r="G28" s="64"/>
      <c r="H28" s="56"/>
      <c r="I28" s="64"/>
      <c r="J28" s="64"/>
      <c r="K28" s="64"/>
      <c r="L28" s="64"/>
      <c r="N28" s="103" t="str">
        <f t="shared" si="2"/>
        <v>0</v>
      </c>
      <c r="P28" s="104"/>
    </row>
    <row r="29" spans="1:16" ht="15" customHeight="1" x14ac:dyDescent="0.25">
      <c r="A29" s="54"/>
      <c r="B29" s="55"/>
      <c r="C29" s="54"/>
      <c r="D29" s="56"/>
      <c r="E29" s="56"/>
      <c r="F29" s="56"/>
      <c r="G29" s="56"/>
      <c r="H29" s="56"/>
      <c r="I29" s="56"/>
      <c r="J29" s="56"/>
      <c r="K29" s="56"/>
      <c r="L29" s="56"/>
      <c r="N29" s="103" t="str">
        <f t="shared" si="2"/>
        <v>0</v>
      </c>
    </row>
    <row r="30" spans="1:16" ht="15" customHeight="1" x14ac:dyDescent="0.25">
      <c r="A30" s="54"/>
      <c r="B30" s="55"/>
      <c r="C30" s="54"/>
      <c r="D30" s="56"/>
      <c r="E30" s="56"/>
      <c r="F30" s="56"/>
      <c r="G30" s="56"/>
      <c r="H30" s="56"/>
      <c r="I30" s="56"/>
      <c r="J30" s="56"/>
      <c r="K30" s="56"/>
      <c r="L30" s="56"/>
      <c r="N30" s="103" t="str">
        <f t="shared" si="2"/>
        <v>0</v>
      </c>
    </row>
    <row r="31" spans="1:16" ht="15" customHeight="1" x14ac:dyDescent="0.25">
      <c r="A31" s="54"/>
      <c r="B31" s="55"/>
      <c r="C31" s="54"/>
      <c r="D31" s="56"/>
      <c r="E31" s="56"/>
      <c r="F31" s="56"/>
      <c r="G31" s="56"/>
      <c r="H31" s="56"/>
      <c r="I31" s="56"/>
      <c r="J31" s="56"/>
      <c r="K31" s="56"/>
      <c r="L31" s="56"/>
      <c r="M31" s="105"/>
      <c r="N31" s="103" t="str">
        <f t="shared" si="2"/>
        <v>0</v>
      </c>
    </row>
    <row r="32" spans="1:16" ht="15" customHeight="1" x14ac:dyDescent="0.25">
      <c r="A32" s="54"/>
      <c r="B32" s="55"/>
      <c r="C32" s="54"/>
      <c r="D32" s="56"/>
      <c r="E32" s="56"/>
      <c r="F32" s="56"/>
      <c r="G32" s="56"/>
      <c r="H32" s="56"/>
      <c r="I32" s="56"/>
      <c r="J32" s="56"/>
      <c r="K32" s="56"/>
      <c r="L32" s="56"/>
      <c r="M32" s="105"/>
      <c r="N32" s="103" t="str">
        <f t="shared" si="2"/>
        <v>0</v>
      </c>
    </row>
    <row r="33" spans="1:16" ht="15" customHeight="1" x14ac:dyDescent="0.25">
      <c r="A33" s="54"/>
      <c r="B33" s="55"/>
      <c r="C33" s="54"/>
      <c r="D33" s="56"/>
      <c r="E33" s="56"/>
      <c r="F33" s="56"/>
      <c r="G33" s="56"/>
      <c r="H33" s="56"/>
      <c r="I33" s="56"/>
      <c r="J33" s="56"/>
      <c r="K33" s="56"/>
      <c r="L33" s="56"/>
      <c r="M33" s="105"/>
      <c r="N33" s="103" t="str">
        <f t="shared" si="2"/>
        <v>0</v>
      </c>
    </row>
    <row r="34" spans="1:16" ht="15" customHeight="1" x14ac:dyDescent="0.25">
      <c r="A34" s="54"/>
      <c r="B34" s="55"/>
      <c r="C34" s="54"/>
      <c r="D34" s="56"/>
      <c r="E34" s="56"/>
      <c r="F34" s="56"/>
      <c r="G34" s="56"/>
      <c r="H34" s="56"/>
      <c r="I34" s="56"/>
      <c r="J34" s="56"/>
      <c r="K34" s="56"/>
      <c r="L34" s="56"/>
      <c r="M34" s="105"/>
      <c r="N34" s="103" t="str">
        <f t="shared" si="2"/>
        <v>0</v>
      </c>
    </row>
    <row r="35" spans="1:16" ht="15" customHeight="1" x14ac:dyDescent="0.25">
      <c r="A35" s="54"/>
      <c r="B35" s="55"/>
      <c r="C35" s="54"/>
      <c r="D35" s="56"/>
      <c r="E35" s="56"/>
      <c r="F35" s="56"/>
      <c r="G35" s="56"/>
      <c r="H35" s="56"/>
      <c r="I35" s="56"/>
      <c r="J35" s="56"/>
      <c r="K35" s="56"/>
      <c r="L35" s="56"/>
      <c r="N35" s="103" t="str">
        <f t="shared" si="2"/>
        <v>0</v>
      </c>
    </row>
    <row r="36" spans="1:16" ht="15" customHeight="1" x14ac:dyDescent="0.25">
      <c r="A36" s="54"/>
      <c r="B36" s="55"/>
      <c r="C36" s="54"/>
      <c r="D36" s="56"/>
      <c r="E36" s="56"/>
      <c r="F36" s="56"/>
      <c r="G36" s="56"/>
      <c r="H36" s="56"/>
      <c r="I36" s="56"/>
      <c r="J36" s="56"/>
      <c r="K36" s="56"/>
      <c r="L36" s="56"/>
      <c r="N36" s="103" t="str">
        <f t="shared" si="2"/>
        <v>0</v>
      </c>
    </row>
    <row r="37" spans="1:16" ht="15" customHeight="1" x14ac:dyDescent="0.25">
      <c r="A37" s="54"/>
      <c r="B37" s="62"/>
      <c r="C37" s="63"/>
      <c r="D37" s="56"/>
      <c r="E37" s="56"/>
      <c r="F37" s="56"/>
      <c r="G37" s="64"/>
      <c r="H37" s="64"/>
      <c r="I37" s="64"/>
      <c r="J37" s="64"/>
      <c r="K37" s="64"/>
      <c r="L37" s="64"/>
      <c r="N37" s="103" t="str">
        <f t="shared" si="2"/>
        <v>0</v>
      </c>
    </row>
    <row r="38" spans="1:16" ht="15" customHeight="1" x14ac:dyDescent="0.25">
      <c r="A38" s="54"/>
      <c r="B38" s="62"/>
      <c r="C38" s="63"/>
      <c r="D38" s="64"/>
      <c r="E38" s="64"/>
      <c r="F38" s="64"/>
      <c r="G38" s="64"/>
      <c r="H38" s="64"/>
      <c r="I38" s="64"/>
      <c r="J38" s="64"/>
      <c r="K38" s="64"/>
      <c r="L38" s="64"/>
      <c r="N38" s="103" t="str">
        <f t="shared" si="2"/>
        <v>0</v>
      </c>
    </row>
    <row r="39" spans="1:16" ht="15" customHeight="1" x14ac:dyDescent="0.25">
      <c r="A39" s="54"/>
      <c r="B39" s="62"/>
      <c r="C39" s="63"/>
      <c r="D39" s="56"/>
      <c r="E39" s="56"/>
      <c r="F39" s="56"/>
      <c r="G39" s="64"/>
      <c r="H39" s="56"/>
      <c r="I39" s="64"/>
      <c r="J39" s="64"/>
      <c r="K39" s="64"/>
      <c r="L39" s="64"/>
      <c r="N39" s="103" t="str">
        <f t="shared" si="2"/>
        <v>0</v>
      </c>
    </row>
    <row r="40" spans="1:16" ht="15" customHeight="1" x14ac:dyDescent="0.25">
      <c r="A40" s="54"/>
      <c r="B40" s="55"/>
      <c r="C40" s="54"/>
      <c r="D40" s="56"/>
      <c r="E40" s="56"/>
      <c r="F40" s="56"/>
      <c r="G40" s="56"/>
      <c r="H40" s="56"/>
      <c r="I40" s="56"/>
      <c r="J40" s="56"/>
      <c r="K40" s="56"/>
      <c r="L40" s="56"/>
      <c r="N40" s="103" t="str">
        <f t="shared" si="2"/>
        <v>0</v>
      </c>
    </row>
    <row r="41" spans="1:16" ht="15" customHeight="1" x14ac:dyDescent="0.25">
      <c r="A41" s="54"/>
      <c r="B41" s="62"/>
      <c r="C41" s="63"/>
      <c r="D41" s="56"/>
      <c r="E41" s="56"/>
      <c r="F41" s="56"/>
      <c r="G41" s="64"/>
      <c r="H41" s="56"/>
      <c r="I41" s="64"/>
      <c r="J41" s="64"/>
      <c r="K41" s="64"/>
      <c r="L41" s="64"/>
      <c r="N41" s="103" t="str">
        <f t="shared" si="2"/>
        <v>0</v>
      </c>
      <c r="P41" s="104"/>
    </row>
    <row r="42" spans="1:16" ht="15" customHeight="1" x14ac:dyDescent="0.25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N42" s="103" t="str">
        <f t="shared" si="2"/>
        <v>0</v>
      </c>
    </row>
    <row r="43" spans="1:16" ht="15" customHeight="1" x14ac:dyDescent="0.25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N43" s="103" t="str">
        <f t="shared" si="2"/>
        <v>0</v>
      </c>
    </row>
    <row r="44" spans="1:16" ht="15" customHeight="1" x14ac:dyDescent="0.25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105"/>
      <c r="N44" s="103" t="str">
        <f t="shared" si="2"/>
        <v>0</v>
      </c>
    </row>
    <row r="45" spans="1:16" ht="15" customHeight="1" x14ac:dyDescent="0.25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105"/>
      <c r="N45" s="103" t="str">
        <f t="shared" si="2"/>
        <v>0</v>
      </c>
    </row>
    <row r="46" spans="1:16" ht="15" customHeight="1" x14ac:dyDescent="0.25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105"/>
      <c r="N46" s="103" t="str">
        <f t="shared" si="2"/>
        <v>0</v>
      </c>
    </row>
    <row r="47" spans="1:16" ht="15" customHeight="1" x14ac:dyDescent="0.25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105"/>
      <c r="N47" s="103" t="str">
        <f t="shared" si="2"/>
        <v>0</v>
      </c>
    </row>
    <row r="48" spans="1:16" ht="15" customHeight="1" x14ac:dyDescent="0.25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N48" s="103" t="str">
        <f t="shared" si="2"/>
        <v>0</v>
      </c>
    </row>
    <row r="49" spans="1:16" ht="15" customHeight="1" x14ac:dyDescent="0.25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N49" s="103" t="str">
        <f t="shared" si="2"/>
        <v>0</v>
      </c>
    </row>
    <row r="50" spans="1:16" ht="15" customHeight="1" x14ac:dyDescent="0.25">
      <c r="A50" s="54"/>
      <c r="B50" s="62"/>
      <c r="C50" s="63"/>
      <c r="D50" s="56"/>
      <c r="E50" s="56"/>
      <c r="F50" s="56"/>
      <c r="G50" s="64"/>
      <c r="H50" s="64"/>
      <c r="I50" s="64"/>
      <c r="J50" s="64"/>
      <c r="K50" s="64"/>
      <c r="L50" s="64"/>
      <c r="N50" s="103" t="str">
        <f t="shared" si="2"/>
        <v>0</v>
      </c>
    </row>
    <row r="51" spans="1:16" ht="15" customHeight="1" x14ac:dyDescent="0.25">
      <c r="A51" s="54"/>
      <c r="B51" s="62"/>
      <c r="C51" s="63"/>
      <c r="D51" s="64"/>
      <c r="E51" s="64"/>
      <c r="F51" s="64"/>
      <c r="G51" s="64"/>
      <c r="H51" s="64"/>
      <c r="I51" s="64"/>
      <c r="J51" s="64"/>
      <c r="K51" s="64"/>
      <c r="L51" s="64"/>
      <c r="N51" s="103" t="str">
        <f t="shared" si="2"/>
        <v>0</v>
      </c>
    </row>
    <row r="52" spans="1:16" ht="15" customHeight="1" x14ac:dyDescent="0.25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N52" s="103" t="str">
        <f t="shared" ref="N52:N65" si="3">IF(ISERROR(SEARCH("ECH",A52)),"0","1")</f>
        <v>0</v>
      </c>
    </row>
    <row r="53" spans="1:16" ht="15" customHeight="1" x14ac:dyDescent="0.25">
      <c r="A53" s="54"/>
      <c r="B53" s="62"/>
      <c r="C53" s="63"/>
      <c r="D53" s="56"/>
      <c r="E53" s="56"/>
      <c r="F53" s="56"/>
      <c r="G53" s="64"/>
      <c r="H53" s="56"/>
      <c r="I53" s="64"/>
      <c r="J53" s="64"/>
      <c r="K53" s="64"/>
      <c r="L53" s="64"/>
      <c r="N53" s="103" t="str">
        <f t="shared" si="3"/>
        <v>0</v>
      </c>
      <c r="P53" s="104"/>
    </row>
    <row r="54" spans="1:16" ht="15" customHeight="1" x14ac:dyDescent="0.25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N54" s="103" t="str">
        <f t="shared" si="3"/>
        <v>0</v>
      </c>
    </row>
    <row r="55" spans="1:16" ht="15" customHeight="1" x14ac:dyDescent="0.25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N55" s="103" t="str">
        <f t="shared" si="3"/>
        <v>0</v>
      </c>
    </row>
    <row r="56" spans="1:16" ht="15" customHeight="1" x14ac:dyDescent="0.25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105"/>
      <c r="N56" s="103" t="str">
        <f t="shared" si="3"/>
        <v>0</v>
      </c>
    </row>
    <row r="57" spans="1:16" ht="15" customHeight="1" x14ac:dyDescent="0.25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105"/>
      <c r="N57" s="103" t="str">
        <f t="shared" si="3"/>
        <v>0</v>
      </c>
    </row>
    <row r="58" spans="1:16" ht="15" customHeight="1" x14ac:dyDescent="0.25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105"/>
      <c r="N58" s="103" t="str">
        <f t="shared" si="3"/>
        <v>0</v>
      </c>
    </row>
    <row r="59" spans="1:16" ht="15" customHeight="1" x14ac:dyDescent="0.25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105"/>
      <c r="N59" s="103" t="str">
        <f t="shared" si="3"/>
        <v>0</v>
      </c>
    </row>
    <row r="60" spans="1:16" ht="15" customHeight="1" x14ac:dyDescent="0.25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N60" s="103" t="str">
        <f t="shared" si="3"/>
        <v>0</v>
      </c>
    </row>
    <row r="61" spans="1:16" ht="15" customHeight="1" x14ac:dyDescent="0.25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N61" s="103" t="str">
        <f t="shared" si="3"/>
        <v>0</v>
      </c>
    </row>
    <row r="62" spans="1:16" ht="15" customHeight="1" x14ac:dyDescent="0.25">
      <c r="A62" s="63"/>
      <c r="B62" s="62"/>
      <c r="C62" s="63"/>
      <c r="D62" s="56"/>
      <c r="E62" s="56"/>
      <c r="F62" s="56"/>
      <c r="G62" s="64"/>
      <c r="H62" s="64"/>
      <c r="I62" s="64"/>
      <c r="J62" s="64"/>
      <c r="K62" s="64"/>
      <c r="L62" s="64"/>
      <c r="N62" s="103" t="str">
        <f t="shared" si="3"/>
        <v>0</v>
      </c>
    </row>
    <row r="63" spans="1:16" ht="15" customHeight="1" x14ac:dyDescent="0.25">
      <c r="A63" s="63"/>
      <c r="B63" s="62"/>
      <c r="C63" s="63"/>
      <c r="D63" s="64"/>
      <c r="E63" s="64"/>
      <c r="F63" s="64"/>
      <c r="G63" s="64"/>
      <c r="H63" s="64"/>
      <c r="I63" s="64"/>
      <c r="J63" s="64"/>
      <c r="K63" s="64"/>
      <c r="L63" s="64"/>
      <c r="N63" s="103" t="str">
        <f t="shared" si="3"/>
        <v>0</v>
      </c>
    </row>
    <row r="64" spans="1:16" ht="15" customHeight="1" x14ac:dyDescent="0.25">
      <c r="A64" s="63"/>
      <c r="B64" s="62"/>
      <c r="C64" s="63"/>
      <c r="D64" s="64"/>
      <c r="E64" s="64"/>
      <c r="F64" s="64"/>
      <c r="G64" s="64"/>
      <c r="H64" s="64"/>
      <c r="I64" s="64"/>
      <c r="J64" s="64"/>
      <c r="K64" s="64"/>
      <c r="L64" s="64"/>
      <c r="N64" s="103" t="str">
        <f t="shared" si="3"/>
        <v>0</v>
      </c>
    </row>
    <row r="65" spans="1:14" ht="15" customHeight="1" x14ac:dyDescent="0.25">
      <c r="A65" s="63"/>
      <c r="B65" s="62"/>
      <c r="C65" s="63"/>
      <c r="D65" s="64"/>
      <c r="E65" s="64"/>
      <c r="F65" s="64"/>
      <c r="G65" s="64"/>
      <c r="H65" s="64"/>
      <c r="I65" s="64"/>
      <c r="J65" s="64"/>
      <c r="K65" s="64"/>
      <c r="L65" s="64"/>
      <c r="N65" s="103" t="str">
        <f t="shared" si="3"/>
        <v>0</v>
      </c>
    </row>
    <row r="66" spans="1:14" ht="15" customHeight="1" x14ac:dyDescent="0.25">
      <c r="A66" s="63"/>
      <c r="B66" s="62"/>
      <c r="C66" s="63"/>
      <c r="D66" s="64"/>
      <c r="E66" s="64"/>
      <c r="F66" s="64"/>
      <c r="G66" s="64"/>
      <c r="H66" s="64"/>
      <c r="I66" s="64"/>
      <c r="J66" s="64"/>
      <c r="K66" s="64"/>
      <c r="L66" s="64"/>
      <c r="N66" s="103" t="str">
        <f t="shared" si="1"/>
        <v>0</v>
      </c>
    </row>
    <row r="67" spans="1:14" ht="15" customHeight="1" x14ac:dyDescent="0.25">
      <c r="A67" s="65"/>
      <c r="B67" s="66"/>
      <c r="C67" s="65"/>
      <c r="D67" s="67"/>
      <c r="E67" s="67"/>
      <c r="F67" s="67"/>
      <c r="G67" s="67"/>
      <c r="H67" s="67"/>
      <c r="I67" s="67"/>
      <c r="J67" s="67"/>
      <c r="K67" s="67"/>
      <c r="L67" s="67"/>
      <c r="N67" s="103" t="str">
        <f t="shared" si="1"/>
        <v>0</v>
      </c>
    </row>
    <row r="68" spans="1:14" ht="24" customHeight="1" x14ac:dyDescent="0.25">
      <c r="N68" s="106">
        <f>+N8+N9+N10+N11+N12+N13+N14+N15+N16+N17+N18+N19+N20+N21+N22+N23+N24+N25+N26+N66</f>
        <v>1</v>
      </c>
    </row>
    <row r="69" spans="1:14" ht="24" customHeight="1" x14ac:dyDescent="0.25"/>
    <row r="74" spans="1:14" hidden="1" x14ac:dyDescent="0.25">
      <c r="C74" s="107" t="str">
        <f>CONCATENATE("Assurance groupe à"," ",TEXT(SIMULATION!C12,"0%"))</f>
        <v>Assurance groupe à 70%</v>
      </c>
    </row>
  </sheetData>
  <conditionalFormatting sqref="C4">
    <cfRule type="expression" dxfId="28" priority="5">
      <formula>AND($F$7&lt;&gt;0,$F$3=0)</formula>
    </cfRule>
    <cfRule type="expression" dxfId="27" priority="6" stopIfTrue="1">
      <formula>AND($F$3=0,$D$4&lt;&gt;0)</formula>
    </cfRule>
  </conditionalFormatting>
  <conditionalFormatting sqref="D4 F4">
    <cfRule type="expression" dxfId="26" priority="8">
      <formula>AND($F$7&lt;&gt;0,$F$8=0)</formula>
    </cfRule>
    <cfRule type="expression" dxfId="25" priority="17">
      <formula>AND($F$3=0,$D$4&lt;&gt;0)</formula>
    </cfRule>
  </conditionalFormatting>
  <conditionalFormatting sqref="D2 F2">
    <cfRule type="expression" dxfId="24" priority="11">
      <formula>$F$7=0</formula>
    </cfRule>
  </conditionalFormatting>
  <conditionalFormatting sqref="G12:G67">
    <cfRule type="cellIs" dxfId="23" priority="2" operator="greaterThan">
      <formula>0</formula>
    </cfRule>
  </conditionalFormatting>
  <conditionalFormatting sqref="G7:G11">
    <cfRule type="cellIs" dxfId="22" priority="1" operator="greaterThan">
      <formula>0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9E639935-84FE-4E9B-9860-818CB15472DA}">
            <xm:f>AND(SIMULATION!$C$12=1,$F$3&lt;&gt;0)</xm:f>
            <x14:dxf>
              <font>
                <b/>
                <i val="0"/>
              </font>
              <fill>
                <patternFill>
                  <bgColor rgb="FFD1AB7D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26" stopIfTrue="1" id="{11C1BAFD-784D-0F42-8912-5F317DD8DA02}">
            <xm:f>AND(SIMULATION!$C$12=1,$F$3&lt;&gt;0)</xm:f>
            <x14:dxf>
              <font>
                <b/>
                <i val="0"/>
                <color auto="1"/>
              </font>
              <fill>
                <patternFill>
                  <bgColor rgb="FFEF8C4F"/>
                </patternFill>
              </fill>
            </x14:dxf>
          </x14:cfRule>
          <xm:sqref>D3 F3</xm:sqref>
        </x14:conditionalFormatting>
        <x14:conditionalFormatting xmlns:xm="http://schemas.microsoft.com/office/excel/2006/main">
          <x14:cfRule type="expression" priority="40" id="{8863867E-90DC-BD49-8D12-2D76FAAE74C0}">
            <xm:f>SIMULATION!$C$12=0</xm:f>
            <x14:dxf>
              <font>
                <b val="0"/>
                <i val="0"/>
              </font>
              <fill>
                <patternFill patternType="solid">
                  <bgColor rgb="FFDFC4A3"/>
                </patternFill>
              </fill>
            </x14:dxf>
          </x14:cfRule>
          <x14:cfRule type="expression" priority="41" stopIfTrue="1" id="{D1D6B739-3CF7-BD40-A87D-DA1DF905B355}">
            <xm:f>AND(ASSURANCE!$C$10&lt;&gt;0,$F$7=0)</xm:f>
            <x14:dxf>
              <font>
                <b val="0"/>
                <i val="0"/>
              </font>
              <fill>
                <patternFill patternType="solid">
                  <bgColor rgb="FFDFC4A3"/>
                </patternFill>
              </fill>
            </x14:dxf>
          </x14:cfRule>
          <x14:cfRule type="expression" priority="42" id="{DB90222E-5AFB-4F67-BC6E-FB68109E6DE4}">
            <xm:f>AND(ASSURANCE!$J$5&lt;&gt;0,$F$7=0)</xm:f>
            <x14:dxf>
              <font>
                <b val="0"/>
                <i val="0"/>
              </font>
              <fill>
                <patternFill patternType="solid">
                  <bgColor rgb="FFDFC4A3"/>
                </patternFill>
              </fill>
            </x14:dxf>
          </x14:cfRule>
          <x14:cfRule type="expression" priority="43" stopIfTrue="1" id="{CBA40EA1-AEB5-1B4C-8D9B-C74E327DCF9A}">
            <xm:f>OR(ASSURANCE!$C$10,ASSURANCE!$J$5&lt;&gt;0,AND(SIMULATION!$C$12&lt;&gt;1,F7&lt;&gt;0))</xm:f>
            <x14:dxf>
              <font>
                <b/>
                <i val="0"/>
              </font>
              <fill>
                <patternFill patternType="solid">
                  <bgColor rgb="FFD1AB7D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expression" priority="44" stopIfTrue="1" id="{F350AF2B-3C05-7E41-BFC4-00E609EB68B3}">
            <xm:f>SIMULATION!$C$12=0</xm:f>
            <x14:dxf>
              <font>
                <b val="0"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expression" priority="45" id="{E320D69E-9FAF-4A70-BEAD-034B20176E75}">
            <xm:f>AND(SIMULATION!$C$12&lt;&gt;1)</xm:f>
            <x14:dxf>
              <font>
                <b/>
                <i val="0"/>
              </font>
              <fill>
                <patternFill>
                  <bgColor rgb="FFEF8C4F"/>
                </patternFill>
              </fill>
            </x14:dxf>
          </x14:cfRule>
          <x14:cfRule type="expression" priority="46" id="{85FFDE37-9EA9-4A74-86E9-2F3E5B663634}">
            <xm:f>OR(ASSURANCE!$M$4&lt;&gt;0,ASSURANCE!$C$13&lt;&gt;0,AND(SIMULATION!$C$12&lt;&gt;1,F7&lt;&gt;0))</xm:f>
            <x14:dxf>
              <font>
                <b/>
                <i val="0"/>
              </font>
              <fill>
                <patternFill>
                  <bgColor rgb="FFEF8C4F"/>
                </patternFill>
              </fill>
            </x14:dxf>
          </x14:cfRule>
          <xm:sqref>D2 F2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42578125" defaultRowHeight="15" x14ac:dyDescent="0.25"/>
  <cols>
    <col min="1" max="1" width="19.28515625" style="1" customWidth="1"/>
    <col min="2" max="2" width="20.28515625" style="1" customWidth="1"/>
    <col min="3" max="3" width="13.42578125" style="1" customWidth="1"/>
    <col min="4" max="4" width="17.42578125" style="1" customWidth="1"/>
    <col min="5" max="5" width="17.85546875" style="1" customWidth="1"/>
    <col min="6" max="6" width="11" style="1" customWidth="1"/>
    <col min="7" max="7" width="5.140625" style="1" customWidth="1"/>
    <col min="8" max="8" width="20.28515625" style="1" customWidth="1"/>
    <col min="9" max="9" width="22" customWidth="1"/>
  </cols>
  <sheetData>
    <row r="1" spans="1:9" ht="26.25" x14ac:dyDescent="0.25">
      <c r="A1" s="163" t="s">
        <v>46</v>
      </c>
      <c r="B1" s="164"/>
      <c r="C1" s="164"/>
      <c r="D1" s="164"/>
      <c r="E1" s="164"/>
      <c r="F1" s="164"/>
      <c r="G1" s="164"/>
      <c r="H1" s="164"/>
      <c r="I1" s="165"/>
    </row>
    <row r="2" spans="1:9" ht="22.5" customHeight="1" thickBot="1" x14ac:dyDescent="0.3">
      <c r="A2" s="166" t="s">
        <v>56</v>
      </c>
      <c r="B2" s="167"/>
      <c r="C2" s="167"/>
      <c r="D2" s="167"/>
      <c r="E2" s="167"/>
      <c r="F2" s="167"/>
      <c r="G2" s="167"/>
      <c r="H2" s="167"/>
      <c r="I2" s="168"/>
    </row>
    <row r="3" spans="1:9" ht="22.5" customHeight="1" x14ac:dyDescent="0.25">
      <c r="B3" s="40"/>
      <c r="C3" s="40"/>
      <c r="D3" s="40"/>
      <c r="E3" s="40"/>
      <c r="F3" s="40"/>
      <c r="G3" s="40"/>
      <c r="H3" s="40"/>
      <c r="I3" s="40"/>
    </row>
    <row r="4" spans="1:9" ht="29.25" customHeight="1" x14ac:dyDescent="0.25">
      <c r="A4" s="38" t="s">
        <v>57</v>
      </c>
      <c r="B4" s="38" t="s">
        <v>47</v>
      </c>
      <c r="C4" s="38" t="s">
        <v>58</v>
      </c>
      <c r="D4" s="39" t="s">
        <v>59</v>
      </c>
      <c r="E4" s="39" t="s">
        <v>60</v>
      </c>
      <c r="F4" s="38" t="s">
        <v>61</v>
      </c>
      <c r="G4" s="38" t="s">
        <v>48</v>
      </c>
      <c r="H4" s="38" t="s">
        <v>49</v>
      </c>
      <c r="I4" s="38" t="s">
        <v>50</v>
      </c>
    </row>
    <row r="5" spans="1:9" ht="22.5" customHeight="1" x14ac:dyDescent="0.25">
      <c r="A5" s="30">
        <v>52621110584</v>
      </c>
      <c r="B5" s="41" t="e">
        <f>#REF!</f>
        <v>#REF!</v>
      </c>
      <c r="C5" s="3"/>
      <c r="D5" s="42" t="e">
        <f>#REF!</f>
        <v>#REF!</v>
      </c>
      <c r="E5" s="3"/>
      <c r="F5" s="43" t="s">
        <v>52</v>
      </c>
      <c r="G5" s="3"/>
      <c r="H5" s="41" t="e">
        <f>CONCATENATE("DECES CHF"," ",#REF!)</f>
        <v>#REF!</v>
      </c>
      <c r="I5" s="41"/>
    </row>
    <row r="6" spans="1:9" ht="22.5" customHeight="1" x14ac:dyDescent="0.25">
      <c r="A6" s="30">
        <v>56961050826</v>
      </c>
      <c r="B6" s="41" t="e">
        <f>B5</f>
        <v>#REF!</v>
      </c>
      <c r="C6" s="3"/>
      <c r="D6" s="42" t="e">
        <f>#REF!</f>
        <v>#REF!</v>
      </c>
      <c r="E6" s="42"/>
      <c r="F6" s="43" t="s">
        <v>52</v>
      </c>
      <c r="G6" s="3"/>
      <c r="H6" s="41" t="e">
        <f>+H5</f>
        <v>#REF!</v>
      </c>
      <c r="I6" s="41"/>
    </row>
    <row r="7" spans="1:9" ht="22.5" customHeight="1" x14ac:dyDescent="0.25">
      <c r="A7" s="30">
        <v>57961070815</v>
      </c>
      <c r="B7" s="41" t="e">
        <f>B5</f>
        <v>#REF!</v>
      </c>
      <c r="C7" s="3"/>
      <c r="D7" s="42"/>
      <c r="E7" s="42" t="e">
        <f>D5</f>
        <v>#REF!</v>
      </c>
      <c r="F7" s="43" t="s">
        <v>51</v>
      </c>
      <c r="G7" s="3"/>
      <c r="H7" s="41" t="e">
        <f>+H6</f>
        <v>#REF!</v>
      </c>
      <c r="I7" s="41"/>
    </row>
    <row r="8" spans="1:9" ht="22.5" customHeight="1" x14ac:dyDescent="0.25">
      <c r="A8" s="30">
        <v>52621110584</v>
      </c>
      <c r="B8" s="41" t="e">
        <f>B5</f>
        <v>#REF!</v>
      </c>
      <c r="C8" s="3"/>
      <c r="D8" s="41"/>
      <c r="E8" s="42" t="e">
        <f>D6</f>
        <v>#REF!</v>
      </c>
      <c r="F8" s="43" t="s">
        <v>51</v>
      </c>
      <c r="G8" s="3"/>
      <c r="H8" s="41" t="e">
        <f>+H5</f>
        <v>#REF!</v>
      </c>
      <c r="I8" s="41"/>
    </row>
    <row r="9" spans="1:9" ht="22.5" customHeight="1" x14ac:dyDescent="0.25">
      <c r="B9" s="40"/>
      <c r="C9" s="40"/>
      <c r="D9" s="40"/>
      <c r="E9" s="40"/>
      <c r="F9" s="40"/>
      <c r="G9" s="40"/>
      <c r="H9" s="40"/>
      <c r="I9" s="40"/>
    </row>
    <row r="10" spans="1:9" ht="22.5" customHeight="1" x14ac:dyDescent="0.25">
      <c r="A10" s="158" t="s">
        <v>53</v>
      </c>
      <c r="B10" s="158"/>
      <c r="C10" s="169" t="e">
        <f>+#REF!</f>
        <v>#REF!</v>
      </c>
      <c r="D10" s="169"/>
      <c r="E10" s="8" t="e">
        <f>+#REF!</f>
        <v>#REF!</v>
      </c>
      <c r="F10" s="40"/>
      <c r="G10" s="40"/>
      <c r="H10"/>
      <c r="I10" s="40"/>
    </row>
    <row r="11" spans="1:9" ht="22.5" customHeight="1" x14ac:dyDescent="0.25">
      <c r="B11" s="40"/>
      <c r="C11" s="40"/>
      <c r="D11" s="40"/>
      <c r="E11" s="40"/>
      <c r="F11" s="40"/>
      <c r="G11" s="40"/>
      <c r="H11" s="40"/>
      <c r="I11" s="40"/>
    </row>
    <row r="12" spans="1:9" ht="22.5" customHeight="1" x14ac:dyDescent="0.25">
      <c r="B12" s="40"/>
      <c r="C12" s="40"/>
      <c r="D12" s="40"/>
      <c r="E12" s="40"/>
      <c r="F12" s="40"/>
      <c r="G12" s="40"/>
      <c r="H12" s="40"/>
      <c r="I12" s="40"/>
    </row>
    <row r="13" spans="1:9" ht="22.5" customHeight="1" x14ac:dyDescent="0.25">
      <c r="B13" s="40"/>
      <c r="C13" s="40"/>
      <c r="D13" s="40"/>
      <c r="E13" s="40"/>
      <c r="F13" s="40"/>
      <c r="G13" s="40"/>
      <c r="H13" s="40"/>
      <c r="I13" s="40"/>
    </row>
    <row r="14" spans="1:9" ht="22.5" customHeight="1" x14ac:dyDescent="0.25">
      <c r="B14" s="40"/>
      <c r="C14" s="40"/>
      <c r="D14" s="40"/>
      <c r="E14" s="40"/>
      <c r="F14" s="40"/>
      <c r="G14" s="40"/>
      <c r="H14" s="40"/>
      <c r="I14" s="40"/>
    </row>
    <row r="15" spans="1:9" ht="22.5" customHeight="1" x14ac:dyDescent="0.25">
      <c r="B15" s="40"/>
      <c r="C15" s="40"/>
      <c r="D15" s="40"/>
      <c r="E15" s="40"/>
      <c r="F15" s="40"/>
      <c r="G15" s="40"/>
      <c r="H15" s="40"/>
      <c r="I15" s="40"/>
    </row>
    <row r="16" spans="1:9" ht="22.5" customHeight="1" x14ac:dyDescent="0.25">
      <c r="B16" s="40"/>
      <c r="C16" s="40"/>
      <c r="D16" s="40"/>
      <c r="E16" s="40"/>
      <c r="F16" s="40"/>
      <c r="G16" s="40"/>
      <c r="H16" s="40"/>
      <c r="I16" s="40"/>
    </row>
    <row r="17" spans="2:9" ht="22.5" customHeight="1" x14ac:dyDescent="0.25">
      <c r="B17" s="40"/>
      <c r="C17" s="40"/>
      <c r="D17" s="40"/>
      <c r="E17" s="40"/>
      <c r="F17" s="40"/>
      <c r="G17" s="40"/>
      <c r="H17" s="40"/>
      <c r="I17" s="40"/>
    </row>
    <row r="18" spans="2:9" ht="22.5" customHeight="1" x14ac:dyDescent="0.25">
      <c r="B18" s="40"/>
      <c r="C18" s="40"/>
      <c r="D18" s="40"/>
      <c r="E18" s="40"/>
      <c r="F18" s="40"/>
      <c r="G18" s="40"/>
      <c r="H18" s="40"/>
      <c r="I18" s="40"/>
    </row>
    <row r="19" spans="2:9" ht="22.5" customHeight="1" x14ac:dyDescent="0.25">
      <c r="B19" s="40"/>
      <c r="C19" s="40"/>
      <c r="D19" s="40"/>
      <c r="E19" s="40"/>
      <c r="F19" s="40"/>
      <c r="G19" s="40"/>
      <c r="H19" s="40"/>
      <c r="I19" s="40"/>
    </row>
    <row r="20" spans="2:9" ht="22.5" customHeight="1" x14ac:dyDescent="0.25">
      <c r="B20" s="40"/>
      <c r="C20" s="40"/>
      <c r="D20" s="40"/>
      <c r="E20" s="40"/>
      <c r="F20" s="40"/>
      <c r="G20" s="40"/>
      <c r="H20" s="40"/>
      <c r="I20" s="40"/>
    </row>
    <row r="21" spans="2:9" ht="22.5" customHeight="1" x14ac:dyDescent="0.25">
      <c r="B21" s="40"/>
      <c r="C21" s="40"/>
      <c r="D21" s="40"/>
      <c r="E21" s="40"/>
      <c r="F21" s="40"/>
      <c r="G21" s="40"/>
      <c r="H21" s="40"/>
      <c r="I21" s="40"/>
    </row>
    <row r="22" spans="2:9" ht="22.5" customHeight="1" x14ac:dyDescent="0.25">
      <c r="B22" s="40"/>
      <c r="C22" s="40"/>
      <c r="D22" s="40"/>
      <c r="E22" s="40"/>
      <c r="F22" s="40"/>
      <c r="G22" s="40"/>
      <c r="H22" s="40"/>
      <c r="I22" s="40"/>
    </row>
    <row r="23" spans="2:9" ht="22.5" customHeight="1" x14ac:dyDescent="0.25">
      <c r="B23" s="40"/>
      <c r="C23" s="40"/>
      <c r="D23" s="40"/>
      <c r="E23" s="40"/>
      <c r="F23" s="40"/>
      <c r="G23" s="40"/>
      <c r="H23" s="40"/>
      <c r="I23" s="40"/>
    </row>
    <row r="24" spans="2:9" ht="22.5" customHeight="1" x14ac:dyDescent="0.25">
      <c r="B24" s="40"/>
      <c r="C24" s="40"/>
      <c r="D24" s="40"/>
      <c r="E24" s="40"/>
      <c r="F24" s="40"/>
      <c r="G24" s="40"/>
      <c r="H24" s="40"/>
      <c r="I24" s="40"/>
    </row>
    <row r="25" spans="2:9" ht="22.5" customHeight="1" x14ac:dyDescent="0.25">
      <c r="B25" s="40"/>
      <c r="C25" s="40"/>
      <c r="D25" s="40"/>
      <c r="E25" s="40"/>
      <c r="F25" s="40"/>
      <c r="G25" s="40"/>
      <c r="H25" s="40"/>
      <c r="I25" s="40"/>
    </row>
    <row r="26" spans="2:9" ht="22.5" customHeight="1" x14ac:dyDescent="0.25">
      <c r="B26" s="40"/>
      <c r="C26" s="40"/>
      <c r="D26" s="40"/>
      <c r="E26" s="40"/>
      <c r="F26" s="40"/>
      <c r="G26" s="40"/>
      <c r="H26" s="40"/>
      <c r="I26" s="40"/>
    </row>
    <row r="27" spans="2:9" ht="22.5" customHeight="1" x14ac:dyDescent="0.25">
      <c r="B27" s="40"/>
      <c r="C27" s="40"/>
      <c r="D27" s="40"/>
      <c r="E27" s="40"/>
      <c r="F27" s="40"/>
      <c r="G27" s="40"/>
      <c r="H27" s="40"/>
      <c r="I27" s="40"/>
    </row>
    <row r="28" spans="2:9" ht="22.5" customHeight="1" x14ac:dyDescent="0.25">
      <c r="B28" s="40"/>
      <c r="C28" s="40"/>
      <c r="D28" s="40"/>
      <c r="E28" s="40"/>
      <c r="F28" s="40"/>
      <c r="G28" s="40"/>
      <c r="H28" s="40"/>
      <c r="I28" s="40"/>
    </row>
    <row r="29" spans="2:9" ht="22.5" customHeight="1" x14ac:dyDescent="0.25">
      <c r="B29" s="40"/>
      <c r="C29" s="40"/>
      <c r="D29" s="40"/>
      <c r="E29" s="40"/>
      <c r="F29" s="40"/>
      <c r="G29" s="40"/>
      <c r="H29" s="40"/>
      <c r="I29" s="40"/>
    </row>
    <row r="30" spans="2:9" ht="22.5" customHeight="1" x14ac:dyDescent="0.25">
      <c r="B30" s="40"/>
      <c r="C30" s="40"/>
      <c r="D30" s="40"/>
      <c r="E30" s="40"/>
      <c r="F30" s="40"/>
      <c r="G30" s="40"/>
      <c r="H30" s="40"/>
      <c r="I30" s="40"/>
    </row>
    <row r="31" spans="2:9" ht="22.5" customHeight="1" x14ac:dyDescent="0.25">
      <c r="B31" s="40"/>
      <c r="C31" s="40"/>
      <c r="D31" s="40"/>
      <c r="E31" s="40"/>
      <c r="F31" s="40"/>
      <c r="G31" s="40"/>
      <c r="H31" s="40"/>
      <c r="I31" s="40"/>
    </row>
    <row r="32" spans="2:9" ht="18.75" customHeight="1" x14ac:dyDescent="0.25">
      <c r="B32" s="2"/>
      <c r="C32" s="36"/>
      <c r="D32" s="36"/>
      <c r="E32" s="36"/>
      <c r="F32" s="36"/>
      <c r="G32" s="36"/>
      <c r="H32" s="36"/>
    </row>
    <row r="33" spans="1:9" ht="28.5" x14ac:dyDescent="0.25">
      <c r="C33" s="3" t="s">
        <v>54</v>
      </c>
      <c r="D33" s="4" t="s">
        <v>62</v>
      </c>
    </row>
    <row r="36" spans="1:9" ht="30" x14ac:dyDescent="0.25">
      <c r="A36" s="5"/>
      <c r="B36" s="35" t="s">
        <v>63</v>
      </c>
      <c r="C36" s="35" t="s">
        <v>64</v>
      </c>
      <c r="D36" s="34" t="s">
        <v>65</v>
      </c>
      <c r="E36" s="35" t="s">
        <v>66</v>
      </c>
      <c r="F36" s="35" t="s">
        <v>67</v>
      </c>
      <c r="G36" s="162" t="s">
        <v>68</v>
      </c>
      <c r="H36" s="162"/>
      <c r="I36" s="162"/>
    </row>
    <row r="37" spans="1:9" ht="23.25" customHeight="1" x14ac:dyDescent="0.25">
      <c r="A37" s="1" t="s">
        <v>69</v>
      </c>
      <c r="B37" s="30">
        <v>52621110584</v>
      </c>
      <c r="C37" s="31" t="s">
        <v>52</v>
      </c>
      <c r="D37" s="37" t="e">
        <f>#REF!</f>
        <v>#REF!</v>
      </c>
      <c r="E37" s="26"/>
      <c r="F37" s="6" t="e">
        <f>#REF!</f>
        <v>#REF!</v>
      </c>
      <c r="G37" s="25" t="s">
        <v>70</v>
      </c>
      <c r="H37" s="171" t="e">
        <f>#REF!</f>
        <v>#REF!</v>
      </c>
      <c r="I37" s="172"/>
    </row>
    <row r="38" spans="1:9" ht="23.25" customHeight="1" x14ac:dyDescent="0.25">
      <c r="A38" s="1" t="s">
        <v>71</v>
      </c>
      <c r="B38" s="30">
        <v>56961050826</v>
      </c>
      <c r="C38" s="31" t="s">
        <v>52</v>
      </c>
      <c r="D38" s="37" t="e">
        <f>#REF!</f>
        <v>#REF!</v>
      </c>
      <c r="E38" s="26"/>
      <c r="F38" s="6" t="e">
        <f>+F37</f>
        <v>#REF!</v>
      </c>
      <c r="G38" s="25" t="s">
        <v>70</v>
      </c>
      <c r="H38" s="171" t="e">
        <f>+H37</f>
        <v>#REF!</v>
      </c>
      <c r="I38" s="172"/>
    </row>
    <row r="39" spans="1:9" ht="23.25" customHeight="1" x14ac:dyDescent="0.25">
      <c r="B39" s="7" t="s">
        <v>15</v>
      </c>
      <c r="C39" s="186" t="e">
        <f>SUM(D37:D38)</f>
        <v>#REF!</v>
      </c>
      <c r="D39" s="187"/>
      <c r="E39" s="157"/>
      <c r="F39" s="157"/>
      <c r="G39" s="157"/>
      <c r="H39" s="157"/>
      <c r="I39" s="157"/>
    </row>
    <row r="40" spans="1:9" x14ac:dyDescent="0.25">
      <c r="D40"/>
      <c r="E40" s="36"/>
      <c r="F40" s="36"/>
      <c r="G40" s="36"/>
      <c r="H40" s="36"/>
      <c r="I40" s="36"/>
    </row>
    <row r="41" spans="1:9" ht="23.25" x14ac:dyDescent="0.35">
      <c r="B41" s="158" t="s">
        <v>53</v>
      </c>
      <c r="C41" s="158"/>
      <c r="D41" s="8">
        <f ca="1">TODAY()</f>
        <v>45800</v>
      </c>
      <c r="E41" s="159"/>
      <c r="F41" s="160"/>
      <c r="H41" s="161" t="e">
        <f>#REF!</f>
        <v>#REF!</v>
      </c>
      <c r="I41" s="161"/>
    </row>
    <row r="42" spans="1:9" ht="15.75" x14ac:dyDescent="0.25">
      <c r="D42" s="9"/>
    </row>
    <row r="44" spans="1:9" ht="28.5" x14ac:dyDescent="0.3">
      <c r="C44" s="3" t="s">
        <v>54</v>
      </c>
      <c r="D44" s="10" t="s">
        <v>72</v>
      </c>
      <c r="E44" s="11"/>
    </row>
    <row r="47" spans="1:9" ht="30" x14ac:dyDescent="0.25">
      <c r="A47" s="5"/>
      <c r="B47" s="35" t="s">
        <v>63</v>
      </c>
      <c r="C47" s="35" t="s">
        <v>64</v>
      </c>
      <c r="D47" s="34" t="s">
        <v>65</v>
      </c>
      <c r="E47" s="35" t="s">
        <v>66</v>
      </c>
      <c r="F47" s="33" t="s">
        <v>67</v>
      </c>
      <c r="G47" s="181" t="s">
        <v>68</v>
      </c>
      <c r="H47" s="182"/>
      <c r="I47" s="183"/>
    </row>
    <row r="48" spans="1:9" ht="25.5" customHeight="1" x14ac:dyDescent="0.25">
      <c r="A48" s="1" t="s">
        <v>73</v>
      </c>
      <c r="B48" s="28">
        <v>57961070815</v>
      </c>
      <c r="C48" s="29" t="s">
        <v>51</v>
      </c>
      <c r="D48" s="37" t="e">
        <f>D37</f>
        <v>#REF!</v>
      </c>
      <c r="E48" s="26"/>
      <c r="F48" s="14" t="e">
        <f>+F37</f>
        <v>#REF!</v>
      </c>
      <c r="G48" s="25" t="str">
        <f>+G37</f>
        <v>DECES CHF</v>
      </c>
      <c r="H48" s="173" t="e">
        <f>+H37</f>
        <v>#REF!</v>
      </c>
      <c r="I48" s="174"/>
    </row>
    <row r="49" spans="1:9" ht="25.5" customHeight="1" x14ac:dyDescent="0.25">
      <c r="A49" s="1" t="s">
        <v>74</v>
      </c>
      <c r="B49" s="30">
        <v>52621110584</v>
      </c>
      <c r="C49" s="31" t="s">
        <v>51</v>
      </c>
      <c r="D49" s="37" t="e">
        <f>+D38</f>
        <v>#REF!</v>
      </c>
      <c r="E49" s="27"/>
      <c r="F49" s="14" t="e">
        <f>+F37</f>
        <v>#REF!</v>
      </c>
      <c r="G49" s="25" t="s">
        <v>70</v>
      </c>
      <c r="H49" s="184" t="e">
        <f>+H37</f>
        <v>#REF!</v>
      </c>
      <c r="I49" s="185"/>
    </row>
    <row r="50" spans="1:9" ht="25.5" customHeight="1" x14ac:dyDescent="0.25">
      <c r="B50" s="7" t="s">
        <v>15</v>
      </c>
      <c r="C50" s="175" t="e">
        <f>SUM(D48:D49)</f>
        <v>#REF!</v>
      </c>
      <c r="D50" s="176"/>
      <c r="E50" s="177"/>
      <c r="F50" s="178"/>
      <c r="G50" s="178"/>
      <c r="H50" s="178"/>
      <c r="I50" s="179"/>
    </row>
    <row r="51" spans="1:9" x14ac:dyDescent="0.25">
      <c r="D51" s="12"/>
      <c r="E51" s="13"/>
    </row>
    <row r="52" spans="1:9" ht="21" x14ac:dyDescent="0.35">
      <c r="B52" s="158" t="s">
        <v>53</v>
      </c>
      <c r="C52" s="158"/>
      <c r="D52" s="8">
        <f ca="1">TODAY()</f>
        <v>45800</v>
      </c>
      <c r="E52" s="159"/>
      <c r="F52" s="160"/>
      <c r="H52" s="180" t="e">
        <f>+H41</f>
        <v>#REF!</v>
      </c>
      <c r="I52" s="180"/>
    </row>
    <row r="53" spans="1:9" ht="15.75" x14ac:dyDescent="0.25">
      <c r="B53" s="170"/>
      <c r="C53" s="152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  <mergeCell ref="E39:I39"/>
    <mergeCell ref="B41:C41"/>
    <mergeCell ref="E41:F41"/>
    <mergeCell ref="H41:I41"/>
    <mergeCell ref="G36:I36"/>
  </mergeCells>
  <phoneticPr fontId="37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42578125" defaultRowHeight="15" x14ac:dyDescent="0.25"/>
  <cols>
    <col min="1" max="1" width="2" customWidth="1"/>
    <col min="3" max="3" width="3.42578125" customWidth="1"/>
    <col min="4" max="4" width="4.42578125" customWidth="1"/>
    <col min="5" max="5" width="2.42578125" customWidth="1"/>
    <col min="6" max="6" width="17.28515625" bestFit="1" customWidth="1"/>
    <col min="7" max="7" width="4.85546875" customWidth="1"/>
    <col min="8" max="8" width="2.85546875" customWidth="1"/>
    <col min="9" max="9" width="17.28515625" bestFit="1" customWidth="1"/>
    <col min="10" max="10" width="5.140625" customWidth="1"/>
    <col min="12" max="12" width="4.42578125" customWidth="1"/>
    <col min="13" max="13" width="4.85546875" customWidth="1"/>
    <col min="14" max="14" width="4.7109375" customWidth="1"/>
    <col min="15" max="15" width="3.42578125" customWidth="1"/>
  </cols>
  <sheetData>
    <row r="1" spans="2:23" x14ac:dyDescent="0.25"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P1" s="188" t="s">
        <v>75</v>
      </c>
      <c r="Q1" s="189"/>
      <c r="R1" s="189"/>
      <c r="S1" s="189"/>
      <c r="T1" s="189"/>
      <c r="U1" s="189"/>
      <c r="V1" s="189"/>
      <c r="W1" s="189"/>
    </row>
    <row r="2" spans="2:23" x14ac:dyDescent="0.25">
      <c r="P2" s="189"/>
      <c r="Q2" s="189"/>
      <c r="R2" s="189"/>
      <c r="S2" s="189"/>
      <c r="T2" s="189"/>
      <c r="U2" s="189"/>
      <c r="V2" s="189"/>
      <c r="W2" s="189"/>
    </row>
    <row r="3" spans="2:23" x14ac:dyDescent="0.25">
      <c r="P3" s="189"/>
      <c r="Q3" s="189"/>
      <c r="R3" s="189"/>
      <c r="S3" s="189"/>
      <c r="T3" s="189"/>
      <c r="U3" s="189"/>
      <c r="V3" s="189"/>
      <c r="W3" s="189"/>
    </row>
    <row r="4" spans="2:23" x14ac:dyDescent="0.25">
      <c r="P4" s="189"/>
      <c r="Q4" s="189"/>
      <c r="R4" s="189"/>
      <c r="S4" s="189"/>
      <c r="T4" s="189"/>
      <c r="U4" s="189"/>
      <c r="V4" s="189"/>
      <c r="W4" s="189"/>
    </row>
    <row r="5" spans="2:23" ht="9.75" customHeight="1" x14ac:dyDescent="0.25">
      <c r="P5" s="189"/>
      <c r="Q5" s="189"/>
      <c r="R5" s="189"/>
      <c r="S5" s="189"/>
      <c r="T5" s="189"/>
      <c r="U5" s="189"/>
      <c r="V5" s="189"/>
      <c r="W5" s="189"/>
    </row>
    <row r="6" spans="2:23" ht="18.75" x14ac:dyDescent="0.3">
      <c r="D6" s="192" t="s">
        <v>76</v>
      </c>
      <c r="E6" s="192"/>
      <c r="F6" s="192"/>
      <c r="G6" s="192"/>
      <c r="H6" s="192"/>
      <c r="I6" s="192"/>
      <c r="J6" s="192"/>
      <c r="K6" s="192"/>
      <c r="L6" s="192"/>
      <c r="M6" s="192"/>
      <c r="N6" s="192"/>
      <c r="P6" s="189"/>
      <c r="Q6" s="189"/>
      <c r="R6" s="189"/>
      <c r="S6" s="189"/>
      <c r="T6" s="189"/>
      <c r="U6" s="189"/>
      <c r="V6" s="189"/>
      <c r="W6" s="189"/>
    </row>
    <row r="7" spans="2:23" ht="26.25" x14ac:dyDescent="0.25">
      <c r="D7" s="193" t="s">
        <v>56</v>
      </c>
      <c r="E7" s="194"/>
      <c r="F7" s="194"/>
      <c r="G7" s="194"/>
      <c r="H7" s="194"/>
      <c r="I7" s="194"/>
      <c r="J7" s="194"/>
      <c r="K7" s="195"/>
      <c r="P7" s="189"/>
      <c r="Q7" s="189"/>
      <c r="R7" s="189"/>
      <c r="S7" s="189"/>
      <c r="T7" s="189"/>
      <c r="U7" s="189"/>
      <c r="V7" s="189"/>
      <c r="W7" s="189"/>
    </row>
    <row r="8" spans="2:23" x14ac:dyDescent="0.25">
      <c r="P8" s="189"/>
      <c r="Q8" s="189"/>
      <c r="R8" s="189"/>
      <c r="S8" s="189"/>
      <c r="T8" s="189"/>
      <c r="U8" s="189"/>
      <c r="V8" s="189"/>
      <c r="W8" s="189"/>
    </row>
    <row r="9" spans="2:23" x14ac:dyDescent="0.25">
      <c r="B9" s="15" t="s">
        <v>77</v>
      </c>
      <c r="P9" s="189"/>
      <c r="Q9" s="189"/>
      <c r="R9" s="189"/>
      <c r="S9" s="189"/>
      <c r="T9" s="189"/>
      <c r="U9" s="189"/>
      <c r="V9" s="189"/>
      <c r="W9" s="189"/>
    </row>
    <row r="10" spans="2:23" x14ac:dyDescent="0.25">
      <c r="P10" s="189"/>
      <c r="Q10" s="189"/>
      <c r="R10" s="189"/>
      <c r="S10" s="189"/>
      <c r="T10" s="189"/>
      <c r="U10" s="189"/>
      <c r="V10" s="189"/>
      <c r="W10" s="189"/>
    </row>
    <row r="11" spans="2:23" x14ac:dyDescent="0.25">
      <c r="B11" s="16" t="s">
        <v>78</v>
      </c>
      <c r="G11" s="184"/>
      <c r="H11" s="184"/>
      <c r="I11" s="174">
        <v>3550</v>
      </c>
      <c r="J11" s="174"/>
      <c r="P11" s="189"/>
      <c r="Q11" s="189"/>
      <c r="R11" s="189"/>
      <c r="S11" s="189"/>
      <c r="T11" s="189"/>
      <c r="U11" s="189"/>
      <c r="V11" s="189"/>
      <c r="W11" s="189"/>
    </row>
    <row r="12" spans="2:23" x14ac:dyDescent="0.25">
      <c r="P12" s="189"/>
      <c r="Q12" s="189"/>
      <c r="R12" s="189"/>
      <c r="S12" s="189"/>
      <c r="T12" s="189"/>
      <c r="U12" s="189"/>
      <c r="V12" s="189"/>
      <c r="W12" s="189"/>
    </row>
    <row r="13" spans="2:23" ht="15" customHeight="1" x14ac:dyDescent="0.25">
      <c r="B13" s="196" t="s">
        <v>75</v>
      </c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P13" s="189"/>
      <c r="Q13" s="189"/>
      <c r="R13" s="189"/>
      <c r="S13" s="189"/>
      <c r="T13" s="189"/>
      <c r="U13" s="189"/>
      <c r="V13" s="189"/>
      <c r="W13" s="189"/>
    </row>
    <row r="14" spans="2:23" ht="15" customHeight="1" x14ac:dyDescent="0.25"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P14" s="189"/>
      <c r="Q14" s="189"/>
      <c r="R14" s="189"/>
      <c r="S14" s="189"/>
      <c r="T14" s="189"/>
      <c r="U14" s="189"/>
      <c r="V14" s="189"/>
      <c r="W14" s="189"/>
    </row>
    <row r="15" spans="2:23" ht="15" customHeight="1" x14ac:dyDescent="0.25"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P15" s="189"/>
      <c r="Q15" s="189"/>
      <c r="R15" s="189"/>
      <c r="S15" s="189"/>
      <c r="T15" s="189"/>
      <c r="U15" s="189"/>
      <c r="V15" s="189"/>
      <c r="W15" s="189"/>
    </row>
    <row r="16" spans="2:23" ht="15" customHeight="1" x14ac:dyDescent="0.25"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</row>
    <row r="17" spans="2:14" ht="15" customHeight="1" x14ac:dyDescent="0.25"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</row>
    <row r="18" spans="2:14" ht="15" customHeight="1" x14ac:dyDescent="0.25"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</row>
    <row r="20" spans="2:14" x14ac:dyDescent="0.25">
      <c r="B20" s="17" t="s">
        <v>79</v>
      </c>
      <c r="C20" s="17"/>
    </row>
    <row r="22" spans="2:14" ht="18.75" customHeight="1" x14ac:dyDescent="0.25">
      <c r="B22" s="191" t="s">
        <v>80</v>
      </c>
      <c r="C22" s="191"/>
      <c r="D22" s="32"/>
      <c r="F22" s="18" t="s">
        <v>81</v>
      </c>
      <c r="G22" s="32"/>
      <c r="H22" s="16" t="s">
        <v>82</v>
      </c>
      <c r="I22" s="18" t="s">
        <v>83</v>
      </c>
      <c r="J22" s="32" t="s">
        <v>84</v>
      </c>
      <c r="K22" s="191" t="s">
        <v>85</v>
      </c>
      <c r="L22" s="191"/>
      <c r="M22" s="32"/>
    </row>
    <row r="23" spans="2:14" x14ac:dyDescent="0.25">
      <c r="D23" s="16" t="s">
        <v>86</v>
      </c>
      <c r="E23" s="16"/>
    </row>
    <row r="24" spans="2:14" ht="18" customHeight="1" x14ac:dyDescent="0.25">
      <c r="B24" s="191" t="s">
        <v>87</v>
      </c>
      <c r="C24" s="191" t="s">
        <v>88</v>
      </c>
      <c r="D24" s="32"/>
      <c r="F24" s="19" t="s">
        <v>89</v>
      </c>
      <c r="G24" s="32"/>
      <c r="I24" s="19" t="s">
        <v>89</v>
      </c>
      <c r="J24" s="32"/>
      <c r="K24" s="18" t="s">
        <v>90</v>
      </c>
      <c r="L24" s="18"/>
      <c r="N24" s="32"/>
    </row>
    <row r="26" spans="2:14" x14ac:dyDescent="0.25">
      <c r="B26" s="190" t="s">
        <v>91</v>
      </c>
      <c r="C26" s="190"/>
      <c r="D26" s="190"/>
      <c r="E26" s="190"/>
      <c r="F26" s="190" t="s">
        <v>92</v>
      </c>
      <c r="G26" s="190"/>
      <c r="H26" s="190"/>
      <c r="I26" s="190" t="s">
        <v>93</v>
      </c>
      <c r="J26" s="190"/>
      <c r="K26" s="190"/>
      <c r="L26" s="190"/>
      <c r="M26" s="190"/>
      <c r="N26" s="190"/>
    </row>
    <row r="27" spans="2:14" x14ac:dyDescent="0.25">
      <c r="B27" s="198" t="e">
        <f>IF('PIECE COMPTABLE CHF'!D5&gt;0,'PIECE COMPTABLE CHF'!A7,IF('PIECE COMPTABLE CHF'!D6&gt;0,'PIECE COMPTABLE CHF'!A6,""))</f>
        <v>#REF!</v>
      </c>
      <c r="C27" s="198"/>
      <c r="D27" s="198"/>
      <c r="E27" s="198"/>
      <c r="F27" s="198" t="e">
        <f>IF(B27=56961050826,"PERTE PRET EN CHF",IF(B27=57961070815,"GAIN PRET EN CHF","PERTE PRET EN CHF"))</f>
        <v>#REF!</v>
      </c>
      <c r="G27" s="198"/>
      <c r="H27" s="198"/>
      <c r="I27" s="190" t="s">
        <v>94</v>
      </c>
      <c r="J27" s="190"/>
      <c r="K27" s="190" t="s">
        <v>95</v>
      </c>
      <c r="L27" s="190"/>
      <c r="M27" s="190"/>
      <c r="N27" s="190"/>
    </row>
    <row r="28" spans="2:14" x14ac:dyDescent="0.25">
      <c r="B28" s="198"/>
      <c r="C28" s="198"/>
      <c r="D28" s="198"/>
      <c r="E28" s="198"/>
      <c r="F28" s="198"/>
      <c r="G28" s="198"/>
      <c r="H28" s="198"/>
      <c r="I28" s="199" t="e">
        <f>IF(B27=57961070815,'PIECE COMPTABLE CHF'!E7,IF(B27=56961050826,0,'PIECE COMPTABLE CHF'!D6))</f>
        <v>#REF!</v>
      </c>
      <c r="J28" s="199"/>
      <c r="K28" s="199" t="e">
        <f>IF(B27=57961070815,'PIECE COMPTABLE CHF'!D6,IF(B27=56961050826,'PIECE COMPTABLE CHF'!D6,"0,00"))</f>
        <v>#REF!</v>
      </c>
      <c r="L28" s="199"/>
      <c r="M28" s="199"/>
      <c r="N28" s="199"/>
    </row>
    <row r="29" spans="2:14" x14ac:dyDescent="0.25">
      <c r="B29" s="198"/>
      <c r="C29" s="198"/>
      <c r="D29" s="198"/>
      <c r="E29" s="198"/>
      <c r="F29" s="198"/>
      <c r="G29" s="198"/>
      <c r="H29" s="198"/>
      <c r="I29" s="199"/>
      <c r="J29" s="199"/>
      <c r="K29" s="199"/>
      <c r="L29" s="199"/>
      <c r="M29" s="199"/>
      <c r="N29" s="199"/>
    </row>
    <row r="31" spans="2:14" x14ac:dyDescent="0.25">
      <c r="B31" s="17" t="s">
        <v>96</v>
      </c>
    </row>
    <row r="32" spans="2:14" x14ac:dyDescent="0.25">
      <c r="B32" t="e">
        <f>+#REF!</f>
        <v>#REF!</v>
      </c>
    </row>
    <row r="33" spans="2:15" ht="15.75" thickBot="1" x14ac:dyDescent="0.3">
      <c r="B33" s="197" t="e">
        <f>+#REF!</f>
        <v>#REF!</v>
      </c>
      <c r="C33" s="197"/>
      <c r="D33" s="197"/>
      <c r="E33" s="197"/>
    </row>
    <row r="34" spans="2:15" x14ac:dyDescent="0.25">
      <c r="B34" s="44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6"/>
    </row>
    <row r="35" spans="2:15" x14ac:dyDescent="0.25">
      <c r="B35" s="47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9"/>
    </row>
    <row r="36" spans="2:15" x14ac:dyDescent="0.25">
      <c r="B36" s="47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9"/>
    </row>
    <row r="37" spans="2:15" ht="15.75" thickBot="1" x14ac:dyDescent="0.3">
      <c r="B37" s="50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2"/>
    </row>
    <row r="44" spans="2:15" x14ac:dyDescent="0.25">
      <c r="B44" s="20"/>
      <c r="C44" s="20"/>
      <c r="D44" s="20"/>
      <c r="E44" s="20"/>
      <c r="F44" s="21"/>
    </row>
    <row r="45" spans="2:15" x14ac:dyDescent="0.25">
      <c r="B45" s="20" t="s">
        <v>97</v>
      </c>
      <c r="C45" s="20"/>
      <c r="D45" s="20"/>
      <c r="E45" s="20"/>
      <c r="F45" s="21"/>
      <c r="G45" s="20" t="s">
        <v>98</v>
      </c>
      <c r="K45" s="20" t="s">
        <v>99</v>
      </c>
    </row>
    <row r="46" spans="2:15" x14ac:dyDescent="0.25">
      <c r="B46" s="22" t="s">
        <v>55</v>
      </c>
      <c r="C46" s="22"/>
      <c r="D46" s="22"/>
      <c r="E46" s="22"/>
      <c r="F46" s="22"/>
      <c r="G46" s="22" t="s">
        <v>55</v>
      </c>
      <c r="K46" s="22" t="s">
        <v>55</v>
      </c>
    </row>
    <row r="47" spans="2:15" x14ac:dyDescent="0.25">
      <c r="B47" s="22" t="s">
        <v>100</v>
      </c>
      <c r="C47" s="22"/>
      <c r="D47" s="22"/>
      <c r="E47" s="22"/>
      <c r="F47" s="22"/>
      <c r="G47" s="22" t="s">
        <v>100</v>
      </c>
      <c r="K47" s="22" t="s">
        <v>100</v>
      </c>
    </row>
    <row r="48" spans="2:15" x14ac:dyDescent="0.25">
      <c r="B48" s="22" t="s">
        <v>101</v>
      </c>
      <c r="C48" s="22"/>
      <c r="D48" s="22"/>
      <c r="E48" s="22"/>
      <c r="F48" s="22"/>
      <c r="G48" s="22" t="s">
        <v>101</v>
      </c>
      <c r="K48" s="22" t="s">
        <v>101</v>
      </c>
    </row>
    <row r="49" spans="2:15" x14ac:dyDescent="0.25">
      <c r="B49" s="22"/>
      <c r="C49" s="22"/>
      <c r="D49" s="22"/>
      <c r="E49" s="22"/>
      <c r="F49" s="22"/>
    </row>
    <row r="50" spans="2:15" x14ac:dyDescent="0.25">
      <c r="B50" s="22" t="s">
        <v>102</v>
      </c>
    </row>
    <row r="52" spans="2:15" x14ac:dyDescent="0.25">
      <c r="B52" s="23" t="s">
        <v>103</v>
      </c>
    </row>
    <row r="53" spans="2:15" x14ac:dyDescent="0.25">
      <c r="B53" s="23"/>
    </row>
    <row r="54" spans="2:15" x14ac:dyDescent="0.25">
      <c r="B54" s="23" t="s">
        <v>104</v>
      </c>
      <c r="C54" s="24"/>
      <c r="D54" s="24"/>
      <c r="E54" s="24"/>
      <c r="F54" s="24"/>
      <c r="G54" s="23" t="s">
        <v>105</v>
      </c>
      <c r="H54" s="23"/>
      <c r="I54" s="23"/>
      <c r="J54" s="23"/>
      <c r="K54" s="23"/>
      <c r="L54" s="23" t="s">
        <v>106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33:E33"/>
    <mergeCell ref="B27:E29"/>
    <mergeCell ref="F27:H29"/>
    <mergeCell ref="I27:J27"/>
    <mergeCell ref="K27:N27"/>
    <mergeCell ref="I28:J29"/>
    <mergeCell ref="K28:N29"/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haredContentType xmlns="Microsoft.SharePoint.Taxonomy.ContentTypeSync" SourceId="c52eb4dc-0ef3-4aa8-8e03-025dbf6c8637" ContentTypeId="0x0101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57B470B142DC478E44A2321F2E6183" ma:contentTypeVersion="5" ma:contentTypeDescription="Create a new document." ma:contentTypeScope="" ma:versionID="7d131236ea173b6207a42b586ee7fa80">
  <xsd:schema xmlns:xsd="http://www.w3.org/2001/XMLSchema" xmlns:xs="http://www.w3.org/2001/XMLSchema" xmlns:p="http://schemas.microsoft.com/office/2006/metadata/properties" xmlns:ns2="6e82d123-4d71-4b83-a1c6-02ba46fb8092" targetNamespace="http://schemas.microsoft.com/office/2006/metadata/properties" ma:root="true" ma:fieldsID="9b95841b5ee5c49775d32849caf97c80" ns2:_="">
    <xsd:import namespace="6e82d123-4d71-4b83-a1c6-02ba46fb809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82d123-4d71-4b83-a1c6-02ba46fb80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E4831ADE-C9CE-42AB-AAB9-993C5B13A2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82d123-4d71-4b83-a1c6-02ba46fb809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DEC02C-0DC2-4BD9-8498-53DE3307D2AB}">
  <ds:schemaRefs>
    <ds:schemaRef ds:uri="http://purl.org/dc/terms/"/>
    <ds:schemaRef ds:uri="http://schemas.openxmlformats.org/package/2006/metadata/core-properties"/>
    <ds:schemaRef ds:uri="6e82d123-4d71-4b83-a1c6-02ba46fb8092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SIMULATION</vt:lpstr>
      <vt:lpstr>ASSURANCE</vt:lpstr>
      <vt:lpstr>TA</vt:lpstr>
      <vt:lpstr>PIECE COMPTABLE CHF</vt:lpstr>
      <vt:lpstr>PERTE ET PROFIT CHF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Yoan.GUEROUX@bpaura.banquepopulaire.fr</dc:creator>
  <cp:keywords/>
  <dc:description/>
  <cp:lastModifiedBy>GUEROUX YOAN (BPAURA)</cp:lastModifiedBy>
  <cp:revision/>
  <dcterms:created xsi:type="dcterms:W3CDTF">2020-04-27T06:44:54Z</dcterms:created>
  <dcterms:modified xsi:type="dcterms:W3CDTF">2025-05-23T06:30:54Z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0x010100FB57B470B142DC478E44A2321F2E6183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  <property fmtid="{D5CDD505-2E9C-101B-9397-08002B2CF9AE}" pid="10" name="Order">
    <vt:r8>778700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ComplianceAssetId">
    <vt:lpwstr/>
  </property>
  <property fmtid="{D5CDD505-2E9C-101B-9397-08002B2CF9AE}" pid="14" name="TemplateUrl">
    <vt:lpwstr/>
  </property>
  <property fmtid="{D5CDD505-2E9C-101B-9397-08002B2CF9AE}" pid="15" name="_ExtendedDescription">
    <vt:lpwstr/>
  </property>
  <property fmtid="{D5CDD505-2E9C-101B-9397-08002B2CF9AE}" pid="16" name="TriggerFlowInfo">
    <vt:lpwstr/>
  </property>
</Properties>
</file>