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R09127\Desktop\"/>
    </mc:Choice>
  </mc:AlternateContent>
  <xr:revisionPtr revIDLastSave="0" documentId="13_ncr:1_{FC7B9550-1365-4DBD-A5CE-8C7A942C9EAF}" xr6:coauthVersionLast="47" xr6:coauthVersionMax="47" xr10:uidLastSave="{00000000-0000-0000-0000-000000000000}"/>
  <bookViews>
    <workbookView xWindow="23880" yWindow="-120" windowWidth="24240" windowHeight="13140" tabRatio="798" xr2:uid="{2DD161FD-4496-4022-A4B7-4EA5B00B74A4}"/>
  </bookViews>
  <sheets>
    <sheet name="SIMULATION" sheetId="3" r:id="rId1"/>
    <sheet name="TA" sheetId="20" r:id="rId2"/>
    <sheet name="PIECE COMPTABLE CHF" sheetId="7" state="hidden" r:id="rId3"/>
    <sheet name="PERTE ET PROFIT CHF" sheetId="8" state="hidden" r:id="rId4"/>
    <sheet name="MAIL EUR" sheetId="17" state="hidden" r:id="rId5"/>
  </sheets>
  <definedNames>
    <definedName name="_xleta.OR" hidden="1" xlm="1">#NAME?</definedName>
    <definedName name="CCI">#REF!</definedName>
    <definedName name="Copie">#REF!</definedName>
    <definedName name="Destinataires">#REF!</definedName>
    <definedName name="Expediteurs">#REF!</definedName>
    <definedName name="_xlnm.Print_Area" localSheetId="3">'PERTE ET PROFIT CHF'!$B$1:$N$54</definedName>
    <definedName name="_xlnm.Print_Area" localSheetId="2">'PIECE COMPTABLE CHF'!$B$1:$I$53</definedName>
    <definedName name="_xlnm.Print_Area" localSheetId="0">SIMULATION!$A$2:$L$16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0" i="20" l="1"/>
  <c r="F24" i="20"/>
  <c r="N27" i="3"/>
  <c r="M27" i="3" s="1"/>
  <c r="G27" i="3" s="1"/>
  <c r="H27" i="3" s="1"/>
  <c r="N9" i="3"/>
  <c r="M9" i="3" s="1"/>
  <c r="G9" i="3" s="1"/>
  <c r="H9" i="3" s="1"/>
  <c r="N10" i="3"/>
  <c r="M10" i="3" s="1"/>
  <c r="G10" i="3" s="1"/>
  <c r="H10" i="3" s="1"/>
  <c r="N11" i="3"/>
  <c r="M11" i="3" s="1"/>
  <c r="G11" i="3" s="1"/>
  <c r="H11" i="3" s="1"/>
  <c r="N12" i="3"/>
  <c r="M12" i="3" s="1"/>
  <c r="G12" i="3" s="1"/>
  <c r="H12" i="3" s="1"/>
  <c r="N13" i="3"/>
  <c r="M13" i="3" s="1"/>
  <c r="G13" i="3" s="1"/>
  <c r="H13" i="3" s="1"/>
  <c r="N14" i="3"/>
  <c r="M14" i="3" s="1"/>
  <c r="G14" i="3" s="1"/>
  <c r="H14" i="3" s="1"/>
  <c r="N15" i="3"/>
  <c r="M15" i="3" s="1"/>
  <c r="G15" i="3" s="1"/>
  <c r="H15" i="3" s="1"/>
  <c r="N16" i="3"/>
  <c r="M16" i="3" s="1"/>
  <c r="G16" i="3" s="1"/>
  <c r="H16" i="3" s="1"/>
  <c r="N17" i="3"/>
  <c r="M17" i="3" s="1"/>
  <c r="G17" i="3" s="1"/>
  <c r="H17" i="3" s="1"/>
  <c r="N18" i="3"/>
  <c r="N19" i="3"/>
  <c r="M19" i="3" s="1"/>
  <c r="G19" i="3" s="1"/>
  <c r="H19" i="3" s="1"/>
  <c r="N20" i="3"/>
  <c r="M20" i="3" s="1"/>
  <c r="G20" i="3" s="1"/>
  <c r="H20" i="3" s="1"/>
  <c r="N21" i="3"/>
  <c r="M21" i="3" s="1"/>
  <c r="G21" i="3" s="1"/>
  <c r="H21" i="3" s="1"/>
  <c r="N22" i="3"/>
  <c r="M22" i="3" s="1"/>
  <c r="G22" i="3" s="1"/>
  <c r="H22" i="3" s="1"/>
  <c r="N23" i="3"/>
  <c r="M23" i="3" s="1"/>
  <c r="G23" i="3" s="1"/>
  <c r="H23" i="3" s="1"/>
  <c r="N24" i="3"/>
  <c r="M24" i="3" s="1"/>
  <c r="G24" i="3" s="1"/>
  <c r="H24" i="3" s="1"/>
  <c r="N25" i="3"/>
  <c r="M25" i="3" s="1"/>
  <c r="G25" i="3" s="1"/>
  <c r="H25" i="3" s="1"/>
  <c r="N26" i="3"/>
  <c r="M26" i="3" s="1"/>
  <c r="G26" i="3" s="1"/>
  <c r="H26" i="3" s="1"/>
  <c r="N8" i="3"/>
  <c r="M8" i="3" s="1"/>
  <c r="G8" i="3" s="1"/>
  <c r="H8" i="3" s="1"/>
  <c r="J9" i="3"/>
  <c r="J10" i="3" s="1"/>
  <c r="G23" i="20"/>
  <c r="G25" i="20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3" i="20"/>
  <c r="D24" i="20"/>
  <c r="G24" i="20"/>
  <c r="H24" i="20"/>
  <c r="H23" i="20" s="1"/>
  <c r="M18" i="3" l="1"/>
  <c r="G18" i="3" s="1"/>
  <c r="H18" i="3" s="1"/>
  <c r="E24" i="20"/>
  <c r="E23" i="20" s="1"/>
  <c r="N24" i="20"/>
  <c r="G3" i="3"/>
  <c r="J3" i="3" s="1"/>
  <c r="H6" i="3" s="1"/>
  <c r="D13" i="3"/>
  <c r="C13" i="3"/>
  <c r="H25" i="20"/>
  <c r="D8" i="3"/>
  <c r="D25" i="20"/>
  <c r="H28" i="3" l="1"/>
  <c r="F23" i="20" s="1"/>
  <c r="E14" i="3"/>
  <c r="E25" i="20"/>
  <c r="C14" i="3"/>
  <c r="D7" i="3" l="1"/>
  <c r="B8" i="17"/>
  <c r="B4" i="17"/>
  <c r="D23" i="20" l="1"/>
  <c r="C7" i="3" s="1"/>
  <c r="Q7" i="3"/>
  <c r="E11" i="3"/>
  <c r="D3" i="17"/>
  <c r="D10" i="3" l="1" a="1"/>
  <c r="D10" i="3" s="1"/>
  <c r="E10" i="7"/>
  <c r="C10" i="7"/>
  <c r="H5" i="7"/>
  <c r="H8" i="7" s="1"/>
  <c r="D6" i="7"/>
  <c r="E8" i="7" s="1"/>
  <c r="D5" i="7"/>
  <c r="B27" i="8" s="1"/>
  <c r="B5" i="7"/>
  <c r="B7" i="7" s="1"/>
  <c r="D11" i="3" l="1"/>
  <c r="C11" i="3"/>
  <c r="C15" i="3"/>
  <c r="K28" i="8"/>
  <c r="E7" i="7"/>
  <c r="I28" i="8" s="1"/>
  <c r="H6" i="7"/>
  <c r="H7" i="7" s="1"/>
  <c r="B6" i="7"/>
  <c r="B8" i="7"/>
  <c r="C12" i="3" l="1"/>
  <c r="B33" i="8"/>
  <c r="B32" i="8"/>
  <c r="H41" i="7" l="1"/>
  <c r="H37" i="7" l="1"/>
  <c r="H49" i="7" s="1"/>
  <c r="F37" i="7"/>
  <c r="F49" i="7" s="1"/>
  <c r="D38" i="7"/>
  <c r="D37" i="7"/>
  <c r="C39" i="7" s="1"/>
  <c r="D52" i="7"/>
  <c r="G48" i="7"/>
  <c r="H52" i="7"/>
  <c r="D41" i="7"/>
  <c r="D49" i="7" l="1"/>
  <c r="D48" i="7"/>
  <c r="H38" i="7"/>
  <c r="H48" i="7"/>
  <c r="F48" i="7"/>
  <c r="F38" i="7"/>
  <c r="C50" i="7" l="1"/>
  <c r="F2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  <author>Yoan</author>
  </authors>
  <commentList>
    <comment ref="Q7" authorId="0" shapeId="0" xr:uid="{F259FC21-8AC3-4170-80F0-69945B2B5856}">
      <text>
        <r>
          <rPr>
            <sz val="10"/>
            <color indexed="81"/>
            <rFont val="Tahoma"/>
            <family val="2"/>
          </rPr>
          <t>Cellule n'est appelée nulle part, c'est juste un mémo pour la formule (cellule H7)</t>
        </r>
      </text>
    </comment>
    <comment ref="E8" authorId="1" shapeId="0" xr:uid="{B4B59360-516F-0140-A710-EF97297D3807}">
      <text>
        <r>
          <rPr>
            <sz val="10"/>
            <color rgb="FF000000"/>
            <rFont val="Tahoma"/>
            <family val="2"/>
          </rPr>
          <t>Si des frais d'avenant sont affichés, il faut les supprimer dans le tableau d'amortissement</t>
        </r>
      </text>
    </comment>
    <comment ref="E10" authorId="1" shapeId="0" xr:uid="{98D861F6-299D-C64A-A4D7-B5F83224A3D1}">
      <text>
        <r>
          <rPr>
            <sz val="10"/>
            <color rgb="FF000000"/>
            <rFont val="Tahoma"/>
            <family val="2"/>
          </rPr>
          <t>Si la cellule s'affiche rouge, c'est que le montant de l'extourne dépasse le montant des intérêts post décès</t>
        </r>
      </text>
    </comment>
    <comment ref="E14" authorId="0" shapeId="0" xr:uid="{03E4B8A0-0DF0-4D93-AB3C-EDC1046AEA2E}">
      <text>
        <r>
          <rPr>
            <sz val="10"/>
            <color rgb="FF000000"/>
            <rFont val="Tahoma"/>
            <family val="2"/>
          </rPr>
          <t>Différence entre le montant reçu par l'assurance et le montant pris en charge en fonction de la quotité assurée.
Si le montant est négatif, il faut demander les fonds à l'assurance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</author>
  </authors>
  <commentList>
    <comment ref="J2" authorId="0" shapeId="0" xr:uid="{916B7ACA-8D18-214C-A1A2-D421275A80BD}">
      <text>
        <r>
          <rPr>
            <sz val="10"/>
            <color rgb="FF000000"/>
            <rFont val="Tahoma"/>
            <family val="2"/>
          </rPr>
          <t xml:space="preserve">
La 1ère ligne du tableau n'est pas prise en compte dans les calculs, seul le CRD avant le décès remonte dans la simulation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DAMIEN GARNIER</author>
  </authors>
  <commentList>
    <comment ref="G4" authorId="0" shapeId="0" xr:uid="{8E4E384E-E7F5-4276-A13A-387C6F686F62}">
      <text>
        <r>
          <rPr>
            <b/>
            <sz val="8"/>
            <color indexed="81"/>
            <rFont val="Tahoma"/>
            <family val="2"/>
          </rPr>
          <t>Si non renseigné, ce champ sera rempli avec le libellé du code opération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<sst xmlns="http://schemas.openxmlformats.org/spreadsheetml/2006/main" count="169" uniqueCount="122">
  <si>
    <t>Remboursement Evolan</t>
  </si>
  <si>
    <t xml:space="preserve">Montant versé par l'assurance </t>
  </si>
  <si>
    <t xml:space="preserve">Échéance(s) à rendre au client </t>
  </si>
  <si>
    <t>TOTAL</t>
  </si>
  <si>
    <t>Terme</t>
  </si>
  <si>
    <t>Date</t>
  </si>
  <si>
    <t>Devise</t>
  </si>
  <si>
    <t>Montant de l'échéance</t>
  </si>
  <si>
    <t>Montant d'intérêt</t>
  </si>
  <si>
    <t>Montant d'assurance</t>
  </si>
  <si>
    <t>Montant d'accessoire</t>
  </si>
  <si>
    <t>Montant de capital</t>
  </si>
  <si>
    <t>Montant capitalisé</t>
  </si>
  <si>
    <t>Capital restant dû</t>
  </si>
  <si>
    <t>Somme capitalisée restant due</t>
  </si>
  <si>
    <t>Somme totale restant due</t>
  </si>
  <si>
    <t>PIECES COMPTABLES SUR LISTE</t>
  </si>
  <si>
    <t>Numero de compte *</t>
  </si>
  <si>
    <t>Référence opération</t>
  </si>
  <si>
    <t>Date de valeur *</t>
  </si>
  <si>
    <t>Montant débit *</t>
  </si>
  <si>
    <t>Montant crédit *</t>
  </si>
  <si>
    <t>Code Opération *</t>
  </si>
  <si>
    <t>Zone Alpha</t>
  </si>
  <si>
    <t>Libellé écriture 1</t>
  </si>
  <si>
    <t>Libellé écriture 2</t>
  </si>
  <si>
    <t>002</t>
  </si>
  <si>
    <t>001</t>
  </si>
  <si>
    <t>GESTION DES CREDITS</t>
  </si>
  <si>
    <t>X</t>
  </si>
  <si>
    <t xml:space="preserve">Nom : </t>
  </si>
  <si>
    <t>PRET EN CHF CONVERTI EN EUROS</t>
  </si>
  <si>
    <t>DEBIT</t>
  </si>
  <si>
    <t>N° COMPTE</t>
  </si>
  <si>
    <t>CODE OPE</t>
  </si>
  <si>
    <t>MONTANT EUROS</t>
  </si>
  <si>
    <t>DATE DE VALEUR</t>
  </si>
  <si>
    <t>CODE POINTAGE</t>
  </si>
  <si>
    <t>LIBELLE</t>
  </si>
  <si>
    <t>SINISTRE GAIN CHF</t>
  </si>
  <si>
    <t>DECES CHF</t>
  </si>
  <si>
    <t>PERTE CHF</t>
  </si>
  <si>
    <t>CREDIT</t>
  </si>
  <si>
    <t>GAIN  CHF</t>
  </si>
  <si>
    <t>SINISTRE PERTE CHF</t>
  </si>
  <si>
    <t>DEMANDE DE PERTE ET PROFIT A FAIRE SIGNER PAR LE RESPONSABLE HIERARCHIQUE MAIS AUCUNE ECRITURE COMPTABLE A PASSER CAR DEJA COMPTABILISER DANS LES PIECES COMPTABLES CI-JOINTES</t>
  </si>
  <si>
    <r>
      <t xml:space="preserve">DEMANDE DE PASSAGE A PERTES ET PROFITS  </t>
    </r>
    <r>
      <rPr>
        <sz val="11"/>
        <color rgb="FF000000"/>
        <rFont val="Calibri"/>
        <family val="2"/>
        <scheme val="minor"/>
      </rPr>
      <t xml:space="preserve"> </t>
    </r>
  </si>
  <si>
    <r>
      <t>PARTIE RESERVEE A L’AGENCE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</si>
  <si>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r>
      <t>AGENCE GESTIONNAIRE</t>
    </r>
    <r>
      <rPr>
        <sz val="9"/>
        <color rgb="FFFF64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:   </t>
    </r>
    <r>
      <rPr>
        <sz val="11"/>
        <color rgb="FF000000"/>
        <rFont val="Calibri"/>
        <family val="2"/>
        <scheme val="minor"/>
      </rPr>
      <t xml:space="preserve"> </t>
    </r>
  </si>
  <si>
    <r>
      <t>y</t>
    </r>
    <r>
      <rPr>
        <b/>
        <sz val="10"/>
        <color rgb="FF000000"/>
        <rFont val="Times New Roman"/>
        <family val="1"/>
      </rPr>
      <t xml:space="preserve"> DOMAINE concerné (sauf pour cloture comptes)</t>
    </r>
    <r>
      <rPr>
        <sz val="10"/>
        <color rgb="FF000000"/>
        <rFont val="Times New Roman"/>
        <family val="1"/>
      </rPr>
      <t xml:space="preserve"> :</t>
    </r>
  </si>
  <si>
    <t xml:space="preserve">Engagements          </t>
  </si>
  <si>
    <t xml:space="preserve"> Monétique  </t>
  </si>
  <si>
    <r>
      <t xml:space="preserve"> </t>
    </r>
    <r>
      <rPr>
        <vertAlign val="superscript"/>
        <sz val="17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</si>
  <si>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t xml:space="preserve">Chèques  </t>
  </si>
  <si>
    <t xml:space="preserve">  </t>
  </si>
  <si>
    <t xml:space="preserve">       Virements  </t>
  </si>
  <si>
    <r>
      <t xml:space="preserve">   </t>
    </r>
    <r>
      <rPr>
        <sz val="11"/>
        <color rgb="FF000000"/>
        <rFont val="Calibri"/>
        <family val="2"/>
        <scheme val="minor"/>
      </rPr>
      <t xml:space="preserve"> </t>
    </r>
  </si>
  <si>
    <t xml:space="preserve">Assurances-vie  </t>
  </si>
  <si>
    <t xml:space="preserve">        Epargne financière  </t>
  </si>
  <si>
    <t xml:space="preserve">Epargne monétaire    </t>
  </si>
  <si>
    <t xml:space="preserve">     Autres (à préciser)</t>
  </si>
  <si>
    <t xml:space="preserve">N° de compte </t>
  </si>
  <si>
    <t>Nom du COMPTE</t>
  </si>
  <si>
    <t>MONTANT A IMPUTER AU CLIENT</t>
  </si>
  <si>
    <t>A DEBITER</t>
  </si>
  <si>
    <t>A CREDITER</t>
  </si>
  <si>
    <r>
      <t>y</t>
    </r>
    <r>
      <rPr>
        <b/>
        <sz val="10"/>
        <color rgb="FF000000"/>
        <rFont val="Times New Roman"/>
        <family val="1"/>
      </rPr>
      <t xml:space="preserve"> CONTEXTE COMMERCIAL de la demande</t>
    </r>
    <r>
      <rPr>
        <sz val="10"/>
        <color rgb="FF000000"/>
        <rFont val="Times New Roman"/>
        <family val="1"/>
      </rPr>
      <t xml:space="preserve"> :</t>
    </r>
  </si>
  <si>
    <t xml:space="preserve">DIRECTEUR D’AGENCE </t>
  </si>
  <si>
    <t>DIRECTEUR REGIONAL</t>
  </si>
  <si>
    <t>AUTRE DELAGATAIRE</t>
  </si>
  <si>
    <t xml:space="preserve">Date : </t>
  </si>
  <si>
    <t>Signature:</t>
  </si>
  <si>
    <t>Justificatifs à joindre: Echange de courriers divers, etc….</t>
  </si>
  <si>
    <t>PARTIE RESERVEE AU SERVICE COMPTABILITE :</t>
  </si>
  <si>
    <t xml:space="preserve">CODE EXTOURNE: </t>
  </si>
  <si>
    <t>N°EXTOURNE:</t>
  </si>
  <si>
    <t>CTA057 10/08</t>
  </si>
  <si>
    <t>A</t>
  </si>
  <si>
    <t>CC</t>
  </si>
  <si>
    <t>CCI</t>
  </si>
  <si>
    <t>OBJET</t>
  </si>
  <si>
    <t>Code risque</t>
  </si>
  <si>
    <t>Date du décès</t>
  </si>
  <si>
    <t>N° prêt</t>
  </si>
  <si>
    <t>Date de traitement</t>
  </si>
  <si>
    <t>Doit être à zéro</t>
  </si>
  <si>
    <t>Contrôle écart CRD</t>
  </si>
  <si>
    <t>Contrôle sinistre</t>
  </si>
  <si>
    <t>Ecart sur sinistre</t>
  </si>
  <si>
    <t>Service comptabilité</t>
  </si>
  <si>
    <t>Cotisation(s) assurance prélevées post décès</t>
  </si>
  <si>
    <t>Nom du client décédé</t>
  </si>
  <si>
    <t>Nom du rédacteur</t>
  </si>
  <si>
    <t>CRD 
à la date du décès</t>
  </si>
  <si>
    <t>Quotité 
assurée en %</t>
  </si>
  <si>
    <t>Échéance(s) impayée(s)</t>
  </si>
  <si>
    <t>Trop perçu sur prêt</t>
  </si>
  <si>
    <t>Extourne sur prêt</t>
  </si>
  <si>
    <t>Bonjour,</t>
  </si>
  <si>
    <t>bpaura_successions@bpaura.banquepopulaire.fr</t>
  </si>
  <si>
    <t>Cordialement,</t>
  </si>
  <si>
    <t>PRET EN EUROS</t>
  </si>
  <si>
    <t>Frais accessoires / socama</t>
  </si>
  <si>
    <t>Taux de cotisation</t>
  </si>
  <si>
    <t>Commission BPI 
à prélever au client</t>
  </si>
  <si>
    <t>Assurance externe / Kereis</t>
  </si>
  <si>
    <r>
      <t xml:space="preserve">Nominal
</t>
    </r>
    <r>
      <rPr>
        <i/>
        <sz val="11"/>
        <color theme="0"/>
        <rFont val="Calibri"/>
        <family val="2"/>
        <scheme val="minor"/>
      </rPr>
      <t>(cotisation fixe)</t>
    </r>
  </si>
  <si>
    <t>Nombre de cotisation(s) à rembourser</t>
  </si>
  <si>
    <t>Total à rembourser</t>
  </si>
  <si>
    <t>Cotisation mensuelle</t>
  </si>
  <si>
    <r>
      <t>Capital restant dû</t>
    </r>
    <r>
      <rPr>
        <i/>
        <sz val="11"/>
        <color theme="0"/>
        <rFont val="Calibri"/>
        <family val="2"/>
        <scheme val="minor"/>
      </rPr>
      <t xml:space="preserve">
(cotisation dégressive)</t>
    </r>
  </si>
  <si>
    <t>Compagnie d'assurance</t>
  </si>
  <si>
    <t>Assurance groupe à XX %</t>
  </si>
  <si>
    <t>Assurance groupe à 100 %</t>
  </si>
  <si>
    <t>Calcul de cotisation(s) / quotité d'assurance inférieure à 100%</t>
  </si>
  <si>
    <t>Montant assuré</t>
  </si>
  <si>
    <t>ECH</t>
  </si>
  <si>
    <t>EUR - EURO</t>
  </si>
  <si>
    <t>YOYO LE RIGOLO</t>
  </si>
  <si>
    <t>BOBBY</t>
  </si>
  <si>
    <t>1234567</t>
  </si>
  <si>
    <t>ASSUREUR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</si>
</sst>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d/m/yy"/>
    <numFmt numFmtId="166" formatCode="#,##0.0000"/>
    <numFmt numFmtId="167" formatCode="#,##0.00\ _€"/>
    <numFmt numFmtId="168" formatCode="0.0000%"/>
    <numFmt numFmtId="169" formatCode="0.0"/>
  </numFmts>
  <fonts count="5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</font>
    <font>
      <b/>
      <sz val="26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6400"/>
      <name val="Times New Roman"/>
      <family val="1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7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0"/>
      <color rgb="FF000000"/>
      <name val="Tahoma"/>
      <family val="2"/>
    </font>
    <font>
      <b/>
      <sz val="14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FC4A3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4DB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4" fillId="0" borderId="0"/>
    <xf numFmtId="0" fontId="36" fillId="0" borderId="0" applyNumberFormat="0" applyFill="0" applyBorder="0" applyAlignment="0" applyProtection="0"/>
    <xf numFmtId="0" fontId="43" fillId="10" borderId="0" applyNumberFormat="0" applyBorder="0" applyAlignment="0" applyProtection="0"/>
    <xf numFmtId="0" fontId="43" fillId="12" borderId="0" applyNumberFormat="0" applyBorder="0" applyAlignment="0" applyProtection="0"/>
    <xf numFmtId="0" fontId="43" fillId="15" borderId="0" applyNumberFormat="0" applyBorder="0" applyAlignment="0" applyProtection="0"/>
    <xf numFmtId="9" fontId="43" fillId="0" borderId="0" applyFont="0" applyFill="0" applyBorder="0" applyAlignment="0" applyProtection="0"/>
  </cellStyleXfs>
  <cellXfs count="212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12" fillId="0" borderId="0" xfId="0" applyFont="1"/>
    <xf numFmtId="2" fontId="3" fillId="0" borderId="0" xfId="0" applyNumberFormat="1" applyFont="1"/>
    <xf numFmtId="0" fontId="13" fillId="0" borderId="0" xfId="0" applyFont="1"/>
    <xf numFmtId="0" fontId="7" fillId="0" borderId="6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15" fillId="0" borderId="0" xfId="0" applyFont="1"/>
    <xf numFmtId="0" fontId="37" fillId="0" borderId="0" xfId="0" applyFont="1"/>
    <xf numFmtId="0" fontId="0" fillId="0" borderId="0" xfId="0" applyProtection="1">
      <protection locked="0"/>
    </xf>
    <xf numFmtId="0" fontId="7" fillId="0" borderId="4" xfId="0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49" fontId="8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4" xfId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1" fillId="8" borderId="15" xfId="0" applyFont="1" applyFill="1" applyBorder="1" applyAlignment="1">
      <alignment vertical="center" wrapText="1"/>
    </xf>
    <xf numFmtId="167" fontId="1" fillId="8" borderId="15" xfId="0" applyNumberFormat="1" applyFont="1" applyFill="1" applyBorder="1" applyAlignment="1">
      <alignment vertical="center" wrapText="1"/>
    </xf>
    <xf numFmtId="4" fontId="0" fillId="0" borderId="0" xfId="0" applyNumberFormat="1" applyProtection="1">
      <protection locked="0"/>
    </xf>
    <xf numFmtId="0" fontId="3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0" fillId="0" borderId="15" xfId="0" applyBorder="1"/>
    <xf numFmtId="0" fontId="0" fillId="4" borderId="21" xfId="0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19" xfId="0" applyFill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22" xfId="0" applyFill="1" applyBorder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10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7" borderId="0" xfId="0" applyFill="1" applyProtection="1">
      <protection locked="0"/>
    </xf>
    <xf numFmtId="14" fontId="14" fillId="0" borderId="0" xfId="0" applyNumberFormat="1" applyFont="1" applyAlignment="1" applyProtection="1">
      <alignment vertical="center"/>
      <protection locked="0"/>
    </xf>
    <xf numFmtId="4" fontId="14" fillId="0" borderId="0" xfId="0" applyNumberFormat="1" applyFont="1" applyAlignment="1" applyProtection="1">
      <alignment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7" fillId="14" borderId="14" xfId="0" applyFont="1" applyFill="1" applyBorder="1" applyAlignment="1">
      <alignment horizontal="centerContinuous" vertical="center"/>
    </xf>
    <xf numFmtId="0" fontId="46" fillId="14" borderId="2" xfId="0" applyFont="1" applyFill="1" applyBorder="1" applyAlignment="1">
      <alignment horizontal="centerContinuous" vertical="center"/>
    </xf>
    <xf numFmtId="0" fontId="48" fillId="0" borderId="0" xfId="0" applyFont="1" applyProtection="1">
      <protection locked="0"/>
    </xf>
    <xf numFmtId="0" fontId="44" fillId="6" borderId="4" xfId="0" applyFont="1" applyFill="1" applyBorder="1" applyAlignment="1" applyProtection="1">
      <alignment horizontal="center" vertical="center" wrapText="1"/>
      <protection locked="0"/>
    </xf>
    <xf numFmtId="1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44" fillId="6" borderId="4" xfId="0" applyNumberFormat="1" applyFont="1" applyFill="1" applyBorder="1" applyAlignment="1" applyProtection="1">
      <alignment horizontal="center" vertical="center"/>
      <protection locked="0"/>
    </xf>
    <xf numFmtId="14" fontId="0" fillId="6" borderId="4" xfId="0" applyNumberFormat="1" applyFill="1" applyBorder="1" applyAlignment="1" applyProtection="1">
      <alignment horizontal="center" vertical="center"/>
      <protection locked="0"/>
    </xf>
    <xf numFmtId="0" fontId="44" fillId="6" borderId="4" xfId="0" applyFont="1" applyFill="1" applyBorder="1" applyAlignment="1" applyProtection="1">
      <alignment horizontal="center" vertical="center"/>
      <protection locked="0"/>
    </xf>
    <xf numFmtId="49" fontId="44" fillId="6" borderId="4" xfId="0" applyNumberFormat="1" applyFont="1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10" fontId="0" fillId="6" borderId="4" xfId="0" applyNumberFormat="1" applyFill="1" applyBorder="1" applyAlignment="1" applyProtection="1">
      <alignment horizontal="center" vertical="center"/>
      <protection locked="0"/>
    </xf>
    <xf numFmtId="0" fontId="43" fillId="0" borderId="0" xfId="0" applyFont="1" applyProtection="1">
      <protection locked="0"/>
    </xf>
    <xf numFmtId="4" fontId="43" fillId="0" borderId="0" xfId="0" applyNumberFormat="1" applyFont="1" applyProtection="1">
      <protection locked="0"/>
    </xf>
    <xf numFmtId="0" fontId="2" fillId="13" borderId="4" xfId="0" applyFont="1" applyFill="1" applyBorder="1" applyAlignment="1">
      <alignment horizontal="left" vertical="center"/>
    </xf>
    <xf numFmtId="0" fontId="44" fillId="3" borderId="4" xfId="0" applyFont="1" applyFill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0" fillId="7" borderId="0" xfId="0" applyFill="1" applyAlignment="1">
      <alignment horizontal="left" wrapText="1"/>
    </xf>
    <xf numFmtId="0" fontId="0" fillId="7" borderId="0" xfId="0" applyFill="1"/>
    <xf numFmtId="0" fontId="15" fillId="7" borderId="0" xfId="0" applyFont="1" applyFill="1"/>
    <xf numFmtId="0" fontId="0" fillId="0" borderId="31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7" borderId="32" xfId="0" applyFill="1" applyBorder="1"/>
    <xf numFmtId="0" fontId="0" fillId="7" borderId="32" xfId="0" applyFill="1" applyBorder="1" applyAlignment="1">
      <alignment horizontal="left"/>
    </xf>
    <xf numFmtId="0" fontId="2" fillId="0" borderId="0" xfId="0" applyFont="1"/>
    <xf numFmtId="0" fontId="0" fillId="0" borderId="33" xfId="0" applyBorder="1"/>
    <xf numFmtId="0" fontId="0" fillId="0" borderId="5" xfId="0" applyBorder="1" applyAlignment="1">
      <alignment vertical="top" wrapText="1"/>
    </xf>
    <xf numFmtId="0" fontId="0" fillId="7" borderId="5" xfId="0" applyFill="1" applyBorder="1"/>
    <xf numFmtId="0" fontId="0" fillId="7" borderId="5" xfId="0" applyFill="1" applyBorder="1" applyAlignment="1">
      <alignment horizontal="left"/>
    </xf>
    <xf numFmtId="0" fontId="0" fillId="0" borderId="5" xfId="0" applyBorder="1"/>
    <xf numFmtId="0" fontId="0" fillId="0" borderId="9" xfId="0" applyBorder="1"/>
    <xf numFmtId="0" fontId="0" fillId="0" borderId="7" xfId="0" applyBorder="1" applyProtection="1">
      <protection locked="0"/>
    </xf>
    <xf numFmtId="0" fontId="0" fillId="0" borderId="11" xfId="0" applyBorder="1"/>
    <xf numFmtId="4" fontId="0" fillId="6" borderId="4" xfId="0" applyNumberFormat="1" applyFill="1" applyBorder="1" applyAlignment="1">
      <alignment horizontal="center" vertical="center"/>
    </xf>
    <xf numFmtId="0" fontId="2" fillId="13" borderId="4" xfId="0" applyFont="1" applyFill="1" applyBorder="1" applyAlignment="1" applyProtection="1">
      <alignment horizontal="center" vertical="center" wrapText="1"/>
      <protection locked="0"/>
    </xf>
    <xf numFmtId="0" fontId="2" fillId="13" borderId="4" xfId="0" applyFont="1" applyFill="1" applyBorder="1" applyAlignment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/>
    </xf>
    <xf numFmtId="168" fontId="0" fillId="6" borderId="4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 applyProtection="1">
      <protection locked="0"/>
    </xf>
    <xf numFmtId="49" fontId="43" fillId="0" borderId="0" xfId="0" applyNumberFormat="1" applyFont="1" applyProtection="1">
      <protection locked="0"/>
    </xf>
    <xf numFmtId="49" fontId="14" fillId="0" borderId="0" xfId="0" applyNumberFormat="1" applyFont="1" applyAlignment="1" applyProtection="1">
      <alignment vertical="center"/>
      <protection locked="0"/>
    </xf>
    <xf numFmtId="49" fontId="14" fillId="0" borderId="0" xfId="0" applyNumberFormat="1" applyFont="1" applyAlignment="1" applyProtection="1">
      <alignment horizontal="left" vertical="center"/>
      <protection locked="0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4" xfId="0" applyFont="1" applyFill="1" applyBorder="1" applyAlignment="1">
      <alignment horizontal="center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0" fillId="6" borderId="4" xfId="0" applyNumberFormat="1" applyFill="1" applyBorder="1" applyAlignment="1" applyProtection="1">
      <alignment horizontal="center" vertical="center"/>
      <protection hidden="1"/>
    </xf>
    <xf numFmtId="4" fontId="15" fillId="3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left" vertical="center"/>
    </xf>
    <xf numFmtId="0" fontId="2" fillId="16" borderId="8" xfId="0" applyFont="1" applyFill="1" applyBorder="1" applyAlignment="1">
      <alignment horizontal="left" vertical="center" wrapText="1"/>
    </xf>
    <xf numFmtId="0" fontId="2" fillId="13" borderId="4" xfId="0" applyFont="1" applyFill="1" applyBorder="1" applyAlignment="1" applyProtection="1">
      <alignment horizontal="center" vertical="center"/>
      <protection hidden="1"/>
    </xf>
    <xf numFmtId="0" fontId="1" fillId="14" borderId="4" xfId="0" applyFont="1" applyFill="1" applyBorder="1" applyAlignment="1">
      <alignment horizontal="center" vertical="center" wrapText="1"/>
    </xf>
    <xf numFmtId="49" fontId="43" fillId="6" borderId="4" xfId="0" applyNumberFormat="1" applyFont="1" applyFill="1" applyBorder="1" applyAlignment="1" applyProtection="1">
      <alignment horizontal="center" vertical="center"/>
      <protection locked="0"/>
    </xf>
    <xf numFmtId="0" fontId="33" fillId="3" borderId="4" xfId="5" applyFont="1" applyFill="1" applyBorder="1" applyAlignment="1" applyProtection="1">
      <alignment horizontal="center" vertical="center" wrapText="1"/>
      <protection locked="0"/>
    </xf>
    <xf numFmtId="0" fontId="49" fillId="3" borderId="4" xfId="5" applyFont="1" applyFill="1" applyBorder="1" applyAlignment="1" applyProtection="1">
      <alignment horizontal="center" vertical="center" wrapText="1"/>
      <protection locked="0"/>
    </xf>
    <xf numFmtId="4" fontId="43" fillId="10" borderId="15" xfId="4" applyNumberFormat="1" applyBorder="1" applyAlignment="1" applyProtection="1">
      <alignment horizontal="center" vertical="center"/>
    </xf>
    <xf numFmtId="4" fontId="0" fillId="6" borderId="4" xfId="0" applyNumberFormat="1" applyFill="1" applyBorder="1" applyAlignment="1" applyProtection="1">
      <alignment horizontal="center" vertical="center"/>
      <protection locked="0" hidden="1"/>
    </xf>
    <xf numFmtId="0" fontId="2" fillId="13" borderId="4" xfId="0" applyFont="1" applyFill="1" applyBorder="1" applyAlignment="1" applyProtection="1">
      <alignment horizontal="center" vertical="center"/>
      <protection locked="0" hidden="1"/>
    </xf>
    <xf numFmtId="0" fontId="0" fillId="9" borderId="34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9" fontId="20" fillId="0" borderId="0" xfId="0" applyNumberFormat="1" applyFont="1" applyAlignment="1">
      <alignment horizontal="center" vertical="center"/>
    </xf>
    <xf numFmtId="2" fontId="0" fillId="0" borderId="0" xfId="0" applyNumberFormat="1"/>
    <xf numFmtId="0" fontId="42" fillId="0" borderId="0" xfId="0" applyFont="1"/>
    <xf numFmtId="0" fontId="14" fillId="0" borderId="0" xfId="0" applyFont="1" applyAlignment="1">
      <alignment vertical="center"/>
    </xf>
    <xf numFmtId="0" fontId="0" fillId="7" borderId="13" xfId="0" applyFill="1" applyBorder="1" applyAlignment="1">
      <alignment horizontal="center" vertical="center" wrapText="1"/>
    </xf>
    <xf numFmtId="0" fontId="0" fillId="9" borderId="34" xfId="0" applyFill="1" applyBorder="1" applyAlignment="1">
      <alignment horizontal="left" vertical="center" wrapText="1"/>
    </xf>
    <xf numFmtId="4" fontId="43" fillId="10" borderId="35" xfId="4" applyNumberFormat="1" applyBorder="1" applyAlignment="1" applyProtection="1">
      <alignment horizontal="center" vertical="center"/>
    </xf>
    <xf numFmtId="4" fontId="14" fillId="0" borderId="0" xfId="0" applyNumberFormat="1" applyFont="1" applyAlignment="1">
      <alignment vertical="center"/>
    </xf>
    <xf numFmtId="4" fontId="43" fillId="17" borderId="4" xfId="0" applyNumberFormat="1" applyFont="1" applyFill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" fontId="0" fillId="9" borderId="34" xfId="7" applyNumberFormat="1" applyFont="1" applyFill="1" applyBorder="1" applyAlignment="1" applyProtection="1">
      <alignment horizontal="left" vertical="center" wrapText="1"/>
    </xf>
    <xf numFmtId="0" fontId="20" fillId="11" borderId="29" xfId="0" applyFont="1" applyFill="1" applyBorder="1" applyAlignment="1" applyProtection="1">
      <alignment horizontal="center" vertical="center"/>
      <protection locked="0"/>
    </xf>
    <xf numFmtId="1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43" fillId="17" borderId="29" xfId="4" applyNumberFormat="1" applyFill="1" applyBorder="1" applyAlignment="1" applyProtection="1">
      <alignment horizontal="center" vertical="center"/>
      <protection locked="0"/>
    </xf>
    <xf numFmtId="0" fontId="20" fillId="11" borderId="36" xfId="0" applyFont="1" applyFill="1" applyBorder="1" applyAlignment="1" applyProtection="1">
      <alignment horizontal="center" vertical="center"/>
      <protection locked="0"/>
    </xf>
    <xf numFmtId="14" fontId="20" fillId="11" borderId="36" xfId="0" applyNumberFormat="1" applyFont="1" applyFill="1" applyBorder="1" applyAlignment="1" applyProtection="1">
      <alignment horizontal="center" vertical="center"/>
      <protection locked="0"/>
    </xf>
    <xf numFmtId="4" fontId="20" fillId="11" borderId="36" xfId="0" applyNumberFormat="1" applyFont="1" applyFill="1" applyBorder="1" applyAlignment="1" applyProtection="1">
      <alignment horizontal="center" vertical="center"/>
      <protection locked="0"/>
    </xf>
    <xf numFmtId="0" fontId="20" fillId="11" borderId="30" xfId="0" applyFont="1" applyFill="1" applyBorder="1" applyAlignment="1" applyProtection="1">
      <alignment horizontal="center" vertical="center"/>
      <protection locked="0"/>
    </xf>
    <xf numFmtId="1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43" fillId="10" borderId="4" xfId="4" applyNumberFormat="1" applyFont="1" applyBorder="1" applyAlignment="1" applyProtection="1">
      <alignment horizontal="center" vertical="center"/>
    </xf>
    <xf numFmtId="0" fontId="2" fillId="13" borderId="4" xfId="0" applyFont="1" applyFill="1" applyBorder="1" applyAlignment="1">
      <alignment horizontal="center" vertical="center" wrapText="1"/>
    </xf>
    <xf numFmtId="4" fontId="1" fillId="16" borderId="1" xfId="0" applyNumberFormat="1" applyFont="1" applyFill="1" applyBorder="1" applyAlignment="1" applyProtection="1">
      <alignment horizontal="center" vertical="center"/>
      <protection hidden="1"/>
    </xf>
    <xf numFmtId="4" fontId="1" fillId="16" borderId="3" xfId="0" applyNumberFormat="1" applyFont="1" applyFill="1" applyBorder="1" applyAlignment="1" applyProtection="1">
      <alignment horizontal="center" vertical="center"/>
      <protection hidden="1"/>
    </xf>
    <xf numFmtId="4" fontId="43" fillId="0" borderId="1" xfId="0" applyNumberFormat="1" applyFont="1" applyBorder="1" applyAlignment="1" applyProtection="1">
      <alignment horizontal="center" vertical="center"/>
      <protection hidden="1"/>
    </xf>
    <xf numFmtId="4" fontId="43" fillId="0" borderId="3" xfId="0" applyNumberFormat="1" applyFont="1" applyBorder="1" applyAlignment="1" applyProtection="1">
      <alignment horizontal="center" vertical="center"/>
      <protection hidden="1"/>
    </xf>
    <xf numFmtId="0" fontId="1" fillId="14" borderId="10" xfId="0" applyFont="1" applyFill="1" applyBorder="1" applyAlignment="1">
      <alignment horizontal="center" vertical="center" wrapText="1"/>
    </xf>
    <xf numFmtId="0" fontId="1" fillId="14" borderId="14" xfId="0" applyFont="1" applyFill="1" applyBorder="1" applyAlignment="1">
      <alignment horizontal="center" vertical="center" wrapText="1"/>
    </xf>
    <xf numFmtId="4" fontId="0" fillId="6" borderId="33" xfId="0" applyNumberFormat="1" applyFill="1" applyBorder="1" applyAlignment="1" applyProtection="1">
      <alignment horizontal="center" vertical="center"/>
      <protection hidden="1"/>
    </xf>
    <xf numFmtId="0" fontId="0" fillId="6" borderId="15" xfId="0" applyFill="1" applyBorder="1" applyAlignment="1" applyProtection="1">
      <alignment horizontal="center" vertical="center"/>
      <protection hidden="1"/>
    </xf>
    <xf numFmtId="0" fontId="51" fillId="14" borderId="33" xfId="3" applyFont="1" applyFill="1" applyBorder="1" applyAlignment="1" applyProtection="1">
      <alignment horizontal="center" vertical="center"/>
      <protection hidden="1"/>
    </xf>
    <xf numFmtId="0" fontId="1" fillId="14" borderId="15" xfId="6" applyFont="1" applyFill="1" applyBorder="1" applyAlignment="1" applyProtection="1">
      <alignment horizontal="center" vertical="center"/>
      <protection hidden="1"/>
    </xf>
    <xf numFmtId="0" fontId="2" fillId="13" borderId="4" xfId="0" applyFont="1" applyFill="1" applyBorder="1" applyAlignment="1">
      <alignment horizontal="left" vertical="center" wrapText="1"/>
    </xf>
    <xf numFmtId="4" fontId="43" fillId="6" borderId="4" xfId="0" applyNumberFormat="1" applyFont="1" applyFill="1" applyBorder="1" applyAlignment="1" applyProtection="1">
      <alignment horizontal="center" vertical="center"/>
      <protection hidden="1"/>
    </xf>
    <xf numFmtId="4" fontId="43" fillId="0" borderId="4" xfId="0" applyNumberFormat="1" applyFont="1" applyBorder="1" applyAlignment="1" applyProtection="1">
      <alignment horizontal="center" vertical="center"/>
      <protection hidden="1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38" fillId="3" borderId="26" xfId="0" applyFont="1" applyFill="1" applyBorder="1" applyAlignment="1">
      <alignment horizontal="center" vertical="center"/>
    </xf>
    <xf numFmtId="0" fontId="38" fillId="3" borderId="27" xfId="0" applyFont="1" applyFill="1" applyBorder="1" applyAlignment="1">
      <alignment horizontal="center" vertical="center"/>
    </xf>
    <xf numFmtId="0" fontId="38" fillId="3" borderId="28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/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0" fillId="0" borderId="4" xfId="0" applyBorder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7" fillId="0" borderId="0" xfId="0" applyFont="1" applyAlignment="1">
      <alignment horizontal="center"/>
    </xf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3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0" fillId="0" borderId="3" xfId="0" applyBorder="1"/>
    <xf numFmtId="0" fontId="3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" fillId="2" borderId="4" xfId="1" applyFont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4" fontId="15" fillId="0" borderId="4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38" fillId="3" borderId="1" xfId="0" applyFont="1" applyFill="1" applyBorder="1" applyAlignment="1">
      <alignment horizontal="center" vertical="center"/>
    </xf>
    <xf numFmtId="0" fontId="38" fillId="3" borderId="2" xfId="0" applyFont="1" applyFill="1" applyBorder="1" applyAlignment="1">
      <alignment horizontal="center" vertical="center"/>
    </xf>
    <xf numFmtId="0" fontId="38" fillId="3" borderId="3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36" fillId="5" borderId="4" xfId="3" applyFill="1" applyBorder="1" applyAlignment="1" applyProtection="1">
      <alignment horizontal="center" vertical="center"/>
      <protection locked="0"/>
    </xf>
    <xf numFmtId="0" fontId="50" fillId="5" borderId="4" xfId="3" applyFont="1" applyFill="1" applyBorder="1" applyAlignment="1" applyProtection="1">
      <alignment horizontal="center" vertical="center"/>
      <protection locked="0"/>
    </xf>
  </cellXfs>
  <cellStyles count="8">
    <cellStyle name="20 % - Accent3" xfId="6" builtinId="38"/>
    <cellStyle name="40 % - Accent2" xfId="4" builtinId="35"/>
    <cellStyle name="60 % - Accent1" xfId="5" builtinId="32"/>
    <cellStyle name="Accent1" xfId="1" builtinId="29"/>
    <cellStyle name="Lien hypertexte" xfId="3" builtinId="8"/>
    <cellStyle name="Normal" xfId="0" builtinId="0"/>
    <cellStyle name="Normal 2" xfId="2" xr:uid="{00000000-0005-0000-0000-000003000000}"/>
    <cellStyle name="Pourcentage" xfId="7" builtinId="5"/>
  </cellStyles>
  <dxfs count="2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5"/>
        </patternFill>
      </fill>
    </dxf>
    <dxf>
      <font>
        <color theme="3" tint="0.79998168889431442"/>
      </font>
    </dxf>
    <dxf>
      <font>
        <color theme="3" tint="0.79998168889431442"/>
      </font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theme="3" tint="0.7999816888943144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873B"/>
      <color rgb="FFDFC4A3"/>
      <color rgb="FFAB7942"/>
      <color rgb="FF2A6B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257175</xdr:colOff>
          <xdr:row>4</xdr:row>
          <xdr:rowOff>28575</xdr:rowOff>
        </xdr:from>
        <xdr:to>
          <xdr:col>1</xdr:col>
          <xdr:colOff>1790700</xdr:colOff>
          <xdr:row>4</xdr:row>
          <xdr:rowOff>314325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14</xdr:col>
      <xdr:colOff>495300</xdr:colOff>
      <xdr:row>5</xdr:row>
      <xdr:rowOff>133351</xdr:rowOff>
    </xdr:to>
    <xdr:grpSp>
      <xdr:nvGrpSpPr>
        <xdr:cNvPr id="2" name="Group 308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33350" y="190501"/>
          <a:ext cx="6534150" cy="828675"/>
          <a:chOff x="0" y="0"/>
          <a:chExt cx="6520943" cy="834974"/>
        </a:xfrm>
      </xdr:grpSpPr>
      <xdr:pic>
        <xdr:nvPicPr>
          <xdr:cNvPr id="3" name="Picture 423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46493" cy="834974"/>
          </a:xfrm>
          <a:prstGeom prst="rect">
            <a:avLst/>
          </a:prstGeom>
        </xdr:spPr>
      </xdr:pic>
      <xdr:sp macro="" textlink="">
        <xdr:nvSpPr>
          <xdr:cNvPr id="4" name="Shape 4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914400" y="456261"/>
            <a:ext cx="5606543" cy="0"/>
          </a:xfrm>
          <a:custGeom>
            <a:avLst/>
            <a:gdLst/>
            <a:ahLst/>
            <a:cxnLst/>
            <a:rect l="0" t="0" r="0" b="0"/>
            <a:pathLst>
              <a:path w="5606543">
                <a:moveTo>
                  <a:pt x="0" y="0"/>
                </a:moveTo>
                <a:lnTo>
                  <a:pt x="5606543" y="0"/>
                </a:lnTo>
              </a:path>
            </a:pathLst>
          </a:custGeom>
          <a:ln w="12700" cap="flat">
            <a:round/>
          </a:ln>
        </xdr:spPr>
        <xdr:style>
          <a:lnRef idx="1">
            <a:srgbClr val="000000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893699" y="38285"/>
            <a:ext cx="2534418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 b="1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BANQUE POPULAIRE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2800604" y="6294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893699" y="237929"/>
            <a:ext cx="3079151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AUVERGNE RHONE ALPES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3207766" y="26258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2649728" y="329980"/>
            <a:ext cx="37753" cy="12764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2678684" y="299161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6685" y="76972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175641" y="49225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146685" y="211084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175641" y="183337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/>
        </xdr:nvSpPr>
        <xdr:spPr>
          <a:xfrm>
            <a:off x="3477514" y="353453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/>
        </xdr:nvSpPr>
        <xdr:spPr>
          <a:xfrm>
            <a:off x="3503422" y="317449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/>
        </xdr:nvSpPr>
        <xdr:spPr>
          <a:xfrm>
            <a:off x="3477514" y="472325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/>
        </xdr:nvSpPr>
        <xdr:spPr>
          <a:xfrm>
            <a:off x="3503422" y="436321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/>
        </xdr:nvSpPr>
        <xdr:spPr>
          <a:xfrm>
            <a:off x="3477514" y="561710"/>
            <a:ext cx="50673" cy="181116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2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/>
        </xdr:nvSpPr>
        <xdr:spPr>
          <a:xfrm>
            <a:off x="3515614" y="55976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501375-5507-4402-8E8C-B485D87979E7}" name="Tableau2" displayName="Tableau2" ref="A4:I8" totalsRowShown="0" headerRowDxfId="12" dataDxfId="10" headerRowBorderDxfId="11" tableBorderDxfId="9">
  <autoFilter ref="A4:I8" xr:uid="{D180D7A4-6AC1-4690-8CBB-17DE72FE7FED}"/>
  <tableColumns count="9">
    <tableColumn id="1" xr3:uid="{6D61FA9C-8178-4340-96A8-4BB24E1AF516}" name="Numero de compte *" dataDxfId="8"/>
    <tableColumn id="2" xr3:uid="{F993531A-FB4B-4E50-B6DB-DE863805520A}" name="Référence opération" dataDxfId="7">
      <calculatedColumnFormula>B4</calculatedColumnFormula>
    </tableColumn>
    <tableColumn id="3" xr3:uid="{B263DC0A-D95B-4220-819F-A785FCDE372F}" name="Date de valeur *" dataDxfId="6"/>
    <tableColumn id="4" xr3:uid="{5A424E38-3296-46CB-B7D7-5312B6355A1B}" name="Montant débit *" dataDxfId="5"/>
    <tableColumn id="5" xr3:uid="{F0E1867B-95F0-4936-BFEE-EF7D41C944AF}" name="Montant crédit *" dataDxfId="4"/>
    <tableColumn id="6" xr3:uid="{059BBDB0-64F5-4B35-A4C7-52E97A1B60A0}" name="Code Opération *" dataDxfId="3"/>
    <tableColumn id="7" xr3:uid="{5D4F3052-3A24-452C-A6ED-03BCD1EFDAAB}" name="Zone Alpha" dataDxfId="2"/>
    <tableColumn id="8" xr3:uid="{F031D094-BCE9-4A0D-A354-341A0E97EDAF}" name="Libellé écriture 1" dataDxfId="1"/>
    <tableColumn id="9" xr3:uid="{15295A0C-80E9-415C-990F-055E7AB6502C}" name="Libellé écritur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S33"/>
  <sheetViews>
    <sheetView showGridLines="0" tabSelected="1" topLeftCell="A2" zoomScaleNormal="100" workbookViewId="0">
      <selection activeCell="J14" sqref="J14"/>
    </sheetView>
  </sheetViews>
  <sheetFormatPr baseColWidth="10" defaultColWidth="11.42578125" defaultRowHeight="15" x14ac:dyDescent="0.25"/>
  <cols>
    <col min="1" max="1" width="12.7109375" style="26" customWidth="1"/>
    <col min="2" max="2" width="30.7109375" style="26" customWidth="1"/>
    <col min="3" max="4" width="26.7109375" style="26" customWidth="1"/>
    <col min="5" max="5" width="30.7109375" style="26" customWidth="1"/>
    <col min="6" max="6" width="9.7109375" style="42" customWidth="1"/>
    <col min="7" max="7" width="20.7109375" style="42" customWidth="1"/>
    <col min="8" max="8" width="16.7109375" style="26" customWidth="1"/>
    <col min="9" max="9" width="22.7109375" style="26" customWidth="1"/>
    <col min="10" max="10" width="20.7109375" style="26" customWidth="1"/>
    <col min="11" max="12" width="10.7109375" style="26" customWidth="1"/>
    <col min="13" max="13" width="20.7109375" style="26" hidden="1" customWidth="1"/>
    <col min="14" max="14" width="10.7109375" style="26" hidden="1" customWidth="1"/>
    <col min="15" max="15" width="2.7109375" style="26" customWidth="1"/>
    <col min="16" max="16" width="8.42578125" style="26" customWidth="1"/>
    <col min="17" max="17" width="20.7109375" style="26" hidden="1" customWidth="1"/>
    <col min="18" max="18" width="12.140625" style="42" customWidth="1"/>
    <col min="19" max="20" width="12.140625" style="26" customWidth="1"/>
    <col min="21" max="16384" width="11.42578125" style="26"/>
  </cols>
  <sheetData>
    <row r="1" spans="1:19" s="68" customFormat="1" ht="33.950000000000003" hidden="1" customHeight="1" x14ac:dyDescent="0.25">
      <c r="A1" s="69" t="s">
        <v>101</v>
      </c>
      <c r="B1" s="70"/>
      <c r="C1" s="70"/>
      <c r="D1" s="70"/>
      <c r="E1" s="70"/>
      <c r="F1" s="70"/>
      <c r="G1" s="70"/>
      <c r="H1" s="70"/>
      <c r="I1" s="70"/>
      <c r="J1" s="70"/>
      <c r="K1" s="65"/>
      <c r="L1" s="65"/>
      <c r="M1" s="66"/>
      <c r="N1" s="66"/>
      <c r="O1" s="66"/>
      <c r="P1" s="66"/>
      <c r="Q1" s="66"/>
      <c r="R1" s="67"/>
    </row>
    <row r="2" spans="1:19" ht="30" customHeight="1" x14ac:dyDescent="0.25">
      <c r="A2" s="112" t="s">
        <v>81</v>
      </c>
      <c r="B2" s="112" t="s">
        <v>92</v>
      </c>
      <c r="C2" s="112" t="s">
        <v>84</v>
      </c>
      <c r="D2" s="103" t="s">
        <v>82</v>
      </c>
      <c r="E2" s="103" t="s">
        <v>91</v>
      </c>
      <c r="F2" s="103" t="s">
        <v>83</v>
      </c>
      <c r="G2" s="112" t="s">
        <v>93</v>
      </c>
      <c r="H2" s="112" t="s">
        <v>111</v>
      </c>
      <c r="I2" s="112" t="s">
        <v>94</v>
      </c>
      <c r="J2" s="112" t="s">
        <v>115</v>
      </c>
    </row>
    <row r="3" spans="1:19" ht="30" customHeight="1" x14ac:dyDescent="0.25">
      <c r="A3" s="73">
        <v>842</v>
      </c>
      <c r="B3" s="72" t="s">
        <v>118</v>
      </c>
      <c r="C3" s="75">
        <v>45659</v>
      </c>
      <c r="D3" s="74">
        <v>45474</v>
      </c>
      <c r="E3" s="76" t="s">
        <v>119</v>
      </c>
      <c r="F3" s="77" t="s">
        <v>120</v>
      </c>
      <c r="G3" s="101">
        <f>TA!J2</f>
        <v>100000</v>
      </c>
      <c r="H3" s="78" t="s">
        <v>121</v>
      </c>
      <c r="I3" s="79">
        <v>0.5</v>
      </c>
      <c r="J3" s="114">
        <f>G3*I3</f>
        <v>50000</v>
      </c>
      <c r="K3" s="57"/>
      <c r="L3" s="57"/>
      <c r="M3" s="57"/>
      <c r="N3" s="57"/>
      <c r="O3" s="57"/>
      <c r="P3" s="57"/>
      <c r="Q3" s="57"/>
    </row>
    <row r="4" spans="1:19" ht="6" customHeight="1" x14ac:dyDescent="0.25">
      <c r="B4" s="71"/>
      <c r="D4" s="71"/>
      <c r="E4" s="71"/>
      <c r="F4" s="71"/>
      <c r="K4" s="57"/>
      <c r="L4" s="57"/>
      <c r="M4" s="57"/>
      <c r="N4" s="57"/>
      <c r="O4" s="57"/>
      <c r="P4" s="57"/>
      <c r="Q4" s="57"/>
    </row>
    <row r="5" spans="1:19" ht="30" customHeight="1" x14ac:dyDescent="0.25">
      <c r="B5" s="80"/>
      <c r="C5" s="123" t="s">
        <v>32</v>
      </c>
      <c r="D5" s="124" t="s">
        <v>42</v>
      </c>
      <c r="F5" s="81"/>
      <c r="G5" s="157" t="s">
        <v>114</v>
      </c>
      <c r="H5" s="158"/>
      <c r="I5" s="158"/>
      <c r="J5" s="158"/>
      <c r="K5" s="42"/>
      <c r="P5" s="42"/>
      <c r="Q5" s="42"/>
    </row>
    <row r="6" spans="1:19" ht="30" customHeight="1" x14ac:dyDescent="0.25">
      <c r="B6" s="110" t="s">
        <v>0</v>
      </c>
      <c r="C6" s="111">
        <v>108900</v>
      </c>
      <c r="D6" s="111">
        <v>109000</v>
      </c>
      <c r="E6" s="110" t="s">
        <v>1</v>
      </c>
      <c r="G6" s="119" t="s">
        <v>110</v>
      </c>
      <c r="H6" s="114">
        <f>IF(I3=1,"",J3)</f>
        <v>50000</v>
      </c>
      <c r="I6" s="119" t="s">
        <v>106</v>
      </c>
      <c r="J6" s="104"/>
      <c r="K6" s="58"/>
      <c r="P6" s="58"/>
      <c r="Q6" s="58"/>
    </row>
    <row r="7" spans="1:19" ht="30" customHeight="1" x14ac:dyDescent="0.25">
      <c r="B7" s="163" t="s">
        <v>2</v>
      </c>
      <c r="C7" s="164">
        <f>(IF(AND($I$3&lt;&gt;1,TA!F2&lt;&gt;0),TA!$D$23,IF(C9&lt;&gt;0,IF(TA!F23=0,TA!D25,TA!D23)-C9,IF(TA!F23=0,TA!D25,TA!D23)-C9)))</f>
        <v>1400</v>
      </c>
      <c r="D7" s="113">
        <f>IF(AND($I$3&lt;&gt;1,TA!F2&lt;&gt;0),TA!F23,IF(I3&lt;1,IF(AND(H7&lt;&gt;0,J7&lt;&gt;0),0,IF(H7&gt;0,H28,J10)),TA!F24))</f>
        <v>0</v>
      </c>
      <c r="E7" s="110" t="s">
        <v>90</v>
      </c>
      <c r="G7" s="118" t="s">
        <v>103</v>
      </c>
      <c r="H7" s="105"/>
      <c r="I7" s="118" t="s">
        <v>103</v>
      </c>
      <c r="J7" s="105"/>
      <c r="O7" s="42"/>
      <c r="P7" s="58"/>
      <c r="Q7" s="114">
        <f>IF(SUM(TA!F24:F25)&gt;0,J3,"")</f>
        <v>50000</v>
      </c>
    </row>
    <row r="8" spans="1:19" ht="30" customHeight="1" x14ac:dyDescent="0.25">
      <c r="B8" s="163"/>
      <c r="C8" s="164"/>
      <c r="D8" s="113">
        <f>TA!G25</f>
        <v>0</v>
      </c>
      <c r="E8" s="82" t="s">
        <v>102</v>
      </c>
      <c r="G8" s="127" t="str">
        <f t="shared" ref="G8:G27" si="0">M8</f>
        <v/>
      </c>
      <c r="H8" s="126" t="str">
        <f t="shared" ref="H8:H27" si="1">IF(G8&lt;&gt;"",N8,"")</f>
        <v/>
      </c>
      <c r="I8" s="110" t="s">
        <v>107</v>
      </c>
      <c r="J8" s="122"/>
      <c r="K8" s="61"/>
      <c r="M8" s="120" t="str">
        <f>IF(AND(TA!B3&gt;0,N8&lt;&gt;""),CONCATENATE("",TEXT(TA!B3,"jj/mm/aaaa")),"")</f>
        <v/>
      </c>
      <c r="N8" s="111" t="str">
        <f>IF($H$7="","",(TA!J2*$H$7)/12*$I$3)</f>
        <v/>
      </c>
      <c r="O8" s="42"/>
      <c r="P8" s="59"/>
      <c r="Q8" s="59"/>
    </row>
    <row r="9" spans="1:19" ht="30" customHeight="1" x14ac:dyDescent="0.25">
      <c r="A9" s="80"/>
      <c r="B9" s="110" t="s">
        <v>95</v>
      </c>
      <c r="C9" s="111"/>
      <c r="D9" s="111"/>
      <c r="E9" s="110" t="s">
        <v>104</v>
      </c>
      <c r="G9" s="127" t="str">
        <f t="shared" si="0"/>
        <v/>
      </c>
      <c r="H9" s="126" t="str">
        <f t="shared" si="1"/>
        <v/>
      </c>
      <c r="I9" s="82" t="s">
        <v>109</v>
      </c>
      <c r="J9" s="113">
        <f>((J6*J7)/12*I3)</f>
        <v>0</v>
      </c>
      <c r="K9" s="61"/>
      <c r="M9" s="120" t="str">
        <f>IF(AND(TA!B4&gt;0,N9&lt;&gt;""),CONCATENATE("",TEXT(TA!B4,"jj/mm/aaaa")),"")</f>
        <v/>
      </c>
      <c r="N9" s="111" t="str">
        <f>IF($H$7="","",(TA!J3*$H$7)/12*$I$3)</f>
        <v/>
      </c>
      <c r="O9" s="42"/>
    </row>
    <row r="10" spans="1:19" ht="30" customHeight="1" x14ac:dyDescent="0.25">
      <c r="A10" s="80"/>
      <c r="B10" s="110" t="s">
        <v>96</v>
      </c>
      <c r="C10" s="113"/>
      <c r="D10" s="113" cm="1">
        <f t="array" ref="D10">IF(SUM(D6:D9-C6:C9)&lt;0,-SUM(D6:D9-C6:C9),0)</f>
        <v>1300</v>
      </c>
      <c r="E10" s="110" t="s">
        <v>97</v>
      </c>
      <c r="G10" s="127" t="str">
        <f t="shared" si="0"/>
        <v/>
      </c>
      <c r="H10" s="126" t="str">
        <f t="shared" si="1"/>
        <v/>
      </c>
      <c r="I10" s="117" t="s">
        <v>108</v>
      </c>
      <c r="J10" s="113">
        <f>J9*J8</f>
        <v>0</v>
      </c>
      <c r="M10" s="120" t="str">
        <f>IF(AND(TA!B5&gt;0,N10&lt;&gt;""),CONCATENATE("",TEXT(TA!B5,"jj/mm/aaaa")),"")</f>
        <v/>
      </c>
      <c r="N10" s="111" t="str">
        <f>IF($H$7="","",(TA!J4*$H$7)/12*$I$3)</f>
        <v/>
      </c>
      <c r="O10" s="42"/>
    </row>
    <row r="11" spans="1:19" ht="30" customHeight="1" x14ac:dyDescent="0.25">
      <c r="A11" s="80"/>
      <c r="B11" s="82" t="s">
        <v>3</v>
      </c>
      <c r="C11" s="115">
        <f>SUM(C6:C10)</f>
        <v>110300</v>
      </c>
      <c r="D11" s="115">
        <f>SUM(D6:D10)</f>
        <v>110300</v>
      </c>
      <c r="E11" s="161" t="str">
        <f>HYPERLINK("mailto:"&amp;'MAIL EUR'!B1&amp;" ?cc="&amp;'MAIL EUR'!B2&amp;" &amp;bcc="&amp;'MAIL EUR'!B3&amp;" &amp;subject="&amp;'MAIL EUR'!B4&amp;" &amp;body="&amp;'MAIL EUR'!B5,"Envoyer le mail")</f>
        <v>Envoyer le mail</v>
      </c>
      <c r="G11" s="127" t="str">
        <f t="shared" si="0"/>
        <v/>
      </c>
      <c r="H11" s="126" t="str">
        <f t="shared" si="1"/>
        <v/>
      </c>
      <c r="M11" s="120" t="str">
        <f>IF(AND(TA!B6&gt;0,N11&lt;&gt;""),CONCATENATE("",TEXT(TA!B6,"jj/mm/aaaa")),"")</f>
        <v/>
      </c>
      <c r="N11" s="111" t="str">
        <f>IF($H$7="","",(TA!J5*$H$7)/12*$I$3)</f>
        <v/>
      </c>
      <c r="O11" s="42"/>
    </row>
    <row r="12" spans="1:19" ht="30" customHeight="1" x14ac:dyDescent="0.25">
      <c r="A12" s="80"/>
      <c r="B12" s="110" t="s">
        <v>85</v>
      </c>
      <c r="C12" s="153">
        <f>D11-C11</f>
        <v>0</v>
      </c>
      <c r="D12" s="154"/>
      <c r="E12" s="162"/>
      <c r="F12" s="106"/>
      <c r="G12" s="127" t="str">
        <f t="shared" si="0"/>
        <v/>
      </c>
      <c r="H12" s="126" t="str">
        <f t="shared" si="1"/>
        <v/>
      </c>
      <c r="K12" s="62"/>
      <c r="M12" s="120" t="str">
        <f>IF(AND(TA!B7&gt;0,N12&lt;&gt;""),CONCATENATE("",TEXT(TA!B7,"jj/mm/aaaa")),"")</f>
        <v/>
      </c>
      <c r="N12" s="111" t="str">
        <f>IF($H$7="","",(TA!J6*$H$7)/12*$I$3)</f>
        <v/>
      </c>
      <c r="O12" s="42"/>
    </row>
    <row r="13" spans="1:19" ht="30" customHeight="1" x14ac:dyDescent="0.25">
      <c r="A13" s="152" t="s">
        <v>89</v>
      </c>
      <c r="B13" s="83" t="s">
        <v>87</v>
      </c>
      <c r="C13" s="116">
        <f>+C6+C9</f>
        <v>108900</v>
      </c>
      <c r="D13" s="116">
        <f>+D6</f>
        <v>109000</v>
      </c>
      <c r="E13" s="102" t="s">
        <v>86</v>
      </c>
      <c r="F13" s="107"/>
      <c r="G13" s="127" t="str">
        <f t="shared" si="0"/>
        <v/>
      </c>
      <c r="H13" s="126" t="str">
        <f t="shared" si="1"/>
        <v/>
      </c>
      <c r="M13" s="120" t="str">
        <f>IF(AND(TA!B8&gt;0,N13&lt;&gt;""),CONCATENATE("",TEXT(TA!B8,"jj/mm/aaaa")),"")</f>
        <v/>
      </c>
      <c r="N13" s="111" t="str">
        <f>IF($H$7="","",(TA!J7*$H$7)/12*$I$3)</f>
        <v/>
      </c>
      <c r="O13" s="42"/>
    </row>
    <row r="14" spans="1:19" ht="30" customHeight="1" x14ac:dyDescent="0.25">
      <c r="A14" s="152"/>
      <c r="B14" s="83" t="s">
        <v>88</v>
      </c>
      <c r="C14" s="155">
        <f>D13-C13</f>
        <v>100</v>
      </c>
      <c r="D14" s="156"/>
      <c r="E14" s="159">
        <f>D6-J3</f>
        <v>59000</v>
      </c>
      <c r="F14" s="106"/>
      <c r="G14" s="127" t="str">
        <f t="shared" si="0"/>
        <v/>
      </c>
      <c r="H14" s="126" t="str">
        <f t="shared" si="1"/>
        <v/>
      </c>
      <c r="M14" s="120" t="str">
        <f>IF(AND(TA!B9&gt;0,N14&lt;&gt;""),CONCATENATE("",TEXT(TA!B9,"jj/mm/aaaa")),"")</f>
        <v/>
      </c>
      <c r="N14" s="111" t="str">
        <f>IF($H$7="","",(TA!J8*$H$7)/12*$I$3)</f>
        <v/>
      </c>
      <c r="O14" s="42"/>
    </row>
    <row r="15" spans="1:19" ht="30" customHeight="1" x14ac:dyDescent="0.25">
      <c r="A15" s="152"/>
      <c r="B15" s="83" t="s">
        <v>85</v>
      </c>
      <c r="C15" s="165">
        <f>C14-C10-C7+(D7+D9+D8+D10)</f>
        <v>0</v>
      </c>
      <c r="D15" s="165"/>
      <c r="E15" s="160"/>
      <c r="F15" s="106"/>
      <c r="G15" s="127" t="str">
        <f t="shared" si="0"/>
        <v/>
      </c>
      <c r="H15" s="126" t="str">
        <f t="shared" si="1"/>
        <v/>
      </c>
      <c r="M15" s="120" t="str">
        <f>IF(AND(TA!B10&gt;0,N15&lt;&gt;""),CONCATENATE("",TEXT(TA!B10,"jj/mm/aaaa")),"")</f>
        <v/>
      </c>
      <c r="N15" s="111" t="str">
        <f>IF($H$7="","",(TA!J9*$H$7)/12*$I$3)</f>
        <v/>
      </c>
      <c r="O15" s="42"/>
    </row>
    <row r="16" spans="1:19" ht="30" customHeight="1" x14ac:dyDescent="0.25">
      <c r="F16" s="108"/>
      <c r="G16" s="127" t="str">
        <f t="shared" si="0"/>
        <v/>
      </c>
      <c r="H16" s="126" t="str">
        <f t="shared" si="1"/>
        <v/>
      </c>
      <c r="I16" s="109"/>
      <c r="J16" s="109"/>
      <c r="M16" s="120" t="str">
        <f>IF(AND(TA!B11&gt;0,N16&lt;&gt;""),CONCATENATE("",TEXT(TA!B11,"jj/mm/aaaa")),"")</f>
        <v/>
      </c>
      <c r="N16" s="111" t="str">
        <f>IF($H$7="","",(TA!J10*$H$7)/12*$I$3)</f>
        <v/>
      </c>
      <c r="O16" s="60"/>
      <c r="P16" s="60"/>
      <c r="Q16" s="60"/>
      <c r="R16" s="60"/>
      <c r="S16" s="64"/>
    </row>
    <row r="17" spans="2:19" ht="30" customHeight="1" x14ac:dyDescent="0.25">
      <c r="F17" s="63"/>
      <c r="G17" s="127" t="str">
        <f t="shared" si="0"/>
        <v/>
      </c>
      <c r="H17" s="126" t="str">
        <f t="shared" si="1"/>
        <v/>
      </c>
      <c r="I17" s="60"/>
      <c r="J17" s="60"/>
      <c r="K17" s="60"/>
      <c r="M17" s="120" t="str">
        <f>IF(AND(TA!B12&gt;0,N17&lt;&gt;""),CONCATENATE("",TEXT(TA!B12,"jj/mm/aaaa")),"")</f>
        <v/>
      </c>
      <c r="N17" s="111" t="str">
        <f>IF($H$7="","",(TA!J11*$H$7)/12*$I$3)</f>
        <v/>
      </c>
      <c r="O17" s="60"/>
      <c r="P17" s="60"/>
      <c r="Q17" s="60"/>
      <c r="R17" s="60"/>
      <c r="S17" s="64"/>
    </row>
    <row r="18" spans="2:19" ht="30" customHeight="1" x14ac:dyDescent="0.25">
      <c r="F18" s="63"/>
      <c r="G18" s="127" t="str">
        <f t="shared" si="0"/>
        <v/>
      </c>
      <c r="H18" s="126" t="str">
        <f t="shared" si="1"/>
        <v/>
      </c>
      <c r="I18" s="60"/>
      <c r="J18" s="60"/>
      <c r="K18" s="60"/>
      <c r="M18" s="120" t="str">
        <f>IF(AND(TA!B13&gt;0,N18&lt;&gt;""),CONCATENATE("",TEXT(TA!B13,"jj/mm/aaaa")),"")</f>
        <v/>
      </c>
      <c r="N18" s="111" t="str">
        <f>IF($H$7="","",(TA!J12*$H$7)/12*$I$3)</f>
        <v/>
      </c>
      <c r="O18" s="60"/>
      <c r="P18" s="60"/>
      <c r="Q18" s="60"/>
      <c r="R18" s="60"/>
      <c r="S18" s="64"/>
    </row>
    <row r="19" spans="2:19" ht="30" customHeight="1" x14ac:dyDescent="0.25">
      <c r="F19" s="63"/>
      <c r="G19" s="127" t="str">
        <f t="shared" si="0"/>
        <v/>
      </c>
      <c r="H19" s="126" t="str">
        <f t="shared" si="1"/>
        <v/>
      </c>
      <c r="I19" s="60"/>
      <c r="J19" s="60"/>
      <c r="K19" s="60"/>
      <c r="M19" s="120" t="str">
        <f>IF(AND(TA!B14&gt;0,N19&lt;&gt;""),CONCATENATE("",TEXT(TA!B14,"jj/mm/aaaa")),"")</f>
        <v/>
      </c>
      <c r="N19" s="111" t="str">
        <f>IF($H$7="","",(TA!J13*$H$7)/12*$I$3)</f>
        <v/>
      </c>
      <c r="O19" s="60"/>
      <c r="P19" s="60"/>
      <c r="Q19" s="60"/>
      <c r="R19" s="60"/>
      <c r="S19" s="64"/>
    </row>
    <row r="20" spans="2:19" ht="30" customHeight="1" x14ac:dyDescent="0.25">
      <c r="E20" s="60"/>
      <c r="F20" s="63"/>
      <c r="G20" s="127" t="str">
        <f t="shared" si="0"/>
        <v/>
      </c>
      <c r="H20" s="126" t="str">
        <f t="shared" si="1"/>
        <v/>
      </c>
      <c r="I20" s="60"/>
      <c r="J20" s="60"/>
      <c r="K20" s="60"/>
      <c r="M20" s="120" t="str">
        <f>IF(AND(TA!B15&gt;0,N20&lt;&gt;""),CONCATENATE("",TEXT(TA!B15,"jj/mm/aaaa")),"")</f>
        <v/>
      </c>
      <c r="N20" s="111" t="str">
        <f>IF($H$7="","",(TA!J14*$H$7)/12*$I$3)</f>
        <v/>
      </c>
      <c r="O20" s="60"/>
      <c r="P20" s="60"/>
      <c r="Q20" s="60"/>
      <c r="R20" s="60"/>
      <c r="S20" s="64"/>
    </row>
    <row r="21" spans="2:19" ht="30" customHeight="1" x14ac:dyDescent="0.25">
      <c r="E21" s="60"/>
      <c r="F21" s="63"/>
      <c r="G21" s="127" t="str">
        <f t="shared" si="0"/>
        <v/>
      </c>
      <c r="H21" s="126" t="str">
        <f t="shared" si="1"/>
        <v/>
      </c>
      <c r="I21" s="60"/>
      <c r="J21" s="60"/>
      <c r="K21" s="60"/>
      <c r="M21" s="120" t="str">
        <f>IF(AND(TA!B16&gt;0,N21&lt;&gt;""),CONCATENATE("",TEXT(TA!B16,"jj/mm/aaaa")),"")</f>
        <v/>
      </c>
      <c r="N21" s="111" t="str">
        <f>IF($H$7="","",(TA!J15*$H$7)/12*$I$3)</f>
        <v/>
      </c>
      <c r="O21" s="60"/>
      <c r="P21" s="60"/>
      <c r="Q21" s="60"/>
      <c r="R21" s="60"/>
      <c r="S21" s="64"/>
    </row>
    <row r="22" spans="2:19" ht="30" customHeight="1" x14ac:dyDescent="0.25">
      <c r="E22" s="60"/>
      <c r="F22" s="63"/>
      <c r="G22" s="127" t="str">
        <f t="shared" si="0"/>
        <v/>
      </c>
      <c r="H22" s="126" t="str">
        <f t="shared" si="1"/>
        <v/>
      </c>
      <c r="I22" s="60"/>
      <c r="J22" s="60"/>
      <c r="K22" s="60"/>
      <c r="M22" s="120" t="str">
        <f>IF(AND(TA!B17&gt;0,N22&lt;&gt;""),CONCATENATE("",TEXT(TA!B17,"jj/mm/aaaa")),"")</f>
        <v/>
      </c>
      <c r="N22" s="111" t="str">
        <f>IF($H$7="","",(TA!J16*$H$7)/12*$I$3)</f>
        <v/>
      </c>
      <c r="O22" s="60"/>
      <c r="P22" s="60"/>
      <c r="Q22" s="60"/>
      <c r="R22" s="60"/>
      <c r="S22" s="64"/>
    </row>
    <row r="23" spans="2:19" ht="30" customHeight="1" x14ac:dyDescent="0.25">
      <c r="E23" s="60"/>
      <c r="F23" s="63"/>
      <c r="G23" s="127" t="str">
        <f t="shared" si="0"/>
        <v/>
      </c>
      <c r="H23" s="126" t="str">
        <f t="shared" si="1"/>
        <v/>
      </c>
      <c r="I23" s="60"/>
      <c r="J23" s="60"/>
      <c r="K23" s="60"/>
      <c r="M23" s="120" t="str">
        <f>IF(AND(TA!B18&gt;0,N23&lt;&gt;""),CONCATENATE("",TEXT(TA!B18,"jj/mm/aaaa")),"")</f>
        <v/>
      </c>
      <c r="N23" s="111" t="str">
        <f>IF($H$7="","",(TA!J17*$H$7)/12*$I$3)</f>
        <v/>
      </c>
      <c r="O23" s="60"/>
      <c r="P23" s="60"/>
      <c r="Q23" s="60"/>
      <c r="R23" s="60"/>
      <c r="S23" s="64"/>
    </row>
    <row r="24" spans="2:19" ht="30" customHeight="1" x14ac:dyDescent="0.25">
      <c r="E24" s="60"/>
      <c r="F24" s="63"/>
      <c r="G24" s="127" t="str">
        <f t="shared" si="0"/>
        <v/>
      </c>
      <c r="H24" s="126" t="str">
        <f t="shared" si="1"/>
        <v/>
      </c>
      <c r="I24" s="60"/>
      <c r="J24" s="60"/>
      <c r="K24" s="60"/>
      <c r="M24" s="120" t="str">
        <f>IF(AND(TA!B19&gt;0,N24&lt;&gt;""),CONCATENATE("",TEXT(TA!B19,"jj/mm/aaaa")),"")</f>
        <v/>
      </c>
      <c r="N24" s="111" t="str">
        <f>IF($H$7="","",(TA!J18*$H$7)/12*$I$3)</f>
        <v/>
      </c>
      <c r="O24" s="60"/>
      <c r="P24" s="60"/>
      <c r="Q24" s="60"/>
      <c r="R24" s="60"/>
      <c r="S24" s="64"/>
    </row>
    <row r="25" spans="2:19" ht="30" customHeight="1" x14ac:dyDescent="0.3">
      <c r="B25"/>
      <c r="C25"/>
      <c r="D25" s="25"/>
      <c r="E25" s="60"/>
      <c r="F25" s="63"/>
      <c r="G25" s="127" t="str">
        <f t="shared" si="0"/>
        <v/>
      </c>
      <c r="H25" s="126" t="str">
        <f t="shared" si="1"/>
        <v/>
      </c>
      <c r="I25" s="60"/>
      <c r="J25" s="60"/>
      <c r="K25" s="60"/>
      <c r="M25" s="120" t="str">
        <f>IF(AND(TA!B20&gt;0,N25&lt;&gt;""),CONCATENATE("",TEXT(TA!B20,"jj/mm/aaaa")),"")</f>
        <v/>
      </c>
      <c r="N25" s="111" t="str">
        <f>IF($H$7="","",(TA!J19*$H$7)/12*$I$3)</f>
        <v/>
      </c>
      <c r="O25" s="60"/>
      <c r="P25" s="60"/>
      <c r="Q25" s="60"/>
      <c r="R25" s="60"/>
      <c r="S25" s="64"/>
    </row>
    <row r="26" spans="2:19" ht="30" customHeight="1" x14ac:dyDescent="0.3">
      <c r="C26"/>
      <c r="D26" s="25"/>
      <c r="E26" s="60"/>
      <c r="F26" s="63"/>
      <c r="G26" s="127" t="str">
        <f t="shared" si="0"/>
        <v/>
      </c>
      <c r="H26" s="126" t="str">
        <f t="shared" si="1"/>
        <v/>
      </c>
      <c r="I26" s="60"/>
      <c r="J26" s="60"/>
      <c r="K26" s="60"/>
      <c r="M26" s="120" t="str">
        <f>IF(AND(TA!B21&gt;0,N26&lt;&gt;""),CONCATENATE("",TEXT(TA!B21,"jj/mm/aaaa")),"")</f>
        <v/>
      </c>
      <c r="N26" s="111" t="str">
        <f>IF($H$7="","",(TA!J20*$H$7)/12*$I$3)</f>
        <v/>
      </c>
      <c r="P26" s="60"/>
      <c r="Q26" s="60"/>
      <c r="R26" s="60"/>
      <c r="S26" s="64"/>
    </row>
    <row r="27" spans="2:19" ht="30" customHeight="1" x14ac:dyDescent="0.25">
      <c r="C27"/>
      <c r="E27" s="60"/>
      <c r="F27" s="63"/>
      <c r="G27" s="127" t="str">
        <f t="shared" si="0"/>
        <v/>
      </c>
      <c r="H27" s="126" t="str">
        <f t="shared" si="1"/>
        <v/>
      </c>
      <c r="I27" s="60"/>
      <c r="J27" s="60"/>
      <c r="K27" s="60"/>
      <c r="M27" s="120" t="str">
        <f>IF(AND(TA!B22&gt;0,N27&lt;&gt;""),CONCATENATE("",TEXT(TA!B22,"jj/mm/aaaa")),"")</f>
        <v/>
      </c>
      <c r="N27" s="111" t="str">
        <f>IF($H$7="","",(TA!J21*$H$7)/12*$I$3)</f>
        <v/>
      </c>
      <c r="P27" s="60"/>
      <c r="Q27" s="60"/>
      <c r="R27" s="60"/>
      <c r="S27" s="64"/>
    </row>
    <row r="28" spans="2:19" ht="30" customHeight="1" x14ac:dyDescent="0.25">
      <c r="B28"/>
      <c r="C28"/>
      <c r="G28" s="121" t="s">
        <v>108</v>
      </c>
      <c r="H28" s="113">
        <f>SUM(H8:H27)</f>
        <v>0</v>
      </c>
    </row>
    <row r="29" spans="2:19" ht="30" customHeight="1" x14ac:dyDescent="0.25">
      <c r="B29"/>
      <c r="C29"/>
      <c r="D29"/>
      <c r="K29" s="42"/>
    </row>
    <row r="30" spans="2:19" ht="30" customHeight="1" x14ac:dyDescent="0.25">
      <c r="B30" s="88"/>
      <c r="C30"/>
      <c r="D30"/>
    </row>
    <row r="31" spans="2:19" ht="30" customHeight="1" x14ac:dyDescent="0.25">
      <c r="B31" s="89"/>
      <c r="C31"/>
      <c r="D31"/>
    </row>
    <row r="32" spans="2:19" ht="30" customHeight="1" x14ac:dyDescent="0.25">
      <c r="B32" s="90"/>
      <c r="C32" s="86"/>
      <c r="D32" s="86"/>
    </row>
    <row r="33" spans="2:4" x14ac:dyDescent="0.25">
      <c r="B33" s="91"/>
      <c r="C33" s="85"/>
      <c r="D33" s="86"/>
    </row>
  </sheetData>
  <mergeCells count="9">
    <mergeCell ref="A13:A15"/>
    <mergeCell ref="C12:D12"/>
    <mergeCell ref="C14:D14"/>
    <mergeCell ref="G5:J5"/>
    <mergeCell ref="E14:E15"/>
    <mergeCell ref="E11:E12"/>
    <mergeCell ref="B7:B8"/>
    <mergeCell ref="C7:C8"/>
    <mergeCell ref="C15:D15"/>
  </mergeCells>
  <conditionalFormatting sqref="C12:D12">
    <cfRule type="cellIs" dxfId="22" priority="8" operator="lessThan">
      <formula>0</formula>
    </cfRule>
    <cfRule type="cellIs" dxfId="21" priority="9" operator="greaterThan">
      <formula>0</formula>
    </cfRule>
  </conditionalFormatting>
  <conditionalFormatting sqref="E14">
    <cfRule type="cellIs" dxfId="20" priority="7" operator="lessThan">
      <formula>0</formula>
    </cfRule>
  </conditionalFormatting>
  <conditionalFormatting sqref="J10 J9 H6 J3 G3 D7 D8 D10 C10 C7 E14">
    <cfRule type="cellIs" dxfId="19" priority="6" operator="equal">
      <formula>0</formula>
    </cfRule>
  </conditionalFormatting>
  <conditionalFormatting sqref="C11 D11">
    <cfRule type="cellIs" dxfId="18" priority="5" operator="equal">
      <formula>0</formula>
    </cfRule>
  </conditionalFormatting>
  <conditionalFormatting sqref="J9">
    <cfRule type="expression" dxfId="17" priority="4">
      <formula>IF($J$10&lt;&gt;0,"",$J$9)</formula>
    </cfRule>
  </conditionalFormatting>
  <conditionalFormatting sqref="H6">
    <cfRule type="expression" dxfId="16" priority="3">
      <formula>IF($J$6=0,"",$J$3)</formula>
    </cfRule>
  </conditionalFormatting>
  <dataValidations disablePrompts="1" count="4">
    <dataValidation type="textLength" operator="equal" allowBlank="1" showInputMessage="1" showErrorMessage="1" error="Le numéro de prêt doit être sur 7 caractères sans le 0" sqref="F3" xr:uid="{190DC7AD-0D64-4BF3-9CDF-020D702849EC}">
      <formula1>7</formula1>
    </dataValidation>
    <dataValidation type="list" allowBlank="1" showInputMessage="1" showErrorMessage="1" sqref="B27" xr:uid="{777A7D3B-E118-448E-B089-FAFC151E8844}">
      <formula1>CCI</formula1>
    </dataValidation>
    <dataValidation type="custom" allowBlank="1" showInputMessage="1" showErrorMessage="1" error="Un seul taux de cotisation doit être renseigné." sqref="H7" xr:uid="{73505311-3E7D-4A66-80E8-80284C233B0A}">
      <formula1>OR(H7=0,J7=0)</formula1>
    </dataValidation>
    <dataValidation type="custom" allowBlank="1" showInputMessage="1" showErrorMessage="1" error="Un seul taux de cotisation doit être renseigné." sqref="J7" xr:uid="{DCDC482D-049C-4503-A2EE-5E31FE3FFDA6}">
      <formula1>OR(H7=0,J7=0)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Button 2">
              <controlPr defaultSize="0" print="0" autoFill="0" autoPict="0" macro="[0]!reset">
                <anchor moveWithCells="1" sizeWithCells="1">
                  <from>
                    <xdr:col>1</xdr:col>
                    <xdr:colOff>257175</xdr:colOff>
                    <xdr:row>4</xdr:row>
                    <xdr:rowOff>28575</xdr:rowOff>
                  </from>
                  <to>
                    <xdr:col>1</xdr:col>
                    <xdr:colOff>1790700</xdr:colOff>
                    <xdr:row>4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185-F165-4A9B-A61C-E6720EAD167E}">
  <sheetPr codeName="Feuil10"/>
  <dimension ref="A1:P30"/>
  <sheetViews>
    <sheetView showGridLines="0" zoomScaleNormal="100" workbookViewId="0">
      <pane ySplit="1" topLeftCell="A2" activePane="bottomLeft" state="frozen"/>
      <selection pane="bottomLeft" activeCell="L25" sqref="L25"/>
    </sheetView>
  </sheetViews>
  <sheetFormatPr baseColWidth="10" defaultColWidth="11.42578125" defaultRowHeight="15" x14ac:dyDescent="0.25"/>
  <cols>
    <col min="1" max="1" width="9.7109375" customWidth="1"/>
    <col min="2" max="2" width="12.7109375" customWidth="1"/>
    <col min="3" max="3" width="25.7109375" customWidth="1"/>
    <col min="4" max="4" width="22.7109375" customWidth="1"/>
    <col min="5" max="5" width="18.7109375" customWidth="1"/>
    <col min="6" max="6" width="14.7109375" customWidth="1"/>
    <col min="7" max="7" width="16.7109375" customWidth="1"/>
    <col min="8" max="10" width="18.7109375" customWidth="1"/>
    <col min="11" max="11" width="17.140625" customWidth="1"/>
    <col min="12" max="12" width="25.42578125" customWidth="1"/>
    <col min="13" max="13" width="14.28515625" customWidth="1"/>
    <col min="14" max="14" width="10.7109375" style="129" hidden="1" customWidth="1"/>
  </cols>
  <sheetData>
    <row r="1" spans="1:16" ht="42" customHeight="1" x14ac:dyDescent="0.25">
      <c r="A1" s="128" t="s">
        <v>4</v>
      </c>
      <c r="B1" s="128" t="s">
        <v>5</v>
      </c>
      <c r="C1" s="128" t="s">
        <v>6</v>
      </c>
      <c r="D1" s="128" t="s">
        <v>7</v>
      </c>
      <c r="E1" s="128" t="s">
        <v>8</v>
      </c>
      <c r="F1" s="128" t="s">
        <v>9</v>
      </c>
      <c r="G1" s="128" t="s">
        <v>10</v>
      </c>
      <c r="H1" s="128" t="s">
        <v>11</v>
      </c>
      <c r="I1" s="128" t="s">
        <v>12</v>
      </c>
      <c r="J1" s="128" t="s">
        <v>13</v>
      </c>
      <c r="K1" s="128" t="s">
        <v>14</v>
      </c>
      <c r="L1" s="128" t="s">
        <v>15</v>
      </c>
    </row>
    <row r="2" spans="1:16" ht="15" customHeight="1" x14ac:dyDescent="0.25">
      <c r="A2" s="141" t="s">
        <v>116</v>
      </c>
      <c r="B2" s="142">
        <v>45427</v>
      </c>
      <c r="C2" s="141" t="s">
        <v>117</v>
      </c>
      <c r="D2" s="143">
        <v>500</v>
      </c>
      <c r="E2" s="143">
        <v>100</v>
      </c>
      <c r="F2" s="143">
        <v>100</v>
      </c>
      <c r="G2" s="143">
        <v>0</v>
      </c>
      <c r="H2" s="143">
        <v>300</v>
      </c>
      <c r="I2" s="143">
        <v>0</v>
      </c>
      <c r="J2" s="144">
        <v>100000</v>
      </c>
      <c r="K2" s="143">
        <v>0</v>
      </c>
      <c r="L2" s="143">
        <v>100000</v>
      </c>
    </row>
    <row r="3" spans="1:16" x14ac:dyDescent="0.25">
      <c r="A3" s="141" t="s">
        <v>116</v>
      </c>
      <c r="B3" s="142">
        <v>45458</v>
      </c>
      <c r="C3" s="141" t="s">
        <v>117</v>
      </c>
      <c r="D3" s="143">
        <v>500</v>
      </c>
      <c r="E3" s="143">
        <v>100</v>
      </c>
      <c r="F3" s="143">
        <v>100</v>
      </c>
      <c r="G3" s="143">
        <v>0</v>
      </c>
      <c r="H3" s="143">
        <v>300</v>
      </c>
      <c r="I3" s="143">
        <v>0</v>
      </c>
      <c r="J3" s="143">
        <v>99600</v>
      </c>
      <c r="K3" s="143">
        <v>0</v>
      </c>
      <c r="L3" s="143">
        <v>99600</v>
      </c>
      <c r="N3" s="130" t="str">
        <f>IF(ISERROR(SEARCH("ECH",A3)),"0","1")</f>
        <v>1</v>
      </c>
    </row>
    <row r="4" spans="1:16" x14ac:dyDescent="0.25">
      <c r="A4" s="141" t="s">
        <v>116</v>
      </c>
      <c r="B4" s="142">
        <v>45488</v>
      </c>
      <c r="C4" s="141" t="s">
        <v>117</v>
      </c>
      <c r="D4" s="143">
        <v>500</v>
      </c>
      <c r="E4" s="143">
        <v>100</v>
      </c>
      <c r="F4" s="143">
        <v>100</v>
      </c>
      <c r="G4" s="143">
        <v>0</v>
      </c>
      <c r="H4" s="143">
        <v>300</v>
      </c>
      <c r="I4" s="143">
        <v>0</v>
      </c>
      <c r="J4" s="143">
        <v>99200</v>
      </c>
      <c r="K4" s="143">
        <v>0</v>
      </c>
      <c r="L4" s="143">
        <v>99200</v>
      </c>
      <c r="N4" s="130" t="str">
        <f t="shared" ref="N4:N23" si="0">IF(ISERROR(SEARCH("ECH",A4)),"0","1")</f>
        <v>1</v>
      </c>
    </row>
    <row r="5" spans="1:16" x14ac:dyDescent="0.25">
      <c r="A5" s="141" t="s">
        <v>116</v>
      </c>
      <c r="B5" s="142">
        <v>45519</v>
      </c>
      <c r="C5" s="141" t="s">
        <v>117</v>
      </c>
      <c r="D5" s="143">
        <v>500</v>
      </c>
      <c r="E5" s="143">
        <v>100</v>
      </c>
      <c r="F5" s="143">
        <v>100</v>
      </c>
      <c r="G5" s="143">
        <v>0</v>
      </c>
      <c r="H5" s="143">
        <v>300</v>
      </c>
      <c r="I5" s="143">
        <v>0</v>
      </c>
      <c r="J5" s="143">
        <v>98800</v>
      </c>
      <c r="K5" s="143">
        <v>0</v>
      </c>
      <c r="L5" s="143">
        <v>98800</v>
      </c>
      <c r="N5" s="130" t="str">
        <f t="shared" si="0"/>
        <v>1</v>
      </c>
    </row>
    <row r="6" spans="1:16" x14ac:dyDescent="0.25">
      <c r="A6" s="141" t="s">
        <v>116</v>
      </c>
      <c r="B6" s="142">
        <v>45550</v>
      </c>
      <c r="C6" s="141" t="s">
        <v>117</v>
      </c>
      <c r="D6" s="143">
        <v>500</v>
      </c>
      <c r="E6" s="143">
        <v>100</v>
      </c>
      <c r="F6" s="143">
        <v>100</v>
      </c>
      <c r="G6" s="143">
        <v>0</v>
      </c>
      <c r="H6" s="143">
        <v>300</v>
      </c>
      <c r="I6" s="143">
        <v>0</v>
      </c>
      <c r="J6" s="143">
        <v>98400</v>
      </c>
      <c r="K6" s="143">
        <v>0</v>
      </c>
      <c r="L6" s="143">
        <v>98400</v>
      </c>
      <c r="N6" s="130" t="str">
        <f t="shared" si="0"/>
        <v>1</v>
      </c>
    </row>
    <row r="7" spans="1:16" x14ac:dyDescent="0.25">
      <c r="A7" s="141" t="s">
        <v>116</v>
      </c>
      <c r="B7" s="142">
        <v>45580</v>
      </c>
      <c r="C7" s="141" t="s">
        <v>117</v>
      </c>
      <c r="D7" s="143">
        <v>500</v>
      </c>
      <c r="E7" s="143">
        <v>100</v>
      </c>
      <c r="F7" s="143">
        <v>100</v>
      </c>
      <c r="G7" s="143">
        <v>0</v>
      </c>
      <c r="H7" s="143">
        <v>300</v>
      </c>
      <c r="I7" s="143">
        <v>0</v>
      </c>
      <c r="J7" s="143">
        <v>98000</v>
      </c>
      <c r="K7" s="143">
        <v>0</v>
      </c>
      <c r="L7" s="143">
        <v>98000</v>
      </c>
      <c r="N7" s="130" t="str">
        <f t="shared" si="0"/>
        <v>1</v>
      </c>
    </row>
    <row r="8" spans="1:16" x14ac:dyDescent="0.25">
      <c r="A8" s="141" t="s">
        <v>116</v>
      </c>
      <c r="B8" s="142">
        <v>45611</v>
      </c>
      <c r="C8" s="141" t="s">
        <v>117</v>
      </c>
      <c r="D8" s="143">
        <v>500</v>
      </c>
      <c r="E8" s="143">
        <v>100</v>
      </c>
      <c r="F8" s="143">
        <v>100</v>
      </c>
      <c r="G8" s="143">
        <v>0</v>
      </c>
      <c r="H8" s="143">
        <v>300</v>
      </c>
      <c r="I8" s="143">
        <v>0</v>
      </c>
      <c r="J8" s="143">
        <v>97600</v>
      </c>
      <c r="K8" s="143">
        <v>0</v>
      </c>
      <c r="L8" s="143">
        <v>97600</v>
      </c>
      <c r="N8" s="130" t="str">
        <f t="shared" si="0"/>
        <v>1</v>
      </c>
    </row>
    <row r="9" spans="1:16" x14ac:dyDescent="0.25">
      <c r="A9" s="145" t="s">
        <v>116</v>
      </c>
      <c r="B9" s="146">
        <v>45641</v>
      </c>
      <c r="C9" s="145" t="s">
        <v>117</v>
      </c>
      <c r="D9" s="143">
        <v>500</v>
      </c>
      <c r="E9" s="143">
        <v>100</v>
      </c>
      <c r="F9" s="143">
        <v>100</v>
      </c>
      <c r="G9" s="147">
        <v>0</v>
      </c>
      <c r="H9" s="143">
        <v>300</v>
      </c>
      <c r="I9" s="147">
        <v>0</v>
      </c>
      <c r="J9" s="147">
        <v>97200</v>
      </c>
      <c r="K9" s="147">
        <v>0</v>
      </c>
      <c r="L9" s="147">
        <v>97200</v>
      </c>
      <c r="N9" s="130" t="str">
        <f t="shared" si="0"/>
        <v>1</v>
      </c>
    </row>
    <row r="10" spans="1:16" x14ac:dyDescent="0.25">
      <c r="A10" s="145"/>
      <c r="B10" s="142"/>
      <c r="C10" s="141"/>
      <c r="D10" s="143"/>
      <c r="E10" s="143"/>
      <c r="F10" s="143"/>
      <c r="G10" s="143"/>
      <c r="H10" s="143"/>
      <c r="I10" s="143"/>
      <c r="J10" s="143"/>
      <c r="K10" s="143"/>
      <c r="L10" s="143"/>
      <c r="N10" s="130" t="str">
        <f t="shared" si="0"/>
        <v>0</v>
      </c>
    </row>
    <row r="11" spans="1:16" x14ac:dyDescent="0.25">
      <c r="A11" s="145"/>
      <c r="B11" s="146"/>
      <c r="C11" s="145"/>
      <c r="D11" s="143"/>
      <c r="E11" s="143"/>
      <c r="F11" s="143"/>
      <c r="G11" s="147"/>
      <c r="H11" s="143"/>
      <c r="I11" s="147"/>
      <c r="J11" s="147"/>
      <c r="K11" s="147"/>
      <c r="L11" s="147"/>
      <c r="N11" s="130" t="str">
        <f t="shared" si="0"/>
        <v>0</v>
      </c>
      <c r="P11" s="131"/>
    </row>
    <row r="12" spans="1:16" x14ac:dyDescent="0.25">
      <c r="A12" s="145"/>
      <c r="B12" s="142"/>
      <c r="C12" s="141"/>
      <c r="D12" s="143"/>
      <c r="E12" s="143"/>
      <c r="F12" s="143"/>
      <c r="G12" s="143"/>
      <c r="H12" s="143"/>
      <c r="I12" s="143"/>
      <c r="J12" s="143"/>
      <c r="K12" s="143"/>
      <c r="L12" s="143"/>
      <c r="N12" s="130" t="str">
        <f t="shared" si="0"/>
        <v>0</v>
      </c>
    </row>
    <row r="13" spans="1:16" x14ac:dyDescent="0.25">
      <c r="A13" s="145"/>
      <c r="B13" s="142"/>
      <c r="C13" s="141"/>
      <c r="D13" s="143"/>
      <c r="E13" s="143"/>
      <c r="F13" s="143"/>
      <c r="G13" s="143"/>
      <c r="H13" s="143"/>
      <c r="I13" s="143"/>
      <c r="J13" s="143"/>
      <c r="K13" s="143"/>
      <c r="L13" s="143"/>
      <c r="N13" s="130" t="str">
        <f t="shared" si="0"/>
        <v>0</v>
      </c>
    </row>
    <row r="14" spans="1:16" x14ac:dyDescent="0.25">
      <c r="A14" s="145"/>
      <c r="B14" s="142"/>
      <c r="C14" s="141"/>
      <c r="D14" s="143"/>
      <c r="E14" s="143"/>
      <c r="F14" s="143"/>
      <c r="G14" s="143"/>
      <c r="H14" s="143"/>
      <c r="I14" s="143"/>
      <c r="J14" s="143"/>
      <c r="K14" s="143"/>
      <c r="L14" s="143"/>
      <c r="M14" s="132"/>
      <c r="N14" s="130" t="str">
        <f t="shared" si="0"/>
        <v>0</v>
      </c>
    </row>
    <row r="15" spans="1:16" x14ac:dyDescent="0.25">
      <c r="A15" s="145"/>
      <c r="B15" s="142"/>
      <c r="C15" s="141"/>
      <c r="D15" s="143"/>
      <c r="E15" s="143"/>
      <c r="F15" s="143"/>
      <c r="G15" s="143"/>
      <c r="H15" s="143"/>
      <c r="I15" s="143"/>
      <c r="J15" s="143"/>
      <c r="K15" s="143"/>
      <c r="L15" s="143"/>
      <c r="M15" s="132"/>
      <c r="N15" s="130" t="str">
        <f t="shared" si="0"/>
        <v>0</v>
      </c>
    </row>
    <row r="16" spans="1:16" x14ac:dyDescent="0.25">
      <c r="A16" s="141"/>
      <c r="B16" s="142"/>
      <c r="C16" s="141"/>
      <c r="D16" s="143"/>
      <c r="E16" s="143"/>
      <c r="F16" s="143"/>
      <c r="G16" s="143"/>
      <c r="H16" s="143"/>
      <c r="I16" s="143"/>
      <c r="J16" s="143"/>
      <c r="K16" s="143"/>
      <c r="L16" s="143"/>
      <c r="M16" s="132"/>
      <c r="N16" s="130" t="str">
        <f t="shared" si="0"/>
        <v>0</v>
      </c>
    </row>
    <row r="17" spans="1:14" x14ac:dyDescent="0.25">
      <c r="A17" s="141"/>
      <c r="B17" s="142"/>
      <c r="C17" s="141"/>
      <c r="D17" s="143"/>
      <c r="E17" s="143"/>
      <c r="F17" s="143"/>
      <c r="G17" s="143"/>
      <c r="H17" s="143"/>
      <c r="I17" s="143"/>
      <c r="J17" s="143"/>
      <c r="K17" s="143"/>
      <c r="L17" s="143"/>
      <c r="M17" s="132"/>
      <c r="N17" s="130" t="str">
        <f t="shared" si="0"/>
        <v>0</v>
      </c>
    </row>
    <row r="18" spans="1:14" x14ac:dyDescent="0.25">
      <c r="A18" s="141"/>
      <c r="B18" s="142"/>
      <c r="C18" s="141"/>
      <c r="D18" s="143"/>
      <c r="E18" s="143"/>
      <c r="F18" s="143"/>
      <c r="G18" s="143"/>
      <c r="H18" s="143"/>
      <c r="I18" s="143"/>
      <c r="J18" s="143"/>
      <c r="K18" s="143"/>
      <c r="L18" s="143"/>
      <c r="N18" s="130" t="str">
        <f t="shared" si="0"/>
        <v>0</v>
      </c>
    </row>
    <row r="19" spans="1:14" x14ac:dyDescent="0.25">
      <c r="A19" s="141"/>
      <c r="B19" s="142"/>
      <c r="C19" s="141"/>
      <c r="D19" s="143"/>
      <c r="E19" s="143"/>
      <c r="F19" s="143"/>
      <c r="G19" s="143"/>
      <c r="H19" s="143"/>
      <c r="I19" s="143"/>
      <c r="J19" s="143"/>
      <c r="K19" s="143"/>
      <c r="L19" s="143"/>
      <c r="N19" s="130" t="str">
        <f t="shared" si="0"/>
        <v>0</v>
      </c>
    </row>
    <row r="20" spans="1:14" x14ac:dyDescent="0.25">
      <c r="A20" s="145"/>
      <c r="B20" s="146"/>
      <c r="C20" s="145"/>
      <c r="D20" s="143"/>
      <c r="E20" s="143"/>
      <c r="F20" s="143"/>
      <c r="G20" s="147"/>
      <c r="H20" s="147"/>
      <c r="I20" s="147"/>
      <c r="J20" s="147"/>
      <c r="K20" s="147"/>
      <c r="L20" s="147"/>
      <c r="N20" s="130" t="str">
        <f t="shared" si="0"/>
        <v>0</v>
      </c>
    </row>
    <row r="21" spans="1:14" x14ac:dyDescent="0.25">
      <c r="A21" s="145"/>
      <c r="B21" s="146"/>
      <c r="C21" s="145"/>
      <c r="D21" s="147"/>
      <c r="E21" s="147"/>
      <c r="F21" s="147"/>
      <c r="G21" s="147"/>
      <c r="H21" s="147"/>
      <c r="I21" s="147"/>
      <c r="J21" s="147"/>
      <c r="K21" s="147"/>
      <c r="L21" s="147"/>
      <c r="N21" s="130" t="str">
        <f t="shared" si="0"/>
        <v>0</v>
      </c>
    </row>
    <row r="22" spans="1:14" x14ac:dyDescent="0.25">
      <c r="A22" s="148"/>
      <c r="B22" s="149"/>
      <c r="C22" s="148"/>
      <c r="D22" s="150"/>
      <c r="E22" s="150"/>
      <c r="F22" s="150"/>
      <c r="G22" s="150"/>
      <c r="H22" s="150"/>
      <c r="I22" s="150"/>
      <c r="J22" s="150"/>
      <c r="K22" s="150"/>
      <c r="L22" s="150"/>
      <c r="N22" s="130" t="str">
        <f t="shared" si="0"/>
        <v>0</v>
      </c>
    </row>
    <row r="23" spans="1:14" ht="24" customHeight="1" x14ac:dyDescent="0.25">
      <c r="A23" s="133"/>
      <c r="B23" s="134"/>
      <c r="C23" s="135" t="s">
        <v>112</v>
      </c>
      <c r="D23" s="136">
        <f>E23+F23+H23</f>
        <v>1400</v>
      </c>
      <c r="E23" s="151">
        <f>E24*SIMULATION!I3</f>
        <v>350</v>
      </c>
      <c r="F23" s="151">
        <f>IF(AND(SIMULATION!H7&lt;&gt;0,SIMULATION!J7&lt;&gt;0),0,IF(SIMULATION!H7&gt;0,SIMULATION!H28,SIMULATION!J10))</f>
        <v>0</v>
      </c>
      <c r="G23" s="151">
        <f>SUM(G3:G22)</f>
        <v>0</v>
      </c>
      <c r="H23" s="138">
        <f>H24*SIMULATION!I3</f>
        <v>1050</v>
      </c>
      <c r="I23" s="133"/>
      <c r="J23" s="137"/>
      <c r="K23" s="133"/>
      <c r="L23" s="137"/>
      <c r="N23" s="130" t="str">
        <f t="shared" si="0"/>
        <v>0</v>
      </c>
    </row>
    <row r="24" spans="1:14" ht="24" customHeight="1" x14ac:dyDescent="0.25">
      <c r="C24" s="135" t="s">
        <v>113</v>
      </c>
      <c r="D24" s="125">
        <f>SUM(D3:D22)</f>
        <v>3500</v>
      </c>
      <c r="E24" s="151">
        <f>SUM(E3:E22)</f>
        <v>700</v>
      </c>
      <c r="F24" s="151">
        <f>SUM(F3:F22)</f>
        <v>700</v>
      </c>
      <c r="G24" s="151">
        <f>SUM(G3:G22)</f>
        <v>0</v>
      </c>
      <c r="H24" s="138">
        <f>SUM(H3:H22)</f>
        <v>2100</v>
      </c>
      <c r="N24" s="139">
        <f>+N3+N4+N5+N6+N7+N8+N9+N10+N11+N12+N13+N14+N15+N16+N17+N18+N19+N20+N21+N22</f>
        <v>7</v>
      </c>
    </row>
    <row r="25" spans="1:14" ht="24" customHeight="1" x14ac:dyDescent="0.25">
      <c r="C25" s="140" t="s">
        <v>105</v>
      </c>
      <c r="D25" s="136">
        <f>D24*SIMULATION!I3</f>
        <v>1750</v>
      </c>
      <c r="E25" s="151">
        <f>E24*SIMULATION!I3</f>
        <v>350</v>
      </c>
      <c r="F25" s="151">
        <v>0</v>
      </c>
      <c r="G25" s="151">
        <f>SUM(G3:G22)</f>
        <v>0</v>
      </c>
      <c r="H25" s="138">
        <f>H24*SIMULATION!I3</f>
        <v>1050</v>
      </c>
    </row>
    <row r="30" spans="1:14" hidden="1" x14ac:dyDescent="0.25">
      <c r="C30" s="140" t="str">
        <f>CONCATENATE("Assurance groupe à"," ",TEXT(SIMULATION!I3,"0%"))</f>
        <v>Assurance groupe à 50%</v>
      </c>
    </row>
  </sheetData>
  <conditionalFormatting sqref="C25">
    <cfRule type="expression" dxfId="15" priority="2">
      <formula>AND($F$24=0,$D$25&lt;&gt;0)</formula>
    </cfRule>
  </conditionalFormatting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stopIfTrue="1" id="{11C1BAFD-784D-0F42-8912-5F317DD8DA02}">
            <xm:f>AND(SIMULATION!$I$3=1,$F$24&lt;&gt;0)</xm:f>
            <x14:dxf>
              <font>
                <b/>
                <i val="0"/>
              </font>
              <fill>
                <patternFill>
                  <bgColor theme="5"/>
                </patternFill>
              </fill>
            </x14:dxf>
          </x14:cfRule>
          <xm:sqref>C24</xm:sqref>
        </x14:conditionalFormatting>
        <x14:conditionalFormatting xmlns:xm="http://schemas.microsoft.com/office/excel/2006/main">
          <x14:cfRule type="expression" priority="3" id="{CBA40EA1-AEB5-1B4C-8D9B-C74E327DCF9A}">
            <xm:f>OR(SIMULATION!$H$28&lt;&gt;0,SIMULATION!$J$10&lt;&gt;0,AND(SIMULATION!$I$3&lt;&gt;1,F2&lt;&gt;0))</xm:f>
            <x14:dxf>
              <font>
                <b/>
                <i val="0"/>
              </font>
              <fill>
                <patternFill>
                  <bgColor theme="5"/>
                </patternFill>
              </fill>
            </x14:dxf>
          </x14:cfRule>
          <xm:sqref>C23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53"/>
  <sheetViews>
    <sheetView workbookViewId="0">
      <selection sqref="A1:I1"/>
    </sheetView>
  </sheetViews>
  <sheetFormatPr baseColWidth="10" defaultColWidth="11.42578125" defaultRowHeight="15" x14ac:dyDescent="0.25"/>
  <cols>
    <col min="1" max="1" width="19.28515625" style="1" customWidth="1"/>
    <col min="2" max="2" width="20.28515625" style="1" customWidth="1"/>
    <col min="3" max="3" width="13.42578125" style="1" customWidth="1"/>
    <col min="4" max="4" width="17.42578125" style="1" customWidth="1"/>
    <col min="5" max="5" width="17.85546875" style="1" customWidth="1"/>
    <col min="6" max="6" width="11" style="1" customWidth="1"/>
    <col min="7" max="7" width="5.140625" style="1" customWidth="1"/>
    <col min="8" max="8" width="20.28515625" style="1" customWidth="1"/>
    <col min="9" max="9" width="22" customWidth="1"/>
  </cols>
  <sheetData>
    <row r="1" spans="1:9" ht="26.25" x14ac:dyDescent="0.25">
      <c r="A1" s="166" t="s">
        <v>16</v>
      </c>
      <c r="B1" s="167"/>
      <c r="C1" s="167"/>
      <c r="D1" s="167"/>
      <c r="E1" s="167"/>
      <c r="F1" s="167"/>
      <c r="G1" s="167"/>
      <c r="H1" s="167"/>
      <c r="I1" s="168"/>
    </row>
    <row r="2" spans="1:9" ht="22.5" customHeight="1" thickBot="1" x14ac:dyDescent="0.3">
      <c r="A2" s="169" t="s">
        <v>31</v>
      </c>
      <c r="B2" s="170"/>
      <c r="C2" s="170"/>
      <c r="D2" s="170"/>
      <c r="E2" s="170"/>
      <c r="F2" s="170"/>
      <c r="G2" s="170"/>
      <c r="H2" s="170"/>
      <c r="I2" s="171"/>
    </row>
    <row r="3" spans="1:9" ht="22.5" customHeight="1" x14ac:dyDescent="0.25">
      <c r="B3" s="43"/>
      <c r="C3" s="43"/>
      <c r="D3" s="43"/>
      <c r="E3" s="43"/>
      <c r="F3" s="43"/>
      <c r="G3" s="43"/>
      <c r="H3" s="43"/>
      <c r="I3" s="43"/>
    </row>
    <row r="4" spans="1:9" ht="29.25" customHeight="1" x14ac:dyDescent="0.25">
      <c r="A4" s="40" t="s">
        <v>17</v>
      </c>
      <c r="B4" s="40" t="s">
        <v>18</v>
      </c>
      <c r="C4" s="40" t="s">
        <v>19</v>
      </c>
      <c r="D4" s="41" t="s">
        <v>20</v>
      </c>
      <c r="E4" s="41" t="s">
        <v>21</v>
      </c>
      <c r="F4" s="40" t="s">
        <v>22</v>
      </c>
      <c r="G4" s="40" t="s">
        <v>23</v>
      </c>
      <c r="H4" s="40" t="s">
        <v>24</v>
      </c>
      <c r="I4" s="40" t="s">
        <v>25</v>
      </c>
    </row>
    <row r="5" spans="1:9" ht="22.5" customHeight="1" x14ac:dyDescent="0.25">
      <c r="A5" s="32">
        <v>52621110584</v>
      </c>
      <c r="B5" s="44" t="e">
        <f>#REF!</f>
        <v>#REF!</v>
      </c>
      <c r="C5" s="3"/>
      <c r="D5" s="45" t="e">
        <f>#REF!</f>
        <v>#REF!</v>
      </c>
      <c r="E5" s="3"/>
      <c r="F5" s="46" t="s">
        <v>27</v>
      </c>
      <c r="G5" s="3"/>
      <c r="H5" s="44" t="e">
        <f>CONCATENATE("DECES CHF"," ",#REF!)</f>
        <v>#REF!</v>
      </c>
      <c r="I5" s="44"/>
    </row>
    <row r="6" spans="1:9" ht="22.5" customHeight="1" x14ac:dyDescent="0.25">
      <c r="A6" s="32">
        <v>56961050826</v>
      </c>
      <c r="B6" s="44" t="e">
        <f>B5</f>
        <v>#REF!</v>
      </c>
      <c r="C6" s="3"/>
      <c r="D6" s="45" t="e">
        <f>#REF!</f>
        <v>#REF!</v>
      </c>
      <c r="E6" s="45"/>
      <c r="F6" s="46" t="s">
        <v>27</v>
      </c>
      <c r="G6" s="3"/>
      <c r="H6" s="44" t="e">
        <f>+H5</f>
        <v>#REF!</v>
      </c>
      <c r="I6" s="44"/>
    </row>
    <row r="7" spans="1:9" ht="22.5" customHeight="1" x14ac:dyDescent="0.25">
      <c r="A7" s="32">
        <v>57961070815</v>
      </c>
      <c r="B7" s="44" t="e">
        <f>B5</f>
        <v>#REF!</v>
      </c>
      <c r="C7" s="3"/>
      <c r="D7" s="45"/>
      <c r="E7" s="45" t="e">
        <f>D5</f>
        <v>#REF!</v>
      </c>
      <c r="F7" s="46" t="s">
        <v>26</v>
      </c>
      <c r="G7" s="3"/>
      <c r="H7" s="44" t="e">
        <f>+H6</f>
        <v>#REF!</v>
      </c>
      <c r="I7" s="44"/>
    </row>
    <row r="8" spans="1:9" ht="22.5" customHeight="1" x14ac:dyDescent="0.25">
      <c r="A8" s="32">
        <v>52621110584</v>
      </c>
      <c r="B8" s="44" t="e">
        <f>B5</f>
        <v>#REF!</v>
      </c>
      <c r="C8" s="3"/>
      <c r="D8" s="44"/>
      <c r="E8" s="45" t="e">
        <f>D6</f>
        <v>#REF!</v>
      </c>
      <c r="F8" s="46" t="s">
        <v>26</v>
      </c>
      <c r="G8" s="3"/>
      <c r="H8" s="44" t="e">
        <f>+H5</f>
        <v>#REF!</v>
      </c>
      <c r="I8" s="44"/>
    </row>
    <row r="9" spans="1:9" ht="22.5" customHeight="1" x14ac:dyDescent="0.25">
      <c r="B9" s="43"/>
      <c r="C9" s="43"/>
      <c r="D9" s="43"/>
      <c r="E9" s="43"/>
      <c r="F9" s="43"/>
      <c r="G9" s="43"/>
      <c r="H9" s="43"/>
      <c r="I9" s="43"/>
    </row>
    <row r="10" spans="1:9" ht="22.5" customHeight="1" x14ac:dyDescent="0.25">
      <c r="A10" s="172" t="s">
        <v>28</v>
      </c>
      <c r="B10" s="172"/>
      <c r="C10" s="173" t="e">
        <f>+#REF!</f>
        <v>#REF!</v>
      </c>
      <c r="D10" s="173"/>
      <c r="E10" s="8" t="e">
        <f>+#REF!</f>
        <v>#REF!</v>
      </c>
      <c r="F10" s="43"/>
      <c r="G10" s="43"/>
      <c r="H10"/>
      <c r="I10" s="43"/>
    </row>
    <row r="11" spans="1:9" ht="22.5" customHeight="1" x14ac:dyDescent="0.25">
      <c r="B11" s="43"/>
      <c r="C11" s="43"/>
      <c r="D11" s="43"/>
      <c r="E11" s="43"/>
      <c r="F11" s="43"/>
      <c r="G11" s="43"/>
      <c r="H11" s="43"/>
      <c r="I11" s="43"/>
    </row>
    <row r="12" spans="1:9" ht="22.5" customHeight="1" x14ac:dyDescent="0.25">
      <c r="B12" s="43"/>
      <c r="C12" s="43"/>
      <c r="D12" s="43"/>
      <c r="E12" s="43"/>
      <c r="F12" s="43"/>
      <c r="G12" s="43"/>
      <c r="H12" s="43"/>
      <c r="I12" s="43"/>
    </row>
    <row r="13" spans="1:9" ht="22.5" customHeight="1" x14ac:dyDescent="0.25">
      <c r="B13" s="43"/>
      <c r="C13" s="43"/>
      <c r="D13" s="43"/>
      <c r="E13" s="43"/>
      <c r="F13" s="43"/>
      <c r="G13" s="43"/>
      <c r="H13" s="43"/>
      <c r="I13" s="43"/>
    </row>
    <row r="14" spans="1:9" ht="22.5" customHeight="1" x14ac:dyDescent="0.25">
      <c r="B14" s="43"/>
      <c r="C14" s="43"/>
      <c r="D14" s="43"/>
      <c r="E14" s="43"/>
      <c r="F14" s="43"/>
      <c r="G14" s="43"/>
      <c r="H14" s="43"/>
      <c r="I14" s="43"/>
    </row>
    <row r="15" spans="1:9" ht="22.5" customHeight="1" x14ac:dyDescent="0.25">
      <c r="B15" s="43"/>
      <c r="C15" s="43"/>
      <c r="D15" s="43"/>
      <c r="E15" s="43"/>
      <c r="F15" s="43"/>
      <c r="G15" s="43"/>
      <c r="H15" s="43"/>
      <c r="I15" s="43"/>
    </row>
    <row r="16" spans="1:9" ht="22.5" customHeight="1" x14ac:dyDescent="0.25">
      <c r="B16" s="43"/>
      <c r="C16" s="43"/>
      <c r="D16" s="43"/>
      <c r="E16" s="43"/>
      <c r="F16" s="43"/>
      <c r="G16" s="43"/>
      <c r="H16" s="43"/>
      <c r="I16" s="43"/>
    </row>
    <row r="17" spans="2:9" ht="22.5" customHeight="1" x14ac:dyDescent="0.25">
      <c r="B17" s="43"/>
      <c r="C17" s="43"/>
      <c r="D17" s="43"/>
      <c r="E17" s="43"/>
      <c r="F17" s="43"/>
      <c r="G17" s="43"/>
      <c r="H17" s="43"/>
      <c r="I17" s="43"/>
    </row>
    <row r="18" spans="2:9" ht="22.5" customHeight="1" x14ac:dyDescent="0.25">
      <c r="B18" s="43"/>
      <c r="C18" s="43"/>
      <c r="D18" s="43"/>
      <c r="E18" s="43"/>
      <c r="F18" s="43"/>
      <c r="G18" s="43"/>
      <c r="H18" s="43"/>
      <c r="I18" s="43"/>
    </row>
    <row r="19" spans="2:9" ht="22.5" customHeight="1" x14ac:dyDescent="0.25">
      <c r="B19" s="43"/>
      <c r="C19" s="43"/>
      <c r="D19" s="43"/>
      <c r="E19" s="43"/>
      <c r="F19" s="43"/>
      <c r="G19" s="43"/>
      <c r="H19" s="43"/>
      <c r="I19" s="43"/>
    </row>
    <row r="20" spans="2:9" ht="22.5" customHeight="1" x14ac:dyDescent="0.25">
      <c r="B20" s="43"/>
      <c r="C20" s="43"/>
      <c r="D20" s="43"/>
      <c r="E20" s="43"/>
      <c r="F20" s="43"/>
      <c r="G20" s="43"/>
      <c r="H20" s="43"/>
      <c r="I20" s="43"/>
    </row>
    <row r="21" spans="2:9" ht="22.5" customHeight="1" x14ac:dyDescent="0.25">
      <c r="B21" s="43"/>
      <c r="C21" s="43"/>
      <c r="D21" s="43"/>
      <c r="E21" s="43"/>
      <c r="F21" s="43"/>
      <c r="G21" s="43"/>
      <c r="H21" s="43"/>
      <c r="I21" s="43"/>
    </row>
    <row r="22" spans="2:9" ht="22.5" customHeight="1" x14ac:dyDescent="0.25">
      <c r="B22" s="43"/>
      <c r="C22" s="43"/>
      <c r="D22" s="43"/>
      <c r="E22" s="43"/>
      <c r="F22" s="43"/>
      <c r="G22" s="43"/>
      <c r="H22" s="43"/>
      <c r="I22" s="43"/>
    </row>
    <row r="23" spans="2:9" ht="22.5" customHeight="1" x14ac:dyDescent="0.25">
      <c r="B23" s="43"/>
      <c r="C23" s="43"/>
      <c r="D23" s="43"/>
      <c r="E23" s="43"/>
      <c r="F23" s="43"/>
      <c r="G23" s="43"/>
      <c r="H23" s="43"/>
      <c r="I23" s="43"/>
    </row>
    <row r="24" spans="2:9" ht="22.5" customHeight="1" x14ac:dyDescent="0.25">
      <c r="B24" s="43"/>
      <c r="C24" s="43"/>
      <c r="D24" s="43"/>
      <c r="E24" s="43"/>
      <c r="F24" s="43"/>
      <c r="G24" s="43"/>
      <c r="H24" s="43"/>
      <c r="I24" s="43"/>
    </row>
    <row r="25" spans="2:9" ht="22.5" customHeight="1" x14ac:dyDescent="0.25">
      <c r="B25" s="43"/>
      <c r="C25" s="43"/>
      <c r="D25" s="43"/>
      <c r="E25" s="43"/>
      <c r="F25" s="43"/>
      <c r="G25" s="43"/>
      <c r="H25" s="43"/>
      <c r="I25" s="43"/>
    </row>
    <row r="26" spans="2:9" ht="22.5" customHeight="1" x14ac:dyDescent="0.25">
      <c r="B26" s="43"/>
      <c r="C26" s="43"/>
      <c r="D26" s="43"/>
      <c r="E26" s="43"/>
      <c r="F26" s="43"/>
      <c r="G26" s="43"/>
      <c r="H26" s="43"/>
      <c r="I26" s="43"/>
    </row>
    <row r="27" spans="2:9" ht="22.5" customHeight="1" x14ac:dyDescent="0.25">
      <c r="B27" s="43"/>
      <c r="C27" s="43"/>
      <c r="D27" s="43"/>
      <c r="E27" s="43"/>
      <c r="F27" s="43"/>
      <c r="G27" s="43"/>
      <c r="H27" s="43"/>
      <c r="I27" s="43"/>
    </row>
    <row r="28" spans="2:9" ht="22.5" customHeight="1" x14ac:dyDescent="0.25">
      <c r="B28" s="43"/>
      <c r="C28" s="43"/>
      <c r="D28" s="43"/>
      <c r="E28" s="43"/>
      <c r="F28" s="43"/>
      <c r="G28" s="43"/>
      <c r="H28" s="43"/>
      <c r="I28" s="43"/>
    </row>
    <row r="29" spans="2:9" ht="22.5" customHeight="1" x14ac:dyDescent="0.25">
      <c r="B29" s="43"/>
      <c r="C29" s="43"/>
      <c r="D29" s="43"/>
      <c r="E29" s="43"/>
      <c r="F29" s="43"/>
      <c r="G29" s="43"/>
      <c r="H29" s="43"/>
      <c r="I29" s="43"/>
    </row>
    <row r="30" spans="2:9" ht="22.5" customHeight="1" x14ac:dyDescent="0.25">
      <c r="B30" s="43"/>
      <c r="C30" s="43"/>
      <c r="D30" s="43"/>
      <c r="E30" s="43"/>
      <c r="F30" s="43"/>
      <c r="G30" s="43"/>
      <c r="H30" s="43"/>
      <c r="I30" s="43"/>
    </row>
    <row r="31" spans="2:9" ht="22.5" customHeight="1" x14ac:dyDescent="0.25">
      <c r="B31" s="43"/>
      <c r="C31" s="43"/>
      <c r="D31" s="43"/>
      <c r="E31" s="43"/>
      <c r="F31" s="43"/>
      <c r="G31" s="43"/>
      <c r="H31" s="43"/>
      <c r="I31" s="43"/>
    </row>
    <row r="32" spans="2:9" ht="18.75" customHeight="1" x14ac:dyDescent="0.25">
      <c r="B32" s="2"/>
      <c r="C32" s="38"/>
      <c r="D32" s="38"/>
      <c r="E32" s="38"/>
      <c r="F32" s="38"/>
      <c r="G32" s="38"/>
      <c r="H32" s="38"/>
    </row>
    <row r="33" spans="1:9" ht="28.5" x14ac:dyDescent="0.25">
      <c r="C33" s="3" t="s">
        <v>29</v>
      </c>
      <c r="D33" s="4" t="s">
        <v>32</v>
      </c>
    </row>
    <row r="36" spans="1:9" ht="30" x14ac:dyDescent="0.25">
      <c r="A36" s="5"/>
      <c r="B36" s="37" t="s">
        <v>33</v>
      </c>
      <c r="C36" s="37" t="s">
        <v>34</v>
      </c>
      <c r="D36" s="36" t="s">
        <v>35</v>
      </c>
      <c r="E36" s="37" t="s">
        <v>36</v>
      </c>
      <c r="F36" s="37" t="s">
        <v>37</v>
      </c>
      <c r="G36" s="197" t="s">
        <v>38</v>
      </c>
      <c r="H36" s="197"/>
      <c r="I36" s="197"/>
    </row>
    <row r="37" spans="1:9" ht="23.25" customHeight="1" x14ac:dyDescent="0.25">
      <c r="A37" s="1" t="s">
        <v>39</v>
      </c>
      <c r="B37" s="32">
        <v>52621110584</v>
      </c>
      <c r="C37" s="33" t="s">
        <v>27</v>
      </c>
      <c r="D37" s="39" t="e">
        <f>#REF!</f>
        <v>#REF!</v>
      </c>
      <c r="E37" s="28"/>
      <c r="F37" s="6" t="e">
        <f>#REF!</f>
        <v>#REF!</v>
      </c>
      <c r="G37" s="27" t="s">
        <v>40</v>
      </c>
      <c r="H37" s="176" t="e">
        <f>#REF!</f>
        <v>#REF!</v>
      </c>
      <c r="I37" s="177"/>
    </row>
    <row r="38" spans="1:9" ht="23.25" customHeight="1" x14ac:dyDescent="0.25">
      <c r="A38" s="1" t="s">
        <v>41</v>
      </c>
      <c r="B38" s="32">
        <v>56961050826</v>
      </c>
      <c r="C38" s="33" t="s">
        <v>27</v>
      </c>
      <c r="D38" s="39" t="e">
        <f>#REF!</f>
        <v>#REF!</v>
      </c>
      <c r="E38" s="28"/>
      <c r="F38" s="6" t="e">
        <f>+F37</f>
        <v>#REF!</v>
      </c>
      <c r="G38" s="27" t="s">
        <v>40</v>
      </c>
      <c r="H38" s="176" t="e">
        <f>+H37</f>
        <v>#REF!</v>
      </c>
      <c r="I38" s="177"/>
    </row>
    <row r="39" spans="1:9" ht="23.25" customHeight="1" x14ac:dyDescent="0.25">
      <c r="B39" s="7" t="s">
        <v>3</v>
      </c>
      <c r="C39" s="193" t="e">
        <f>SUM(D37:D38)</f>
        <v>#REF!</v>
      </c>
      <c r="D39" s="194"/>
      <c r="E39" s="195"/>
      <c r="F39" s="195"/>
      <c r="G39" s="195"/>
      <c r="H39" s="195"/>
      <c r="I39" s="195"/>
    </row>
    <row r="40" spans="1:9" x14ac:dyDescent="0.25">
      <c r="D40"/>
      <c r="E40" s="38"/>
      <c r="F40" s="38"/>
      <c r="G40" s="38"/>
      <c r="H40" s="38"/>
      <c r="I40" s="38"/>
    </row>
    <row r="41" spans="1:9" ht="23.25" x14ac:dyDescent="0.35">
      <c r="B41" s="172" t="s">
        <v>28</v>
      </c>
      <c r="C41" s="172"/>
      <c r="D41" s="8">
        <f ca="1">TODAY()</f>
        <v>45663</v>
      </c>
      <c r="E41" s="185"/>
      <c r="F41" s="186"/>
      <c r="H41" s="196" t="e">
        <f>#REF!</f>
        <v>#REF!</v>
      </c>
      <c r="I41" s="196"/>
    </row>
    <row r="42" spans="1:9" ht="15.75" x14ac:dyDescent="0.25">
      <c r="D42" s="9"/>
    </row>
    <row r="44" spans="1:9" ht="28.5" x14ac:dyDescent="0.3">
      <c r="C44" s="3" t="s">
        <v>29</v>
      </c>
      <c r="D44" s="10" t="s">
        <v>42</v>
      </c>
      <c r="E44" s="11"/>
    </row>
    <row r="47" spans="1:9" ht="30" x14ac:dyDescent="0.25">
      <c r="A47" s="5"/>
      <c r="B47" s="37" t="s">
        <v>33</v>
      </c>
      <c r="C47" s="37" t="s">
        <v>34</v>
      </c>
      <c r="D47" s="36" t="s">
        <v>35</v>
      </c>
      <c r="E47" s="37" t="s">
        <v>36</v>
      </c>
      <c r="F47" s="35" t="s">
        <v>37</v>
      </c>
      <c r="G47" s="188" t="s">
        <v>38</v>
      </c>
      <c r="H47" s="189"/>
      <c r="I47" s="190"/>
    </row>
    <row r="48" spans="1:9" ht="25.5" customHeight="1" x14ac:dyDescent="0.25">
      <c r="A48" s="1" t="s">
        <v>43</v>
      </c>
      <c r="B48" s="30">
        <v>57961070815</v>
      </c>
      <c r="C48" s="31" t="s">
        <v>26</v>
      </c>
      <c r="D48" s="39" t="e">
        <f>D37</f>
        <v>#REF!</v>
      </c>
      <c r="E48" s="28"/>
      <c r="F48" s="14" t="e">
        <f>+F37</f>
        <v>#REF!</v>
      </c>
      <c r="G48" s="27" t="str">
        <f>+G37</f>
        <v>DECES CHF</v>
      </c>
      <c r="H48" s="178" t="e">
        <f>+H37</f>
        <v>#REF!</v>
      </c>
      <c r="I48" s="179"/>
    </row>
    <row r="49" spans="1:9" ht="25.5" customHeight="1" x14ac:dyDescent="0.25">
      <c r="A49" s="1" t="s">
        <v>44</v>
      </c>
      <c r="B49" s="32">
        <v>52621110584</v>
      </c>
      <c r="C49" s="33" t="s">
        <v>26</v>
      </c>
      <c r="D49" s="39" t="e">
        <f>+D38</f>
        <v>#REF!</v>
      </c>
      <c r="E49" s="29"/>
      <c r="F49" s="14" t="e">
        <f>+F37</f>
        <v>#REF!</v>
      </c>
      <c r="G49" s="27" t="s">
        <v>40</v>
      </c>
      <c r="H49" s="191" t="e">
        <f>+H37</f>
        <v>#REF!</v>
      </c>
      <c r="I49" s="192"/>
    </row>
    <row r="50" spans="1:9" ht="25.5" customHeight="1" x14ac:dyDescent="0.25">
      <c r="B50" s="7" t="s">
        <v>3</v>
      </c>
      <c r="C50" s="180" t="e">
        <f>SUM(D48:D49)</f>
        <v>#REF!</v>
      </c>
      <c r="D50" s="181"/>
      <c r="E50" s="182"/>
      <c r="F50" s="183"/>
      <c r="G50" s="183"/>
      <c r="H50" s="183"/>
      <c r="I50" s="184"/>
    </row>
    <row r="51" spans="1:9" x14ac:dyDescent="0.25">
      <c r="D51" s="12"/>
      <c r="E51" s="13"/>
    </row>
    <row r="52" spans="1:9" ht="21" x14ac:dyDescent="0.35">
      <c r="B52" s="172" t="s">
        <v>28</v>
      </c>
      <c r="C52" s="172"/>
      <c r="D52" s="8">
        <f ca="1">TODAY()</f>
        <v>45663</v>
      </c>
      <c r="E52" s="185"/>
      <c r="F52" s="186"/>
      <c r="H52" s="187" t="e">
        <f>+H41</f>
        <v>#REF!</v>
      </c>
      <c r="I52" s="187"/>
    </row>
    <row r="53" spans="1:9" ht="15.75" x14ac:dyDescent="0.25">
      <c r="B53" s="174"/>
      <c r="C53" s="175"/>
    </row>
  </sheetData>
  <sheetProtection algorithmName="SHA-512" hashValue="HbHeGyTcUEZEHlMZ416aC1XGXnuQ+RxHuXMWgrjXxfP1gQ5b99O9byWYHBiTh+cslF77R92CI6+kuwYj/7jfZA==" saltValue="K8xfqRve0JcWu2ZTRhtCew==" spinCount="100000" sheet="1" selectLockedCells="1"/>
  <mergeCells count="21">
    <mergeCell ref="E39:I39"/>
    <mergeCell ref="B41:C41"/>
    <mergeCell ref="E41:F41"/>
    <mergeCell ref="H41:I41"/>
    <mergeCell ref="G36:I36"/>
    <mergeCell ref="A1:I1"/>
    <mergeCell ref="A2:I2"/>
    <mergeCell ref="A10:B10"/>
    <mergeCell ref="C10:D10"/>
    <mergeCell ref="B53:C53"/>
    <mergeCell ref="H37:I37"/>
    <mergeCell ref="H48:I48"/>
    <mergeCell ref="C50:D50"/>
    <mergeCell ref="E50:I50"/>
    <mergeCell ref="B52:C52"/>
    <mergeCell ref="E52:F52"/>
    <mergeCell ref="H52:I52"/>
    <mergeCell ref="G47:I47"/>
    <mergeCell ref="H49:I49"/>
    <mergeCell ref="H38:I38"/>
    <mergeCell ref="C39:D39"/>
  </mergeCells>
  <phoneticPr fontId="41" type="noConversion"/>
  <dataValidations count="2">
    <dataValidation type="decimal" operator="lessThanOrEqual" allowBlank="1" showInputMessage="1" showErrorMessage="1" sqref="D4:E4" xr:uid="{8BA3C00F-B36A-434D-83DD-A2504AF0C958}">
      <formula1>999999999.99</formula1>
    </dataValidation>
    <dataValidation type="textLength" operator="equal" showInputMessage="1" showErrorMessage="1" errorTitle="Numero de compte" error="Le numéro de compte doit comporter 11 caractères" sqref="A4" xr:uid="{07D98591-D9E3-4D63-B393-5E37D5B27C9E}">
      <formula1>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7:B8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W54"/>
  <sheetViews>
    <sheetView workbookViewId="0">
      <selection activeCell="B34" sqref="B34"/>
    </sheetView>
  </sheetViews>
  <sheetFormatPr baseColWidth="10" defaultColWidth="11.42578125" defaultRowHeight="15" x14ac:dyDescent="0.25"/>
  <cols>
    <col min="1" max="1" width="2" customWidth="1"/>
    <col min="3" max="3" width="3.42578125" customWidth="1"/>
    <col min="4" max="4" width="4.42578125" customWidth="1"/>
    <col min="5" max="5" width="2.42578125" customWidth="1"/>
    <col min="6" max="6" width="17.28515625" bestFit="1" customWidth="1"/>
    <col min="7" max="7" width="4.85546875" customWidth="1"/>
    <col min="8" max="8" width="2.85546875" customWidth="1"/>
    <col min="9" max="9" width="17.28515625" bestFit="1" customWidth="1"/>
    <col min="10" max="10" width="5.140625" customWidth="1"/>
    <col min="12" max="12" width="4.42578125" customWidth="1"/>
    <col min="13" max="13" width="4.85546875" customWidth="1"/>
    <col min="14" max="14" width="4.7109375" customWidth="1"/>
    <col min="15" max="15" width="3.42578125" customWidth="1"/>
  </cols>
  <sheetData>
    <row r="1" spans="2:23" x14ac:dyDescent="0.25"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P1" s="202" t="s">
        <v>45</v>
      </c>
      <c r="Q1" s="203"/>
      <c r="R1" s="203"/>
      <c r="S1" s="203"/>
      <c r="T1" s="203"/>
      <c r="U1" s="203"/>
      <c r="V1" s="203"/>
      <c r="W1" s="203"/>
    </row>
    <row r="2" spans="2:23" x14ac:dyDescent="0.25">
      <c r="P2" s="203"/>
      <c r="Q2" s="203"/>
      <c r="R2" s="203"/>
      <c r="S2" s="203"/>
      <c r="T2" s="203"/>
      <c r="U2" s="203"/>
      <c r="V2" s="203"/>
      <c r="W2" s="203"/>
    </row>
    <row r="3" spans="2:23" x14ac:dyDescent="0.25">
      <c r="P3" s="203"/>
      <c r="Q3" s="203"/>
      <c r="R3" s="203"/>
      <c r="S3" s="203"/>
      <c r="T3" s="203"/>
      <c r="U3" s="203"/>
      <c r="V3" s="203"/>
      <c r="W3" s="203"/>
    </row>
    <row r="4" spans="2:23" x14ac:dyDescent="0.25">
      <c r="P4" s="203"/>
      <c r="Q4" s="203"/>
      <c r="R4" s="203"/>
      <c r="S4" s="203"/>
      <c r="T4" s="203"/>
      <c r="U4" s="203"/>
      <c r="V4" s="203"/>
      <c r="W4" s="203"/>
    </row>
    <row r="5" spans="2:23" ht="9.75" customHeight="1" x14ac:dyDescent="0.25">
      <c r="P5" s="203"/>
      <c r="Q5" s="203"/>
      <c r="R5" s="203"/>
      <c r="S5" s="203"/>
      <c r="T5" s="203"/>
      <c r="U5" s="203"/>
      <c r="V5" s="203"/>
      <c r="W5" s="203"/>
    </row>
    <row r="6" spans="2:23" ht="18.75" x14ac:dyDescent="0.3">
      <c r="D6" s="205" t="s">
        <v>46</v>
      </c>
      <c r="E6" s="205"/>
      <c r="F6" s="205"/>
      <c r="G6" s="205"/>
      <c r="H6" s="205"/>
      <c r="I6" s="205"/>
      <c r="J6" s="205"/>
      <c r="K6" s="205"/>
      <c r="L6" s="205"/>
      <c r="M6" s="205"/>
      <c r="N6" s="205"/>
      <c r="P6" s="203"/>
      <c r="Q6" s="203"/>
      <c r="R6" s="203"/>
      <c r="S6" s="203"/>
      <c r="T6" s="203"/>
      <c r="U6" s="203"/>
      <c r="V6" s="203"/>
      <c r="W6" s="203"/>
    </row>
    <row r="7" spans="2:23" ht="26.25" x14ac:dyDescent="0.25">
      <c r="D7" s="206" t="s">
        <v>31</v>
      </c>
      <c r="E7" s="207"/>
      <c r="F7" s="207"/>
      <c r="G7" s="207"/>
      <c r="H7" s="207"/>
      <c r="I7" s="207"/>
      <c r="J7" s="207"/>
      <c r="K7" s="208"/>
      <c r="P7" s="203"/>
      <c r="Q7" s="203"/>
      <c r="R7" s="203"/>
      <c r="S7" s="203"/>
      <c r="T7" s="203"/>
      <c r="U7" s="203"/>
      <c r="V7" s="203"/>
      <c r="W7" s="203"/>
    </row>
    <row r="8" spans="2:23" x14ac:dyDescent="0.25">
      <c r="P8" s="203"/>
      <c r="Q8" s="203"/>
      <c r="R8" s="203"/>
      <c r="S8" s="203"/>
      <c r="T8" s="203"/>
      <c r="U8" s="203"/>
      <c r="V8" s="203"/>
      <c r="W8" s="203"/>
    </row>
    <row r="9" spans="2:23" x14ac:dyDescent="0.25">
      <c r="B9" s="15" t="s">
        <v>47</v>
      </c>
      <c r="P9" s="203"/>
      <c r="Q9" s="203"/>
      <c r="R9" s="203"/>
      <c r="S9" s="203"/>
      <c r="T9" s="203"/>
      <c r="U9" s="203"/>
      <c r="V9" s="203"/>
      <c r="W9" s="203"/>
    </row>
    <row r="10" spans="2:23" x14ac:dyDescent="0.25">
      <c r="P10" s="203"/>
      <c r="Q10" s="203"/>
      <c r="R10" s="203"/>
      <c r="S10" s="203"/>
      <c r="T10" s="203"/>
      <c r="U10" s="203"/>
      <c r="V10" s="203"/>
      <c r="W10" s="203"/>
    </row>
    <row r="11" spans="2:23" x14ac:dyDescent="0.25">
      <c r="B11" s="16" t="s">
        <v>48</v>
      </c>
      <c r="G11" s="191"/>
      <c r="H11" s="191"/>
      <c r="I11" s="179">
        <v>3550</v>
      </c>
      <c r="J11" s="179"/>
      <c r="P11" s="203"/>
      <c r="Q11" s="203"/>
      <c r="R11" s="203"/>
      <c r="S11" s="203"/>
      <c r="T11" s="203"/>
      <c r="U11" s="203"/>
      <c r="V11" s="203"/>
      <c r="W11" s="203"/>
    </row>
    <row r="12" spans="2:23" x14ac:dyDescent="0.25">
      <c r="P12" s="203"/>
      <c r="Q12" s="203"/>
      <c r="R12" s="203"/>
      <c r="S12" s="203"/>
      <c r="T12" s="203"/>
      <c r="U12" s="203"/>
      <c r="V12" s="203"/>
      <c r="W12" s="203"/>
    </row>
    <row r="13" spans="2:23" ht="15" customHeight="1" x14ac:dyDescent="0.25">
      <c r="B13" s="209" t="s">
        <v>45</v>
      </c>
      <c r="C13" s="209"/>
      <c r="D13" s="209"/>
      <c r="E13" s="209"/>
      <c r="F13" s="209"/>
      <c r="G13" s="209"/>
      <c r="H13" s="209"/>
      <c r="I13" s="209"/>
      <c r="J13" s="209"/>
      <c r="K13" s="209"/>
      <c r="L13" s="209"/>
      <c r="M13" s="209"/>
      <c r="N13" s="209"/>
      <c r="P13" s="203"/>
      <c r="Q13" s="203"/>
      <c r="R13" s="203"/>
      <c r="S13" s="203"/>
      <c r="T13" s="203"/>
      <c r="U13" s="203"/>
      <c r="V13" s="203"/>
      <c r="W13" s="203"/>
    </row>
    <row r="14" spans="2:23" ht="15" customHeight="1" x14ac:dyDescent="0.25">
      <c r="B14" s="209"/>
      <c r="C14" s="209"/>
      <c r="D14" s="209"/>
      <c r="E14" s="209"/>
      <c r="F14" s="209"/>
      <c r="G14" s="209"/>
      <c r="H14" s="209"/>
      <c r="I14" s="209"/>
      <c r="J14" s="209"/>
      <c r="K14" s="209"/>
      <c r="L14" s="209"/>
      <c r="M14" s="209"/>
      <c r="N14" s="209"/>
      <c r="P14" s="203"/>
      <c r="Q14" s="203"/>
      <c r="R14" s="203"/>
      <c r="S14" s="203"/>
      <c r="T14" s="203"/>
      <c r="U14" s="203"/>
      <c r="V14" s="203"/>
      <c r="W14" s="203"/>
    </row>
    <row r="15" spans="2:23" ht="15" customHeight="1" x14ac:dyDescent="0.25">
      <c r="B15" s="209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09"/>
      <c r="N15" s="209"/>
      <c r="P15" s="203"/>
      <c r="Q15" s="203"/>
      <c r="R15" s="203"/>
      <c r="S15" s="203"/>
      <c r="T15" s="203"/>
      <c r="U15" s="203"/>
      <c r="V15" s="203"/>
      <c r="W15" s="203"/>
    </row>
    <row r="16" spans="2:23" ht="15" customHeight="1" x14ac:dyDescent="0.25">
      <c r="B16" s="209"/>
      <c r="C16" s="209"/>
      <c r="D16" s="209"/>
      <c r="E16" s="209"/>
      <c r="F16" s="209"/>
      <c r="G16" s="209"/>
      <c r="H16" s="209"/>
      <c r="I16" s="209"/>
      <c r="J16" s="209"/>
      <c r="K16" s="209"/>
      <c r="L16" s="209"/>
      <c r="M16" s="209"/>
      <c r="N16" s="209"/>
    </row>
    <row r="17" spans="2:14" ht="15" customHeight="1" x14ac:dyDescent="0.25">
      <c r="B17" s="209"/>
      <c r="C17" s="209"/>
      <c r="D17" s="209"/>
      <c r="E17" s="209"/>
      <c r="F17" s="209"/>
      <c r="G17" s="209"/>
      <c r="H17" s="209"/>
      <c r="I17" s="209"/>
      <c r="J17" s="209"/>
      <c r="K17" s="209"/>
      <c r="L17" s="209"/>
      <c r="M17" s="209"/>
      <c r="N17" s="209"/>
    </row>
    <row r="18" spans="2:14" ht="15" customHeight="1" x14ac:dyDescent="0.25">
      <c r="B18" s="209"/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09"/>
      <c r="N18" s="209"/>
    </row>
    <row r="20" spans="2:14" x14ac:dyDescent="0.25">
      <c r="B20" s="17" t="s">
        <v>49</v>
      </c>
      <c r="C20" s="17"/>
    </row>
    <row r="22" spans="2:14" ht="18.75" customHeight="1" x14ac:dyDescent="0.25">
      <c r="B22" s="204" t="s">
        <v>50</v>
      </c>
      <c r="C22" s="204"/>
      <c r="D22" s="34"/>
      <c r="F22" s="18" t="s">
        <v>51</v>
      </c>
      <c r="G22" s="34"/>
      <c r="H22" s="16" t="s">
        <v>52</v>
      </c>
      <c r="I22" s="18" t="s">
        <v>53</v>
      </c>
      <c r="J22" s="34" t="s">
        <v>54</v>
      </c>
      <c r="K22" s="204" t="s">
        <v>55</v>
      </c>
      <c r="L22" s="204"/>
      <c r="M22" s="34"/>
    </row>
    <row r="23" spans="2:14" x14ac:dyDescent="0.25">
      <c r="D23" s="16" t="s">
        <v>56</v>
      </c>
      <c r="E23" s="16"/>
    </row>
    <row r="24" spans="2:14" ht="18" customHeight="1" x14ac:dyDescent="0.25">
      <c r="B24" s="204" t="s">
        <v>57</v>
      </c>
      <c r="C24" s="204" t="s">
        <v>58</v>
      </c>
      <c r="D24" s="34"/>
      <c r="F24" s="19" t="s">
        <v>59</v>
      </c>
      <c r="G24" s="34"/>
      <c r="I24" s="19" t="s">
        <v>59</v>
      </c>
      <c r="J24" s="34"/>
      <c r="K24" s="18" t="s">
        <v>60</v>
      </c>
      <c r="L24" s="18"/>
      <c r="N24" s="34"/>
    </row>
    <row r="26" spans="2:14" x14ac:dyDescent="0.25">
      <c r="B26" s="200" t="s">
        <v>61</v>
      </c>
      <c r="C26" s="200"/>
      <c r="D26" s="200"/>
      <c r="E26" s="200"/>
      <c r="F26" s="200" t="s">
        <v>62</v>
      </c>
      <c r="G26" s="200"/>
      <c r="H26" s="200"/>
      <c r="I26" s="200" t="s">
        <v>63</v>
      </c>
      <c r="J26" s="200"/>
      <c r="K26" s="200"/>
      <c r="L26" s="200"/>
      <c r="M26" s="200"/>
      <c r="N26" s="200"/>
    </row>
    <row r="27" spans="2:14" x14ac:dyDescent="0.25">
      <c r="B27" s="199" t="e">
        <f>IF('PIECE COMPTABLE CHF'!D5&gt;0,'PIECE COMPTABLE CHF'!A7,IF('PIECE COMPTABLE CHF'!D6&gt;0,'PIECE COMPTABLE CHF'!A6,""))</f>
        <v>#REF!</v>
      </c>
      <c r="C27" s="199"/>
      <c r="D27" s="199"/>
      <c r="E27" s="199"/>
      <c r="F27" s="199" t="e">
        <f>IF(B27=56961050826,"PERTE PRET EN CHF",IF(B27=57961070815,"GAIN PRET EN CHF","PERTE PRET EN CHF"))</f>
        <v>#REF!</v>
      </c>
      <c r="G27" s="199"/>
      <c r="H27" s="199"/>
      <c r="I27" s="200" t="s">
        <v>64</v>
      </c>
      <c r="J27" s="200"/>
      <c r="K27" s="200" t="s">
        <v>65</v>
      </c>
      <c r="L27" s="200"/>
      <c r="M27" s="200"/>
      <c r="N27" s="200"/>
    </row>
    <row r="28" spans="2:14" x14ac:dyDescent="0.25">
      <c r="B28" s="199"/>
      <c r="C28" s="199"/>
      <c r="D28" s="199"/>
      <c r="E28" s="199"/>
      <c r="F28" s="199"/>
      <c r="G28" s="199"/>
      <c r="H28" s="199"/>
      <c r="I28" s="201" t="e">
        <f>IF(B27=57961070815,'PIECE COMPTABLE CHF'!E7,IF(B27=56961050826,0,'PIECE COMPTABLE CHF'!D6))</f>
        <v>#REF!</v>
      </c>
      <c r="J28" s="201"/>
      <c r="K28" s="201" t="e">
        <f>IF(B27=57961070815,'PIECE COMPTABLE CHF'!D6,IF(B27=56961050826,'PIECE COMPTABLE CHF'!D6,"0,00"))</f>
        <v>#REF!</v>
      </c>
      <c r="L28" s="201"/>
      <c r="M28" s="201"/>
      <c r="N28" s="201"/>
    </row>
    <row r="29" spans="2:14" x14ac:dyDescent="0.25">
      <c r="B29" s="199"/>
      <c r="C29" s="199"/>
      <c r="D29" s="199"/>
      <c r="E29" s="199"/>
      <c r="F29" s="199"/>
      <c r="G29" s="199"/>
      <c r="H29" s="199"/>
      <c r="I29" s="201"/>
      <c r="J29" s="201"/>
      <c r="K29" s="201"/>
      <c r="L29" s="201"/>
      <c r="M29" s="201"/>
      <c r="N29" s="201"/>
    </row>
    <row r="31" spans="2:14" x14ac:dyDescent="0.25">
      <c r="B31" s="17" t="s">
        <v>66</v>
      </c>
    </row>
    <row r="32" spans="2:14" x14ac:dyDescent="0.25">
      <c r="B32" t="e">
        <f>+#REF!</f>
        <v>#REF!</v>
      </c>
    </row>
    <row r="33" spans="2:15" ht="15.75" thickBot="1" x14ac:dyDescent="0.3">
      <c r="B33" s="198" t="e">
        <f>+#REF!</f>
        <v>#REF!</v>
      </c>
      <c r="C33" s="198"/>
      <c r="D33" s="198"/>
      <c r="E33" s="198"/>
    </row>
    <row r="34" spans="2:15" x14ac:dyDescent="0.2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50"/>
    </row>
    <row r="35" spans="2:15" x14ac:dyDescent="0.25">
      <c r="B35" s="51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3"/>
    </row>
    <row r="36" spans="2:15" x14ac:dyDescent="0.25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</row>
    <row r="37" spans="2:15" ht="15.75" thickBot="1" x14ac:dyDescent="0.3"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6"/>
    </row>
    <row r="44" spans="2:15" x14ac:dyDescent="0.25">
      <c r="B44" s="20"/>
      <c r="C44" s="20"/>
      <c r="D44" s="20"/>
      <c r="E44" s="20"/>
      <c r="F44" s="21"/>
    </row>
    <row r="45" spans="2:15" x14ac:dyDescent="0.25">
      <c r="B45" s="20" t="s">
        <v>67</v>
      </c>
      <c r="C45" s="20"/>
      <c r="D45" s="20"/>
      <c r="E45" s="20"/>
      <c r="F45" s="21"/>
      <c r="G45" s="20" t="s">
        <v>68</v>
      </c>
      <c r="K45" s="20" t="s">
        <v>69</v>
      </c>
    </row>
    <row r="46" spans="2:15" x14ac:dyDescent="0.25">
      <c r="B46" s="22" t="s">
        <v>70</v>
      </c>
      <c r="C46" s="22"/>
      <c r="D46" s="22"/>
      <c r="E46" s="22"/>
      <c r="F46" s="22"/>
      <c r="G46" s="22" t="s">
        <v>70</v>
      </c>
      <c r="K46" s="22" t="s">
        <v>70</v>
      </c>
    </row>
    <row r="47" spans="2:15" x14ac:dyDescent="0.25">
      <c r="B47" s="22" t="s">
        <v>30</v>
      </c>
      <c r="C47" s="22"/>
      <c r="D47" s="22"/>
      <c r="E47" s="22"/>
      <c r="F47" s="22"/>
      <c r="G47" s="22" t="s">
        <v>30</v>
      </c>
      <c r="K47" s="22" t="s">
        <v>30</v>
      </c>
    </row>
    <row r="48" spans="2:15" x14ac:dyDescent="0.25">
      <c r="B48" s="22" t="s">
        <v>71</v>
      </c>
      <c r="C48" s="22"/>
      <c r="D48" s="22"/>
      <c r="E48" s="22"/>
      <c r="F48" s="22"/>
      <c r="G48" s="22" t="s">
        <v>71</v>
      </c>
      <c r="K48" s="22" t="s">
        <v>71</v>
      </c>
    </row>
    <row r="49" spans="2:15" x14ac:dyDescent="0.25">
      <c r="B49" s="22"/>
      <c r="C49" s="22"/>
      <c r="D49" s="22"/>
      <c r="E49" s="22"/>
      <c r="F49" s="22"/>
    </row>
    <row r="50" spans="2:15" x14ac:dyDescent="0.25">
      <c r="B50" s="22" t="s">
        <v>72</v>
      </c>
    </row>
    <row r="52" spans="2:15" x14ac:dyDescent="0.25">
      <c r="B52" s="23" t="s">
        <v>73</v>
      </c>
    </row>
    <row r="53" spans="2:15" x14ac:dyDescent="0.25">
      <c r="B53" s="23"/>
    </row>
    <row r="54" spans="2:15" x14ac:dyDescent="0.25">
      <c r="B54" s="23" t="s">
        <v>74</v>
      </c>
      <c r="C54" s="24"/>
      <c r="D54" s="24"/>
      <c r="E54" s="24"/>
      <c r="F54" s="24"/>
      <c r="G54" s="23" t="s">
        <v>75</v>
      </c>
      <c r="H54" s="23"/>
      <c r="I54" s="23"/>
      <c r="J54" s="23"/>
      <c r="K54" s="23"/>
      <c r="L54" s="23" t="s">
        <v>76</v>
      </c>
      <c r="M54" s="23"/>
      <c r="N54" s="23"/>
      <c r="O54" s="23"/>
    </row>
  </sheetData>
  <sheetProtection algorithmName="SHA-512" hashValue="cKe2n7L2qYo/c0h5sgxf+nQN1KY3kLMNfNudQzQ2uQT1sKt8XVvXwIvTTlEgNW+/iO+1twTLqdnasvH4DODTVA==" saltValue="fINMhj39U+dnXp6iTjPajg==" spinCount="100000" sheet="1" objects="1" scenarios="1" selectLockedCells="1"/>
  <mergeCells count="20">
    <mergeCell ref="B1:N1"/>
    <mergeCell ref="P1:W15"/>
    <mergeCell ref="B26:E26"/>
    <mergeCell ref="F26:H26"/>
    <mergeCell ref="I26:N26"/>
    <mergeCell ref="B22:C22"/>
    <mergeCell ref="K22:L22"/>
    <mergeCell ref="B24:C24"/>
    <mergeCell ref="D6:N6"/>
    <mergeCell ref="G11:H11"/>
    <mergeCell ref="I11:J11"/>
    <mergeCell ref="D7:K7"/>
    <mergeCell ref="B13:N18"/>
    <mergeCell ref="B33:E33"/>
    <mergeCell ref="B27:E29"/>
    <mergeCell ref="F27:H29"/>
    <mergeCell ref="I27:J27"/>
    <mergeCell ref="K27:N27"/>
    <mergeCell ref="I28:J29"/>
    <mergeCell ref="K28:N29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55DA-2F35-4848-94E6-F9813F534EC3}">
  <sheetPr codeName="Feuil11"/>
  <dimension ref="A1:E11"/>
  <sheetViews>
    <sheetView showGridLines="0" workbookViewId="0">
      <selection activeCell="B23" sqref="B23"/>
    </sheetView>
  </sheetViews>
  <sheetFormatPr baseColWidth="10" defaultColWidth="11.42578125" defaultRowHeight="15" x14ac:dyDescent="0.25"/>
  <cols>
    <col min="1" max="1" width="10.7109375" customWidth="1"/>
    <col min="2" max="2" width="122.7109375" customWidth="1"/>
    <col min="3" max="3" width="2.7109375" customWidth="1"/>
    <col min="4" max="4" width="20.7109375" customWidth="1"/>
    <col min="5" max="7" width="11.42578125" customWidth="1"/>
    <col min="8" max="8" width="18.7109375" bestFit="1" customWidth="1"/>
    <col min="9" max="9" width="95.42578125" customWidth="1"/>
  </cols>
  <sheetData>
    <row r="1" spans="1:5" s="25" customFormat="1" ht="15" customHeight="1" x14ac:dyDescent="0.3">
      <c r="A1" s="93" t="s">
        <v>77</v>
      </c>
      <c r="B1" s="98" t="s">
        <v>99</v>
      </c>
      <c r="C1"/>
      <c r="E1" s="84"/>
    </row>
    <row r="2" spans="1:5" s="25" customFormat="1" ht="15" customHeight="1" x14ac:dyDescent="0.3">
      <c r="A2" s="97" t="s">
        <v>78</v>
      </c>
      <c r="B2" s="99"/>
      <c r="C2"/>
    </row>
    <row r="3" spans="1:5" s="25" customFormat="1" ht="15" customHeight="1" x14ac:dyDescent="0.3">
      <c r="A3" s="97" t="s">
        <v>79</v>
      </c>
      <c r="B3" s="99"/>
      <c r="C3"/>
      <c r="D3" s="210" t="str">
        <f>HYPERLINK("mailto:"&amp;B1&amp;" ?cc="&amp;B2&amp;" &amp;bcc="&amp;B3&amp;" &amp;subject="&amp;B4&amp;" &amp;body="&amp;B5,"Générer le mail")</f>
        <v>Générer le mail</v>
      </c>
    </row>
    <row r="4" spans="1:5" s="25" customFormat="1" ht="15" customHeight="1" x14ac:dyDescent="0.3">
      <c r="A4" s="47" t="s">
        <v>80</v>
      </c>
      <c r="B4" s="100" t="str">
        <f>CONCATENATE(SIMULATION!E3," // ","SINISTRE PRET N° 0",SIMULATION!F3)</f>
        <v>BOBBY // SINISTRE PRET N° 01234567</v>
      </c>
      <c r="C4"/>
      <c r="D4" s="211"/>
    </row>
    <row r="5" spans="1:5" ht="15" customHeight="1" x14ac:dyDescent="0.25">
      <c r="B5" s="97"/>
    </row>
    <row r="6" spans="1:5" ht="15" customHeight="1" x14ac:dyDescent="0.25">
      <c r="A6" s="92"/>
      <c r="B6" s="94" t="s">
        <v>98</v>
      </c>
    </row>
    <row r="7" spans="1:5" ht="15" customHeight="1" x14ac:dyDescent="0.25">
      <c r="A7" s="92"/>
      <c r="B7" s="94"/>
    </row>
    <row r="8" spans="1:5" ht="15" customHeight="1" x14ac:dyDescent="0.25">
      <c r="A8" s="92"/>
      <c r="B8" s="95" t="str">
        <f>CONCATENATE("Suite à la réception d'un virement de l'assurance"," ",SIMULATION!H3,", ","vous trouverez ci-joint la lettre relative au traitement de ce dossier.")</f>
        <v>Suite à la réception d'un virement de l'assurance ASSUREUR, vous trouverez ci-joint la lettre relative au traitement de ce dossier.</v>
      </c>
      <c r="C8" s="86"/>
      <c r="D8" s="86"/>
    </row>
    <row r="9" spans="1:5" ht="15" customHeight="1" x14ac:dyDescent="0.25">
      <c r="A9" s="92"/>
      <c r="B9" s="96"/>
      <c r="C9" s="85"/>
      <c r="D9" s="86"/>
    </row>
    <row r="10" spans="1:5" ht="15" customHeight="1" x14ac:dyDescent="0.25">
      <c r="A10" s="92"/>
      <c r="B10" s="96" t="s">
        <v>100</v>
      </c>
      <c r="C10" s="86"/>
      <c r="D10" s="87"/>
    </row>
    <row r="11" spans="1:5" x14ac:dyDescent="0.25">
      <c r="B11" s="47"/>
    </row>
  </sheetData>
  <mergeCells count="1">
    <mergeCell ref="D3:D4"/>
  </mergeCells>
  <phoneticPr fontId="4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haredContentType xmlns="Microsoft.SharePoint.Taxonomy.ContentTypeSync" SourceId="c52eb4dc-0ef3-4aa8-8e03-025dbf6c8637" ContentTypeId="0x0101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5723BCC0F33A41B40E244363E17118" ma:contentTypeVersion="8" ma:contentTypeDescription="Crée un document." ma:contentTypeScope="" ma:versionID="bb8da26f80612df4f920acda47e91726">
  <xsd:schema xmlns:xsd="http://www.w3.org/2001/XMLSchema" xmlns:xs="http://www.w3.org/2001/XMLSchema" xmlns:p="http://schemas.microsoft.com/office/2006/metadata/properties" xmlns:ns2="70fdb605-4f36-40ab-9b41-d2fd0fb4a329" xmlns:ns3="f6cd01fe-978d-41eb-87f3-93fa9c0fbd4b" targetNamespace="http://schemas.microsoft.com/office/2006/metadata/properties" ma:root="true" ma:fieldsID="ae5ed54f98ef2b2be11b448170ef896e" ns2:_="" ns3:_="">
    <xsd:import namespace="70fdb605-4f36-40ab-9b41-d2fd0fb4a329"/>
    <xsd:import namespace="f6cd01fe-978d-41eb-87f3-93fa9c0fbd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fdb605-4f36-40ab-9b41-d2fd0fb4a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cd01fe-978d-41eb-87f3-93fa9c0fbd4b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7C104B-3003-4629-9473-485366B6176A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E5658380-8E83-4DB4-9233-5DCF1C0EAD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DEC02C-0DC2-4BD9-8498-53DE3307D2AB}">
  <ds:schemaRefs>
    <ds:schemaRef ds:uri="f6cd01fe-978d-41eb-87f3-93fa9c0fbd4b"/>
    <ds:schemaRef ds:uri="http://purl.org/dc/terms/"/>
    <ds:schemaRef ds:uri="http://schemas.microsoft.com/office/2006/documentManagement/types"/>
    <ds:schemaRef ds:uri="70fdb605-4f36-40ab-9b41-d2fd0fb4a329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86C313D7-96F7-43DA-A7A3-17D89E727D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fdb605-4f36-40ab-9b41-d2fd0fb4a329"/>
    <ds:schemaRef ds:uri="f6cd01fe-978d-41eb-87f3-93fa9c0fbd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SIMULATION</vt:lpstr>
      <vt:lpstr>TA</vt:lpstr>
      <vt:lpstr>PIECE COMPTABLE CHF</vt:lpstr>
      <vt:lpstr>PERTE ET PROFIT CHF</vt:lpstr>
      <vt:lpstr>MAIL EUR</vt:lpstr>
      <vt:lpstr>'PERTE ET PROFIT CHF'!Zone_d_impression</vt:lpstr>
      <vt:lpstr>'PIECE COMPTABLE CHF'!Zone_d_impression</vt:lpstr>
      <vt:lpstr>SIMULATION!Zone_d_impression</vt:lpstr>
    </vt:vector>
  </TitlesOfParts>
  <Manager/>
  <Company>BPCEIT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Yoan.GUEROUX@bpaura.banquepopulaire.fr</dc:creator>
  <cp:keywords/>
  <dc:description/>
  <cp:lastModifiedBy>GUEROUX YOAN (BPAURA)</cp:lastModifiedBy>
  <cp:revision/>
  <cp:lastPrinted>2024-12-31T14:38:58Z</cp:lastPrinted>
  <dcterms:created xsi:type="dcterms:W3CDTF">2020-04-27T06:44:54Z</dcterms:created>
  <dcterms:modified xsi:type="dcterms:W3CDTF">2025-01-06T10:47:04Z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0x010100B45723BCC0F33A41B40E244363E17118</vt:lpwstr>
  </property>
  <property fmtid="{D5CDD505-2E9C-101B-9397-08002B2CF9AE}" pid="3" name="MediaServiceImageTags">
    <vt:lpwstr/>
  </property>
  <property fmtid="{D5CDD505-2E9C-101B-9397-08002B2CF9AE}" pid="4" name="MSIP_Label_48a19f0c-bea1-442e-a475-ed109d9ec508_Enabled">
    <vt:lpwstr>true</vt:lpwstr>
  </property>
  <property fmtid="{D5CDD505-2E9C-101B-9397-08002B2CF9AE}" pid="5" name="MSIP_Label_48a19f0c-bea1-442e-a475-ed109d9ec508_SetDate">
    <vt:lpwstr>2023-10-17T11:46:47Z</vt:lpwstr>
  </property>
  <property fmtid="{D5CDD505-2E9C-101B-9397-08002B2CF9AE}" pid="6" name="MSIP_Label_48a19f0c-bea1-442e-a475-ed109d9ec508_Method">
    <vt:lpwstr>Standard</vt:lpwstr>
  </property>
  <property fmtid="{D5CDD505-2E9C-101B-9397-08002B2CF9AE}" pid="7" name="MSIP_Label_48a19f0c-bea1-442e-a475-ed109d9ec508_Name">
    <vt:lpwstr>48a19f0c-bea1-442e-a475-ed109d9ec508</vt:lpwstr>
  </property>
  <property fmtid="{D5CDD505-2E9C-101B-9397-08002B2CF9AE}" pid="8" name="MSIP_Label_48a19f0c-bea1-442e-a475-ed109d9ec508_SiteId">
    <vt:lpwstr>d5bb6d35-8a82-4329-b49a-5030bd6497ab</vt:lpwstr>
  </property>
  <property fmtid="{D5CDD505-2E9C-101B-9397-08002B2CF9AE}" pid="9" name="MSIP_Label_48a19f0c-bea1-442e-a475-ed109d9ec508_ContentBits">
    <vt:lpwstr>0</vt:lpwstr>
  </property>
</Properties>
</file>