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13_ncr:1_{8F38EBEB-71FA-44E4-86FE-CC26DC2B335C}" xr6:coauthVersionLast="47" xr6:coauthVersionMax="47" xr10:uidLastSave="{00000000-0000-0000-0000-000000000000}"/>
  <bookViews>
    <workbookView xWindow="-120" yWindow="-120" windowWidth="29040" windowHeight="1584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20" l="1"/>
  <c r="G25" i="20"/>
  <c r="C24" i="20"/>
  <c r="S22" i="3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3" i="20"/>
  <c r="F23" i="20"/>
  <c r="F26" i="20" s="1"/>
  <c r="G23" i="20"/>
  <c r="H23" i="20"/>
  <c r="H24" i="20" s="1"/>
  <c r="S25" i="3"/>
  <c r="S24" i="3"/>
  <c r="S23" i="3"/>
  <c r="S18" i="3"/>
  <c r="S17" i="3"/>
  <c r="S16" i="3"/>
  <c r="S15" i="3"/>
  <c r="R15" i="3"/>
  <c r="M15" i="3" s="1"/>
  <c r="R16" i="3"/>
  <c r="M16" i="3" s="1"/>
  <c r="R17" i="3"/>
  <c r="N17" i="3" s="1"/>
  <c r="R18" i="3"/>
  <c r="M18" i="3" s="1"/>
  <c r="R19" i="3"/>
  <c r="M19" i="3" s="1"/>
  <c r="R20" i="3"/>
  <c r="M20" i="3" s="1"/>
  <c r="R21" i="3"/>
  <c r="M21" i="3" s="1"/>
  <c r="R22" i="3"/>
  <c r="M22" i="3" s="1"/>
  <c r="R23" i="3"/>
  <c r="M23" i="3" s="1"/>
  <c r="R24" i="3"/>
  <c r="M24" i="3" s="1"/>
  <c r="R25" i="3"/>
  <c r="M25" i="3" s="1"/>
  <c r="R13" i="3"/>
  <c r="M13" i="3" s="1"/>
  <c r="R14" i="3"/>
  <c r="M14" i="3" s="1"/>
  <c r="E23" i="20" l="1"/>
  <c r="E24" i="20" s="1"/>
  <c r="S19" i="3"/>
  <c r="S20" i="3"/>
  <c r="S21" i="3"/>
  <c r="M17" i="3"/>
  <c r="N24" i="20"/>
  <c r="J9" i="3" s="1"/>
  <c r="N15" i="3"/>
  <c r="N21" i="3"/>
  <c r="N23" i="3"/>
  <c r="N22" i="3"/>
  <c r="N16" i="3"/>
  <c r="N24" i="3"/>
  <c r="N25" i="3"/>
  <c r="N18" i="3"/>
  <c r="N19" i="3"/>
  <c r="N20" i="3"/>
  <c r="G3" i="3"/>
  <c r="J3" i="3" s="1"/>
  <c r="E14" i="3" s="1"/>
  <c r="S14" i="3"/>
  <c r="N14" i="3"/>
  <c r="S13" i="3"/>
  <c r="S12" i="3"/>
  <c r="R12" i="3"/>
  <c r="M12" i="3" s="1"/>
  <c r="D13" i="3"/>
  <c r="C13" i="3"/>
  <c r="S11" i="3"/>
  <c r="R11" i="3"/>
  <c r="S10" i="3"/>
  <c r="R10" i="3"/>
  <c r="S9" i="3"/>
  <c r="R9" i="3"/>
  <c r="M9" i="3" s="1"/>
  <c r="S8" i="3"/>
  <c r="R8" i="3"/>
  <c r="M8" i="3" s="1"/>
  <c r="S7" i="3"/>
  <c r="R7" i="3"/>
  <c r="H25" i="20"/>
  <c r="D8" i="3"/>
  <c r="D25" i="20"/>
  <c r="E25" i="20" l="1"/>
  <c r="N7" i="3"/>
  <c r="M7" i="3"/>
  <c r="N11" i="3"/>
  <c r="M11" i="3"/>
  <c r="N10" i="3"/>
  <c r="M10" i="3"/>
  <c r="C14" i="3"/>
  <c r="N13" i="3"/>
  <c r="N9" i="3"/>
  <c r="N12" i="3"/>
  <c r="N8" i="3"/>
  <c r="H7" i="3"/>
  <c r="H9" i="3" l="1"/>
  <c r="F24" i="20" s="1"/>
  <c r="D24" i="20" s="1"/>
  <c r="C7" i="3" s="1"/>
  <c r="B8" i="17"/>
  <c r="B4" i="17"/>
  <c r="E11" i="3" l="1"/>
  <c r="D3" i="17"/>
  <c r="D7" i="3" l="1"/>
  <c r="D10" i="3" l="1" a="1"/>
  <c r="D10" i="3" s="1"/>
  <c r="C10" i="3" a="1"/>
  <c r="C10" i="3" s="1"/>
  <c r="C11" i="3" s="1"/>
  <c r="D11" i="3" l="1"/>
  <c r="C12" i="3" s="1"/>
  <c r="C15" i="3"/>
  <c r="E10" i="7"/>
  <c r="C10" i="7"/>
  <c r="H5" i="7"/>
  <c r="H8" i="7" s="1"/>
  <c r="D6" i="7"/>
  <c r="E8" i="7" s="1"/>
  <c r="D5" i="7"/>
  <c r="B27" i="8" s="1"/>
  <c r="B5" i="7"/>
  <c r="B7" i="7" s="1"/>
  <c r="K28" i="8" l="1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</authors>
  <commentList>
    <comment ref="D8" authorId="0" shapeId="0" xr:uid="{CB6902AA-61DD-4E52-AEE1-451190945435}">
      <text>
        <r>
          <rPr>
            <sz val="10"/>
            <color indexed="81"/>
            <rFont val="Tahoma"/>
            <family val="2"/>
          </rPr>
          <t>Si des frais d'avenant remontent, il faut les mettre à 0 dans le tableau d'amortissement</t>
        </r>
      </text>
    </comment>
    <comment ref="D10" authorId="0" shapeId="0" xr:uid="{7F43C2E7-D732-4097-968A-A2550D8F3C8E}">
      <text>
        <r>
          <rPr>
            <sz val="10"/>
            <color indexed="81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indexed="81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<sst xmlns="http://schemas.openxmlformats.org/spreadsheetml/2006/main" count="157" uniqueCount="121">
  <si>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</si>
  <si>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</si>
  <si>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</si>
  <si>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</si>
  <si>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</si>
  <si>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</si>
  <si>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</si>
  <si>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</si>
  <si>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</si>
  <si>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</si>
  <si>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</si>
  <si>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</si>
  <si>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</si>
  <si>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</si>
  <si>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</si>
  <si>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</si>
  <si>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</si>
  <si>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</si>
  <si>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</si>
  <si>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</si>
  <si>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</si>
  <si>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</si>
  <si>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</si>
  <si>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</si>
  <si>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</si>
  <si>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</si>
  <si>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</si>
  <si>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</si>
  <si>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</si>
  <si>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</si>
  <si>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</si>
  <si>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</si>
  <si>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</si>
  <si>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</si>
  <si>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</si>
  <si>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</si>
  <si>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</si>
  <si>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</si>
  <si>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</si>
  <si>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</si>
  <si>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</si>
  <si>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</si>
  <si>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</si>
  <si>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</si>
  <si>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</si>
  <si>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</si>
  <si>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</si>
  <si>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</si>
  <si>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</si>
  <si>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</si>
  <si>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</si>
  <si>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</si>
  <si>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</si>
  <si>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</si>
  <si>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</si>
  <si>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</si>
  <si>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</si>
  <si>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</si>
  <si>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</si>
  <si>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</si>
  <si>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</si>
  <si>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</si>
  <si>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</si>
  <si>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</si>
  <si>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</si>
  <si>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</si>
  <si>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</si>
  <si>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</si>
  <si>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</si>
  <si>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</si>
  <si>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</si>
  <si>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</si>
  <si>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</si>
  <si>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</si>
  <si>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</si>
  <si>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</si>
  <si>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</si>
  <si>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</si>
  <si>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</si>
  <si>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</si>
  <si>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</si>
  <si>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</si>
  <si>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</si>
  <si>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</si>
  <si>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</si>
  <si>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</si>
  <si>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</si>
  <si>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</si>
  <si>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</si>
  <si>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</si>
  <si>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</si>
  <si>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</si>
  <si>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</si>
  <si>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</si>
  <si>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</si>
  <si>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</si>
  <si>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Comapgnie d'assurance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</si>
  <si>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</si>
  <si>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</si>
  <si>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</si>
  <si>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</si>
  <si>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</si>
  <si>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</si>
  <si>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Montant pris en charge par l'assurance</t>
  </si>
  <si>
    <t>Frais accessoires / socama</t>
  </si>
  <si>
    <t>Taux de cotisation</t>
  </si>
  <si>
    <t>Commission BPI 
à prélever au client</t>
  </si>
  <si>
    <t>Nominal
cotisation fixe</t>
  </si>
  <si>
    <t>Calculatrice pour quotité d'assurance inférieure à 100 %</t>
  </si>
  <si>
    <t>Capital restant dû
cotisation dégressive</t>
  </si>
  <si>
    <t>Assurance à 100%</t>
  </si>
  <si>
    <t>Montant cotisation(s)</t>
  </si>
  <si>
    <t>Assurance externe / Kereis</t>
  </si>
  <si>
    <t>Détail des cotisations
d'assurance à rembourser</t>
  </si>
  <si>
    <t>ECH</t>
  </si>
  <si>
    <t>EUR - EURO</t>
  </si>
  <si>
    <r>
      <rPr>
        <b/>
        <sz val="11"/>
        <color rgb="FFFF0000"/>
        <rFont val="Calibri"/>
        <family val="2"/>
        <scheme val="minor"/>
      </rPr>
      <t xml:space="preserve">DEBIT
</t>
    </r>
    <r>
      <rPr>
        <sz val="11"/>
        <rFont val="Calibri"/>
        <family val="2"/>
        <scheme val="minor"/>
      </rPr>
      <t xml:space="preserve">compte sinistre </t>
    </r>
  </si>
  <si>
    <r>
      <rPr>
        <b/>
        <sz val="11"/>
        <color rgb="FF00B050"/>
        <rFont val="Calibri"/>
        <family val="2"/>
        <scheme val="minor"/>
      </rPr>
      <t>CREDIT</t>
    </r>
    <r>
      <rPr>
        <b/>
        <sz val="11"/>
        <color theme="0"/>
        <rFont val="Calibri"/>
        <family val="2"/>
        <scheme val="minor"/>
      </rPr>
      <t xml:space="preserve"> 
</t>
    </r>
    <r>
      <rPr>
        <sz val="11"/>
        <rFont val="Calibri"/>
        <family val="2"/>
        <scheme val="minor"/>
      </rPr>
      <t xml:space="preserve">compte sinistre </t>
    </r>
  </si>
  <si>
    <t>BOB</t>
  </si>
  <si>
    <t>1234567</t>
  </si>
  <si>
    <t>ASSUREUR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</si>
</sst>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1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5" fillId="0" borderId="0"/>
    <xf numFmtId="0" fontId="37" fillId="0" borderId="0" applyNumberFormat="0" applyFill="0" applyBorder="0" applyAlignment="0" applyProtection="0"/>
    <xf numFmtId="0" fontId="45" fillId="10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9" fontId="45" fillId="0" borderId="0" applyFont="0" applyFill="0" applyBorder="0" applyAlignment="0" applyProtection="0"/>
  </cellStyleXfs>
  <cellXfs count="219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30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15" fillId="0" borderId="0" xfId="0" applyFont="1"/>
    <xf numFmtId="0" fontId="38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9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43" fillId="0" borderId="0" xfId="0" applyFont="1" applyProtection="1">
      <protection locked="0"/>
    </xf>
    <xf numFmtId="0" fontId="0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wrapText="1"/>
      <protection locked="0"/>
    </xf>
    <xf numFmtId="0" fontId="0" fillId="0" borderId="0" xfId="0" applyFont="1" applyAlignment="1" applyProtection="1">
      <alignment wrapText="1"/>
      <protection locked="0"/>
    </xf>
    <xf numFmtId="0" fontId="0" fillId="7" borderId="0" xfId="0" applyFont="1" applyFill="1" applyBorder="1" applyAlignment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6" fillId="0" borderId="0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9" fillId="14" borderId="14" xfId="0" applyFont="1" applyFill="1" applyBorder="1" applyAlignment="1" applyProtection="1">
      <alignment horizontal="centerContinuous" vertical="center"/>
    </xf>
    <xf numFmtId="0" fontId="48" fillId="14" borderId="2" xfId="0" applyFont="1" applyFill="1" applyBorder="1" applyAlignment="1" applyProtection="1">
      <alignment horizontal="centerContinuous" vertical="center"/>
    </xf>
    <xf numFmtId="0" fontId="50" fillId="0" borderId="0" xfId="0" applyFont="1" applyProtection="1">
      <protection locked="0"/>
    </xf>
    <xf numFmtId="0" fontId="46" fillId="6" borderId="4" xfId="0" applyFont="1" applyFill="1" applyBorder="1" applyAlignment="1" applyProtection="1">
      <alignment horizontal="center" vertical="center" wrapText="1"/>
      <protection locked="0"/>
    </xf>
    <xf numFmtId="1" fontId="46" fillId="6" borderId="4" xfId="0" applyNumberFormat="1" applyFont="1" applyFill="1" applyBorder="1" applyAlignment="1" applyProtection="1">
      <alignment horizontal="center" vertical="center"/>
      <protection locked="0"/>
    </xf>
    <xf numFmtId="14" fontId="46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ont="1" applyFill="1" applyBorder="1" applyAlignment="1" applyProtection="1">
      <alignment horizontal="center" vertical="center"/>
      <protection locked="0"/>
    </xf>
    <xf numFmtId="0" fontId="46" fillId="6" borderId="4" xfId="0" applyFont="1" applyFill="1" applyBorder="1" applyAlignment="1" applyProtection="1">
      <alignment horizontal="center" vertical="center"/>
      <protection locked="0"/>
    </xf>
    <xf numFmtId="49" fontId="46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ont="1" applyFill="1" applyBorder="1" applyAlignment="1" applyProtection="1">
      <alignment horizontal="center" vertical="center"/>
      <protection locked="0"/>
    </xf>
    <xf numFmtId="10" fontId="0" fillId="6" borderId="4" xfId="0" applyNumberFormat="1" applyFont="1" applyFill="1" applyBorder="1" applyAlignment="1" applyProtection="1">
      <alignment horizontal="center" vertical="center"/>
      <protection locked="0"/>
    </xf>
    <xf numFmtId="0" fontId="45" fillId="0" borderId="0" xfId="0" applyFont="1" applyProtection="1">
      <protection locked="0"/>
    </xf>
    <xf numFmtId="4" fontId="45" fillId="0" borderId="0" xfId="0" applyNumberFormat="1" applyFont="1" applyProtection="1">
      <protection locked="0"/>
    </xf>
    <xf numFmtId="0" fontId="2" fillId="13" borderId="4" xfId="0" applyFont="1" applyFill="1" applyBorder="1" applyAlignment="1" applyProtection="1">
      <alignment horizontal="left" vertical="center"/>
    </xf>
    <xf numFmtId="0" fontId="46" fillId="3" borderId="4" xfId="0" applyFont="1" applyFill="1" applyBorder="1" applyAlignment="1" applyProtection="1">
      <alignment horizontal="center" vertical="center"/>
    </xf>
    <xf numFmtId="0" fontId="1" fillId="3" borderId="4" xfId="5" applyFont="1" applyFill="1" applyBorder="1" applyAlignment="1" applyProtection="1">
      <alignment horizontal="center" vertical="center" wrapText="1"/>
      <protection locked="0"/>
    </xf>
    <xf numFmtId="0" fontId="18" fillId="3" borderId="4" xfId="5" applyFont="1" applyFill="1" applyBorder="1" applyAlignment="1" applyProtection="1">
      <alignment horizontal="center" vertical="center" wrapText="1"/>
      <protection locked="0"/>
    </xf>
    <xf numFmtId="0" fontId="38" fillId="0" borderId="0" xfId="0" applyFont="1" applyAlignment="1">
      <alignment horizontal="center"/>
    </xf>
    <xf numFmtId="0" fontId="0" fillId="0" borderId="0" xfId="0" applyFont="1"/>
    <xf numFmtId="0" fontId="0" fillId="7" borderId="0" xfId="0" applyFont="1" applyFill="1" applyAlignment="1">
      <alignment horizontal="left" wrapText="1"/>
    </xf>
    <xf numFmtId="0" fontId="0" fillId="7" borderId="0" xfId="0" applyFont="1" applyFill="1"/>
    <xf numFmtId="0" fontId="15" fillId="7" borderId="0" xfId="0" applyFont="1" applyFill="1"/>
    <xf numFmtId="0" fontId="0" fillId="0" borderId="0" xfId="0" applyFill="1"/>
    <xf numFmtId="0" fontId="0" fillId="0" borderId="31" xfId="0" applyFont="1" applyBorder="1" applyAlignment="1">
      <alignment vertical="top" wrapText="1"/>
    </xf>
    <xf numFmtId="0" fontId="0" fillId="0" borderId="32" xfId="0" applyFont="1" applyBorder="1" applyAlignment="1">
      <alignment vertical="top" wrapText="1"/>
    </xf>
    <xf numFmtId="0" fontId="0" fillId="7" borderId="32" xfId="0" applyFont="1" applyFill="1" applyBorder="1"/>
    <xf numFmtId="0" fontId="0" fillId="7" borderId="32" xfId="0" applyFont="1" applyFill="1" applyBorder="1" applyAlignment="1">
      <alignment horizontal="left"/>
    </xf>
    <xf numFmtId="0" fontId="2" fillId="0" borderId="0" xfId="0" applyFont="1"/>
    <xf numFmtId="0" fontId="0" fillId="0" borderId="33" xfId="0" applyFont="1" applyBorder="1"/>
    <xf numFmtId="0" fontId="0" fillId="0" borderId="5" xfId="0" applyFont="1" applyBorder="1" applyAlignment="1">
      <alignment vertical="top" wrapText="1"/>
    </xf>
    <xf numFmtId="0" fontId="0" fillId="7" borderId="5" xfId="0" applyFont="1" applyFill="1" applyBorder="1"/>
    <xf numFmtId="0" fontId="0" fillId="7" borderId="5" xfId="0" applyFont="1" applyFill="1" applyBorder="1" applyAlignment="1">
      <alignment horizontal="left"/>
    </xf>
    <xf numFmtId="0" fontId="0" fillId="0" borderId="5" xfId="0" applyFont="1" applyBorder="1"/>
    <xf numFmtId="0" fontId="0" fillId="0" borderId="9" xfId="0" applyFill="1" applyBorder="1"/>
    <xf numFmtId="0" fontId="0" fillId="0" borderId="7" xfId="0" applyFont="1" applyBorder="1" applyProtection="1">
      <protection locked="0"/>
    </xf>
    <xf numFmtId="0" fontId="0" fillId="0" borderId="11" xfId="0" applyFont="1" applyBorder="1"/>
    <xf numFmtId="0" fontId="0" fillId="0" borderId="15" xfId="0" applyFont="1" applyBorder="1"/>
    <xf numFmtId="4" fontId="0" fillId="6" borderId="4" xfId="0" applyNumberFormat="1" applyFont="1" applyFill="1" applyBorder="1" applyAlignment="1" applyProtection="1">
      <alignment horizontal="center" vertical="center"/>
    </xf>
    <xf numFmtId="0" fontId="21" fillId="11" borderId="29" xfId="0" applyFont="1" applyFill="1" applyBorder="1" applyAlignment="1" applyProtection="1">
      <alignment horizontal="center" vertical="center"/>
      <protection locked="0"/>
    </xf>
    <xf numFmtId="14" fontId="21" fillId="11" borderId="29" xfId="0" applyNumberFormat="1" applyFont="1" applyFill="1" applyBorder="1" applyAlignment="1" applyProtection="1">
      <alignment horizontal="center" vertical="center"/>
      <protection locked="0"/>
    </xf>
    <xf numFmtId="4" fontId="21" fillId="11" borderId="29" xfId="0" applyNumberFormat="1" applyFont="1" applyFill="1" applyBorder="1" applyAlignment="1" applyProtection="1">
      <alignment horizontal="center" vertical="center"/>
      <protection locked="0"/>
    </xf>
    <xf numFmtId="0" fontId="21" fillId="11" borderId="30" xfId="0" applyFont="1" applyFill="1" applyBorder="1" applyAlignment="1" applyProtection="1">
      <alignment horizontal="center" vertical="center"/>
      <protection locked="0"/>
    </xf>
    <xf numFmtId="14" fontId="21" fillId="11" borderId="30" xfId="0" applyNumberFormat="1" applyFont="1" applyFill="1" applyBorder="1" applyAlignment="1" applyProtection="1">
      <alignment horizontal="center" vertical="center"/>
      <protection locked="0"/>
    </xf>
    <xf numFmtId="4" fontId="21" fillId="11" borderId="30" xfId="0" applyNumberFormat="1" applyFont="1" applyFill="1" applyBorder="1" applyAlignment="1" applyProtection="1">
      <alignment horizontal="center" vertical="center"/>
      <protection locked="0"/>
    </xf>
    <xf numFmtId="4" fontId="45" fillId="10" borderId="15" xfId="4" applyNumberFormat="1" applyBorder="1" applyAlignment="1" applyProtection="1">
      <alignment horizontal="center" vertical="center"/>
    </xf>
    <xf numFmtId="0" fontId="0" fillId="9" borderId="34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 applyProtection="1">
      <alignment horizontal="center" vertical="center"/>
    </xf>
    <xf numFmtId="4" fontId="0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 applyProtection="1">
      <alignment horizontal="left" vertical="center"/>
    </xf>
    <xf numFmtId="168" fontId="0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8" xfId="0" applyFont="1" applyFill="1" applyBorder="1" applyAlignment="1" applyProtection="1">
      <alignment horizontal="left" vertical="center" wrapText="1"/>
    </xf>
    <xf numFmtId="49" fontId="0" fillId="0" borderId="0" xfId="0" applyNumberFormat="1" applyProtection="1"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45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2" fillId="13" borderId="4" xfId="0" applyNumberFormat="1" applyFont="1" applyFill="1" applyBorder="1" applyAlignment="1" applyProtection="1">
      <alignment horizontal="left" vertical="center"/>
      <protection hidden="1"/>
    </xf>
    <xf numFmtId="0" fontId="2" fillId="13" borderId="4" xfId="0" applyFont="1" applyFill="1" applyBorder="1" applyAlignment="1" applyProtection="1">
      <alignment horizontal="left" vertical="center"/>
      <protection hidden="1"/>
    </xf>
    <xf numFmtId="0" fontId="0" fillId="7" borderId="13" xfId="0" applyFont="1" applyFill="1" applyBorder="1" applyAlignment="1">
      <alignment horizontal="center" vertical="center" wrapText="1"/>
    </xf>
    <xf numFmtId="0" fontId="0" fillId="9" borderId="34" xfId="0" applyFont="1" applyFill="1" applyBorder="1" applyAlignment="1" applyProtection="1">
      <alignment horizontal="center" vertical="center" wrapText="1"/>
    </xf>
    <xf numFmtId="4" fontId="21" fillId="17" borderId="4" xfId="0" applyNumberFormat="1" applyFont="1" applyFill="1" applyBorder="1" applyAlignment="1" applyProtection="1">
      <alignment horizontal="center" vertical="center"/>
    </xf>
    <xf numFmtId="0" fontId="2" fillId="13" borderId="4" xfId="0" applyFont="1" applyFill="1" applyBorder="1" applyAlignment="1" applyProtection="1">
      <alignment horizontal="left" vertical="center" wrapText="1"/>
    </xf>
    <xf numFmtId="4" fontId="45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 applyProtection="1">
      <alignment horizontal="center" vertical="center" wrapText="1"/>
    </xf>
    <xf numFmtId="4" fontId="45" fillId="6" borderId="4" xfId="0" applyNumberFormat="1" applyFont="1" applyFill="1" applyBorder="1" applyAlignment="1" applyProtection="1">
      <alignment horizontal="center" vertical="center"/>
      <protection locked="0"/>
    </xf>
    <xf numFmtId="0" fontId="21" fillId="11" borderId="37" xfId="0" applyFont="1" applyFill="1" applyBorder="1" applyAlignment="1" applyProtection="1">
      <alignment horizontal="center" vertical="center"/>
      <protection locked="0"/>
    </xf>
    <xf numFmtId="14" fontId="21" fillId="11" borderId="37" xfId="0" applyNumberFormat="1" applyFont="1" applyFill="1" applyBorder="1" applyAlignment="1" applyProtection="1">
      <alignment horizontal="center" vertical="center"/>
      <protection locked="0"/>
    </xf>
    <xf numFmtId="4" fontId="21" fillId="11" borderId="37" xfId="0" applyNumberFormat="1" applyFont="1" applyFill="1" applyBorder="1" applyAlignment="1" applyProtection="1">
      <alignment horizontal="center" vertical="center"/>
      <protection locked="0"/>
    </xf>
    <xf numFmtId="4" fontId="45" fillId="6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Font="1" applyAlignment="1" applyProtection="1">
      <alignment horizontal="center" vertical="center"/>
      <protection locked="0"/>
    </xf>
    <xf numFmtId="169" fontId="21" fillId="0" borderId="0" xfId="0" applyNumberFormat="1" applyFont="1" applyAlignment="1">
      <alignment horizontal="center" vertical="center"/>
    </xf>
    <xf numFmtId="4" fontId="45" fillId="10" borderId="29" xfId="4" applyNumberFormat="1" applyBorder="1" applyAlignment="1" applyProtection="1">
      <alignment horizontal="center" vertical="center"/>
      <protection locked="0"/>
    </xf>
    <xf numFmtId="4" fontId="45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ont="1" applyFill="1" applyBorder="1" applyAlignment="1" applyProtection="1">
      <alignment horizontal="center" vertical="center"/>
      <protection hidden="1"/>
    </xf>
    <xf numFmtId="4" fontId="45" fillId="6" borderId="4" xfId="0" applyNumberFormat="1" applyFont="1" applyFill="1" applyBorder="1" applyAlignment="1" applyProtection="1">
      <alignment horizontal="center" vertical="center"/>
      <protection locked="0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5" fillId="0" borderId="4" xfId="0" applyNumberFormat="1" applyFont="1" applyBorder="1" applyAlignment="1" applyProtection="1">
      <alignment horizontal="center" vertical="center"/>
      <protection hidden="1"/>
    </xf>
    <xf numFmtId="2" fontId="0" fillId="9" borderId="34" xfId="7" applyNumberFormat="1" applyFont="1" applyFill="1" applyBorder="1" applyAlignment="1" applyProtection="1">
      <alignment horizontal="center" vertical="center" wrapText="1"/>
      <protection hidden="1"/>
    </xf>
    <xf numFmtId="4" fontId="45" fillId="10" borderId="35" xfId="4" applyNumberFormat="1" applyBorder="1" applyAlignment="1" applyProtection="1">
      <alignment horizontal="center" vertical="center"/>
      <protection hidden="1"/>
    </xf>
    <xf numFmtId="4" fontId="45" fillId="10" borderId="36" xfId="4" applyNumberFormat="1" applyBorder="1" applyAlignment="1" applyProtection="1">
      <alignment horizontal="center" vertical="center"/>
      <protection hidden="1"/>
    </xf>
    <xf numFmtId="4" fontId="21" fillId="17" borderId="36" xfId="0" applyNumberFormat="1" applyFont="1" applyFill="1" applyBorder="1" applyAlignment="1" applyProtection="1">
      <alignment horizontal="center" vertical="center"/>
      <protection hidden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3" xfId="0" applyFont="1" applyFill="1" applyBorder="1" applyAlignment="1">
      <alignment horizontal="center" vertical="center"/>
    </xf>
    <xf numFmtId="0" fontId="2" fillId="13" borderId="4" xfId="0" applyFont="1" applyFill="1" applyBorder="1" applyAlignment="1" applyProtection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5" fillId="0" borderId="1" xfId="0" applyNumberFormat="1" applyFont="1" applyBorder="1" applyAlignment="1" applyProtection="1">
      <alignment horizontal="center" vertical="center"/>
      <protection hidden="1"/>
    </xf>
    <xf numFmtId="4" fontId="45" fillId="0" borderId="3" xfId="0" applyNumberFormat="1" applyFont="1" applyBorder="1" applyAlignment="1" applyProtection="1">
      <alignment horizontal="center" vertical="center"/>
      <protection hidden="1"/>
    </xf>
    <xf numFmtId="0" fontId="2" fillId="16" borderId="10" xfId="0" applyFont="1" applyFill="1" applyBorder="1" applyAlignment="1" applyProtection="1">
      <alignment horizontal="center" vertical="center" wrapText="1"/>
    </xf>
    <xf numFmtId="0" fontId="2" fillId="16" borderId="14" xfId="0" applyFont="1" applyFill="1" applyBorder="1" applyAlignment="1" applyProtection="1">
      <alignment horizontal="center" vertical="center" wrapText="1"/>
    </xf>
    <xf numFmtId="4" fontId="0" fillId="6" borderId="33" xfId="0" applyNumberFormat="1" applyFon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3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 applyProtection="1">
      <alignment horizontal="left" vertical="center" wrapText="1"/>
    </xf>
    <xf numFmtId="4" fontId="45" fillId="6" borderId="4" xfId="0" applyNumberFormat="1" applyFont="1" applyFill="1" applyBorder="1" applyAlignment="1" applyProtection="1">
      <alignment horizontal="center" vertical="center"/>
      <protection hidden="1"/>
    </xf>
    <xf numFmtId="4" fontId="45" fillId="0" borderId="4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9" fillId="3" borderId="26" xfId="0" applyFont="1" applyFill="1" applyBorder="1" applyAlignment="1">
      <alignment horizontal="center" vertical="center"/>
    </xf>
    <xf numFmtId="0" fontId="39" fillId="3" borderId="27" xfId="0" applyFont="1" applyFill="1" applyBorder="1" applyAlignment="1">
      <alignment horizontal="center" vertical="center"/>
    </xf>
    <xf numFmtId="0" fontId="39" fillId="3" borderId="2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 applyAlignment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 applyAlignment="1"/>
    <xf numFmtId="0" fontId="3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4" xfId="0" applyFont="1" applyBorder="1" applyAlignment="1">
      <alignment horizontal="center"/>
    </xf>
    <xf numFmtId="0" fontId="28" fillId="0" borderId="0" xfId="0" applyFont="1" applyAlignment="1">
      <alignment horizontal="left" vertical="center"/>
    </xf>
    <xf numFmtId="0" fontId="20" fillId="0" borderId="0" xfId="0" applyFont="1" applyAlignment="1">
      <alignment horizontal="left"/>
    </xf>
    <xf numFmtId="0" fontId="39" fillId="3" borderId="1" xfId="0" applyFont="1" applyFill="1" applyBorder="1" applyAlignment="1">
      <alignment horizontal="center" vertical="center"/>
    </xf>
    <xf numFmtId="0" fontId="39" fillId="3" borderId="2" xfId="0" applyFont="1" applyFill="1" applyBorder="1" applyAlignment="1">
      <alignment horizontal="center" vertical="center"/>
    </xf>
    <xf numFmtId="0" fontId="39" fillId="3" borderId="3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4" fontId="15" fillId="0" borderId="4" xfId="0" applyNumberFormat="1" applyFont="1" applyBorder="1" applyAlignment="1">
      <alignment horizontal="center" vertical="center"/>
    </xf>
    <xf numFmtId="0" fontId="37" fillId="5" borderId="4" xfId="3" applyFill="1" applyBorder="1" applyAlignment="1" applyProtection="1">
      <alignment horizontal="center" vertical="center"/>
      <protection locked="0"/>
    </xf>
    <xf numFmtId="0" fontId="52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1</xdr:col>
          <xdr:colOff>781050</xdr:colOff>
          <xdr:row>0</xdr:row>
          <xdr:rowOff>371475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62725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X33"/>
  <sheetViews>
    <sheetView showGridLines="0" tabSelected="1" zoomScaleNormal="100" workbookViewId="0">
      <selection activeCell="Q9" sqref="Q9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2.7109375" style="42" customWidth="1"/>
    <col min="8" max="8" width="18.7109375" style="26" customWidth="1"/>
    <col min="9" max="9" width="22.7109375" style="26" customWidth="1"/>
    <col min="10" max="10" width="18.7109375" style="26" customWidth="1"/>
    <col min="11" max="12" width="10.7109375" style="26" customWidth="1"/>
    <col min="13" max="13" width="24.7109375" style="26" hidden="1" customWidth="1"/>
    <col min="14" max="14" width="10.7109375" style="26" hidden="1" customWidth="1"/>
    <col min="15" max="17" width="8.7109375" style="26" customWidth="1"/>
    <col min="18" max="18" width="24.7109375" style="26" hidden="1" customWidth="1"/>
    <col min="19" max="19" width="10.7109375" style="26" hidden="1" customWidth="1"/>
    <col min="20" max="22" width="8.42578125" style="26" customWidth="1"/>
    <col min="23" max="23" width="12.140625" style="42" customWidth="1"/>
    <col min="24" max="25" width="12.140625" style="26" customWidth="1"/>
    <col min="26" max="16384" width="11.42578125" style="26"/>
  </cols>
  <sheetData>
    <row r="1" spans="1:24" s="72" customFormat="1" ht="33.950000000000003" customHeight="1" x14ac:dyDescent="0.25">
      <c r="A1" s="73" t="s">
        <v>102</v>
      </c>
      <c r="B1" s="74"/>
      <c r="C1" s="74"/>
      <c r="D1" s="74"/>
      <c r="E1" s="74"/>
      <c r="F1" s="74"/>
      <c r="G1" s="74"/>
      <c r="H1" s="74"/>
      <c r="I1" s="74"/>
      <c r="J1" s="74"/>
      <c r="K1" s="69"/>
      <c r="L1" s="69"/>
      <c r="M1" s="70"/>
      <c r="N1" s="70"/>
      <c r="O1" s="70"/>
      <c r="P1" s="70"/>
      <c r="Q1" s="70"/>
      <c r="R1" s="70"/>
      <c r="S1" s="70"/>
      <c r="T1" s="70"/>
      <c r="U1" s="70"/>
      <c r="V1" s="70"/>
      <c r="W1" s="71"/>
    </row>
    <row r="2" spans="1:24" ht="30" customHeight="1" x14ac:dyDescent="0.25">
      <c r="A2" s="137" t="s">
        <v>81</v>
      </c>
      <c r="B2" s="137" t="s">
        <v>92</v>
      </c>
      <c r="C2" s="137" t="s">
        <v>84</v>
      </c>
      <c r="D2" s="120" t="s">
        <v>82</v>
      </c>
      <c r="E2" s="120" t="s">
        <v>91</v>
      </c>
      <c r="F2" s="120" t="s">
        <v>83</v>
      </c>
      <c r="G2" s="137" t="s">
        <v>93</v>
      </c>
      <c r="H2" s="137" t="s">
        <v>96</v>
      </c>
      <c r="I2" s="137" t="s">
        <v>94</v>
      </c>
      <c r="J2" s="137" t="s">
        <v>103</v>
      </c>
    </row>
    <row r="3" spans="1:24" ht="30" customHeight="1" x14ac:dyDescent="0.25">
      <c r="A3" s="77">
        <v>0</v>
      </c>
      <c r="B3" s="76" t="s">
        <v>118</v>
      </c>
      <c r="C3" s="79">
        <v>45609</v>
      </c>
      <c r="D3" s="78">
        <v>45561</v>
      </c>
      <c r="E3" s="80" t="s">
        <v>118</v>
      </c>
      <c r="F3" s="81" t="s">
        <v>119</v>
      </c>
      <c r="G3" s="110">
        <f>TA!J2</f>
        <v>19867.61</v>
      </c>
      <c r="H3" s="82" t="s">
        <v>120</v>
      </c>
      <c r="I3" s="83">
        <v>0.7</v>
      </c>
      <c r="J3" s="149">
        <f>G3*I3</f>
        <v>13907.326999999999</v>
      </c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</row>
    <row r="4" spans="1:24" ht="6" customHeight="1" x14ac:dyDescent="0.25">
      <c r="B4" s="75"/>
      <c r="D4" s="75"/>
      <c r="E4" s="75"/>
      <c r="F4" s="75"/>
      <c r="G4" s="75"/>
      <c r="H4" s="75"/>
      <c r="I4" s="75"/>
      <c r="J4" s="75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</row>
    <row r="5" spans="1:24" ht="30" customHeight="1" x14ac:dyDescent="0.25">
      <c r="B5" s="84"/>
      <c r="C5" s="89" t="s">
        <v>116</v>
      </c>
      <c r="D5" s="88" t="s">
        <v>117</v>
      </c>
      <c r="F5" s="85"/>
      <c r="K5" s="42"/>
      <c r="S5" s="42"/>
      <c r="T5" s="42"/>
      <c r="U5" s="42"/>
      <c r="V5" s="42"/>
    </row>
    <row r="6" spans="1:24" ht="30" customHeight="1" x14ac:dyDescent="0.25">
      <c r="B6" s="135" t="s">
        <v>0</v>
      </c>
      <c r="C6" s="136"/>
      <c r="D6" s="136">
        <v>13926.41</v>
      </c>
      <c r="E6" s="135" t="s">
        <v>1</v>
      </c>
      <c r="G6" s="164" t="s">
        <v>108</v>
      </c>
      <c r="H6" s="165"/>
      <c r="I6" s="165"/>
      <c r="J6" s="165"/>
      <c r="K6" s="58"/>
      <c r="M6" s="157" t="s">
        <v>113</v>
      </c>
      <c r="N6" s="158"/>
      <c r="R6" s="58"/>
      <c r="S6" s="58"/>
      <c r="T6" s="58"/>
      <c r="U6" s="58"/>
      <c r="V6" s="58"/>
    </row>
    <row r="7" spans="1:24" ht="30" customHeight="1" x14ac:dyDescent="0.25">
      <c r="B7" s="170" t="s">
        <v>2</v>
      </c>
      <c r="C7" s="171">
        <f>IF(C9&gt;0,IF(TA!F26=0,TA!D25,TA!D24)-C9,IF(TA!F26=0,TA!D25,TA!D24))</f>
        <v>1886.5559999999998</v>
      </c>
      <c r="D7" s="148">
        <f>IF(AND(H8&lt;&gt;0,J8&lt;&gt;0),0,IF(H8&gt;0,H9,J9))</f>
        <v>0</v>
      </c>
      <c r="E7" s="135" t="s">
        <v>90</v>
      </c>
      <c r="G7" s="124" t="s">
        <v>109</v>
      </c>
      <c r="H7" s="149">
        <f>J3</f>
        <v>13907.326999999999</v>
      </c>
      <c r="I7" s="124" t="s">
        <v>107</v>
      </c>
      <c r="J7" s="121"/>
      <c r="K7" s="62"/>
      <c r="M7" s="130" t="str">
        <f>IF(ISERROR(SEARCH("Cotisation du 00/01/1900",R7)),CONCATENATE("Cotisation ",TEXT(TA!B3,"jj/mm/aaaa"))," ")</f>
        <v>Cotisation 07/10/2024</v>
      </c>
      <c r="N7" s="149">
        <f>IF(ISERROR(SEARCH("Cotisation du 00/01/1900",R7)),(TA!J2*H8)/12*I3," ")</f>
        <v>0</v>
      </c>
      <c r="Q7" s="58"/>
      <c r="R7" s="130" t="str">
        <f>CONCATENATE("Cotisation du ",TEXT(TA!B3,"jj/mm/aaaa"))</f>
        <v>Cotisation du 07/10/2024</v>
      </c>
      <c r="S7" s="150">
        <f>(TA!J2*H8)/12*I3</f>
        <v>0</v>
      </c>
      <c r="T7" s="58"/>
      <c r="U7" s="58"/>
      <c r="V7" s="58"/>
    </row>
    <row r="8" spans="1:24" ht="30" customHeight="1" x14ac:dyDescent="0.25">
      <c r="B8" s="170"/>
      <c r="C8" s="171"/>
      <c r="D8" s="148">
        <f>TA!G25</f>
        <v>0</v>
      </c>
      <c r="E8" s="86" t="s">
        <v>104</v>
      </c>
      <c r="G8" s="122" t="s">
        <v>105</v>
      </c>
      <c r="H8" s="123"/>
      <c r="I8" s="122" t="s">
        <v>105</v>
      </c>
      <c r="J8" s="123"/>
      <c r="K8" s="64"/>
      <c r="M8" s="131" t="str">
        <f>IF(ISERROR(SEARCH("Cotisation du 00/01/1900",R8)),CONCATENATE("Cotisation ",TEXT(TA!B4,"jj/mm/aaaa"))," ")</f>
        <v>Cotisation 07/11/2024</v>
      </c>
      <c r="N8" s="149">
        <f>IF(ISERROR(SEARCH("Cotisation du 00/01/1900",R8)),(TA!J3*H8)/12*I3," ")</f>
        <v>0</v>
      </c>
      <c r="Q8" s="59"/>
      <c r="R8" s="131" t="str">
        <f>CONCATENATE("Cotisation du ",TEXT(TA!B4,"jj/mm/aaaa"))</f>
        <v>Cotisation du 07/11/2024</v>
      </c>
      <c r="S8" s="136">
        <f>(TA!J3*H8)/12*I3</f>
        <v>0</v>
      </c>
      <c r="T8" s="59"/>
      <c r="U8" s="59"/>
      <c r="V8" s="59"/>
    </row>
    <row r="9" spans="1:24" ht="30" customHeight="1" x14ac:dyDescent="0.25">
      <c r="A9" s="84"/>
      <c r="B9" s="135" t="s">
        <v>95</v>
      </c>
      <c r="C9" s="136"/>
      <c r="D9" s="136"/>
      <c r="E9" s="135" t="s">
        <v>106</v>
      </c>
      <c r="G9" s="131" t="s">
        <v>111</v>
      </c>
      <c r="H9" s="148">
        <f>SUM(N7:N25)</f>
        <v>0</v>
      </c>
      <c r="I9" s="86" t="s">
        <v>111</v>
      </c>
      <c r="J9" s="148">
        <f>((J7*J8)/12*I3)*TA!N24</f>
        <v>0</v>
      </c>
      <c r="K9" s="65"/>
      <c r="M9" s="131" t="str">
        <f>IF(ISERROR(SEARCH("Cotisation du 00/01/1900",R9)),CONCATENATE("Cotisation ",TEXT(TA!B5,"jj/mm/aaaa"))," ")</f>
        <v xml:space="preserve"> </v>
      </c>
      <c r="N9" s="149" t="str">
        <f>IF(ISERROR(SEARCH("Cotisation du 00/01/1900",R9)),(TA!J4*H8)/12*I3," ")</f>
        <v xml:space="preserve"> </v>
      </c>
      <c r="R9" s="131" t="str">
        <f>CONCATENATE("Cotisation du ",TEXT(TA!B5,"jj/mm/aaaa"))</f>
        <v>Cotisation du 00/01/1900</v>
      </c>
      <c r="S9" s="136">
        <f>(TA!J4*H8)/12*I3</f>
        <v>0</v>
      </c>
    </row>
    <row r="10" spans="1:24" ht="30" customHeight="1" x14ac:dyDescent="0.25">
      <c r="A10" s="84"/>
      <c r="B10" s="135" t="s">
        <v>97</v>
      </c>
      <c r="C10" s="148" cm="1">
        <f t="array" ref="C10">IF(SUM(D6:D9-C6:C9)&gt;0,SUM(D6:D9-C6:C9),0)</f>
        <v>12039.853999999999</v>
      </c>
      <c r="D10" s="148" cm="1">
        <f t="array" ref="D10">IF(SUM(D6:D9-C6:C9)&lt;0,-SUM(D6:D9-C6:C9),0)</f>
        <v>0</v>
      </c>
      <c r="E10" s="135" t="s">
        <v>98</v>
      </c>
      <c r="I10" s="125"/>
      <c r="K10" s="62"/>
      <c r="M10" s="131" t="str">
        <f>IF(ISERROR(SEARCH("Cotisation du 00/01/1900",R10)),CONCATENATE("Cotisation ",TEXT(TA!B6,"jj/mm/aaaa"))," ")</f>
        <v xml:space="preserve"> </v>
      </c>
      <c r="N10" s="149" t="str">
        <f>IF(ISERROR(SEARCH("Cotisation du 00/01/1900",R10)),(TA!J5*H8)/12*I3," ")</f>
        <v xml:space="preserve"> </v>
      </c>
      <c r="R10" s="131" t="str">
        <f>CONCATENATE("Cotisation du ",TEXT(TA!B6,"jj/mm/aaaa"))</f>
        <v>Cotisation du 00/01/1900</v>
      </c>
      <c r="S10" s="136">
        <f>(TA!J5*H8)/12*I3</f>
        <v>0</v>
      </c>
    </row>
    <row r="11" spans="1:24" ht="30" customHeight="1" x14ac:dyDescent="0.25">
      <c r="A11" s="84"/>
      <c r="B11" s="86" t="s">
        <v>3</v>
      </c>
      <c r="C11" s="151">
        <f>SUM(C6:C10)</f>
        <v>13926.41</v>
      </c>
      <c r="D11" s="151">
        <f>SUM(D6:D10)</f>
        <v>13926.41</v>
      </c>
      <c r="E11" s="168" t="str">
        <f>HYPERLINK("mailto:"&amp;'MAIL EUR'!B1&amp;" ?cc="&amp;'MAIL EUR'!B2&amp;" &amp;bcc="&amp;'MAIL EUR'!B3&amp;" &amp;subject="&amp;'MAIL EUR'!B4&amp;" &amp;body="&amp;'MAIL EUR'!B5,"Envoyer le mail")</f>
        <v>Envoyer le mail</v>
      </c>
      <c r="M11" s="131" t="str">
        <f>IF(ISERROR(SEARCH("Cotisation du 00/01/1900",R11)),CONCATENATE("Cotisation ",TEXT(TA!B7,"jj/mm/aaaa"))," ")</f>
        <v xml:space="preserve"> </v>
      </c>
      <c r="N11" s="149" t="str">
        <f>IF(ISERROR(SEARCH("Cotisation du 00/01/1900",R11)),(TA!J6*H8)/12*I3," ")</f>
        <v xml:space="preserve"> </v>
      </c>
      <c r="R11" s="131" t="str">
        <f>CONCATENATE("Cotisation du ",TEXT(TA!B7,"jj/mm/aaaa"))</f>
        <v>Cotisation du 00/01/1900</v>
      </c>
      <c r="S11" s="136">
        <f>(TA!J6*H8)/12*I3</f>
        <v>0</v>
      </c>
    </row>
    <row r="12" spans="1:24" ht="30" customHeight="1" x14ac:dyDescent="0.25">
      <c r="A12" s="84"/>
      <c r="B12" s="135" t="s">
        <v>85</v>
      </c>
      <c r="C12" s="160">
        <f>D11-C11</f>
        <v>0</v>
      </c>
      <c r="D12" s="161"/>
      <c r="E12" s="169"/>
      <c r="F12" s="125"/>
      <c r="K12" s="66"/>
      <c r="M12" s="131" t="str">
        <f>IF(ISERROR(SEARCH("Cotisation du 00/01/1900",R12)),CONCATENATE("Cotisation ",TEXT(TA!B8,"jj/mm/aaaa"))," ")</f>
        <v xml:space="preserve"> </v>
      </c>
      <c r="N12" s="149" t="str">
        <f>IF(ISERROR(SEARCH("Cotisation du 00/01/1900",R12)),(TA!J7*H8)/12*I3," ")</f>
        <v xml:space="preserve"> </v>
      </c>
      <c r="R12" s="131" t="str">
        <f>CONCATENATE("Cotisation du ",TEXT(TA!B8,"jj/mm/aaaa"))</f>
        <v>Cotisation du 00/01/1900</v>
      </c>
      <c r="S12" s="136">
        <f>(TA!J7*H8)/12*I3</f>
        <v>0</v>
      </c>
    </row>
    <row r="13" spans="1:24" ht="30" customHeight="1" x14ac:dyDescent="0.25">
      <c r="A13" s="159" t="s">
        <v>89</v>
      </c>
      <c r="B13" s="87" t="s">
        <v>87</v>
      </c>
      <c r="C13" s="152">
        <f>+C6+C9</f>
        <v>0</v>
      </c>
      <c r="D13" s="152">
        <f>+D6</f>
        <v>13926.41</v>
      </c>
      <c r="E13" s="119" t="s">
        <v>86</v>
      </c>
      <c r="F13" s="127"/>
      <c r="M13" s="131" t="str">
        <f>IF(ISERROR(SEARCH("Cotisation du 00/01/1900",R13)),CONCATENATE("Cotisation ",TEXT(TA!B9,"jj/mm/aaaa"))," ")</f>
        <v xml:space="preserve"> </v>
      </c>
      <c r="N13" s="149" t="str">
        <f>IF(ISERROR(SEARCH("Cotisation du 00/01/1900",R13)),(TA!J8*H8)/12*I3," ")</f>
        <v xml:space="preserve"> </v>
      </c>
      <c r="R13" s="131" t="str">
        <f>CONCATENATE("Cotisation du ",TEXT(TA!B9,"jj/mm/aaaa"))</f>
        <v>Cotisation du 00/01/1900</v>
      </c>
      <c r="S13" s="136">
        <f>(TA!J8*H8)/12*I3</f>
        <v>0</v>
      </c>
    </row>
    <row r="14" spans="1:24" ht="30" customHeight="1" x14ac:dyDescent="0.25">
      <c r="A14" s="159"/>
      <c r="B14" s="87" t="s">
        <v>88</v>
      </c>
      <c r="C14" s="162">
        <f>D13-C13</f>
        <v>13926.41</v>
      </c>
      <c r="D14" s="163"/>
      <c r="E14" s="166">
        <f>D6-J3</f>
        <v>19.083000000000538</v>
      </c>
      <c r="F14" s="125"/>
      <c r="M14" s="131" t="str">
        <f>IF(ISERROR(SEARCH("Cotisation du 00/01/1900",R14)),CONCATENATE("Cotisation ",TEXT(TA!B10,"jj/mm/aaaa"))," ")</f>
        <v xml:space="preserve"> </v>
      </c>
      <c r="N14" s="149" t="str">
        <f>IF(ISERROR(SEARCH("Cotisation du 00/01/1900",R14)),(TA!J9*H8)/12*I3," ")</f>
        <v xml:space="preserve"> </v>
      </c>
      <c r="R14" s="131" t="str">
        <f>CONCATENATE("Cotisation du ",TEXT(TA!B10,"jj/mm/aaaa"))</f>
        <v>Cotisation du 00/01/1900</v>
      </c>
      <c r="S14" s="136">
        <f>(TA!J9*H8)/12*I3</f>
        <v>0</v>
      </c>
    </row>
    <row r="15" spans="1:24" ht="30" customHeight="1" x14ac:dyDescent="0.25">
      <c r="A15" s="159"/>
      <c r="B15" s="87" t="s">
        <v>85</v>
      </c>
      <c r="C15" s="172">
        <f>C14-C10-C7+(D7+D9+D8+D10)</f>
        <v>6.8212102632969618E-13</v>
      </c>
      <c r="D15" s="172"/>
      <c r="E15" s="167"/>
      <c r="F15" s="125"/>
      <c r="I15" s="126"/>
      <c r="J15" s="126"/>
      <c r="M15" s="130" t="str">
        <f>IF(ISERROR(SEARCH("Cotisation du 00/01/1900",R15)),CONCATENATE("Cotisation ",TEXT(TA!B11,"jj/mm/aaaa"))," ")</f>
        <v xml:space="preserve"> </v>
      </c>
      <c r="N15" s="149" t="str">
        <f>IF(ISERROR(SEARCH("Cotisation du 00/01/1900",R15)),(TA!J10*H8)/12*I3," ")</f>
        <v xml:space="preserve"> </v>
      </c>
      <c r="R15" s="130" t="str">
        <f>CONCATENATE("Cotisation du ",TEXT(TA!B11,"jj/mm/aaaa"))</f>
        <v>Cotisation du 00/01/1900</v>
      </c>
      <c r="S15" s="142">
        <f>(TA!J10*H8)/12*I3</f>
        <v>0</v>
      </c>
    </row>
    <row r="16" spans="1:24" ht="30" customHeight="1" x14ac:dyDescent="0.25">
      <c r="A16" s="63"/>
      <c r="F16" s="128"/>
      <c r="I16" s="129"/>
      <c r="J16" s="129"/>
      <c r="M16" s="131" t="str">
        <f>IF(ISERROR(SEARCH("Cotisation du 00/01/1900",R16)),CONCATENATE("Cotisation ",TEXT(TA!B12,"jj/mm/aaaa"))," ")</f>
        <v xml:space="preserve"> </v>
      </c>
      <c r="N16" s="149" t="str">
        <f>IF(ISERROR(SEARCH("Cotisation du 00/01/1900",R16)),(TA!J11*H8)/12*I3," ")</f>
        <v xml:space="preserve"> </v>
      </c>
      <c r="Q16" s="60"/>
      <c r="R16" s="131" t="str">
        <f>CONCATENATE("Cotisation du ",TEXT(TA!B12,"jj/mm/aaaa"))</f>
        <v>Cotisation du 00/01/1900</v>
      </c>
      <c r="S16" s="138">
        <f>(TA!J11*H8)/12*I3</f>
        <v>0</v>
      </c>
      <c r="T16" s="60"/>
      <c r="U16" s="60"/>
      <c r="V16" s="60"/>
      <c r="W16" s="60"/>
      <c r="X16" s="68"/>
    </row>
    <row r="17" spans="2:24" ht="30" customHeight="1" x14ac:dyDescent="0.25">
      <c r="F17" s="67"/>
      <c r="I17" s="60"/>
      <c r="J17" s="60"/>
      <c r="K17" s="60"/>
      <c r="M17" s="131" t="str">
        <f>IF(ISERROR(SEARCH("Cotisation du 00/01/1900",R17)),CONCATENATE("Cotisation ",TEXT(TA!B13,"jj/mm/aaaa"))," ")</f>
        <v xml:space="preserve"> </v>
      </c>
      <c r="N17" s="149" t="str">
        <f>IF(ISERROR(SEARCH("Cotisation du 00/01/1900",R17)),(TA!J12*H8)/12*I3," ")</f>
        <v xml:space="preserve"> </v>
      </c>
      <c r="Q17" s="60"/>
      <c r="R17" s="131" t="str">
        <f>CONCATENATE("Cotisation du ",TEXT(TA!B13,"jj/mm/aaaa"))</f>
        <v>Cotisation du 00/01/1900</v>
      </c>
      <c r="S17" s="138">
        <f>(TA!J12*H8)/12*I3</f>
        <v>0</v>
      </c>
      <c r="T17" s="60"/>
      <c r="U17" s="60"/>
      <c r="V17" s="60"/>
      <c r="W17" s="60"/>
      <c r="X17" s="68"/>
    </row>
    <row r="18" spans="2:24" ht="30" customHeight="1" x14ac:dyDescent="0.25">
      <c r="F18" s="67"/>
      <c r="I18" s="60"/>
      <c r="J18" s="60"/>
      <c r="K18" s="60"/>
      <c r="M18" s="131" t="str">
        <f>IF(ISERROR(SEARCH("Cotisation du 00/01/1900",R18)),CONCATENATE("Cotisation ",TEXT(TA!B14,"jj/mm/aaaa"))," ")</f>
        <v xml:space="preserve"> </v>
      </c>
      <c r="N18" s="149" t="str">
        <f>IF(ISERROR(SEARCH("Cotisation du 00/01/1900",R18)),(TA!J13*H8)/12*I3," ")</f>
        <v xml:space="preserve"> </v>
      </c>
      <c r="Q18" s="60"/>
      <c r="R18" s="131" t="str">
        <f>CONCATENATE("Cotisation du ",TEXT(TA!B14,"jj/mm/aaaa"))</f>
        <v>Cotisation du 00/01/1900</v>
      </c>
      <c r="S18" s="138">
        <f>(TA!J13*H8)/12*I3</f>
        <v>0</v>
      </c>
      <c r="T18" s="60"/>
      <c r="U18" s="60"/>
      <c r="V18" s="60"/>
      <c r="W18" s="60"/>
      <c r="X18" s="68"/>
    </row>
    <row r="19" spans="2:24" ht="30" customHeight="1" x14ac:dyDescent="0.25">
      <c r="F19" s="67"/>
      <c r="I19" s="60"/>
      <c r="J19" s="60"/>
      <c r="K19" s="60"/>
      <c r="M19" s="131" t="str">
        <f>IF(ISERROR(SEARCH("Cotisation du 00/01/1900",R19)),CONCATENATE("Cotisation ",TEXT(TA!B15,"jj/mm/aaaa"))," ")</f>
        <v xml:space="preserve"> </v>
      </c>
      <c r="N19" s="149" t="str">
        <f>IF(ISERROR(SEARCH("Cotisation du 00/01/1900",R19)),(TA!J14*H8)/12*I3," ")</f>
        <v xml:space="preserve"> </v>
      </c>
      <c r="Q19" s="60"/>
      <c r="R19" s="131" t="str">
        <f>CONCATENATE("Cotisation du ",TEXT(TA!B15,"jj/mm/aaaa"))</f>
        <v>Cotisation du 00/01/1900</v>
      </c>
      <c r="S19" s="138">
        <f>(TA!J14*H8)/12*I3</f>
        <v>0</v>
      </c>
      <c r="T19" s="60"/>
      <c r="U19" s="60"/>
      <c r="V19" s="60"/>
      <c r="W19" s="60"/>
      <c r="X19" s="68"/>
    </row>
    <row r="20" spans="2:24" ht="30" customHeight="1" x14ac:dyDescent="0.25">
      <c r="E20" s="60"/>
      <c r="F20" s="67"/>
      <c r="I20" s="60"/>
      <c r="J20" s="60"/>
      <c r="K20" s="60"/>
      <c r="M20" s="131" t="str">
        <f>IF(ISERROR(SEARCH("Cotisation du 00/01/1900",R20)),CONCATENATE("Cotisation ",TEXT(TA!B16,"jj/mm/aaaa"))," ")</f>
        <v xml:space="preserve"> </v>
      </c>
      <c r="N20" s="149" t="str">
        <f>IF(ISERROR(SEARCH("Cotisation du 00/01/1900",R20)),(TA!J15*H8)/12*I3," ")</f>
        <v xml:space="preserve"> </v>
      </c>
      <c r="Q20" s="60"/>
      <c r="R20" s="131" t="str">
        <f>CONCATENATE("Cotisation du ",TEXT(TA!B16,"jj/mm/aaaa"))</f>
        <v>Cotisation du 00/01/1900</v>
      </c>
      <c r="S20" s="138">
        <f>(TA!J15*H8)/12*I3</f>
        <v>0</v>
      </c>
      <c r="T20" s="60"/>
      <c r="U20" s="60"/>
      <c r="V20" s="60"/>
      <c r="W20" s="60"/>
      <c r="X20" s="68"/>
    </row>
    <row r="21" spans="2:24" ht="30" customHeight="1" x14ac:dyDescent="0.25">
      <c r="E21" s="60"/>
      <c r="F21" s="67"/>
      <c r="I21" s="60"/>
      <c r="J21" s="60"/>
      <c r="K21" s="60"/>
      <c r="M21" s="131" t="str">
        <f>IF(ISERROR(SEARCH("Cotisation du 00/01/1900",R21)),CONCATENATE("Cotisation ",TEXT(TA!B17,"jj/mm/aaaa"))," ")</f>
        <v xml:space="preserve"> </v>
      </c>
      <c r="N21" s="149" t="str">
        <f>IF(ISERROR(SEARCH("Cotisation du 00/01/1900",R21)),(TA!J16*H8)/12*I3," ")</f>
        <v xml:space="preserve"> </v>
      </c>
      <c r="Q21" s="60"/>
      <c r="R21" s="131" t="str">
        <f>CONCATENATE("Cotisation du ",TEXT(TA!B17,"jj/mm/aaaa"))</f>
        <v>Cotisation du 00/01/1900</v>
      </c>
      <c r="S21" s="138">
        <f>(TA!J16*H8)/12*I3</f>
        <v>0</v>
      </c>
      <c r="T21" s="60"/>
      <c r="U21" s="60"/>
      <c r="V21" s="60"/>
      <c r="W21" s="60"/>
      <c r="X21" s="68"/>
    </row>
    <row r="22" spans="2:24" ht="30" customHeight="1" x14ac:dyDescent="0.25">
      <c r="E22" s="60"/>
      <c r="F22" s="67"/>
      <c r="I22" s="60"/>
      <c r="J22" s="60"/>
      <c r="K22" s="60"/>
      <c r="M22" s="131" t="str">
        <f>IF(ISERROR(SEARCH("Cotisation du 00/01/1900",R22)),CONCATENATE("Cotisation ",TEXT(TA!B18,"jj/mm/aaaa"))," ")</f>
        <v xml:space="preserve"> </v>
      </c>
      <c r="N22" s="149" t="str">
        <f>IF(ISERROR(SEARCH("Cotisation du 00/01/1900",R22)),(TA!J17*H8)/12*I3," ")</f>
        <v xml:space="preserve"> </v>
      </c>
      <c r="Q22" s="60"/>
      <c r="R22" s="131" t="str">
        <f>CONCATENATE("Cotisation du ",TEXT(TA!B18,"jj/mm/aaaa"))</f>
        <v>Cotisation du 00/01/1900</v>
      </c>
      <c r="S22" s="138">
        <f>(TA!J17*H8)/12*I3</f>
        <v>0</v>
      </c>
      <c r="T22" s="60"/>
      <c r="U22" s="60"/>
      <c r="V22" s="60"/>
      <c r="W22" s="60"/>
      <c r="X22" s="68"/>
    </row>
    <row r="23" spans="2:24" ht="30" customHeight="1" x14ac:dyDescent="0.25">
      <c r="E23" s="60"/>
      <c r="F23" s="67"/>
      <c r="I23" s="60"/>
      <c r="J23" s="60"/>
      <c r="K23" s="60"/>
      <c r="M23" s="130" t="str">
        <f>IF(ISERROR(SEARCH("Cotisation du 00/01/1900",R23)),CONCATENATE("Cotisation ",TEXT(TA!B19,"jj/mm/aaaa"))," ")</f>
        <v xml:space="preserve"> </v>
      </c>
      <c r="N23" s="149" t="str">
        <f>IF(ISERROR(SEARCH("Cotisation du 00/01/1900",R23)),(TA!J18*H8)/12*I3," ")</f>
        <v xml:space="preserve"> </v>
      </c>
      <c r="Q23" s="60"/>
      <c r="R23" s="130" t="str">
        <f>CONCATENATE("Cotisation du ",TEXT(TA!B19,"jj/mm/aaaa"))</f>
        <v>Cotisation du 00/01/1900</v>
      </c>
      <c r="S23" s="138">
        <f>(TA!J18*H8)/12*I3</f>
        <v>0</v>
      </c>
      <c r="T23" s="60"/>
      <c r="U23" s="60"/>
      <c r="V23" s="60"/>
      <c r="W23" s="60"/>
      <c r="X23" s="68"/>
    </row>
    <row r="24" spans="2:24" ht="30" customHeight="1" x14ac:dyDescent="0.25">
      <c r="E24" s="60"/>
      <c r="F24" s="67"/>
      <c r="I24" s="60"/>
      <c r="J24" s="60"/>
      <c r="K24" s="60"/>
      <c r="M24" s="131" t="str">
        <f>IF(ISERROR(SEARCH("Cotisation du 00/01/1900",R24)),CONCATENATE("Cotisation ",TEXT(TA!B21,"jj/mm/aaaa"))," ")</f>
        <v xml:space="preserve"> </v>
      </c>
      <c r="N24" s="149" t="str">
        <f>IF(ISERROR(SEARCH("Cotisation du 00/01/1900",R24)),(TA!J19*H8)/12*I3," ")</f>
        <v xml:space="preserve"> </v>
      </c>
      <c r="Q24" s="60"/>
      <c r="R24" s="131" t="str">
        <f>CONCATENATE("Cotisation du ",TEXT(TA!B21,"jj/mm/aaaa"))</f>
        <v>Cotisation du 00/01/1900</v>
      </c>
      <c r="S24" s="138">
        <f>(TA!J19*H8)/12*I3</f>
        <v>0</v>
      </c>
      <c r="T24" s="60"/>
      <c r="U24" s="60"/>
      <c r="V24" s="60"/>
      <c r="W24" s="60"/>
      <c r="X24" s="68"/>
    </row>
    <row r="25" spans="2:24" ht="30" customHeight="1" x14ac:dyDescent="0.3">
      <c r="B25" s="95"/>
      <c r="C25" s="91"/>
      <c r="D25" s="25"/>
      <c r="E25" s="60"/>
      <c r="F25" s="67"/>
      <c r="I25" s="60"/>
      <c r="J25" s="60"/>
      <c r="K25" s="60"/>
      <c r="M25" s="131" t="str">
        <f>IF(ISERROR(SEARCH("Cotisation du 00/01/1900",R25)),CONCATENATE("Cotisation ",TEXT(TA!B22,"jj/mm/aaaa"))," ")</f>
        <v xml:space="preserve"> </v>
      </c>
      <c r="N25" s="149" t="str">
        <f>IF(ISERROR(SEARCH("Cotisation du 00/01/1900",R25)),(TA!J21*H8)/12*I3," ")</f>
        <v xml:space="preserve"> </v>
      </c>
      <c r="Q25" s="60"/>
      <c r="R25" s="131" t="str">
        <f>CONCATENATE("Cotisation du ",TEXT(TA!B22,"jj/mm/aaaa"))</f>
        <v>Cotisation du 00/01/1900</v>
      </c>
      <c r="S25" s="138">
        <f>(TA!J21*H8)/12*I3</f>
        <v>0</v>
      </c>
      <c r="T25" s="60"/>
      <c r="U25" s="60"/>
      <c r="V25" s="60"/>
      <c r="W25" s="60"/>
      <c r="X25" s="68"/>
    </row>
    <row r="26" spans="2:24" ht="30" customHeight="1" x14ac:dyDescent="0.3">
      <c r="B26" s="62"/>
      <c r="C26" s="91"/>
      <c r="D26" s="25"/>
      <c r="E26" s="60"/>
      <c r="F26" s="67"/>
      <c r="I26" s="60"/>
      <c r="J26" s="60"/>
      <c r="K26" s="60"/>
      <c r="Q26" s="60"/>
      <c r="R26" s="60"/>
      <c r="S26" s="60"/>
      <c r="T26" s="60"/>
      <c r="U26" s="60"/>
      <c r="V26" s="60"/>
      <c r="W26" s="60"/>
      <c r="X26" s="68"/>
    </row>
    <row r="27" spans="2:24" ht="30" customHeight="1" x14ac:dyDescent="0.25">
      <c r="B27" s="62"/>
      <c r="C27" s="91"/>
      <c r="E27" s="60"/>
      <c r="F27" s="67"/>
      <c r="I27" s="60"/>
      <c r="J27" s="60"/>
      <c r="K27" s="60"/>
      <c r="Q27" s="60"/>
      <c r="R27" s="60"/>
      <c r="S27" s="60"/>
      <c r="T27" s="60"/>
      <c r="U27" s="60"/>
      <c r="V27" s="60"/>
      <c r="W27" s="60"/>
      <c r="X27" s="68"/>
    </row>
    <row r="28" spans="2:24" ht="30" customHeight="1" x14ac:dyDescent="0.25">
      <c r="B28" s="91"/>
      <c r="C28" s="91"/>
    </row>
    <row r="29" spans="2:24" ht="30" customHeight="1" x14ac:dyDescent="0.25">
      <c r="B29" s="91"/>
      <c r="C29" s="91"/>
      <c r="D29" s="91"/>
      <c r="K29" s="42"/>
    </row>
    <row r="30" spans="2:24" ht="30" customHeight="1" x14ac:dyDescent="0.25">
      <c r="B30" s="96"/>
      <c r="C30" s="91"/>
      <c r="D30" s="91"/>
    </row>
    <row r="31" spans="2:24" ht="30" customHeight="1" x14ac:dyDescent="0.25">
      <c r="B31" s="97"/>
      <c r="C31" s="91"/>
      <c r="D31" s="91"/>
    </row>
    <row r="32" spans="2:24" ht="30" customHeight="1" x14ac:dyDescent="0.25">
      <c r="B32" s="98"/>
      <c r="C32" s="93"/>
      <c r="D32" s="93"/>
    </row>
    <row r="33" spans="2:4" x14ac:dyDescent="0.25">
      <c r="B33" s="99"/>
      <c r="C33" s="92"/>
      <c r="D33" s="93"/>
    </row>
  </sheetData>
  <mergeCells count="10">
    <mergeCell ref="M6:N6"/>
    <mergeCell ref="A13:A15"/>
    <mergeCell ref="C12:D12"/>
    <mergeCell ref="C14:D14"/>
    <mergeCell ref="G6:J6"/>
    <mergeCell ref="E14:E15"/>
    <mergeCell ref="E11:E12"/>
    <mergeCell ref="B7:B8"/>
    <mergeCell ref="C7:C8"/>
    <mergeCell ref="C15:D15"/>
  </mergeCells>
  <conditionalFormatting sqref="C12:D12">
    <cfRule type="cellIs" dxfId="15" priority="2" operator="lessThan">
      <formula>0</formula>
    </cfRule>
    <cfRule type="cellIs" dxfId="14" priority="3" operator="greaterThan">
      <formula>0</formula>
    </cfRule>
  </conditionalFormatting>
  <conditionalFormatting sqref="E14">
    <cfRule type="cellIs" dxfId="13" priority="1" operator="lessThan">
      <formula>0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8" xr:uid="{73505311-3E7D-4A66-80E8-80284C233B0A}">
      <formula1>OR(H8=0,J8=0)</formula1>
    </dataValidation>
    <dataValidation type="custom" allowBlank="1" showInputMessage="1" showErrorMessage="1" error="Un seul taux de cotisation doit être renseigné." sqref="J8" xr:uid="{DCDC482D-049C-4503-A2EE-5E31FE3FFDA6}">
      <formula1>OR(H8=0,J8=0)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reset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1</xdr:col>
                    <xdr:colOff>781050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26"/>
  <sheetViews>
    <sheetView showGridLines="0" workbookViewId="0">
      <pane ySplit="1" topLeftCell="A2" activePane="bottomLeft" state="frozen"/>
      <selection pane="bottomLeft" activeCell="Q19" sqref="Q19"/>
    </sheetView>
  </sheetViews>
  <sheetFormatPr baseColWidth="10" defaultColWidth="11.42578125" defaultRowHeight="15" x14ac:dyDescent="0.25"/>
  <cols>
    <col min="1" max="1" width="9.7109375" style="26" customWidth="1"/>
    <col min="2" max="2" width="12.7109375" style="26" customWidth="1"/>
    <col min="3" max="3" width="25.7109375" style="26" customWidth="1"/>
    <col min="4" max="4" width="22.7109375" style="26" customWidth="1"/>
    <col min="5" max="5" width="18.7109375" style="26" customWidth="1"/>
    <col min="6" max="6" width="14.7109375" style="26" customWidth="1"/>
    <col min="7" max="7" width="16.7109375" style="26" customWidth="1"/>
    <col min="8" max="10" width="18.7109375" style="26" customWidth="1"/>
    <col min="11" max="11" width="17.140625" style="26" customWidth="1"/>
    <col min="12" max="12" width="25.5703125" style="26" customWidth="1"/>
    <col min="13" max="13" width="14.28515625" style="26" customWidth="1"/>
    <col min="14" max="14" width="10.7109375" style="143" hidden="1" customWidth="1"/>
    <col min="15" max="16384" width="11.42578125" style="26"/>
  </cols>
  <sheetData>
    <row r="1" spans="1:16" ht="50.1" customHeight="1" x14ac:dyDescent="0.25">
      <c r="A1" s="118" t="s">
        <v>4</v>
      </c>
      <c r="B1" s="118" t="s">
        <v>5</v>
      </c>
      <c r="C1" s="118" t="s">
        <v>6</v>
      </c>
      <c r="D1" s="118" t="s">
        <v>7</v>
      </c>
      <c r="E1" s="118" t="s">
        <v>8</v>
      </c>
      <c r="F1" s="118" t="s">
        <v>9</v>
      </c>
      <c r="G1" s="118" t="s">
        <v>10</v>
      </c>
      <c r="H1" s="118" t="s">
        <v>11</v>
      </c>
      <c r="I1" s="118" t="s">
        <v>12</v>
      </c>
      <c r="J1" s="118" t="s">
        <v>13</v>
      </c>
      <c r="K1" s="118" t="s">
        <v>14</v>
      </c>
      <c r="L1" s="118" t="s">
        <v>15</v>
      </c>
    </row>
    <row r="2" spans="1:16" x14ac:dyDescent="0.25">
      <c r="A2" s="111" t="s">
        <v>114</v>
      </c>
      <c r="B2" s="112">
        <v>45542</v>
      </c>
      <c r="C2" s="111" t="s">
        <v>115</v>
      </c>
      <c r="D2" s="113">
        <v>1347.54</v>
      </c>
      <c r="E2" s="113">
        <v>45.87</v>
      </c>
      <c r="F2" s="113">
        <v>0</v>
      </c>
      <c r="G2" s="113">
        <v>0</v>
      </c>
      <c r="H2" s="113">
        <v>1301.67</v>
      </c>
      <c r="I2" s="113">
        <v>0</v>
      </c>
      <c r="J2" s="147">
        <v>19867.61</v>
      </c>
      <c r="K2" s="113">
        <v>0</v>
      </c>
      <c r="L2" s="113">
        <v>19867.61</v>
      </c>
    </row>
    <row r="3" spans="1:16" x14ac:dyDescent="0.25">
      <c r="A3" s="111" t="s">
        <v>114</v>
      </c>
      <c r="B3" s="112">
        <v>45572</v>
      </c>
      <c r="C3" s="111" t="s">
        <v>115</v>
      </c>
      <c r="D3" s="113">
        <v>1347.54</v>
      </c>
      <c r="E3" s="113">
        <v>43.05</v>
      </c>
      <c r="F3" s="113">
        <v>0</v>
      </c>
      <c r="G3" s="113">
        <v>0</v>
      </c>
      <c r="H3" s="113">
        <v>1304.49</v>
      </c>
      <c r="I3" s="113">
        <v>0</v>
      </c>
      <c r="J3" s="113">
        <v>18563.12</v>
      </c>
      <c r="K3" s="113">
        <v>0</v>
      </c>
      <c r="L3" s="113">
        <v>18563.12</v>
      </c>
      <c r="N3" s="146" t="str">
        <f>IF(ISERROR(SEARCH("ECH",A3)),"0","1")</f>
        <v>1</v>
      </c>
    </row>
    <row r="4" spans="1:16" x14ac:dyDescent="0.25">
      <c r="A4" s="111" t="s">
        <v>114</v>
      </c>
      <c r="B4" s="112">
        <v>45603</v>
      </c>
      <c r="C4" s="111" t="s">
        <v>115</v>
      </c>
      <c r="D4" s="113">
        <v>1347.54</v>
      </c>
      <c r="E4" s="113">
        <v>40.22</v>
      </c>
      <c r="F4" s="113">
        <v>0</v>
      </c>
      <c r="G4" s="113">
        <v>0</v>
      </c>
      <c r="H4" s="113">
        <v>1307.32</v>
      </c>
      <c r="I4" s="113">
        <v>0</v>
      </c>
      <c r="J4" s="113">
        <v>17255.8</v>
      </c>
      <c r="K4" s="113">
        <v>0</v>
      </c>
      <c r="L4" s="113">
        <v>17255.8</v>
      </c>
      <c r="N4" s="146" t="str">
        <f t="shared" ref="N4:N23" si="0">IF(ISERROR(SEARCH("ECH",A4)),"0","1")</f>
        <v>1</v>
      </c>
    </row>
    <row r="5" spans="1:16" x14ac:dyDescent="0.25">
      <c r="A5" s="111"/>
      <c r="B5" s="112"/>
      <c r="C5" s="111"/>
      <c r="D5" s="113"/>
      <c r="E5" s="113"/>
      <c r="F5" s="113"/>
      <c r="G5" s="113"/>
      <c r="H5" s="113"/>
      <c r="I5" s="113"/>
      <c r="J5" s="113"/>
      <c r="K5" s="113"/>
      <c r="L5" s="113"/>
      <c r="N5" s="146" t="str">
        <f t="shared" si="0"/>
        <v>0</v>
      </c>
    </row>
    <row r="6" spans="1:16" x14ac:dyDescent="0.25">
      <c r="A6" s="111"/>
      <c r="B6" s="112"/>
      <c r="C6" s="111"/>
      <c r="D6" s="113"/>
      <c r="E6" s="113"/>
      <c r="F6" s="113"/>
      <c r="G6" s="113"/>
      <c r="H6" s="113"/>
      <c r="I6" s="113"/>
      <c r="J6" s="113"/>
      <c r="K6" s="113"/>
      <c r="L6" s="113"/>
      <c r="N6" s="146" t="str">
        <f t="shared" si="0"/>
        <v>0</v>
      </c>
    </row>
    <row r="7" spans="1:16" x14ac:dyDescent="0.25">
      <c r="A7" s="111"/>
      <c r="B7" s="112"/>
      <c r="C7" s="111"/>
      <c r="D7" s="113"/>
      <c r="E7" s="113"/>
      <c r="F7" s="113"/>
      <c r="G7" s="113"/>
      <c r="H7" s="113"/>
      <c r="I7" s="113"/>
      <c r="J7" s="113"/>
      <c r="K7" s="113"/>
      <c r="L7" s="113"/>
      <c r="N7" s="146" t="str">
        <f t="shared" si="0"/>
        <v>0</v>
      </c>
    </row>
    <row r="8" spans="1:16" x14ac:dyDescent="0.25">
      <c r="A8" s="111"/>
      <c r="B8" s="112"/>
      <c r="C8" s="111"/>
      <c r="D8" s="113"/>
      <c r="E8" s="113"/>
      <c r="F8" s="113"/>
      <c r="G8" s="113"/>
      <c r="H8" s="113"/>
      <c r="I8" s="113"/>
      <c r="J8" s="113"/>
      <c r="K8" s="113"/>
      <c r="L8" s="113"/>
      <c r="N8" s="146" t="str">
        <f t="shared" si="0"/>
        <v>0</v>
      </c>
    </row>
    <row r="9" spans="1:16" x14ac:dyDescent="0.25">
      <c r="A9" s="139"/>
      <c r="B9" s="140"/>
      <c r="C9" s="139"/>
      <c r="D9" s="141"/>
      <c r="E9" s="141"/>
      <c r="F9" s="141"/>
      <c r="G9" s="141"/>
      <c r="H9" s="141"/>
      <c r="I9" s="141"/>
      <c r="J9" s="141"/>
      <c r="K9" s="141"/>
      <c r="L9" s="141"/>
      <c r="N9" s="146" t="str">
        <f t="shared" si="0"/>
        <v>0</v>
      </c>
    </row>
    <row r="10" spans="1:16" x14ac:dyDescent="0.25">
      <c r="A10" s="139"/>
      <c r="B10" s="112"/>
      <c r="C10" s="111"/>
      <c r="D10" s="113"/>
      <c r="E10" s="113"/>
      <c r="F10" s="113"/>
      <c r="G10" s="113"/>
      <c r="H10" s="113"/>
      <c r="I10" s="113"/>
      <c r="J10" s="113"/>
      <c r="K10" s="113"/>
      <c r="L10" s="113"/>
      <c r="N10" s="146" t="str">
        <f t="shared" si="0"/>
        <v>0</v>
      </c>
    </row>
    <row r="11" spans="1:16" x14ac:dyDescent="0.25">
      <c r="A11" s="139"/>
      <c r="B11" s="140"/>
      <c r="C11" s="139"/>
      <c r="D11" s="141"/>
      <c r="E11" s="141"/>
      <c r="F11" s="141"/>
      <c r="G11" s="141"/>
      <c r="H11" s="141"/>
      <c r="I11" s="141"/>
      <c r="J11" s="141"/>
      <c r="K11" s="141"/>
      <c r="L11" s="141"/>
      <c r="N11" s="146" t="str">
        <f t="shared" si="0"/>
        <v>0</v>
      </c>
      <c r="P11" s="144"/>
    </row>
    <row r="12" spans="1:16" x14ac:dyDescent="0.25">
      <c r="A12" s="139"/>
      <c r="B12" s="112"/>
      <c r="C12" s="111"/>
      <c r="D12" s="113"/>
      <c r="E12" s="113"/>
      <c r="F12" s="113"/>
      <c r="G12" s="113"/>
      <c r="H12" s="113"/>
      <c r="I12" s="113"/>
      <c r="J12" s="113"/>
      <c r="K12" s="113"/>
      <c r="L12" s="113"/>
      <c r="N12" s="146" t="str">
        <f t="shared" si="0"/>
        <v>0</v>
      </c>
    </row>
    <row r="13" spans="1:16" x14ac:dyDescent="0.25">
      <c r="A13" s="139"/>
      <c r="B13" s="112"/>
      <c r="C13" s="111"/>
      <c r="D13" s="113"/>
      <c r="E13" s="113"/>
      <c r="F13" s="113"/>
      <c r="G13" s="113"/>
      <c r="H13" s="113"/>
      <c r="I13" s="113"/>
      <c r="J13" s="113"/>
      <c r="K13" s="113"/>
      <c r="L13" s="113"/>
      <c r="N13" s="146" t="str">
        <f t="shared" si="0"/>
        <v>0</v>
      </c>
    </row>
    <row r="14" spans="1:16" x14ac:dyDescent="0.25">
      <c r="A14" s="139"/>
      <c r="B14" s="112"/>
      <c r="C14" s="111"/>
      <c r="D14" s="113"/>
      <c r="E14" s="113"/>
      <c r="F14" s="113"/>
      <c r="G14" s="113"/>
      <c r="H14" s="113"/>
      <c r="I14" s="113"/>
      <c r="J14" s="113"/>
      <c r="K14" s="113"/>
      <c r="L14" s="113"/>
      <c r="M14" s="61"/>
      <c r="N14" s="146" t="str">
        <f t="shared" si="0"/>
        <v>0</v>
      </c>
    </row>
    <row r="15" spans="1:16" x14ac:dyDescent="0.25">
      <c r="A15" s="139"/>
      <c r="B15" s="112"/>
      <c r="C15" s="111"/>
      <c r="D15" s="113"/>
      <c r="E15" s="113"/>
      <c r="F15" s="113"/>
      <c r="G15" s="113"/>
      <c r="H15" s="113"/>
      <c r="I15" s="113"/>
      <c r="J15" s="113"/>
      <c r="K15" s="113"/>
      <c r="L15" s="113"/>
      <c r="M15" s="61"/>
      <c r="N15" s="146" t="str">
        <f t="shared" si="0"/>
        <v>0</v>
      </c>
    </row>
    <row r="16" spans="1:16" x14ac:dyDescent="0.25">
      <c r="A16" s="111"/>
      <c r="B16" s="112"/>
      <c r="C16" s="111"/>
      <c r="D16" s="113"/>
      <c r="E16" s="113"/>
      <c r="F16" s="113"/>
      <c r="G16" s="113"/>
      <c r="H16" s="113"/>
      <c r="I16" s="113"/>
      <c r="J16" s="113"/>
      <c r="K16" s="113"/>
      <c r="L16" s="113"/>
      <c r="M16" s="61"/>
      <c r="N16" s="146" t="str">
        <f t="shared" si="0"/>
        <v>0</v>
      </c>
    </row>
    <row r="17" spans="1:14" x14ac:dyDescent="0.25">
      <c r="A17" s="111"/>
      <c r="B17" s="112"/>
      <c r="C17" s="111"/>
      <c r="D17" s="113"/>
      <c r="E17" s="113"/>
      <c r="F17" s="113"/>
      <c r="G17" s="113"/>
      <c r="H17" s="113"/>
      <c r="I17" s="113"/>
      <c r="J17" s="113"/>
      <c r="K17" s="113"/>
      <c r="L17" s="113"/>
      <c r="M17" s="61"/>
      <c r="N17" s="146" t="str">
        <f t="shared" si="0"/>
        <v>0</v>
      </c>
    </row>
    <row r="18" spans="1:14" x14ac:dyDescent="0.25">
      <c r="A18" s="111"/>
      <c r="B18" s="112"/>
      <c r="C18" s="111"/>
      <c r="D18" s="113"/>
      <c r="E18" s="113"/>
      <c r="F18" s="113"/>
      <c r="G18" s="113"/>
      <c r="H18" s="113"/>
      <c r="I18" s="113"/>
      <c r="J18" s="113"/>
      <c r="K18" s="113"/>
      <c r="L18" s="113"/>
      <c r="N18" s="146" t="str">
        <f t="shared" si="0"/>
        <v>0</v>
      </c>
    </row>
    <row r="19" spans="1:14" x14ac:dyDescent="0.25">
      <c r="A19" s="111"/>
      <c r="B19" s="112"/>
      <c r="C19" s="111"/>
      <c r="D19" s="113"/>
      <c r="E19" s="113"/>
      <c r="F19" s="113"/>
      <c r="G19" s="113"/>
      <c r="H19" s="113"/>
      <c r="I19" s="113"/>
      <c r="J19" s="113"/>
      <c r="K19" s="113"/>
      <c r="L19" s="113"/>
      <c r="N19" s="146" t="str">
        <f t="shared" si="0"/>
        <v>0</v>
      </c>
    </row>
    <row r="20" spans="1:14" x14ac:dyDescent="0.25">
      <c r="A20" s="139"/>
      <c r="B20" s="140"/>
      <c r="C20" s="139"/>
      <c r="D20" s="141"/>
      <c r="E20" s="141"/>
      <c r="F20" s="141"/>
      <c r="G20" s="141"/>
      <c r="H20" s="141"/>
      <c r="I20" s="141"/>
      <c r="J20" s="141"/>
      <c r="K20" s="141"/>
      <c r="L20" s="141"/>
      <c r="N20" s="146" t="str">
        <f t="shared" si="0"/>
        <v>0</v>
      </c>
    </row>
    <row r="21" spans="1:14" x14ac:dyDescent="0.25">
      <c r="A21" s="139"/>
      <c r="B21" s="140"/>
      <c r="C21" s="139"/>
      <c r="D21" s="141"/>
      <c r="E21" s="141"/>
      <c r="F21" s="141"/>
      <c r="G21" s="141"/>
      <c r="H21" s="141"/>
      <c r="I21" s="141"/>
      <c r="J21" s="141"/>
      <c r="K21" s="141"/>
      <c r="L21" s="141"/>
      <c r="N21" s="146" t="str">
        <f t="shared" si="0"/>
        <v>0</v>
      </c>
    </row>
    <row r="22" spans="1:14" x14ac:dyDescent="0.25">
      <c r="A22" s="114"/>
      <c r="B22" s="115"/>
      <c r="C22" s="114"/>
      <c r="D22" s="116"/>
      <c r="E22" s="116"/>
      <c r="F22" s="116"/>
      <c r="G22" s="116"/>
      <c r="H22" s="116"/>
      <c r="I22" s="116"/>
      <c r="J22" s="116"/>
      <c r="K22" s="116"/>
      <c r="L22" s="116"/>
      <c r="N22" s="146" t="str">
        <f t="shared" si="0"/>
        <v>0</v>
      </c>
    </row>
    <row r="23" spans="1:14" ht="30" hidden="1" customHeight="1" x14ac:dyDescent="0.25">
      <c r="A23" s="60"/>
      <c r="B23" s="132"/>
      <c r="C23" s="133" t="s">
        <v>110</v>
      </c>
      <c r="D23" s="117">
        <f>SUM(D3:D22)</f>
        <v>2695.08</v>
      </c>
      <c r="E23" s="117">
        <f>SUM(E3:E22)</f>
        <v>83.27</v>
      </c>
      <c r="F23" s="117">
        <f>SUM(F3:F22)</f>
        <v>0</v>
      </c>
      <c r="G23" s="117">
        <f>SUM(G3:G22)</f>
        <v>0</v>
      </c>
      <c r="H23" s="134">
        <f>SUM(H3:H22)</f>
        <v>2611.81</v>
      </c>
      <c r="I23" s="60"/>
      <c r="J23" s="68"/>
      <c r="K23" s="60"/>
      <c r="L23" s="68"/>
      <c r="N23" s="146" t="str">
        <f t="shared" si="0"/>
        <v>0</v>
      </c>
    </row>
    <row r="24" spans="1:14" ht="30" customHeight="1" x14ac:dyDescent="0.25">
      <c r="C24" s="153" t="str">
        <f>CONCATENATE("Assurance groupe à"," ",TEXT(SIMULATION!I3,"0,00%"))</f>
        <v>Assurance groupe à 70,00%</v>
      </c>
      <c r="D24" s="154">
        <f>E24+F24+H24</f>
        <v>1886.5559999999998</v>
      </c>
      <c r="E24" s="155">
        <f>E23*SIMULATION!I3</f>
        <v>58.288999999999994</v>
      </c>
      <c r="F24" s="155">
        <f>IF(AND(SIMULATION!H8&lt;&gt;0,SIMULATION!J8&lt;&gt;0),0,IF(SIMULATION!H8&gt;0,SIMULATION!H9,SIMULATION!J9))</f>
        <v>0</v>
      </c>
      <c r="G24" s="155">
        <f>SUM(G3:G22)</f>
        <v>0</v>
      </c>
      <c r="H24" s="156">
        <f>H23*SIMULATION!I3</f>
        <v>1828.2669999999998</v>
      </c>
      <c r="N24" s="145">
        <f>+N3+N4+N5+N6+N7+N8+N9+N10+N11+N12+N13+N14+N15+N16+N17+N18+N19+N20+N21+N22</f>
        <v>2</v>
      </c>
    </row>
    <row r="25" spans="1:14" ht="30" customHeight="1" x14ac:dyDescent="0.25">
      <c r="C25" s="153" t="s">
        <v>112</v>
      </c>
      <c r="D25" s="154">
        <f>D23*SIMULATION!I3</f>
        <v>1886.5559999999998</v>
      </c>
      <c r="E25" s="155">
        <f>E23*SIMULATION!I3</f>
        <v>58.288999999999994</v>
      </c>
      <c r="F25" s="155">
        <v>0</v>
      </c>
      <c r="G25" s="155">
        <f>SUM(G3:G22)</f>
        <v>0</v>
      </c>
      <c r="H25" s="156">
        <f>H23*SIMULATION!I3</f>
        <v>1828.2669999999998</v>
      </c>
    </row>
    <row r="26" spans="1:14" ht="30" hidden="1" customHeight="1" x14ac:dyDescent="0.25">
      <c r="F26" s="155">
        <f>F23*SIMULATION!I3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79" t="s">
        <v>16</v>
      </c>
      <c r="B1" s="180"/>
      <c r="C1" s="180"/>
      <c r="D1" s="180"/>
      <c r="E1" s="180"/>
      <c r="F1" s="180"/>
      <c r="G1" s="180"/>
      <c r="H1" s="180"/>
      <c r="I1" s="181"/>
    </row>
    <row r="2" spans="1:9" ht="22.5" customHeight="1" thickBot="1" x14ac:dyDescent="0.3">
      <c r="A2" s="182" t="s">
        <v>31</v>
      </c>
      <c r="B2" s="183"/>
      <c r="C2" s="183"/>
      <c r="D2" s="183"/>
      <c r="E2" s="183"/>
      <c r="F2" s="183"/>
      <c r="G2" s="183"/>
      <c r="H2" s="183"/>
      <c r="I2" s="184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74" t="s">
        <v>28</v>
      </c>
      <c r="B10" s="174"/>
      <c r="C10" s="185" t="e">
        <f>+#REF!</f>
        <v>#REF!</v>
      </c>
      <c r="D10" s="185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178" t="s">
        <v>38</v>
      </c>
      <c r="H36" s="178"/>
      <c r="I36" s="178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88" t="e">
        <f>#REF!</f>
        <v>#REF!</v>
      </c>
      <c r="I37" s="189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88" t="e">
        <f>+H37</f>
        <v>#REF!</v>
      </c>
      <c r="I38" s="189"/>
    </row>
    <row r="39" spans="1:9" ht="23.25" customHeight="1" x14ac:dyDescent="0.25">
      <c r="B39" s="7" t="s">
        <v>3</v>
      </c>
      <c r="C39" s="203" t="e">
        <f>SUM(D37:D38)</f>
        <v>#REF!</v>
      </c>
      <c r="D39" s="204"/>
      <c r="E39" s="173"/>
      <c r="F39" s="173"/>
      <c r="G39" s="173"/>
      <c r="H39" s="173"/>
      <c r="I39" s="173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74" t="s">
        <v>28</v>
      </c>
      <c r="C41" s="174"/>
      <c r="D41" s="8">
        <f ca="1">TODAY()</f>
        <v>45609</v>
      </c>
      <c r="E41" s="175"/>
      <c r="F41" s="176"/>
      <c r="H41" s="177" t="e">
        <f>#REF!</f>
        <v>#REF!</v>
      </c>
      <c r="I41" s="177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98" t="s">
        <v>38</v>
      </c>
      <c r="H47" s="199"/>
      <c r="I47" s="200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90" t="e">
        <f>+H37</f>
        <v>#REF!</v>
      </c>
      <c r="I48" s="191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201" t="e">
        <f>+H37</f>
        <v>#REF!</v>
      </c>
      <c r="I49" s="202"/>
    </row>
    <row r="50" spans="1:9" ht="25.5" customHeight="1" x14ac:dyDescent="0.25">
      <c r="B50" s="7" t="s">
        <v>3</v>
      </c>
      <c r="C50" s="192" t="e">
        <f>SUM(D48:D49)</f>
        <v>#REF!</v>
      </c>
      <c r="D50" s="193"/>
      <c r="E50" s="194"/>
      <c r="F50" s="195"/>
      <c r="G50" s="195"/>
      <c r="H50" s="195"/>
      <c r="I50" s="196"/>
    </row>
    <row r="51" spans="1:9" x14ac:dyDescent="0.25">
      <c r="D51" s="12"/>
      <c r="E51" s="13"/>
    </row>
    <row r="52" spans="1:9" ht="21" x14ac:dyDescent="0.35">
      <c r="B52" s="174" t="s">
        <v>28</v>
      </c>
      <c r="C52" s="174"/>
      <c r="D52" s="8">
        <f ca="1">TODAY()</f>
        <v>45609</v>
      </c>
      <c r="E52" s="175"/>
      <c r="F52" s="176"/>
      <c r="H52" s="197" t="e">
        <f>+H41</f>
        <v>#REF!</v>
      </c>
      <c r="I52" s="197"/>
    </row>
    <row r="53" spans="1:9" ht="15.75" x14ac:dyDescent="0.25">
      <c r="B53" s="186"/>
      <c r="C53" s="187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  <mergeCell ref="E39:I39"/>
    <mergeCell ref="B41:C41"/>
    <mergeCell ref="E41:F41"/>
    <mergeCell ref="H41:I41"/>
    <mergeCell ref="G36:I36"/>
  </mergeCells>
  <phoneticPr fontId="42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5703125" customWidth="1"/>
    <col min="4" max="4" width="4.5703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5703125" customWidth="1"/>
  </cols>
  <sheetData>
    <row r="1" spans="2:23" x14ac:dyDescent="0.25"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P1" s="205" t="s">
        <v>45</v>
      </c>
      <c r="Q1" s="206"/>
      <c r="R1" s="206"/>
      <c r="S1" s="206"/>
      <c r="T1" s="206"/>
      <c r="U1" s="206"/>
      <c r="V1" s="206"/>
      <c r="W1" s="206"/>
    </row>
    <row r="2" spans="2:23" x14ac:dyDescent="0.25">
      <c r="P2" s="206"/>
      <c r="Q2" s="206"/>
      <c r="R2" s="206"/>
      <c r="S2" s="206"/>
      <c r="T2" s="206"/>
      <c r="U2" s="206"/>
      <c r="V2" s="206"/>
      <c r="W2" s="206"/>
    </row>
    <row r="3" spans="2:23" x14ac:dyDescent="0.25">
      <c r="P3" s="206"/>
      <c r="Q3" s="206"/>
      <c r="R3" s="206"/>
      <c r="S3" s="206"/>
      <c r="T3" s="206"/>
      <c r="U3" s="206"/>
      <c r="V3" s="206"/>
      <c r="W3" s="206"/>
    </row>
    <row r="4" spans="2:23" x14ac:dyDescent="0.25">
      <c r="P4" s="206"/>
      <c r="Q4" s="206"/>
      <c r="R4" s="206"/>
      <c r="S4" s="206"/>
      <c r="T4" s="206"/>
      <c r="U4" s="206"/>
      <c r="V4" s="206"/>
      <c r="W4" s="206"/>
    </row>
    <row r="5" spans="2:23" ht="9.75" customHeight="1" x14ac:dyDescent="0.25">
      <c r="P5" s="206"/>
      <c r="Q5" s="206"/>
      <c r="R5" s="206"/>
      <c r="S5" s="206"/>
      <c r="T5" s="206"/>
      <c r="U5" s="206"/>
      <c r="V5" s="206"/>
      <c r="W5" s="206"/>
    </row>
    <row r="6" spans="2:23" ht="18.75" x14ac:dyDescent="0.3">
      <c r="D6" s="209" t="s">
        <v>46</v>
      </c>
      <c r="E6" s="209"/>
      <c r="F6" s="209"/>
      <c r="G6" s="209"/>
      <c r="H6" s="209"/>
      <c r="I6" s="209"/>
      <c r="J6" s="209"/>
      <c r="K6" s="209"/>
      <c r="L6" s="209"/>
      <c r="M6" s="209"/>
      <c r="N6" s="209"/>
      <c r="P6" s="206"/>
      <c r="Q6" s="206"/>
      <c r="R6" s="206"/>
      <c r="S6" s="206"/>
      <c r="T6" s="206"/>
      <c r="U6" s="206"/>
      <c r="V6" s="206"/>
      <c r="W6" s="206"/>
    </row>
    <row r="7" spans="2:23" ht="26.25" x14ac:dyDescent="0.25">
      <c r="D7" s="210" t="s">
        <v>31</v>
      </c>
      <c r="E7" s="211"/>
      <c r="F7" s="211"/>
      <c r="G7" s="211"/>
      <c r="H7" s="211"/>
      <c r="I7" s="211"/>
      <c r="J7" s="211"/>
      <c r="K7" s="212"/>
      <c r="P7" s="206"/>
      <c r="Q7" s="206"/>
      <c r="R7" s="206"/>
      <c r="S7" s="206"/>
      <c r="T7" s="206"/>
      <c r="U7" s="206"/>
      <c r="V7" s="206"/>
      <c r="W7" s="206"/>
    </row>
    <row r="8" spans="2:23" x14ac:dyDescent="0.25">
      <c r="P8" s="206"/>
      <c r="Q8" s="206"/>
      <c r="R8" s="206"/>
      <c r="S8" s="206"/>
      <c r="T8" s="206"/>
      <c r="U8" s="206"/>
      <c r="V8" s="206"/>
      <c r="W8" s="206"/>
    </row>
    <row r="9" spans="2:23" x14ac:dyDescent="0.25">
      <c r="B9" s="15" t="s">
        <v>47</v>
      </c>
      <c r="P9" s="206"/>
      <c r="Q9" s="206"/>
      <c r="R9" s="206"/>
      <c r="S9" s="206"/>
      <c r="T9" s="206"/>
      <c r="U9" s="206"/>
      <c r="V9" s="206"/>
      <c r="W9" s="206"/>
    </row>
    <row r="10" spans="2:23" x14ac:dyDescent="0.25">
      <c r="P10" s="206"/>
      <c r="Q10" s="206"/>
      <c r="R10" s="206"/>
      <c r="S10" s="206"/>
      <c r="T10" s="206"/>
      <c r="U10" s="206"/>
      <c r="V10" s="206"/>
      <c r="W10" s="206"/>
    </row>
    <row r="11" spans="2:23" x14ac:dyDescent="0.25">
      <c r="B11" s="16" t="s">
        <v>48</v>
      </c>
      <c r="G11" s="201"/>
      <c r="H11" s="201"/>
      <c r="I11" s="191">
        <v>3550</v>
      </c>
      <c r="J11" s="191"/>
      <c r="P11" s="206"/>
      <c r="Q11" s="206"/>
      <c r="R11" s="206"/>
      <c r="S11" s="206"/>
      <c r="T11" s="206"/>
      <c r="U11" s="206"/>
      <c r="V11" s="206"/>
      <c r="W11" s="206"/>
    </row>
    <row r="12" spans="2:23" x14ac:dyDescent="0.25">
      <c r="P12" s="206"/>
      <c r="Q12" s="206"/>
      <c r="R12" s="206"/>
      <c r="S12" s="206"/>
      <c r="T12" s="206"/>
      <c r="U12" s="206"/>
      <c r="V12" s="206"/>
      <c r="W12" s="206"/>
    </row>
    <row r="13" spans="2:23" ht="15" customHeight="1" x14ac:dyDescent="0.25">
      <c r="B13" s="213" t="s">
        <v>45</v>
      </c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P13" s="206"/>
      <c r="Q13" s="206"/>
      <c r="R13" s="206"/>
      <c r="S13" s="206"/>
      <c r="T13" s="206"/>
      <c r="U13" s="206"/>
      <c r="V13" s="206"/>
      <c r="W13" s="206"/>
    </row>
    <row r="14" spans="2:23" ht="15" customHeight="1" x14ac:dyDescent="0.25">
      <c r="B14" s="213"/>
      <c r="C14" s="213"/>
      <c r="D14" s="213"/>
      <c r="E14" s="213"/>
      <c r="F14" s="213"/>
      <c r="G14" s="213"/>
      <c r="H14" s="213"/>
      <c r="I14" s="213"/>
      <c r="J14" s="213"/>
      <c r="K14" s="213"/>
      <c r="L14" s="213"/>
      <c r="M14" s="213"/>
      <c r="N14" s="213"/>
      <c r="P14" s="206"/>
      <c r="Q14" s="206"/>
      <c r="R14" s="206"/>
      <c r="S14" s="206"/>
      <c r="T14" s="206"/>
      <c r="U14" s="206"/>
      <c r="V14" s="206"/>
      <c r="W14" s="206"/>
    </row>
    <row r="15" spans="2:23" ht="15" customHeight="1" x14ac:dyDescent="0.25">
      <c r="B15" s="213"/>
      <c r="C15" s="213"/>
      <c r="D15" s="213"/>
      <c r="E15" s="213"/>
      <c r="F15" s="213"/>
      <c r="G15" s="213"/>
      <c r="H15" s="213"/>
      <c r="I15" s="213"/>
      <c r="J15" s="213"/>
      <c r="K15" s="213"/>
      <c r="L15" s="213"/>
      <c r="M15" s="213"/>
      <c r="N15" s="213"/>
      <c r="P15" s="206"/>
      <c r="Q15" s="206"/>
      <c r="R15" s="206"/>
      <c r="S15" s="206"/>
      <c r="T15" s="206"/>
      <c r="U15" s="206"/>
      <c r="V15" s="206"/>
      <c r="W15" s="206"/>
    </row>
    <row r="16" spans="2:23" ht="15" customHeight="1" x14ac:dyDescent="0.25">
      <c r="B16" s="213"/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13"/>
    </row>
    <row r="17" spans="2:14" ht="15" customHeight="1" x14ac:dyDescent="0.25">
      <c r="B17" s="213"/>
      <c r="C17" s="213"/>
      <c r="D17" s="213"/>
      <c r="E17" s="213"/>
      <c r="F17" s="213"/>
      <c r="G17" s="213"/>
      <c r="H17" s="213"/>
      <c r="I17" s="213"/>
      <c r="J17" s="213"/>
      <c r="K17" s="213"/>
      <c r="L17" s="213"/>
      <c r="M17" s="213"/>
      <c r="N17" s="213"/>
    </row>
    <row r="18" spans="2:14" ht="15" customHeight="1" x14ac:dyDescent="0.25">
      <c r="B18" s="213"/>
      <c r="C18" s="213"/>
      <c r="D18" s="213"/>
      <c r="E18" s="213"/>
      <c r="F18" s="213"/>
      <c r="G18" s="213"/>
      <c r="H18" s="213"/>
      <c r="I18" s="213"/>
      <c r="J18" s="213"/>
      <c r="K18" s="213"/>
      <c r="L18" s="213"/>
      <c r="M18" s="213"/>
      <c r="N18" s="213"/>
    </row>
    <row r="20" spans="2:14" x14ac:dyDescent="0.25">
      <c r="B20" s="17" t="s">
        <v>49</v>
      </c>
      <c r="C20" s="17"/>
    </row>
    <row r="22" spans="2:14" ht="18.75" customHeight="1" x14ac:dyDescent="0.25">
      <c r="B22" s="208" t="s">
        <v>50</v>
      </c>
      <c r="C22" s="208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08" t="s">
        <v>55</v>
      </c>
      <c r="L22" s="208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208" t="s">
        <v>57</v>
      </c>
      <c r="C24" s="208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207" t="s">
        <v>61</v>
      </c>
      <c r="C26" s="207"/>
      <c r="D26" s="207"/>
      <c r="E26" s="207"/>
      <c r="F26" s="207" t="s">
        <v>62</v>
      </c>
      <c r="G26" s="207"/>
      <c r="H26" s="207"/>
      <c r="I26" s="207" t="s">
        <v>63</v>
      </c>
      <c r="J26" s="207"/>
      <c r="K26" s="207"/>
      <c r="L26" s="207"/>
      <c r="M26" s="207"/>
      <c r="N26" s="207"/>
    </row>
    <row r="27" spans="2:14" x14ac:dyDescent="0.25">
      <c r="B27" s="215" t="e">
        <f>IF('PIECE COMPTABLE CHF'!D5&gt;0,'PIECE COMPTABLE CHF'!A7,IF('PIECE COMPTABLE CHF'!D6&gt;0,'PIECE COMPTABLE CHF'!A6,""))</f>
        <v>#REF!</v>
      </c>
      <c r="C27" s="215"/>
      <c r="D27" s="215"/>
      <c r="E27" s="215"/>
      <c r="F27" s="215" t="e">
        <f>IF(B27=56961050826,"PERTE PRET EN CHF",IF(B27=57961070815,"GAIN PRET EN CHF","PERTE PRET EN CHF"))</f>
        <v>#REF!</v>
      </c>
      <c r="G27" s="215"/>
      <c r="H27" s="215"/>
      <c r="I27" s="207" t="s">
        <v>64</v>
      </c>
      <c r="J27" s="207"/>
      <c r="K27" s="207" t="s">
        <v>65</v>
      </c>
      <c r="L27" s="207"/>
      <c r="M27" s="207"/>
      <c r="N27" s="207"/>
    </row>
    <row r="28" spans="2:14" x14ac:dyDescent="0.25">
      <c r="B28" s="215"/>
      <c r="C28" s="215"/>
      <c r="D28" s="215"/>
      <c r="E28" s="215"/>
      <c r="F28" s="215"/>
      <c r="G28" s="215"/>
      <c r="H28" s="215"/>
      <c r="I28" s="216" t="e">
        <f>IF(B27=57961070815,'PIECE COMPTABLE CHF'!E7,IF(B27=56961050826,0,'PIECE COMPTABLE CHF'!D6))</f>
        <v>#REF!</v>
      </c>
      <c r="J28" s="216"/>
      <c r="K28" s="216" t="e">
        <f>IF(B27=57961070815,'PIECE COMPTABLE CHF'!D6,IF(B27=56961050826,'PIECE COMPTABLE CHF'!D6,"0,00"))</f>
        <v>#REF!</v>
      </c>
      <c r="L28" s="216"/>
      <c r="M28" s="216"/>
      <c r="N28" s="216"/>
    </row>
    <row r="29" spans="2:14" x14ac:dyDescent="0.25">
      <c r="B29" s="215"/>
      <c r="C29" s="215"/>
      <c r="D29" s="215"/>
      <c r="E29" s="215"/>
      <c r="F29" s="215"/>
      <c r="G29" s="215"/>
      <c r="H29" s="215"/>
      <c r="I29" s="216"/>
      <c r="J29" s="216"/>
      <c r="K29" s="216"/>
      <c r="L29" s="216"/>
      <c r="M29" s="216"/>
      <c r="N29" s="216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214" t="e">
        <f>+#REF!</f>
        <v>#REF!</v>
      </c>
      <c r="C33" s="214"/>
      <c r="D33" s="214"/>
      <c r="E33" s="214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33:E33"/>
    <mergeCell ref="B27:E29"/>
    <mergeCell ref="F27:H29"/>
    <mergeCell ref="I27:J27"/>
    <mergeCell ref="K27:N27"/>
    <mergeCell ref="I28:J29"/>
    <mergeCell ref="K28:N29"/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101" t="s">
        <v>77</v>
      </c>
      <c r="B1" s="106" t="s">
        <v>100</v>
      </c>
      <c r="C1" s="91"/>
      <c r="E1" s="90"/>
    </row>
    <row r="2" spans="1:5" s="25" customFormat="1" ht="15" customHeight="1" x14ac:dyDescent="0.3">
      <c r="A2" s="105" t="s">
        <v>78</v>
      </c>
      <c r="B2" s="107"/>
      <c r="C2" s="91"/>
    </row>
    <row r="3" spans="1:5" s="25" customFormat="1" ht="15" customHeight="1" x14ac:dyDescent="0.3">
      <c r="A3" s="105" t="s">
        <v>79</v>
      </c>
      <c r="B3" s="107"/>
      <c r="C3" s="91"/>
      <c r="D3" s="217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109" t="s">
        <v>80</v>
      </c>
      <c r="B4" s="108" t="str">
        <f>CONCATENATE(SIMULATION!E3," // ","SINISTRE PRET N° 0",SIMULATION!F3)</f>
        <v>BOB // SINISTRE PRET N° 01234567</v>
      </c>
      <c r="C4" s="91"/>
      <c r="D4" s="218"/>
    </row>
    <row r="5" spans="1:5" ht="15" customHeight="1" x14ac:dyDescent="0.25">
      <c r="A5" s="91"/>
      <c r="B5" s="105"/>
      <c r="C5" s="91"/>
      <c r="D5" s="91"/>
    </row>
    <row r="6" spans="1:5" ht="15" customHeight="1" x14ac:dyDescent="0.25">
      <c r="A6" s="100"/>
      <c r="B6" s="102" t="s">
        <v>99</v>
      </c>
      <c r="C6" s="91"/>
      <c r="D6" s="91"/>
    </row>
    <row r="7" spans="1:5" ht="15" customHeight="1" x14ac:dyDescent="0.25">
      <c r="A7" s="100"/>
      <c r="B7" s="102"/>
      <c r="C7" s="91"/>
      <c r="D7" s="91"/>
    </row>
    <row r="8" spans="1:5" ht="15" customHeight="1" x14ac:dyDescent="0.25">
      <c r="A8" s="100"/>
      <c r="B8" s="103" t="str">
        <f>CONCATENATE("Suite à la réception d'un virement de l'assurance"," ",SIMULATION!H3,", ","vous trouverez ci-joint la lettre relative au traitement de ce dossier.")</f>
        <v>Suite à la réception d'un virement de l'assurance ASSUREUR, vous trouverez ci-joint la lettre relative au traitement de ce dossier.</v>
      </c>
      <c r="C8" s="93"/>
      <c r="D8" s="93"/>
    </row>
    <row r="9" spans="1:5" ht="15" customHeight="1" x14ac:dyDescent="0.25">
      <c r="A9" s="100"/>
      <c r="B9" s="104"/>
      <c r="C9" s="92"/>
      <c r="D9" s="93"/>
    </row>
    <row r="10" spans="1:5" ht="15" customHeight="1" x14ac:dyDescent="0.25">
      <c r="A10" s="100"/>
      <c r="B10" s="104" t="s">
        <v>101</v>
      </c>
      <c r="C10" s="93"/>
      <c r="D10" s="94"/>
    </row>
    <row r="11" spans="1:5" x14ac:dyDescent="0.25">
      <c r="B11" s="47"/>
    </row>
  </sheetData>
  <mergeCells count="1">
    <mergeCell ref="D3:D4"/>
  </mergeCells>
  <phoneticPr fontId="4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16242B16CC5E4299C5522544F5E5C2" ma:contentTypeVersion="18" ma:contentTypeDescription="Crée un document." ma:contentTypeScope="" ma:versionID="6e2b6c59d659b8f3cc1aa491afd2aeba">
  <xsd:schema xmlns:xsd="http://www.w3.org/2001/XMLSchema" xmlns:xs="http://www.w3.org/2001/XMLSchema" xmlns:p="http://schemas.microsoft.com/office/2006/metadata/properties" xmlns:ns2="c0d2dd9f-3ac7-4a23-a018-fa5d363a335c" xmlns:ns3="643435ee-cb79-413d-a3d8-cdf86c3c2a6b" targetNamespace="http://schemas.microsoft.com/office/2006/metadata/properties" ma:root="true" ma:fieldsID="02358b219a6f8fe4dc924d49bfb180f8" ns2:_="" ns3:_="">
    <xsd:import namespace="c0d2dd9f-3ac7-4a23-a018-fa5d363a335c"/>
    <xsd:import namespace="643435ee-cb79-413d-a3d8-cdf86c3c2a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2dd9f-3ac7-4a23-a018-fa5d363a3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c52eb4dc-0ef3-4aa8-8e03-025dbf6c86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3435ee-cb79-413d-a3d8-cdf86c3c2a6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ab6e23d-3a1c-43b8-a2d6-df8c65781006}" ma:internalName="TaxCatchAll" ma:showField="CatchAllData" ma:web="643435ee-cb79-413d-a3d8-cdf86c3c2a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3435ee-cb79-413d-a3d8-cdf86c3c2a6b" xsi:nil="true"/>
    <lcf76f155ced4ddcb4097134ff3c332f xmlns="c0d2dd9f-3ac7-4a23-a018-fa5d363a335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c52eb4dc-0ef3-4aa8-8e03-025dbf6c8637" ContentTypeId="0x0101" PreviousValue="false"/>
</file>

<file path=customXml/itemProps1.xml><?xml version="1.0" encoding="utf-8"?>
<ds:datastoreItem xmlns:ds="http://schemas.openxmlformats.org/officeDocument/2006/customXml" ds:itemID="{1EAEA15E-29B0-403E-B1D3-2F9164146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2dd9f-3ac7-4a23-a018-fa5d363a335c"/>
    <ds:schemaRef ds:uri="643435ee-cb79-413d-a3d8-cdf86c3c2a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DEC02C-0DC2-4BD9-8498-53DE3307D2AB}">
  <ds:schemaRefs>
    <ds:schemaRef ds:uri="http://schemas.openxmlformats.org/package/2006/metadata/core-properties"/>
    <ds:schemaRef ds:uri="643435ee-cb79-413d-a3d8-cdf86c3c2a6b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c0d2dd9f-3ac7-4a23-a018-fa5d363a335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DORSAF BOUSSETTA</dc:creator>
  <cp:keywords/>
  <dc:description/>
  <cp:lastModifiedBy>GUEROUX YOAN (BPAURA)</cp:lastModifiedBy>
  <cp:revision/>
  <cp:lastPrinted>2024-11-06T12:22:18Z</cp:lastPrinted>
  <dcterms:created xsi:type="dcterms:W3CDTF">2020-04-27T06:44:54Z</dcterms:created>
  <dcterms:modified xsi:type="dcterms:W3CDTF">2024-11-13T09:15:50Z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0x0101007316242B16CC5E4299C5522544F5E5C2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