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202300"/>
  <mc:AlternateContent xmlns:mc="http://schemas.openxmlformats.org/markup-compatibility/2006">
    <mc:Choice Requires="x15">
      <x15ac:absPath xmlns:x15ac="http://schemas.microsoft.com/office/spreadsheetml/2010/11/ac" url="C:\Users\alanglois\Desktop\Demande particulière\"/>
    </mc:Choice>
  </mc:AlternateContent>
  <xr:revisionPtr revIDLastSave="0" documentId="13_ncr:1_{76DC3FC4-4DF2-4534-87FE-F107D6807EF8}" xr6:coauthVersionLast="47" xr6:coauthVersionMax="47" xr10:uidLastSave="{00000000-0000-0000-0000-000000000000}"/>
  <bookViews>
    <workbookView xWindow="-120" yWindow="-120" windowWidth="29040" windowHeight="15840" activeTab="1" xr2:uid="{FA2528C1-A6BC-4C13-B59A-CD338D87104A}"/>
  </bookViews>
  <sheets>
    <sheet name="Anniversaires" sheetId="2" r:id="rId1"/>
    <sheet name="Guylaine Joyal" sheetId="1" r:id="rId2"/>
  </sheets>
  <externalReferences>
    <externalReference r:id="rId3"/>
  </externalReferences>
  <definedNames>
    <definedName name="_xlnm._FilterDatabase" localSheetId="0" hidden="1">Anniversaires!$C$3:$I$4</definedName>
    <definedName name="_xlnm.Print_Area" localSheetId="0">Tableau13[#All]</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W4" i="2" l="1"/>
  <c r="V4" i="2"/>
  <c r="U4" i="2"/>
  <c r="T4" i="2"/>
  <c r="S4" i="2"/>
  <c r="R4" i="2"/>
  <c r="Q4" i="2"/>
  <c r="P4" i="2"/>
  <c r="N4" i="2"/>
  <c r="M4" i="2"/>
  <c r="L4" i="2"/>
  <c r="I4" i="2"/>
  <c r="O4" i="2" s="1"/>
  <c r="A4" i="2"/>
  <c r="J4" i="2" s="1"/>
  <c r="K70" i="1"/>
  <c r="J70" i="1"/>
  <c r="K67" i="1"/>
  <c r="J67" i="1"/>
  <c r="I67" i="1"/>
  <c r="H67" i="1"/>
  <c r="P44" i="1"/>
  <c r="O44" i="1"/>
  <c r="N44" i="1"/>
  <c r="M44" i="1"/>
  <c r="A43" i="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42" i="1"/>
  <c r="A41" i="1"/>
  <c r="K33" i="1"/>
  <c r="R33" i="1" s="1"/>
  <c r="E32" i="1"/>
  <c r="E33" i="1" s="1"/>
  <c r="C31" i="1"/>
  <c r="I32" i="1" s="1"/>
  <c r="I33" i="1" s="1"/>
  <c r="R28" i="1"/>
  <c r="R45" i="1" s="1"/>
  <c r="K28" i="1"/>
  <c r="C26" i="1"/>
  <c r="I27" i="1" s="1"/>
  <c r="I28" i="1" s="1"/>
  <c r="R23" i="1"/>
  <c r="K23" i="1"/>
  <c r="E22" i="1"/>
  <c r="E23" i="1" s="1"/>
  <c r="C21" i="1"/>
  <c r="I22" i="1" s="1"/>
  <c r="F18" i="1"/>
  <c r="E17" i="1"/>
  <c r="E18" i="1" s="1"/>
  <c r="C16" i="1"/>
  <c r="I17" i="1" s="1"/>
  <c r="P11" i="1"/>
  <c r="L11" i="1"/>
  <c r="L23" i="1" s="1"/>
  <c r="K11" i="1"/>
  <c r="H11" i="1"/>
  <c r="G11" i="1"/>
  <c r="F11" i="1"/>
  <c r="E11" i="1"/>
  <c r="X10" i="1"/>
  <c r="P10" i="1"/>
  <c r="K10" i="1"/>
  <c r="H10" i="1"/>
  <c r="H28" i="1" s="1"/>
  <c r="F10" i="1"/>
  <c r="F33" i="1" s="1"/>
  <c r="P9" i="1"/>
  <c r="N9" i="1"/>
  <c r="K9" i="1"/>
  <c r="J9" i="1"/>
  <c r="I9" i="1"/>
  <c r="K8" i="1"/>
  <c r="P6" i="1"/>
  <c r="L6" i="1"/>
  <c r="L18" i="1" s="1"/>
  <c r="K6" i="1"/>
  <c r="H6" i="1"/>
  <c r="G6" i="1"/>
  <c r="F6" i="1"/>
  <c r="E6" i="1"/>
  <c r="X5" i="1"/>
  <c r="P5" i="1"/>
  <c r="K5" i="1"/>
  <c r="K18" i="1" s="1"/>
  <c r="R18" i="1" s="1"/>
  <c r="H5" i="1"/>
  <c r="H18" i="1" s="1"/>
  <c r="F5" i="1"/>
  <c r="P4" i="1"/>
  <c r="N4" i="1"/>
  <c r="K4" i="1"/>
  <c r="J4" i="1"/>
  <c r="I4" i="1"/>
  <c r="I18" i="1" s="1"/>
  <c r="K3" i="1"/>
  <c r="V18" i="1" l="1"/>
  <c r="R41" i="1"/>
  <c r="I23" i="1"/>
  <c r="R48" i="1"/>
  <c r="V33" i="1"/>
  <c r="G18" i="1"/>
  <c r="T18" i="1" s="1"/>
  <c r="E27" i="1"/>
  <c r="G32" i="1"/>
  <c r="G33" i="1" s="1"/>
  <c r="M33" i="1" s="1"/>
  <c r="H70" i="1"/>
  <c r="G17" i="1"/>
  <c r="G22" i="1"/>
  <c r="G23" i="1" s="1"/>
  <c r="R43" i="1"/>
  <c r="I70" i="1"/>
  <c r="F23" i="1"/>
  <c r="H33" i="1"/>
  <c r="T33" i="1" s="1"/>
  <c r="F28" i="1"/>
  <c r="H23" i="1"/>
  <c r="V28" i="1"/>
  <c r="V23" i="1"/>
  <c r="L67" i="1"/>
  <c r="N33" i="1" l="1"/>
  <c r="O33" i="1" s="1"/>
  <c r="X18" i="1"/>
  <c r="T41" i="1"/>
  <c r="X33" i="1"/>
  <c r="T48" i="1"/>
  <c r="M23" i="1"/>
  <c r="E28" i="1"/>
  <c r="G27" i="1"/>
  <c r="G28" i="1" s="1"/>
  <c r="M18" i="1"/>
  <c r="T23" i="1"/>
  <c r="C49" i="1"/>
  <c r="M49" i="1" s="1"/>
  <c r="C48" i="1"/>
  <c r="M48" i="1" s="1"/>
  <c r="R67" i="1"/>
  <c r="C40" i="1"/>
  <c r="C41" i="1"/>
  <c r="M41" i="1" s="1"/>
  <c r="C42" i="1"/>
  <c r="M42" i="1" s="1"/>
  <c r="C43" i="1"/>
  <c r="M43" i="1" s="1"/>
  <c r="L70" i="1"/>
  <c r="C47" i="1"/>
  <c r="M47" i="1" s="1"/>
  <c r="C46" i="1"/>
  <c r="M46" i="1" s="1"/>
  <c r="C45" i="1"/>
  <c r="M45" i="1" s="1"/>
  <c r="Q33" i="1" l="1"/>
  <c r="P33" i="1"/>
  <c r="S33" i="1" s="1"/>
  <c r="N23" i="1"/>
  <c r="O23" i="1" s="1"/>
  <c r="C68" i="1"/>
  <c r="H78" i="1"/>
  <c r="N18" i="1"/>
  <c r="O18" i="1" s="1"/>
  <c r="M28" i="1"/>
  <c r="T28" i="1"/>
  <c r="C67" i="1"/>
  <c r="M40" i="1"/>
  <c r="M67" i="1" s="1"/>
  <c r="E48" i="1"/>
  <c r="O48" i="1" s="1"/>
  <c r="E49" i="1"/>
  <c r="O49" i="1" s="1"/>
  <c r="X23" i="1"/>
  <c r="T43" i="1"/>
  <c r="E41" i="1"/>
  <c r="O41" i="1" s="1"/>
  <c r="E40" i="1"/>
  <c r="Q18" i="1" l="1"/>
  <c r="P18" i="1"/>
  <c r="S18" i="1" s="1"/>
  <c r="P23" i="1"/>
  <c r="S23" i="1" s="1"/>
  <c r="T45" i="1"/>
  <c r="T67" i="1" s="1"/>
  <c r="X28" i="1"/>
  <c r="N28" i="1"/>
  <c r="O28" i="1" s="1"/>
  <c r="H80" i="1"/>
  <c r="O40" i="1"/>
  <c r="E42" i="1"/>
  <c r="O42" i="1" s="1"/>
  <c r="E43" i="1"/>
  <c r="O43" i="1" s="1"/>
  <c r="W33" i="1"/>
  <c r="S48" i="1"/>
  <c r="H72" i="1"/>
  <c r="H71" i="1"/>
  <c r="U33" i="1"/>
  <c r="U28" i="1" l="1"/>
  <c r="Q28" i="1"/>
  <c r="P28" i="1"/>
  <c r="S28" i="1" s="1"/>
  <c r="E68" i="1"/>
  <c r="J78" i="1"/>
  <c r="J80" i="1" s="1"/>
  <c r="H73" i="1"/>
  <c r="D49" i="1"/>
  <c r="N49" i="1" s="1"/>
  <c r="D48" i="1"/>
  <c r="N48" i="1" s="1"/>
  <c r="W23" i="1"/>
  <c r="S43" i="1"/>
  <c r="E46" i="1"/>
  <c r="O46" i="1" s="1"/>
  <c r="E45" i="1"/>
  <c r="O45" i="1" s="1"/>
  <c r="E47" i="1"/>
  <c r="O47" i="1" s="1"/>
  <c r="Q23" i="1"/>
  <c r="U23" i="1"/>
  <c r="E67" i="1"/>
  <c r="W18" i="1"/>
  <c r="S41" i="1"/>
  <c r="O67" i="1"/>
  <c r="Y33" i="1"/>
  <c r="U48" i="1"/>
  <c r="V48" i="1" s="1"/>
  <c r="U18" i="1"/>
  <c r="D42" i="1" l="1"/>
  <c r="N42" i="1" s="1"/>
  <c r="D43" i="1"/>
  <c r="N43" i="1" s="1"/>
  <c r="U45" i="1"/>
  <c r="Y28" i="1"/>
  <c r="D40" i="1"/>
  <c r="D41" i="1"/>
  <c r="N41" i="1" s="1"/>
  <c r="J72" i="1"/>
  <c r="J71" i="1"/>
  <c r="J73" i="1" s="1"/>
  <c r="J75" i="1" s="1"/>
  <c r="H75" i="1"/>
  <c r="F48" i="1"/>
  <c r="P48" i="1" s="1"/>
  <c r="F49" i="1"/>
  <c r="P49" i="1" s="1"/>
  <c r="Y23" i="1"/>
  <c r="U43" i="1"/>
  <c r="Y18" i="1"/>
  <c r="U41" i="1"/>
  <c r="U67" i="1" s="1"/>
  <c r="S45" i="1"/>
  <c r="V45" i="1" s="1"/>
  <c r="W28" i="1"/>
  <c r="V43" i="1"/>
  <c r="S67" i="1"/>
  <c r="V41" i="1"/>
  <c r="N40" i="1" l="1"/>
  <c r="F68" i="1"/>
  <c r="K78" i="1"/>
  <c r="K80" i="1" s="1"/>
  <c r="F45" i="1"/>
  <c r="P45" i="1" s="1"/>
  <c r="F46" i="1"/>
  <c r="P46" i="1" s="1"/>
  <c r="F47" i="1"/>
  <c r="P47" i="1" s="1"/>
  <c r="F41" i="1"/>
  <c r="P41" i="1" s="1"/>
  <c r="F40" i="1"/>
  <c r="D68" i="1"/>
  <c r="G68" i="1" s="1"/>
  <c r="I78" i="1"/>
  <c r="V67" i="1"/>
  <c r="V68" i="1" s="1"/>
  <c r="D46" i="1"/>
  <c r="N46" i="1" s="1"/>
  <c r="D45" i="1"/>
  <c r="N45" i="1" s="1"/>
  <c r="D47" i="1"/>
  <c r="N47" i="1" s="1"/>
  <c r="F43" i="1"/>
  <c r="P43" i="1" s="1"/>
  <c r="F42" i="1"/>
  <c r="P42" i="1" s="1"/>
  <c r="P40" i="1" l="1"/>
  <c r="P67" i="1" s="1"/>
  <c r="F67" i="1"/>
  <c r="I80" i="1"/>
  <c r="L78" i="1"/>
  <c r="L80" i="1" s="1"/>
  <c r="D67" i="1"/>
  <c r="N67" i="1"/>
  <c r="Q67" i="1" l="1"/>
  <c r="I72" i="1"/>
  <c r="I71" i="1"/>
  <c r="G67" i="1"/>
  <c r="K72" i="1"/>
  <c r="K71" i="1"/>
  <c r="K73" i="1" l="1"/>
  <c r="K75" i="1" s="1"/>
  <c r="I73" i="1"/>
  <c r="L71" i="1"/>
  <c r="L72" i="1"/>
  <c r="I75" i="1" l="1"/>
  <c r="L75" i="1" s="1"/>
  <c r="L73"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Annie Létourneau</author>
    <author>Sylvie Lefebvre</author>
  </authors>
  <commentList>
    <comment ref="P2" authorId="0" shapeId="0" xr:uid="{4B49558F-DD21-48B1-A571-955E61094834}">
      <text>
        <r>
          <rPr>
            <b/>
            <sz val="9"/>
            <color indexed="81"/>
            <rFont val="Tahoma"/>
            <family val="2"/>
          </rPr>
          <t xml:space="preserve">Annie Létourneau:
Convention coll.: </t>
        </r>
        <r>
          <rPr>
            <sz val="9"/>
            <color indexed="81"/>
            <rFont val="Tahoma"/>
            <family val="2"/>
          </rPr>
          <t xml:space="preserve">l'employeur s'engageà souscrire au régime à raison de 50% des coûts inhérents au régime.  Nonobstant ce qui précède, cette contribution ne devra jamais excéder un maximum mensuel de cent-sept (107$) dollars pour une contribution au plan familial, de soixante-dix (70$) pour un plan monoparental et de cinquante-deux (52$) dollars pour un plan individuel. 
si l'employé n'a pas l'assurance santé, il doit payer son assurance invalidité pour que ce soit non imposable.  L'employeur paye alors la différence de la prime.
</t>
        </r>
      </text>
    </comment>
    <comment ref="E3" authorId="0" shapeId="0" xr:uid="{92292F76-DD57-4FF6-AE54-64C16BD5415F}">
      <text>
        <r>
          <rPr>
            <b/>
            <sz val="9"/>
            <color indexed="81"/>
            <rFont val="Tahoma"/>
            <family val="2"/>
          </rPr>
          <t>Annie Létourneau:</t>
        </r>
        <r>
          <rPr>
            <sz val="9"/>
            <color indexed="81"/>
            <rFont val="Tahoma"/>
            <family val="2"/>
          </rPr>
          <t xml:space="preserve">
VIE  Réduction de 50% à l'âge de 65 ans pour un max. de 25 000$.                    
Réduction de 100% à l'âge de 70 ans.
Réduction de 100% à la retraite.
</t>
        </r>
      </text>
    </comment>
    <comment ref="G3" authorId="0" shapeId="0" xr:uid="{40A75F3E-A46D-4DFE-A7A9-C5346614E44F}">
      <text>
        <r>
          <rPr>
            <b/>
            <sz val="9"/>
            <color indexed="81"/>
            <rFont val="Tahoma"/>
            <family val="2"/>
          </rPr>
          <t>Annie Létourneau:</t>
        </r>
        <r>
          <rPr>
            <sz val="9"/>
            <color indexed="81"/>
            <rFont val="Tahoma"/>
            <family val="2"/>
          </rPr>
          <t xml:space="preserve">
A 65 ans on enlève la garantie DMA et le volume ass-vie de base est 25 000 $ MAX</t>
        </r>
      </text>
    </comment>
    <comment ref="I3" authorId="0" shapeId="0" xr:uid="{9EC83339-5537-448D-9A87-8D4E58B15556}">
      <text>
        <r>
          <rPr>
            <b/>
            <sz val="9"/>
            <color indexed="81"/>
            <rFont val="Tahoma"/>
            <family val="2"/>
          </rPr>
          <t>Annie Létourneau:</t>
        </r>
        <r>
          <rPr>
            <sz val="9"/>
            <color indexed="81"/>
            <rFont val="Tahoma"/>
            <family val="2"/>
          </rPr>
          <t xml:space="preserve">
A 65 ans cessation de la garantie assurance en cas d'invalidité de longue durée
</t>
        </r>
      </text>
    </comment>
    <comment ref="K3" authorId="1" shapeId="0" xr:uid="{47208B8D-CB5E-45B5-A8B2-616512E09F0E}">
      <text>
        <r>
          <rPr>
            <b/>
            <sz val="9"/>
            <color indexed="81"/>
            <rFont val="Tahoma"/>
            <family val="2"/>
          </rPr>
          <t>Sylvie Lefebvre:</t>
        </r>
        <r>
          <rPr>
            <sz val="9"/>
            <color indexed="81"/>
            <rFont val="Tahoma"/>
            <family val="2"/>
          </rPr>
          <t xml:space="preserve">
Assurance-maladie seulement, (ambulance, physio,etc…)
pas d'ass. Médicaments (ex: avec la RAMQ)
AL 11-01-2024: </t>
        </r>
        <r>
          <rPr>
            <b/>
            <sz val="9"/>
            <color indexed="81"/>
            <rFont val="Tahoma"/>
            <family val="2"/>
          </rPr>
          <t>taux pas à jour, à valider avec UV si un employé a ce plan</t>
        </r>
      </text>
    </comment>
    <comment ref="K4" authorId="0" shapeId="0" xr:uid="{AB34708A-A8DB-4860-B387-072285F49B89}">
      <text>
        <r>
          <rPr>
            <b/>
            <sz val="9"/>
            <color indexed="81"/>
            <rFont val="Tahoma"/>
            <family val="2"/>
          </rPr>
          <t>Plan individuel</t>
        </r>
      </text>
    </comment>
    <comment ref="P4" authorId="0" shapeId="0" xr:uid="{32223DB4-AF3E-44F9-B48B-0AC286B64073}">
      <text>
        <r>
          <rPr>
            <b/>
            <sz val="9"/>
            <color indexed="81"/>
            <rFont val="Tahoma"/>
            <family val="2"/>
          </rPr>
          <t xml:space="preserve">Plan individuel
</t>
        </r>
      </text>
    </comment>
    <comment ref="F5" authorId="0" shapeId="0" xr:uid="{8AC42E59-2BB2-4CC1-942A-BF689D1F7103}">
      <text>
        <r>
          <rPr>
            <b/>
            <sz val="9"/>
            <color indexed="81"/>
            <rFont val="Tahoma"/>
            <family val="2"/>
          </rPr>
          <t>Assurance vie enfants</t>
        </r>
      </text>
    </comment>
    <comment ref="H5" authorId="0" shapeId="0" xr:uid="{8D2B4922-C568-4754-878A-28076CF99F7C}">
      <text>
        <r>
          <rPr>
            <b/>
            <sz val="9"/>
            <color indexed="81"/>
            <rFont val="Tahoma"/>
            <family val="2"/>
          </rPr>
          <t xml:space="preserve">D.M.A.  enfants </t>
        </r>
      </text>
    </comment>
    <comment ref="K5" authorId="0" shapeId="0" xr:uid="{9ED7EAC6-CD67-47A6-B959-EB2FDF062F96}">
      <text>
        <r>
          <rPr>
            <b/>
            <sz val="9"/>
            <color indexed="81"/>
            <rFont val="Tahoma"/>
            <family val="2"/>
          </rPr>
          <t>Plan monoparental</t>
        </r>
      </text>
    </comment>
    <comment ref="P5" authorId="0" shapeId="0" xr:uid="{914CD5D9-0772-4A90-ACEB-84C46E5CFB5F}">
      <text>
        <r>
          <rPr>
            <b/>
            <sz val="9"/>
            <color indexed="81"/>
            <rFont val="Tahoma"/>
            <family val="2"/>
          </rPr>
          <t>Plan monoparental</t>
        </r>
      </text>
    </comment>
    <comment ref="F6" authorId="0" shapeId="0" xr:uid="{069580E3-ACD7-4068-8761-746436BF464C}">
      <text>
        <r>
          <rPr>
            <b/>
            <sz val="9"/>
            <color indexed="81"/>
            <rFont val="Tahoma"/>
            <family val="2"/>
          </rPr>
          <t>Assurance vie famille</t>
        </r>
      </text>
    </comment>
    <comment ref="H6" authorId="0" shapeId="0" xr:uid="{8C088202-03A8-420F-9822-5A1138F2D1E8}">
      <text>
        <r>
          <rPr>
            <b/>
            <sz val="9"/>
            <color indexed="81"/>
            <rFont val="Tahoma"/>
            <family val="2"/>
          </rPr>
          <t xml:space="preserve">D.M.A. famille </t>
        </r>
      </text>
    </comment>
    <comment ref="K6" authorId="0" shapeId="0" xr:uid="{7586481E-23F3-4055-AD48-90FB5F82F3B0}">
      <text>
        <r>
          <rPr>
            <b/>
            <sz val="9"/>
            <color indexed="81"/>
            <rFont val="Tahoma"/>
            <family val="2"/>
          </rPr>
          <t xml:space="preserve">Plan familial
</t>
        </r>
      </text>
    </comment>
    <comment ref="L6" authorId="0" shapeId="0" xr:uid="{E7489D37-9237-418D-BC1E-79887A20D184}">
      <text>
        <r>
          <rPr>
            <b/>
            <sz val="9"/>
            <color indexed="81"/>
            <rFont val="Tahoma"/>
            <family val="2"/>
          </rPr>
          <t>Annie Létourneau:</t>
        </r>
        <r>
          <rPr>
            <sz val="9"/>
            <color indexed="81"/>
            <rFont val="Tahoma"/>
            <family val="2"/>
          </rPr>
          <t xml:space="preserve">
les primes de 4$ + tx de 9% pour la télémédecine sont assumées à 100% par l'employeur</t>
        </r>
      </text>
    </comment>
    <comment ref="P6" authorId="0" shapeId="0" xr:uid="{DEB5966C-C4B9-4EBF-BA1C-26E4EE2A195E}">
      <text>
        <r>
          <rPr>
            <b/>
            <sz val="9"/>
            <color indexed="81"/>
            <rFont val="Tahoma"/>
            <family val="2"/>
          </rPr>
          <t xml:space="preserve">Plan familial
</t>
        </r>
      </text>
    </comment>
    <comment ref="P7" authorId="0" shapeId="0" xr:uid="{2003C732-4CAC-4411-8F40-50918C5E4180}">
      <text>
        <r>
          <rPr>
            <b/>
            <sz val="9"/>
            <color indexed="81"/>
            <rFont val="Tahoma"/>
            <family val="2"/>
          </rPr>
          <t xml:space="preserve">Annie Létourneau:
Convention coll.: </t>
        </r>
        <r>
          <rPr>
            <sz val="9"/>
            <color indexed="81"/>
            <rFont val="Tahoma"/>
            <family val="2"/>
          </rPr>
          <t xml:space="preserve">l'employeur s'engageà souscrire au régime à raison de 50% des coûts inhérents au régime.  Nonobstant ce qui précède, cette contribution ne devra jamais excéder un maximum mensuel de cent-sept (107$) dollars pour une contribution au plan familial, de soixante-dix (70$) pour un plan monoparental et de cinquante-deux (52$) dollars pour un plan individuel. 
si l'employé n'a pas l'assurance santé, il doit payer son assurance invalidité pour que ce soit non imposable.  L'employeur paye alors la différence de la prime.
</t>
        </r>
      </text>
    </comment>
    <comment ref="E8" authorId="0" shapeId="0" xr:uid="{BA8280DF-8752-44F7-A67A-C6F52F05E220}">
      <text>
        <r>
          <rPr>
            <b/>
            <sz val="9"/>
            <color indexed="81"/>
            <rFont val="Tahoma"/>
            <family val="2"/>
          </rPr>
          <t>Annie Létourneau:</t>
        </r>
        <r>
          <rPr>
            <sz val="9"/>
            <color indexed="81"/>
            <rFont val="Tahoma"/>
            <family val="2"/>
          </rPr>
          <t xml:space="preserve">
VIE  Réduction de 50% à l'âge de 65 ans pour un max. de 25 000$.                    
Réduction de 100% à l'âge de 70 ans.
Réduction de 100% à la retraite.
</t>
        </r>
      </text>
    </comment>
    <comment ref="G8" authorId="0" shapeId="0" xr:uid="{941C2C79-4B99-4FDB-A6B4-362795C81726}">
      <text>
        <r>
          <rPr>
            <b/>
            <sz val="9"/>
            <color indexed="81"/>
            <rFont val="Tahoma"/>
            <family val="2"/>
          </rPr>
          <t>Annie Létourneau:</t>
        </r>
        <r>
          <rPr>
            <sz val="9"/>
            <color indexed="81"/>
            <rFont val="Tahoma"/>
            <family val="2"/>
          </rPr>
          <t xml:space="preserve">
A 65 ans on enlève la garantie DMA et le volume ass-vie de base est 25 000 $ MAX</t>
        </r>
      </text>
    </comment>
    <comment ref="I8" authorId="0" shapeId="0" xr:uid="{6F7C6001-267E-45E5-9ABA-231CFBE10948}">
      <text>
        <r>
          <rPr>
            <b/>
            <sz val="9"/>
            <color indexed="81"/>
            <rFont val="Tahoma"/>
            <family val="2"/>
          </rPr>
          <t>Annie Létourneau:</t>
        </r>
        <r>
          <rPr>
            <sz val="9"/>
            <color indexed="81"/>
            <rFont val="Tahoma"/>
            <family val="2"/>
          </rPr>
          <t xml:space="preserve">
A 65 ans cessation de la garantie assurance en cas d'invalidité de longue durée
</t>
        </r>
      </text>
    </comment>
    <comment ref="K8" authorId="1" shapeId="0" xr:uid="{72FFAE92-ABFB-49C5-92FD-5E2B86D0F747}">
      <text>
        <r>
          <rPr>
            <b/>
            <sz val="9"/>
            <color indexed="81"/>
            <rFont val="Tahoma"/>
            <family val="2"/>
          </rPr>
          <t>Sylvie Lefebvre:</t>
        </r>
        <r>
          <rPr>
            <sz val="9"/>
            <color indexed="81"/>
            <rFont val="Tahoma"/>
            <family val="2"/>
          </rPr>
          <t xml:space="preserve">
Assurance-maladie seulement, (ambulance, physio,etc…)
pas d'ass. Médicaments (ex: avec la RAMQ)
AL 11-01-2024: </t>
        </r>
        <r>
          <rPr>
            <b/>
            <sz val="9"/>
            <color indexed="81"/>
            <rFont val="Tahoma"/>
            <family val="2"/>
          </rPr>
          <t>taux pas à jour, à valider avec UV si un employé a ce plan</t>
        </r>
      </text>
    </comment>
    <comment ref="K9" authorId="0" shapeId="0" xr:uid="{BEFAC7F1-0297-4019-89E3-5DC04BA733E8}">
      <text>
        <r>
          <rPr>
            <b/>
            <sz val="9"/>
            <color indexed="81"/>
            <rFont val="Tahoma"/>
            <family val="2"/>
          </rPr>
          <t>Plan individuel</t>
        </r>
      </text>
    </comment>
    <comment ref="P9" authorId="0" shapeId="0" xr:uid="{75F838EE-0F79-47AD-9A6C-BAC19F7CFA6F}">
      <text>
        <r>
          <rPr>
            <b/>
            <sz val="9"/>
            <color indexed="81"/>
            <rFont val="Tahoma"/>
            <family val="2"/>
          </rPr>
          <t xml:space="preserve">Plan individuel
</t>
        </r>
      </text>
    </comment>
    <comment ref="F10" authorId="0" shapeId="0" xr:uid="{94449FE3-E78F-4773-9BDF-24683B3A5E89}">
      <text>
        <r>
          <rPr>
            <b/>
            <sz val="9"/>
            <color indexed="81"/>
            <rFont val="Tahoma"/>
            <family val="2"/>
          </rPr>
          <t>Assurance vie enfants</t>
        </r>
      </text>
    </comment>
    <comment ref="H10" authorId="0" shapeId="0" xr:uid="{EF640AB8-34BE-4EFE-B46E-883EF42D6A20}">
      <text>
        <r>
          <rPr>
            <b/>
            <sz val="9"/>
            <color indexed="81"/>
            <rFont val="Tahoma"/>
            <family val="2"/>
          </rPr>
          <t xml:space="preserve">D.M.A.  enfants </t>
        </r>
      </text>
    </comment>
    <comment ref="K10" authorId="0" shapeId="0" xr:uid="{8AAD7E9A-13F5-4F43-A378-5D8FBA9A1844}">
      <text>
        <r>
          <rPr>
            <b/>
            <sz val="9"/>
            <color indexed="81"/>
            <rFont val="Tahoma"/>
            <family val="2"/>
          </rPr>
          <t>Plan monoparental</t>
        </r>
      </text>
    </comment>
    <comment ref="P10" authorId="0" shapeId="0" xr:uid="{0E9EA1EE-5FA8-4A7B-B81D-74F1CE478FCD}">
      <text>
        <r>
          <rPr>
            <b/>
            <sz val="9"/>
            <color indexed="81"/>
            <rFont val="Tahoma"/>
            <family val="2"/>
          </rPr>
          <t>Plan monoparental</t>
        </r>
      </text>
    </comment>
    <comment ref="F11" authorId="0" shapeId="0" xr:uid="{E7DBD6D6-9CC2-4738-8A75-C473E4C0D93F}">
      <text>
        <r>
          <rPr>
            <b/>
            <sz val="9"/>
            <color indexed="81"/>
            <rFont val="Tahoma"/>
            <family val="2"/>
          </rPr>
          <t>Assurance vie famille</t>
        </r>
      </text>
    </comment>
    <comment ref="H11" authorId="0" shapeId="0" xr:uid="{0B6DEA35-32A7-48CE-AAB0-2962E74067FE}">
      <text>
        <r>
          <rPr>
            <b/>
            <sz val="9"/>
            <color indexed="81"/>
            <rFont val="Tahoma"/>
            <family val="2"/>
          </rPr>
          <t xml:space="preserve">D.M.A. famille </t>
        </r>
      </text>
    </comment>
    <comment ref="K11" authorId="0" shapeId="0" xr:uid="{7EFB8DD9-EADB-4A51-84FF-F8FA8ECCCA7F}">
      <text>
        <r>
          <rPr>
            <b/>
            <sz val="9"/>
            <color indexed="81"/>
            <rFont val="Tahoma"/>
            <family val="2"/>
          </rPr>
          <t xml:space="preserve">Plan familial
</t>
        </r>
      </text>
    </comment>
    <comment ref="L11" authorId="0" shapeId="0" xr:uid="{3A92EC7B-0BD7-4EF1-B465-69073271A2F0}">
      <text>
        <r>
          <rPr>
            <b/>
            <sz val="9"/>
            <color indexed="81"/>
            <rFont val="Tahoma"/>
            <family val="2"/>
          </rPr>
          <t>Annie Létourneau:</t>
        </r>
        <r>
          <rPr>
            <sz val="9"/>
            <color indexed="81"/>
            <rFont val="Tahoma"/>
            <family val="2"/>
          </rPr>
          <t xml:space="preserve">
les primes de 4$ + tx de 9% pour la télémédecine sont assumées à 100% par l'employeur</t>
        </r>
      </text>
    </comment>
    <comment ref="P11" authorId="0" shapeId="0" xr:uid="{89484717-ED29-4370-8B1D-F34F5E247400}">
      <text>
        <r>
          <rPr>
            <b/>
            <sz val="9"/>
            <color indexed="81"/>
            <rFont val="Tahoma"/>
            <family val="2"/>
          </rPr>
          <t xml:space="preserve">Plan familial
</t>
        </r>
      </text>
    </comment>
    <comment ref="C18" authorId="0" shapeId="0" xr:uid="{01C8A75C-23DB-4AD3-92C8-7429233E2010}">
      <text>
        <r>
          <rPr>
            <b/>
            <sz val="9"/>
            <color indexed="81"/>
            <rFont val="Tahoma"/>
            <family val="2"/>
          </rPr>
          <t>FAM : Ass vie Familiale
MONO : Ass vie Enfants</t>
        </r>
      </text>
    </comment>
    <comment ref="C19" authorId="0" shapeId="0" xr:uid="{0D0B7F83-C407-4A28-8788-7D2F8C6B16DC}">
      <text>
        <r>
          <rPr>
            <b/>
            <sz val="9"/>
            <color indexed="81"/>
            <rFont val="Tahoma"/>
            <family val="2"/>
          </rPr>
          <t xml:space="preserve">FAM : Ass. Santé Familiale
MONO : Ass. Santé Monoparentale
IND : Ass. Santé Individuelle
MAL FAM: Ass. Maladie seulement 
                 pas d'ass. Médicaments </t>
        </r>
      </text>
    </comment>
    <comment ref="C23" authorId="0" shapeId="0" xr:uid="{FE2A7087-361D-4CF4-B431-B238DE3CAAAF}">
      <text>
        <r>
          <rPr>
            <b/>
            <sz val="9"/>
            <color indexed="81"/>
            <rFont val="Tahoma"/>
            <family val="2"/>
          </rPr>
          <t>FAM : Ass vie Familiale
MONO : Ass vie Enfants</t>
        </r>
      </text>
    </comment>
    <comment ref="C24" authorId="0" shapeId="0" xr:uid="{CE018228-AAE5-42D0-8F57-0C66E5483CD9}">
      <text>
        <r>
          <rPr>
            <b/>
            <sz val="9"/>
            <color indexed="81"/>
            <rFont val="Tahoma"/>
            <family val="2"/>
          </rPr>
          <t xml:space="preserve">FAM : Ass. Santé Familiale
MONO : Ass. Santé Monoparentale
IND : Ass. Santé Individuelle
MAL FAM: Ass. Maladie seulement 
                 pas d'ass. Médicaments </t>
        </r>
      </text>
    </comment>
    <comment ref="C28" authorId="0" shapeId="0" xr:uid="{D1EB9DFC-6D83-4C3C-BE44-C1379912B815}">
      <text>
        <r>
          <rPr>
            <b/>
            <sz val="9"/>
            <color indexed="81"/>
            <rFont val="Tahoma"/>
            <family val="2"/>
          </rPr>
          <t>FAM : Ass vie Familiale
MONO : Ass vie Enfants</t>
        </r>
      </text>
    </comment>
    <comment ref="C29" authorId="0" shapeId="0" xr:uid="{01654074-ADC5-4929-B0C1-B22C9FAB6077}">
      <text>
        <r>
          <rPr>
            <b/>
            <sz val="9"/>
            <color indexed="81"/>
            <rFont val="Tahoma"/>
            <family val="2"/>
          </rPr>
          <t xml:space="preserve">FAM : Ass. Santé Familiale
MONO : Ass. Santé Monoparentale
IND : Ass. Santé Individuelle
MAL FAM: Ass. Maladie seulement 
                 pas d'ass. Médicaments </t>
        </r>
      </text>
    </comment>
    <comment ref="C33" authorId="0" shapeId="0" xr:uid="{44C37344-9A38-4B13-AFD6-57EB84D1877F}">
      <text>
        <r>
          <rPr>
            <b/>
            <sz val="9"/>
            <color indexed="81"/>
            <rFont val="Tahoma"/>
            <family val="2"/>
          </rPr>
          <t>FAM : Ass vie Familiale
MONO : Ass vie Enfants</t>
        </r>
      </text>
    </comment>
    <comment ref="C34" authorId="0" shapeId="0" xr:uid="{4C42A854-BEED-49B3-B29C-2664567C73A4}">
      <text>
        <r>
          <rPr>
            <b/>
            <sz val="9"/>
            <color indexed="81"/>
            <rFont val="Tahoma"/>
            <family val="2"/>
          </rPr>
          <t xml:space="preserve">FAM : Ass. Santé Familiale
MONO : Ass. Santé Monoparentale
IND : Ass. Santé Individuelle
MAL FAM: Ass. Maladie seulement 
                 pas d'ass. Médicaments </t>
        </r>
      </text>
    </comment>
  </commentList>
</comments>
</file>

<file path=xl/sharedStrings.xml><?xml version="1.0" encoding="utf-8"?>
<sst xmlns="http://schemas.openxmlformats.org/spreadsheetml/2006/main" count="179" uniqueCount="95">
  <si>
    <t>Division 1</t>
  </si>
  <si>
    <t>No
Emp.</t>
  </si>
  <si>
    <t>Nom employé
No Certificat</t>
  </si>
  <si>
    <t>Salaire brut
Sal. Ass vie
Code VIE PC
Code ACCMA</t>
  </si>
  <si>
    <t>ASSURANCE VIE</t>
  </si>
  <si>
    <t>DÉCÈS ACCIDENTEL &amp; MUTILATION (D.M.A.)</t>
  </si>
  <si>
    <t>INVALIDITÉ LONGUE DURÉE</t>
  </si>
  <si>
    <t>INVALIDITÉ COURTE DURÉE</t>
  </si>
  <si>
    <t>ASSURANCE SANTÉ</t>
  </si>
  <si>
    <t>Télémédecine</t>
  </si>
  <si>
    <t>S-total 
Prime</t>
  </si>
  <si>
    <t>Taxe sur Prime</t>
  </si>
  <si>
    <t>Prime totale mensuelle</t>
  </si>
  <si>
    <t>Portion Payée par Employeur 50% ou Maximum: + télémédecine</t>
  </si>
  <si>
    <t>Portion employé</t>
  </si>
  <si>
    <t>Avantage imposable Ass vie
portion employeur</t>
  </si>
  <si>
    <t>Avantage imposable Ass maladie
portion employeur</t>
  </si>
  <si>
    <t>Déduction employé
Ass vie et Invalidité</t>
  </si>
  <si>
    <t>Déduction employé
Ass maladie</t>
  </si>
  <si>
    <t xml:space="preserve">ADHÉRENT </t>
  </si>
  <si>
    <t>PERSONNES À CHARGE</t>
  </si>
  <si>
    <t>ADHÉRENT</t>
  </si>
  <si>
    <t>L.D.</t>
  </si>
  <si>
    <t>C.D.</t>
  </si>
  <si>
    <t>Par mois, 
employé à 40 hrs</t>
  </si>
  <si>
    <t>mensuel</t>
  </si>
  <si>
    <t>paie 2 sem.</t>
  </si>
  <si>
    <t>max 75 000$</t>
  </si>
  <si>
    <t>G801</t>
  </si>
  <si>
    <t>G803</t>
  </si>
  <si>
    <t>D200</t>
  </si>
  <si>
    <t>D201</t>
  </si>
  <si>
    <t>semaines</t>
  </si>
  <si>
    <t>Janvier</t>
  </si>
  <si>
    <t>JOYAL, GUYLAINE</t>
  </si>
  <si>
    <t>Vol.</t>
  </si>
  <si>
    <t>Plan Ass. Vie</t>
  </si>
  <si>
    <t>MONO</t>
  </si>
  <si>
    <t>Prime</t>
  </si>
  <si>
    <t>Plan Ass. Santé</t>
  </si>
  <si>
    <t>Février</t>
  </si>
  <si>
    <t>À CORRIGÉ</t>
  </si>
  <si>
    <t>Mars</t>
  </si>
  <si>
    <t>CORRIGÉ MARS</t>
  </si>
  <si>
    <t>Avril</t>
  </si>
  <si>
    <t>Fichier primes ass groupe 2024 pour primes sur paies</t>
  </si>
  <si>
    <t>primes réelles sur paies</t>
  </si>
  <si>
    <t>Facturation l'état compte</t>
  </si>
  <si>
    <t>Écart /paie</t>
  </si>
  <si>
    <t>UV
801</t>
  </si>
  <si>
    <t>UV
803</t>
  </si>
  <si>
    <t>UV
200</t>
  </si>
  <si>
    <t>VU
201</t>
  </si>
  <si>
    <t>UV
Total Mois</t>
  </si>
  <si>
    <t>EXPLICATION SI DEBALANCEMENT</t>
  </si>
  <si>
    <t>ajust. 2022 cum.</t>
  </si>
  <si>
    <t>EC UV Janv-Février</t>
  </si>
  <si>
    <t>contrôle à O</t>
  </si>
  <si>
    <t xml:space="preserve">Ajustement à faire </t>
  </si>
  <si>
    <t>Total Ajust.</t>
  </si>
  <si>
    <t>Solde ajusté</t>
  </si>
  <si>
    <t>Preuve:</t>
  </si>
  <si>
    <t>EC UV année</t>
  </si>
  <si>
    <t>Mai</t>
  </si>
  <si>
    <t>Juin</t>
  </si>
  <si>
    <t>Juillet</t>
  </si>
  <si>
    <t>Aout</t>
  </si>
  <si>
    <t>Septembre</t>
  </si>
  <si>
    <t>Octobre</t>
  </si>
  <si>
    <t>Novembre</t>
  </si>
  <si>
    <t>Décembre</t>
  </si>
  <si>
    <t>Numéro</t>
  </si>
  <si>
    <t>Nom</t>
  </si>
  <si>
    <t>Prénom</t>
  </si>
  <si>
    <t>Date de
naissance
(aaaa-mm-jj)</t>
  </si>
  <si>
    <t>Jour</t>
  </si>
  <si>
    <t>Mois</t>
  </si>
  <si>
    <t>Année</t>
  </si>
  <si>
    <t>Âge</t>
  </si>
  <si>
    <t>Mois Effectif</t>
  </si>
  <si>
    <t>Mois2</t>
  </si>
  <si>
    <t>65 + Ass.
Invalidité5</t>
  </si>
  <si>
    <t>65 + Ass.
Invalidité4</t>
  </si>
  <si>
    <t>65 + Ass.
Invalidité2</t>
  </si>
  <si>
    <t>65 + Ass.
Invalidité3</t>
  </si>
  <si>
    <t>65 + Ass.
Invalidité32</t>
  </si>
  <si>
    <t>65 + Ass.
Invalidité33</t>
  </si>
  <si>
    <t>65 + Ass.
Invalidité34</t>
  </si>
  <si>
    <t>65 + Ass.
Invalidité35</t>
  </si>
  <si>
    <t>65 + Ass.
Invalidité354</t>
  </si>
  <si>
    <t>65 + Ass.
Invalidité353</t>
  </si>
  <si>
    <t>65 + Ass.
Invalidité352</t>
  </si>
  <si>
    <t>66 + Ass.
Invalidité35</t>
  </si>
  <si>
    <t>Joyal</t>
  </si>
  <si>
    <t>Guylaine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</si>
</sst>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8" formatCode="#,##0.00\ &quot;$&quot;_);[Red]\(#,##0.00\ &quot;$&quot;\)"/>
    <numFmt numFmtId="44" formatCode="_ * #,##0.00_)\ &quot;$&quot;_ ;_ * \(#,##0.00\)\ &quot;$&quot;_ ;_ * &quot;-&quot;??_)\ &quot;$&quot;_ ;_ @_ "/>
    <numFmt numFmtId="164" formatCode="#,##0.00\ &quot;$&quot;"/>
    <numFmt numFmtId="165" formatCode="_ * #,##0.000_)\ &quot;$&quot;_ ;_ * \(#,##0.000\)\ &quot;$&quot;_ ;_ * &quot;-&quot;??_)\ &quot;$&quot;_ ;_ @_ "/>
    <numFmt numFmtId="166" formatCode="#,##0\ &quot;$&quot;"/>
    <numFmt numFmtId="167" formatCode="0.000"/>
    <numFmt numFmtId="168" formatCode="#,##0.0000\ &quot;$&quot;"/>
    <numFmt numFmtId="169" formatCode="yyyy/mm/dd;@"/>
    <numFmt numFmtId="170" formatCode="mmmm"/>
  </numFmts>
  <fonts count="23" x14ac:knownFonts="1">
    <font>
      <sz val="11"/>
      <color theme="1"/>
      <name val="Aptos Narrow"/>
      <family val="2"/>
      <scheme val="minor"/>
    </font>
    <font>
      <sz val="11"/>
      <color theme="1"/>
      <name val="Aptos Narrow"/>
      <family val="2"/>
      <scheme val="minor"/>
    </font>
    <font>
      <sz val="11"/>
      <color rgb="FFFF0000"/>
      <name val="Aptos Narrow"/>
      <family val="2"/>
      <scheme val="minor"/>
    </font>
    <font>
      <b/>
      <sz val="11"/>
      <color theme="1"/>
      <name val="Aptos Narrow"/>
      <family val="2"/>
      <scheme val="minor"/>
    </font>
    <font>
      <b/>
      <sz val="24"/>
      <color theme="1"/>
      <name val="Aptos Narrow"/>
      <family val="2"/>
      <scheme val="minor"/>
    </font>
    <font>
      <sz val="10"/>
      <name val="Arial"/>
      <family val="2"/>
    </font>
    <font>
      <b/>
      <sz val="11"/>
      <name val="Aptos Narrow"/>
      <family val="2"/>
      <scheme val="minor"/>
    </font>
    <font>
      <sz val="11"/>
      <name val="Aptos Narrow"/>
      <family val="2"/>
      <scheme val="minor"/>
    </font>
    <font>
      <b/>
      <sz val="11"/>
      <color rgb="FFFF0000"/>
      <name val="Aptos Narrow"/>
      <family val="2"/>
      <scheme val="minor"/>
    </font>
    <font>
      <b/>
      <sz val="11"/>
      <color rgb="FF0070C0"/>
      <name val="Aptos Narrow"/>
      <family val="2"/>
      <scheme val="minor"/>
    </font>
    <font>
      <sz val="11"/>
      <color rgb="FF7030A0"/>
      <name val="Aptos Narrow"/>
      <family val="2"/>
      <scheme val="minor"/>
    </font>
    <font>
      <i/>
      <sz val="11"/>
      <name val="Aptos Narrow"/>
      <family val="2"/>
      <scheme val="minor"/>
    </font>
    <font>
      <b/>
      <sz val="9"/>
      <name val="Aptos Narrow"/>
      <family val="2"/>
      <scheme val="minor"/>
    </font>
    <font>
      <sz val="11"/>
      <color rgb="FF0070C0"/>
      <name val="Aptos Narrow"/>
      <family val="2"/>
      <scheme val="minor"/>
    </font>
    <font>
      <sz val="11"/>
      <color rgb="FFC00000"/>
      <name val="Aptos Narrow"/>
      <family val="2"/>
      <scheme val="minor"/>
    </font>
    <font>
      <b/>
      <sz val="9"/>
      <color indexed="81"/>
      <name val="Tahoma"/>
      <family val="2"/>
    </font>
    <font>
      <sz val="9"/>
      <color indexed="81"/>
      <name val="Tahoma"/>
      <family val="2"/>
    </font>
    <font>
      <sz val="12"/>
      <color theme="1"/>
      <name val="Arial"/>
      <family val="2"/>
    </font>
    <font>
      <b/>
      <sz val="8"/>
      <color rgb="FF00B050"/>
      <name val="Arial"/>
      <family val="2"/>
    </font>
    <font>
      <sz val="8"/>
      <color theme="1"/>
      <name val="Arial"/>
      <family val="2"/>
    </font>
    <font>
      <b/>
      <sz val="12"/>
      <color theme="1"/>
      <name val="Arial"/>
      <family val="2"/>
    </font>
    <font>
      <sz val="12"/>
      <name val="Arial"/>
      <family val="2"/>
    </font>
    <font>
      <b/>
      <u/>
      <sz val="14"/>
      <color theme="1"/>
      <name val="Arial"/>
      <family val="2"/>
    </font>
  </fonts>
  <fills count="12">
    <fill>
      <patternFill patternType="none"/>
    </fill>
    <fill>
      <patternFill patternType="gray125"/>
    </fill>
    <fill>
      <patternFill patternType="solid">
        <fgColor theme="4" tint="0.39997558519241921"/>
        <bgColor indexed="64"/>
      </patternFill>
    </fill>
    <fill>
      <patternFill patternType="solid">
        <fgColor theme="4" tint="0.79998168889431442"/>
        <bgColor indexed="64"/>
      </patternFill>
    </fill>
    <fill>
      <patternFill patternType="solid">
        <fgColor rgb="FFFFC5C5"/>
        <bgColor indexed="64"/>
      </patternFill>
    </fill>
    <fill>
      <patternFill patternType="solid">
        <fgColor rgb="FFFFFF00"/>
        <bgColor indexed="64"/>
      </patternFill>
    </fill>
    <fill>
      <patternFill patternType="solid">
        <fgColor rgb="FF00B0F0"/>
        <bgColor indexed="64"/>
      </patternFill>
    </fill>
    <fill>
      <patternFill patternType="solid">
        <fgColor rgb="FFFF9999"/>
        <bgColor indexed="64"/>
      </patternFill>
    </fill>
    <fill>
      <patternFill patternType="solid">
        <fgColor theme="7" tint="0.59999389629810485"/>
        <bgColor indexed="64"/>
      </patternFill>
    </fill>
    <fill>
      <patternFill patternType="solid">
        <fgColor theme="9" tint="0.79998168889431442"/>
        <bgColor indexed="64"/>
      </patternFill>
    </fill>
    <fill>
      <patternFill patternType="solid">
        <fgColor theme="9" tint="0.59999389629810485"/>
        <bgColor indexed="64"/>
      </patternFill>
    </fill>
    <fill>
      <patternFill patternType="solid">
        <fgColor rgb="FFFFFFCC"/>
        <bgColor indexed="64"/>
      </patternFill>
    </fill>
  </fills>
  <borders count="30">
    <border>
      <left/>
      <right/>
      <top/>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auto="1"/>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style="thin">
        <color indexed="64"/>
      </bottom>
      <diagonal/>
    </border>
    <border>
      <left/>
      <right/>
      <top style="thin">
        <color indexed="64"/>
      </top>
      <bottom style="medium">
        <color indexed="64"/>
      </bottom>
      <diagonal/>
    </border>
    <border>
      <left/>
      <right style="medium">
        <color indexed="64"/>
      </right>
      <top style="thin">
        <color auto="1"/>
      </top>
      <bottom style="medium">
        <color indexed="64"/>
      </bottom>
      <diagonal/>
    </border>
    <border>
      <left style="thin">
        <color indexed="64"/>
      </left>
      <right style="thin">
        <color indexed="64"/>
      </right>
      <top/>
      <bottom style="thin">
        <color rgb="FF000000"/>
      </bottom>
      <diagonal/>
    </border>
    <border>
      <left style="thin">
        <color indexed="64"/>
      </left>
      <right style="thin">
        <color indexed="64"/>
      </right>
      <top/>
      <bottom style="thin">
        <color indexed="64"/>
      </bottom>
      <diagonal/>
    </border>
  </borders>
  <cellStyleXfs count="5">
    <xf numFmtId="0" fontId="0" fillId="0" borderId="0"/>
    <xf numFmtId="44" fontId="1" fillId="0" borderId="0" applyFont="0" applyFill="0" applyBorder="0" applyAlignment="0" applyProtection="0"/>
    <xf numFmtId="0" fontId="5" fillId="0" borderId="0"/>
    <xf numFmtId="44" fontId="5" fillId="0" borderId="0" applyFont="0" applyFill="0" applyBorder="0" applyAlignment="0" applyProtection="0"/>
    <xf numFmtId="0" fontId="1" fillId="0" borderId="0"/>
  </cellStyleXfs>
  <cellXfs count="184">
    <xf numFmtId="0" fontId="0" fillId="0" borderId="0" xfId="0"/>
    <xf numFmtId="0" fontId="4" fillId="2" borderId="1" xfId="0" applyFont="1" applyFill="1" applyBorder="1" applyAlignment="1">
      <alignment horizontal="centerContinuous"/>
    </xf>
    <xf numFmtId="0" fontId="6" fillId="0" borderId="2" xfId="2" applyFont="1" applyBorder="1" applyAlignment="1">
      <alignment horizontal="center" vertical="center" wrapText="1"/>
    </xf>
    <xf numFmtId="0" fontId="6" fillId="0" borderId="3" xfId="2" applyFont="1" applyBorder="1" applyAlignment="1">
      <alignment horizontal="center" vertical="center" wrapText="1"/>
    </xf>
    <xf numFmtId="0" fontId="7" fillId="0" borderId="3" xfId="2" applyFont="1" applyBorder="1"/>
    <xf numFmtId="0" fontId="8" fillId="0" borderId="3" xfId="2" applyFont="1" applyBorder="1" applyAlignment="1">
      <alignment horizontal="center" vertical="center"/>
    </xf>
    <xf numFmtId="0" fontId="8" fillId="0" borderId="3" xfId="2" applyFont="1" applyBorder="1" applyAlignment="1">
      <alignment horizontal="center" vertical="center" wrapText="1"/>
    </xf>
    <xf numFmtId="0" fontId="8" fillId="0" borderId="3" xfId="2" applyFont="1" applyBorder="1" applyAlignment="1">
      <alignment horizontal="center" vertical="center" wrapText="1"/>
    </xf>
    <xf numFmtId="0" fontId="9" fillId="0" borderId="3" xfId="2" applyFont="1" applyBorder="1" applyAlignment="1">
      <alignment horizontal="center" vertical="center" wrapText="1"/>
    </xf>
    <xf numFmtId="0" fontId="6" fillId="3" borderId="3" xfId="2" applyFont="1" applyFill="1" applyBorder="1" applyAlignment="1">
      <alignment horizontal="center" vertical="center" wrapText="1"/>
    </xf>
    <xf numFmtId="0" fontId="6" fillId="4" borderId="3" xfId="2" applyFont="1" applyFill="1" applyBorder="1" applyAlignment="1">
      <alignment horizontal="center" vertical="center" wrapText="1"/>
    </xf>
    <xf numFmtId="0" fontId="6" fillId="4" borderId="4" xfId="2" applyFont="1" applyFill="1" applyBorder="1" applyAlignment="1">
      <alignment horizontal="center" vertical="center" wrapText="1"/>
    </xf>
    <xf numFmtId="0" fontId="10" fillId="0" borderId="0" xfId="2" applyFont="1"/>
    <xf numFmtId="17" fontId="7" fillId="0" borderId="5" xfId="2" applyNumberFormat="1" applyFont="1" applyBorder="1" applyAlignment="1">
      <alignment horizontal="left"/>
    </xf>
    <xf numFmtId="0" fontId="7" fillId="0" borderId="0" xfId="2" applyFont="1"/>
    <xf numFmtId="0" fontId="6" fillId="0" borderId="0" xfId="2" applyFont="1"/>
    <xf numFmtId="0" fontId="6" fillId="0" borderId="0" xfId="2" applyFont="1" applyAlignment="1">
      <alignment horizontal="center" vertical="center"/>
    </xf>
    <xf numFmtId="0" fontId="6" fillId="0" borderId="0" xfId="2" applyFont="1" applyAlignment="1">
      <alignment horizontal="center" wrapText="1"/>
    </xf>
    <xf numFmtId="0" fontId="6" fillId="0" borderId="0" xfId="2" applyFont="1" applyAlignment="1">
      <alignment horizontal="center"/>
    </xf>
    <xf numFmtId="164" fontId="6" fillId="5" borderId="0" xfId="2" applyNumberFormat="1" applyFont="1" applyFill="1" applyAlignment="1">
      <alignment horizontal="right"/>
    </xf>
    <xf numFmtId="0" fontId="8" fillId="0" borderId="0" xfId="2" applyFont="1" applyAlignment="1">
      <alignment horizontal="center" wrapText="1"/>
    </xf>
    <xf numFmtId="0" fontId="8" fillId="3" borderId="0" xfId="2" applyFont="1" applyFill="1" applyAlignment="1">
      <alignment horizontal="center"/>
    </xf>
    <xf numFmtId="0" fontId="8" fillId="4" borderId="0" xfId="2" applyFont="1" applyFill="1" applyAlignment="1">
      <alignment horizontal="center"/>
    </xf>
    <xf numFmtId="0" fontId="8" fillId="4" borderId="6" xfId="2" applyFont="1" applyFill="1" applyBorder="1" applyAlignment="1">
      <alignment horizontal="center"/>
    </xf>
    <xf numFmtId="0" fontId="7" fillId="0" borderId="5" xfId="2" applyFont="1" applyBorder="1" applyAlignment="1">
      <alignment horizontal="center"/>
    </xf>
    <xf numFmtId="0" fontId="7" fillId="0" borderId="0" xfId="2" applyFont="1" applyAlignment="1">
      <alignment wrapText="1"/>
    </xf>
    <xf numFmtId="0" fontId="7" fillId="0" borderId="0" xfId="2" applyFont="1" applyAlignment="1">
      <alignment horizontal="center"/>
    </xf>
    <xf numFmtId="165" fontId="6" fillId="6" borderId="0" xfId="3" applyNumberFormat="1" applyFont="1" applyFill="1" applyBorder="1" applyAlignment="1">
      <alignment horizontal="center" vertical="center"/>
    </xf>
    <xf numFmtId="165" fontId="6" fillId="0" borderId="0" xfId="3" applyNumberFormat="1" applyFont="1" applyBorder="1" applyAlignment="1">
      <alignment horizontal="center" vertical="center"/>
    </xf>
    <xf numFmtId="164" fontId="6" fillId="7" borderId="0" xfId="2" applyNumberFormat="1" applyFont="1" applyFill="1" applyAlignment="1">
      <alignment horizontal="right" vertical="center" wrapText="1"/>
    </xf>
    <xf numFmtId="2" fontId="6" fillId="0" borderId="0" xfId="2" applyNumberFormat="1" applyFont="1" applyAlignment="1">
      <alignment horizontal="center" vertical="center" wrapText="1"/>
    </xf>
    <xf numFmtId="9" fontId="6" fillId="0" borderId="0" xfId="2" applyNumberFormat="1" applyFont="1" applyAlignment="1">
      <alignment horizontal="center" vertical="center"/>
    </xf>
    <xf numFmtId="0" fontId="7" fillId="0" borderId="6" xfId="2" applyFont="1" applyBorder="1" applyAlignment="1">
      <alignment horizontal="center"/>
    </xf>
    <xf numFmtId="165" fontId="6" fillId="0" borderId="0" xfId="3" applyNumberFormat="1" applyFont="1" applyBorder="1" applyAlignment="1">
      <alignment horizontal="center" vertical="center" wrapText="1"/>
    </xf>
    <xf numFmtId="9" fontId="7" fillId="0" borderId="0" xfId="2" applyNumberFormat="1" applyFont="1"/>
    <xf numFmtId="0" fontId="7" fillId="0" borderId="0" xfId="2" applyFont="1" applyAlignment="1">
      <alignment horizontal="center" vertical="center" wrapText="1"/>
    </xf>
    <xf numFmtId="0" fontId="6" fillId="7" borderId="0" xfId="2" applyFont="1" applyFill="1" applyAlignment="1">
      <alignment horizontal="right" vertical="center" wrapText="1"/>
    </xf>
    <xf numFmtId="0" fontId="7" fillId="0" borderId="7" xfId="2" applyFont="1" applyBorder="1" applyAlignment="1">
      <alignment horizontal="center"/>
    </xf>
    <xf numFmtId="0" fontId="7" fillId="0" borderId="1" xfId="2" applyFont="1" applyBorder="1"/>
    <xf numFmtId="165" fontId="6" fillId="0" borderId="1" xfId="3" applyNumberFormat="1" applyFont="1" applyBorder="1" applyAlignment="1">
      <alignment horizontal="center" vertical="center"/>
    </xf>
    <xf numFmtId="165" fontId="6" fillId="0" borderId="1" xfId="3" applyNumberFormat="1" applyFont="1" applyBorder="1" applyAlignment="1">
      <alignment horizontal="center" vertical="center" wrapText="1"/>
    </xf>
    <xf numFmtId="0" fontId="11" fillId="0" borderId="1" xfId="2" applyFont="1" applyBorder="1"/>
    <xf numFmtId="164" fontId="6" fillId="7" borderId="1" xfId="2" applyNumberFormat="1" applyFont="1" applyFill="1" applyBorder="1" applyAlignment="1">
      <alignment horizontal="right" vertical="center" wrapText="1"/>
    </xf>
    <xf numFmtId="164" fontId="6" fillId="0" borderId="1" xfId="2" applyNumberFormat="1" applyFont="1" applyBorder="1" applyAlignment="1">
      <alignment horizontal="right" vertical="center" wrapText="1"/>
    </xf>
    <xf numFmtId="2" fontId="6" fillId="0" borderId="1" xfId="2" applyNumberFormat="1" applyFont="1" applyBorder="1" applyAlignment="1">
      <alignment horizontal="center" vertical="center" wrapText="1"/>
    </xf>
    <xf numFmtId="0" fontId="7" fillId="0" borderId="1" xfId="2" applyFont="1" applyBorder="1" applyAlignment="1">
      <alignment horizontal="center" vertical="center" wrapText="1"/>
    </xf>
    <xf numFmtId="0" fontId="7" fillId="0" borderId="1" xfId="2" applyFont="1" applyBorder="1" applyAlignment="1">
      <alignment horizontal="center"/>
    </xf>
    <xf numFmtId="0" fontId="7" fillId="0" borderId="8" xfId="2" applyFont="1" applyBorder="1" applyAlignment="1">
      <alignment horizontal="center"/>
    </xf>
    <xf numFmtId="14" fontId="0" fillId="0" borderId="0" xfId="0" quotePrefix="1" applyNumberFormat="1"/>
    <xf numFmtId="17" fontId="0" fillId="0" borderId="0" xfId="0" applyNumberFormat="1"/>
    <xf numFmtId="0" fontId="6" fillId="0" borderId="0" xfId="2" applyFont="1" applyAlignment="1">
      <alignment horizontal="left"/>
    </xf>
    <xf numFmtId="166" fontId="7" fillId="8" borderId="0" xfId="2" applyNumberFormat="1" applyFont="1" applyFill="1" applyAlignment="1">
      <alignment horizontal="right"/>
    </xf>
    <xf numFmtId="167" fontId="6" fillId="0" borderId="0" xfId="2" applyNumberFormat="1" applyFont="1"/>
    <xf numFmtId="2" fontId="7" fillId="0" borderId="0" xfId="2" applyNumberFormat="1" applyFont="1" applyAlignment="1">
      <alignment horizontal="center"/>
    </xf>
    <xf numFmtId="44" fontId="7" fillId="0" borderId="0" xfId="2" applyNumberFormat="1" applyFont="1"/>
    <xf numFmtId="3" fontId="12" fillId="0" borderId="0" xfId="2" applyNumberFormat="1" applyFont="1" applyAlignment="1">
      <alignment horizontal="left"/>
    </xf>
    <xf numFmtId="0" fontId="7" fillId="0" borderId="9" xfId="2" applyFont="1" applyBorder="1" applyAlignment="1">
      <alignment horizontal="center"/>
    </xf>
    <xf numFmtId="0" fontId="7" fillId="0" borderId="0" xfId="2" applyFont="1" applyAlignment="1">
      <alignment horizontal="right"/>
    </xf>
    <xf numFmtId="164" fontId="7" fillId="0" borderId="0" xfId="2" applyNumberFormat="1" applyFont="1"/>
    <xf numFmtId="164" fontId="6" fillId="0" borderId="0" xfId="2" applyNumberFormat="1" applyFont="1" applyAlignment="1">
      <alignment horizontal="right"/>
    </xf>
    <xf numFmtId="164" fontId="7" fillId="0" borderId="0" xfId="2" applyNumberFormat="1" applyFont="1" applyAlignment="1">
      <alignment horizontal="right"/>
    </xf>
    <xf numFmtId="166" fontId="7" fillId="0" borderId="0" xfId="2" applyNumberFormat="1" applyFont="1" applyAlignment="1">
      <alignment horizontal="right"/>
    </xf>
    <xf numFmtId="0" fontId="13" fillId="0" borderId="9" xfId="2" applyFont="1" applyBorder="1" applyAlignment="1">
      <alignment horizontal="center"/>
    </xf>
    <xf numFmtId="164" fontId="7" fillId="9" borderId="0" xfId="2" applyNumberFormat="1" applyFont="1" applyFill="1" applyAlignment="1">
      <alignment horizontal="right"/>
    </xf>
    <xf numFmtId="164" fontId="6" fillId="3" borderId="0" xfId="2" applyNumberFormat="1" applyFont="1" applyFill="1" applyAlignment="1">
      <alignment horizontal="right"/>
    </xf>
    <xf numFmtId="168" fontId="6" fillId="4" borderId="0" xfId="2" applyNumberFormat="1" applyFont="1" applyFill="1" applyAlignment="1">
      <alignment horizontal="right"/>
    </xf>
    <xf numFmtId="2" fontId="7" fillId="0" borderId="0" xfId="2" applyNumberFormat="1" applyFont="1"/>
    <xf numFmtId="2" fontId="11" fillId="0" borderId="0" xfId="2" applyNumberFormat="1" applyFont="1" applyAlignment="1">
      <alignment horizontal="center"/>
    </xf>
    <xf numFmtId="2" fontId="7" fillId="0" borderId="0" xfId="2" applyNumberFormat="1" applyFont="1" applyAlignment="1">
      <alignment horizontal="right"/>
    </xf>
    <xf numFmtId="0" fontId="0" fillId="0" borderId="0" xfId="0" applyAlignment="1">
      <alignment horizontal="right"/>
    </xf>
    <xf numFmtId="164" fontId="7" fillId="10" borderId="0" xfId="2" applyNumberFormat="1" applyFont="1" applyFill="1" applyAlignment="1">
      <alignment horizontal="right"/>
    </xf>
    <xf numFmtId="164" fontId="6" fillId="4" borderId="0" xfId="2" applyNumberFormat="1" applyFont="1" applyFill="1" applyAlignment="1">
      <alignment horizontal="right"/>
    </xf>
    <xf numFmtId="14" fontId="0" fillId="0" borderId="0" xfId="0" applyNumberFormat="1"/>
    <xf numFmtId="0" fontId="13" fillId="0" borderId="0" xfId="2" applyFont="1" applyAlignment="1">
      <alignment horizontal="center"/>
    </xf>
    <xf numFmtId="0" fontId="3" fillId="0" borderId="0" xfId="4" applyFont="1"/>
    <xf numFmtId="0" fontId="1" fillId="0" borderId="0" xfId="4"/>
    <xf numFmtId="0" fontId="1" fillId="0" borderId="10" xfId="4" applyBorder="1"/>
    <xf numFmtId="0" fontId="1" fillId="0" borderId="11" xfId="4" applyBorder="1"/>
    <xf numFmtId="0" fontId="1" fillId="0" borderId="12" xfId="4" applyBorder="1"/>
    <xf numFmtId="0" fontId="0" fillId="0" borderId="10" xfId="4" applyFont="1" applyBorder="1" applyAlignment="1">
      <alignment horizontal="center"/>
    </xf>
    <xf numFmtId="0" fontId="0" fillId="0" borderId="11" xfId="4" applyFont="1" applyBorder="1" applyAlignment="1">
      <alignment horizontal="center"/>
    </xf>
    <xf numFmtId="0" fontId="0" fillId="0" borderId="12" xfId="4" applyFont="1" applyBorder="1" applyAlignment="1">
      <alignment horizontal="center"/>
    </xf>
    <xf numFmtId="0" fontId="0" fillId="0" borderId="9" xfId="0" applyBorder="1" applyAlignment="1">
      <alignment horizontal="center" vertical="center" wrapText="1"/>
    </xf>
    <xf numFmtId="14" fontId="0" fillId="0" borderId="12" xfId="0" quotePrefix="1" applyNumberFormat="1" applyBorder="1" applyAlignment="1">
      <alignment horizontal="center" vertical="center" wrapText="1"/>
    </xf>
    <xf numFmtId="0" fontId="0" fillId="0" borderId="10" xfId="0" applyBorder="1" applyAlignment="1">
      <alignment horizontal="centerContinuous" vertical="center" wrapText="1"/>
    </xf>
    <xf numFmtId="0" fontId="0" fillId="0" borderId="11" xfId="0" applyBorder="1" applyAlignment="1">
      <alignment horizontal="centerContinuous" vertical="center" wrapText="1"/>
    </xf>
    <xf numFmtId="0" fontId="0" fillId="0" borderId="12" xfId="0" applyBorder="1" applyAlignment="1">
      <alignment horizontal="centerContinuous" vertical="center" wrapText="1"/>
    </xf>
    <xf numFmtId="14" fontId="0" fillId="0" borderId="13" xfId="0" applyNumberFormat="1" applyBorder="1"/>
    <xf numFmtId="0" fontId="1" fillId="0" borderId="14" xfId="4" applyBorder="1" applyAlignment="1">
      <alignment horizontal="center"/>
    </xf>
    <xf numFmtId="8" fontId="7" fillId="0" borderId="13" xfId="4" applyNumberFormat="1" applyFont="1" applyBorder="1"/>
    <xf numFmtId="8" fontId="7" fillId="0" borderId="14" xfId="4" applyNumberFormat="1" applyFont="1" applyBorder="1"/>
    <xf numFmtId="8" fontId="7" fillId="0" borderId="15" xfId="4" applyNumberFormat="1" applyFont="1" applyBorder="1"/>
    <xf numFmtId="164" fontId="1" fillId="0" borderId="0" xfId="4" applyNumberFormat="1"/>
    <xf numFmtId="8" fontId="1" fillId="0" borderId="13" xfId="4" applyNumberFormat="1" applyBorder="1"/>
    <xf numFmtId="8" fontId="1" fillId="0" borderId="14" xfId="4" applyNumberFormat="1" applyBorder="1"/>
    <xf numFmtId="8" fontId="1" fillId="0" borderId="15" xfId="4" applyNumberFormat="1" applyBorder="1"/>
    <xf numFmtId="164" fontId="0" fillId="0" borderId="16" xfId="0" applyNumberFormat="1" applyBorder="1"/>
    <xf numFmtId="164" fontId="0" fillId="0" borderId="0" xfId="0" applyNumberFormat="1"/>
    <xf numFmtId="164" fontId="0" fillId="0" borderId="17" xfId="0" applyNumberFormat="1" applyBorder="1"/>
    <xf numFmtId="164" fontId="0" fillId="0" borderId="18" xfId="0" applyNumberFormat="1" applyBorder="1"/>
    <xf numFmtId="0" fontId="0" fillId="0" borderId="13" xfId="0" applyBorder="1"/>
    <xf numFmtId="0" fontId="0" fillId="0" borderId="14" xfId="0" applyBorder="1"/>
    <xf numFmtId="0" fontId="0" fillId="0" borderId="15" xfId="0" applyBorder="1"/>
    <xf numFmtId="14" fontId="0" fillId="0" borderId="16" xfId="0" applyNumberFormat="1" applyBorder="1"/>
    <xf numFmtId="0" fontId="1" fillId="0" borderId="0" xfId="4" applyAlignment="1">
      <alignment horizontal="center"/>
    </xf>
    <xf numFmtId="8" fontId="7" fillId="0" borderId="16" xfId="4" applyNumberFormat="1" applyFont="1" applyBorder="1"/>
    <xf numFmtId="8" fontId="7" fillId="0" borderId="0" xfId="4" applyNumberFormat="1" applyFont="1"/>
    <xf numFmtId="8" fontId="7" fillId="0" borderId="17" xfId="4" applyNumberFormat="1" applyFont="1" applyBorder="1"/>
    <xf numFmtId="8" fontId="1" fillId="0" borderId="16" xfId="4" applyNumberFormat="1" applyBorder="1"/>
    <xf numFmtId="8" fontId="1" fillId="0" borderId="0" xfId="4" applyNumberFormat="1"/>
    <xf numFmtId="8" fontId="1" fillId="0" borderId="17" xfId="4" applyNumberFormat="1" applyBorder="1"/>
    <xf numFmtId="0" fontId="0" fillId="0" borderId="16" xfId="0" applyBorder="1"/>
    <xf numFmtId="0" fontId="0" fillId="0" borderId="17" xfId="0" applyBorder="1"/>
    <xf numFmtId="0" fontId="1" fillId="0" borderId="17" xfId="4" applyBorder="1" applyAlignment="1">
      <alignment horizontal="center"/>
    </xf>
    <xf numFmtId="164" fontId="1" fillId="0" borderId="16" xfId="4" applyNumberFormat="1" applyBorder="1"/>
    <xf numFmtId="164" fontId="1" fillId="0" borderId="17" xfId="4" applyNumberFormat="1" applyBorder="1"/>
    <xf numFmtId="164" fontId="2" fillId="0" borderId="0" xfId="4" applyNumberFormat="1" applyFont="1"/>
    <xf numFmtId="8" fontId="0" fillId="0" borderId="14" xfId="0" applyNumberFormat="1" applyBorder="1"/>
    <xf numFmtId="164" fontId="0" fillId="0" borderId="14" xfId="0" applyNumberFormat="1" applyBorder="1"/>
    <xf numFmtId="0" fontId="0" fillId="0" borderId="19" xfId="0" applyBorder="1"/>
    <xf numFmtId="0" fontId="9" fillId="0" borderId="20" xfId="4" applyFont="1" applyBorder="1"/>
    <xf numFmtId="8" fontId="7" fillId="0" borderId="20" xfId="4" applyNumberFormat="1" applyFont="1" applyBorder="1"/>
    <xf numFmtId="8" fontId="0" fillId="0" borderId="20" xfId="0" applyNumberFormat="1" applyBorder="1"/>
    <xf numFmtId="0" fontId="0" fillId="0" borderId="20" xfId="0" applyBorder="1"/>
    <xf numFmtId="0" fontId="14" fillId="0" borderId="20" xfId="0" applyFont="1" applyBorder="1"/>
    <xf numFmtId="44" fontId="14" fillId="0" borderId="20" xfId="1" applyFont="1" applyBorder="1"/>
    <xf numFmtId="0" fontId="0" fillId="0" borderId="21" xfId="0" applyBorder="1"/>
    <xf numFmtId="8" fontId="0" fillId="0" borderId="0" xfId="0" applyNumberFormat="1"/>
    <xf numFmtId="0" fontId="1" fillId="0" borderId="20" xfId="4" applyBorder="1"/>
    <xf numFmtId="164" fontId="1" fillId="0" borderId="20" xfId="4" applyNumberFormat="1" applyBorder="1"/>
    <xf numFmtId="164" fontId="3" fillId="0" borderId="20" xfId="4" applyNumberFormat="1" applyFont="1" applyBorder="1"/>
    <xf numFmtId="164" fontId="3" fillId="0" borderId="0" xfId="4" applyNumberFormat="1" applyFont="1"/>
    <xf numFmtId="164" fontId="8" fillId="0" borderId="0" xfId="4" applyNumberFormat="1" applyFont="1"/>
    <xf numFmtId="0" fontId="8" fillId="5" borderId="0" xfId="4" applyFont="1" applyFill="1"/>
    <xf numFmtId="164" fontId="8" fillId="5" borderId="14" xfId="4" applyNumberFormat="1" applyFont="1" applyFill="1" applyBorder="1"/>
    <xf numFmtId="0" fontId="2" fillId="0" borderId="0" xfId="0" applyFont="1"/>
    <xf numFmtId="8" fontId="2" fillId="0" borderId="0" xfId="0" applyNumberFormat="1" applyFont="1"/>
    <xf numFmtId="164" fontId="1" fillId="10" borderId="0" xfId="4" applyNumberFormat="1" applyFill="1"/>
    <xf numFmtId="164" fontId="0" fillId="10" borderId="22" xfId="4" applyNumberFormat="1" applyFont="1" applyFill="1" applyBorder="1"/>
    <xf numFmtId="164" fontId="1" fillId="10" borderId="23" xfId="4" applyNumberFormat="1" applyFill="1" applyBorder="1"/>
    <xf numFmtId="164" fontId="1" fillId="10" borderId="24" xfId="4" applyNumberFormat="1" applyFill="1" applyBorder="1"/>
    <xf numFmtId="0" fontId="1" fillId="10" borderId="0" xfId="4" applyFill="1"/>
    <xf numFmtId="0" fontId="1" fillId="10" borderId="2" xfId="4" applyFill="1" applyBorder="1"/>
    <xf numFmtId="0" fontId="0" fillId="10" borderId="3" xfId="4" applyFont="1" applyFill="1" applyBorder="1"/>
    <xf numFmtId="0" fontId="1" fillId="10" borderId="3" xfId="4" applyFill="1" applyBorder="1"/>
    <xf numFmtId="0" fontId="1" fillId="10" borderId="4" xfId="4" applyFill="1" applyBorder="1"/>
    <xf numFmtId="0" fontId="1" fillId="10" borderId="5" xfId="4" applyFill="1" applyBorder="1"/>
    <xf numFmtId="0" fontId="9" fillId="10" borderId="0" xfId="4" applyFont="1" applyFill="1"/>
    <xf numFmtId="164" fontId="9" fillId="10" borderId="0" xfId="4" applyNumberFormat="1" applyFont="1" applyFill="1"/>
    <xf numFmtId="164" fontId="9" fillId="10" borderId="6" xfId="4" applyNumberFormat="1" applyFont="1" applyFill="1" applyBorder="1"/>
    <xf numFmtId="0" fontId="0" fillId="10" borderId="0" xfId="4" applyFont="1" applyFill="1" applyAlignment="1">
      <alignment horizontal="right"/>
    </xf>
    <xf numFmtId="164" fontId="1" fillId="10" borderId="20" xfId="4" applyNumberFormat="1" applyFill="1" applyBorder="1"/>
    <xf numFmtId="164" fontId="1" fillId="10" borderId="25" xfId="4" applyNumberFormat="1" applyFill="1" applyBorder="1"/>
    <xf numFmtId="0" fontId="1" fillId="10" borderId="7" xfId="4" applyFill="1" applyBorder="1"/>
    <xf numFmtId="0" fontId="1" fillId="10" borderId="1" xfId="4" applyFill="1" applyBorder="1"/>
    <xf numFmtId="164" fontId="1" fillId="10" borderId="26" xfId="4" applyNumberFormat="1" applyFill="1" applyBorder="1"/>
    <xf numFmtId="164" fontId="1" fillId="10" borderId="27" xfId="4" applyNumberFormat="1" applyFill="1" applyBorder="1"/>
    <xf numFmtId="0" fontId="17" fillId="0" borderId="0" xfId="0" applyFont="1"/>
    <xf numFmtId="1" fontId="18" fillId="0" borderId="0" xfId="0" applyNumberFormat="1" applyFont="1" applyAlignment="1">
      <alignment horizontal="center" vertical="center"/>
    </xf>
    <xf numFmtId="0" fontId="19" fillId="0" borderId="0" xfId="0" applyFont="1" applyAlignment="1">
      <alignment vertical="center"/>
    </xf>
    <xf numFmtId="0" fontId="19" fillId="0" borderId="0" xfId="0" applyFont="1" applyAlignment="1">
      <alignment horizontal="center" vertical="center"/>
    </xf>
    <xf numFmtId="1" fontId="17" fillId="0" borderId="0" xfId="0" applyNumberFormat="1" applyFont="1" applyAlignment="1">
      <alignment vertical="center"/>
    </xf>
    <xf numFmtId="0" fontId="17" fillId="0" borderId="0" xfId="0" applyFont="1" applyAlignment="1">
      <alignment vertical="center"/>
    </xf>
    <xf numFmtId="0" fontId="20" fillId="0" borderId="0" xfId="0" applyFont="1" applyAlignment="1">
      <alignment horizontal="center" vertical="center"/>
    </xf>
    <xf numFmtId="0" fontId="20" fillId="11" borderId="0" xfId="0" applyFont="1" applyFill="1" applyAlignment="1">
      <alignment horizontal="center" vertical="center"/>
    </xf>
    <xf numFmtId="169" fontId="17" fillId="0" borderId="0" xfId="0" applyNumberFormat="1" applyFont="1"/>
    <xf numFmtId="1" fontId="20" fillId="0" borderId="28" xfId="0" applyNumberFormat="1" applyFont="1" applyBorder="1" applyAlignment="1">
      <alignment horizontal="center" vertical="center" wrapText="1"/>
    </xf>
    <xf numFmtId="0" fontId="20" fillId="0" borderId="29" xfId="0" applyFont="1" applyBorder="1" applyAlignment="1">
      <alignment horizontal="center" vertical="center"/>
    </xf>
    <xf numFmtId="0" fontId="20" fillId="0" borderId="29" xfId="0" applyFont="1" applyBorder="1" applyAlignment="1">
      <alignment horizontal="center" vertical="center" wrapText="1"/>
    </xf>
    <xf numFmtId="0" fontId="20" fillId="0" borderId="18" xfId="0" applyFont="1" applyBorder="1" applyAlignment="1">
      <alignment horizontal="center" vertical="center" wrapText="1"/>
    </xf>
    <xf numFmtId="169" fontId="20" fillId="0" borderId="28" xfId="0" applyNumberFormat="1" applyFont="1" applyBorder="1" applyAlignment="1">
      <alignment horizontal="center" vertical="center" wrapText="1"/>
    </xf>
    <xf numFmtId="0" fontId="20" fillId="0" borderId="28" xfId="0" applyFont="1" applyBorder="1" applyAlignment="1">
      <alignment horizontal="center" vertical="center" wrapText="1"/>
    </xf>
    <xf numFmtId="14" fontId="17" fillId="0" borderId="0" xfId="0" applyNumberFormat="1" applyFont="1"/>
    <xf numFmtId="1" fontId="17" fillId="0" borderId="9" xfId="0" applyNumberFormat="1" applyFont="1" applyBorder="1" applyAlignment="1">
      <alignment vertical="center"/>
    </xf>
    <xf numFmtId="14" fontId="17" fillId="0" borderId="9" xfId="0" applyNumberFormat="1" applyFont="1" applyBorder="1" applyAlignment="1">
      <alignment horizontal="center" vertical="center"/>
    </xf>
    <xf numFmtId="1" fontId="17" fillId="0" borderId="9" xfId="0" applyNumberFormat="1" applyFont="1" applyBorder="1" applyAlignment="1">
      <alignment horizontal="center" vertical="center"/>
    </xf>
    <xf numFmtId="169" fontId="17" fillId="0" borderId="0" xfId="0" applyNumberFormat="1" applyFont="1" applyAlignment="1">
      <alignment horizontal="center" vertical="center"/>
    </xf>
    <xf numFmtId="170" fontId="17" fillId="0" borderId="0" xfId="0" applyNumberFormat="1" applyFont="1" applyAlignment="1">
      <alignment horizontal="center" vertical="center"/>
    </xf>
    <xf numFmtId="0" fontId="17" fillId="0" borderId="0" xfId="1" applyNumberFormat="1" applyFont="1" applyBorder="1" applyAlignment="1">
      <alignment horizontal="center" vertical="center"/>
    </xf>
    <xf numFmtId="1" fontId="21" fillId="0" borderId="9" xfId="0" applyNumberFormat="1" applyFont="1" applyBorder="1" applyAlignment="1">
      <alignment horizontal="center" vertical="center"/>
    </xf>
    <xf numFmtId="0" fontId="17" fillId="0" borderId="0" xfId="0" applyFont="1" applyAlignment="1">
      <alignment horizontal="center" vertical="center"/>
    </xf>
    <xf numFmtId="0" fontId="17" fillId="0" borderId="0" xfId="1" applyNumberFormat="1" applyFont="1"/>
    <xf numFmtId="1" fontId="22" fillId="0" borderId="0" xfId="0" applyNumberFormat="1" applyFont="1" applyAlignment="1">
      <alignment horizontal="center" vertical="center"/>
    </xf>
    <xf numFmtId="1" fontId="20" fillId="0" borderId="0" xfId="1" applyNumberFormat="1" applyFont="1" applyBorder="1" applyAlignment="1">
      <alignment horizontal="center" vertical="center"/>
    </xf>
  </cellXfs>
  <cellStyles count="5">
    <cellStyle name="Monétaire" xfId="1" builtinId="4"/>
    <cellStyle name="Monétaire 2" xfId="3" xr:uid="{5C39EE6F-3E76-4AC0-A543-EC88D84A4018}"/>
    <cellStyle name="Normal" xfId="0" builtinId="0"/>
    <cellStyle name="Normal 2" xfId="2" xr:uid="{C3E5726B-B1A5-4CB0-86ED-6BCD21B75FED}"/>
    <cellStyle name="Normal 2 2" xfId="4" xr:uid="{542C0CB3-5963-475F-9B7B-E9835CDDD21A}"/>
  </cellStyles>
  <dxfs count="31">
    <dxf>
      <fill>
        <patternFill patternType="none">
          <bgColor auto="1"/>
        </patternFill>
      </fill>
    </dxf>
    <dxf>
      <fill>
        <patternFill patternType="none">
          <bgColor auto="1"/>
        </patternFill>
      </fill>
    </dxf>
    <dxf>
      <fill>
        <patternFill patternType="none">
          <bgColor auto="1"/>
        </patternFill>
      </fill>
    </dxf>
    <dxf>
      <fill>
        <patternFill patternType="none">
          <bgColor auto="1"/>
        </patternFill>
      </fill>
    </dxf>
    <dxf>
      <fill>
        <patternFill patternType="none">
          <bgColor auto="1"/>
        </patternFill>
      </fill>
    </dxf>
    <dxf>
      <font>
        <b val="0"/>
        <i val="0"/>
        <strike val="0"/>
        <condense val="0"/>
        <extend val="0"/>
        <outline val="0"/>
        <shadow val="0"/>
        <u val="none"/>
        <vertAlign val="baseline"/>
        <sz val="12"/>
        <color theme="1"/>
        <name val="Arial"/>
        <family val="2"/>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2"/>
        <color theme="1"/>
        <name val="Arial"/>
        <family val="2"/>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2"/>
        <color theme="1"/>
        <name val="Arial"/>
        <family val="2"/>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2"/>
        <color theme="1"/>
        <name val="Arial"/>
        <family val="2"/>
        <scheme val="none"/>
      </font>
      <numFmt numFmtId="2" formatCode="0.00"/>
      <alignment horizontal="center" vertical="center" textRotation="0" wrapText="0" indent="0" justifyLastLine="0" shrinkToFit="0" readingOrder="0"/>
    </dxf>
    <dxf>
      <numFmt numFmtId="0" formatCode="General"/>
      <alignment vertical="center" textRotation="0" indent="0" justifyLastLine="0" shrinkToFit="0" readingOrder="0"/>
    </dxf>
    <dxf>
      <numFmt numFmtId="0" formatCode="General"/>
      <alignment vertical="center" textRotation="0" indent="0" justifyLastLine="0" shrinkToFit="0" readingOrder="0"/>
    </dxf>
    <dxf>
      <numFmt numFmtId="0" formatCode="General"/>
      <alignment vertical="center" textRotation="0" indent="0" justifyLastLine="0" shrinkToFit="0" readingOrder="0"/>
    </dxf>
    <dxf>
      <numFmt numFmtId="0" formatCode="General"/>
      <alignment vertical="center" textRotation="0" indent="0" justifyLastLine="0" shrinkToFit="0" readingOrder="0"/>
    </dxf>
    <dxf>
      <numFmt numFmtId="0" formatCode="General"/>
      <alignment vertical="center" textRotation="0" indent="0" justifyLastLine="0" shrinkToFit="0" readingOrder="0"/>
    </dxf>
    <dxf>
      <numFmt numFmtId="0" formatCode="General"/>
      <alignment vertical="center" textRotation="0" indent="0" justifyLastLine="0" shrinkToFit="0" readingOrder="0"/>
    </dxf>
    <dxf>
      <numFmt numFmtId="0" formatCode="General"/>
      <alignment vertical="center" textRotation="0" indent="0" justifyLastLine="0" shrinkToFit="0" readingOrder="0"/>
    </dxf>
    <dxf>
      <font>
        <b val="0"/>
        <i val="0"/>
        <strike val="0"/>
        <condense val="0"/>
        <extend val="0"/>
        <outline val="0"/>
        <shadow val="0"/>
        <u val="none"/>
        <vertAlign val="baseline"/>
        <sz val="12"/>
        <color theme="1"/>
        <name val="Arial"/>
        <family val="2"/>
        <scheme val="none"/>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12"/>
        <color theme="1"/>
        <name val="Arial"/>
        <family val="2"/>
        <scheme val="none"/>
      </font>
      <numFmt numFmtId="170" formatCode="mmmm"/>
      <alignment horizontal="center" vertical="center" textRotation="0" wrapText="0" indent="0" justifyLastLine="0" shrinkToFit="0" readingOrder="0"/>
    </dxf>
    <dxf>
      <font>
        <b val="0"/>
        <i val="0"/>
        <strike val="0"/>
        <condense val="0"/>
        <extend val="0"/>
        <outline val="0"/>
        <shadow val="0"/>
        <u val="none"/>
        <vertAlign val="baseline"/>
        <sz val="12"/>
        <color theme="1"/>
        <name val="Arial"/>
        <family val="2"/>
        <scheme val="none"/>
      </font>
      <numFmt numFmtId="169" formatCode="yyyy/mm/dd;@"/>
      <alignment horizontal="center" vertical="center" textRotation="0" wrapText="0" indent="0" justifyLastLine="0" shrinkToFit="0" readingOrder="0"/>
    </dxf>
    <dxf>
      <font>
        <b val="0"/>
        <i val="0"/>
        <strike val="0"/>
        <condense val="0"/>
        <extend val="0"/>
        <outline val="0"/>
        <shadow val="0"/>
        <u val="none"/>
        <vertAlign val="baseline"/>
        <sz val="12"/>
        <color theme="1"/>
        <name val="Arial"/>
        <family val="2"/>
        <scheme val="none"/>
      </font>
      <numFmt numFmtId="0" formatCode="General"/>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2"/>
        <color theme="1"/>
        <name val="Arial"/>
        <family val="2"/>
        <scheme val="none"/>
      </font>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theme="1"/>
        <name val="Arial"/>
        <family val="2"/>
        <scheme val="none"/>
      </font>
      <numFmt numFmtId="169" formatCode="yyyy/mm/dd;@"/>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rial"/>
        <family val="2"/>
        <scheme val="none"/>
      </font>
      <numFmt numFmtId="169" formatCode="yyyy/mm/dd;@"/>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rial"/>
        <family val="2"/>
        <scheme val="none"/>
      </font>
      <numFmt numFmtId="169" formatCode="yyyy/mm/dd;@"/>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theme="1"/>
        <name val="Arial"/>
        <family val="2"/>
        <scheme val="none"/>
      </font>
      <fill>
        <patternFill patternType="none">
          <fgColor indexed="64"/>
          <bgColor indexed="65"/>
        </patternFill>
      </fill>
      <alignment vertical="center" textRotation="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theme="1"/>
        <name val="Arial"/>
        <family val="2"/>
        <scheme val="none"/>
      </font>
      <fill>
        <patternFill patternType="none">
          <fgColor indexed="64"/>
          <bgColor indexed="65"/>
        </patternFill>
      </fill>
      <alignment vertical="center" textRotation="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 formatCode="0"/>
      <alignment vertical="center" textRotation="0" indent="0" justifyLastLine="0" shrinkToFit="0" readingOrder="0"/>
    </dxf>
    <dxf>
      <border outline="0">
        <bottom style="thin">
          <color rgb="FF000000"/>
        </bottom>
      </border>
    </dxf>
    <dxf>
      <border outline="0">
        <left style="double">
          <color rgb="FF000000"/>
        </left>
        <right style="double">
          <color rgb="FF000000"/>
        </right>
        <top style="double">
          <color rgb="FF000000"/>
        </top>
        <bottom style="double">
          <color rgb="FF000000"/>
        </bottom>
      </border>
    </dxf>
    <dxf>
      <alignment vertical="center" textRotation="0" indent="0" justifyLastLine="0" shrinkToFit="0" readingOrder="0"/>
    </dxf>
    <dxf>
      <font>
        <b/>
        <i val="0"/>
        <strike val="0"/>
        <condense val="0"/>
        <extend val="0"/>
        <outline val="0"/>
        <shadow val="0"/>
        <u val="none"/>
        <vertAlign val="baseline"/>
        <sz val="12"/>
        <color theme="1"/>
        <name val="Arial"/>
        <family val="2"/>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P:\Administration\Comptabilit&#233;\2000%20-%20MATECH\4%20-%20PAIE\ASSURANCE%20COLLECTIVE\2024\Assurance%20Primes%20par%20employ&#233;%202.xlsx" TargetMode="External"/><Relationship Id="rId1" Type="http://schemas.openxmlformats.org/officeDocument/2006/relationships/externalLinkPath" Target="file:///P:\Administration\Comptabilit&#233;\2000%20-%20MATECH\4%20-%20PAIE\ASSURANCE%20COLLECTIVE\2024\Assurance%20Primes%20par%20employ&#233;%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Anniversaires"/>
      <sheetName val="PRIME JANVIER"/>
      <sheetName val="PRIME FÉVRIER"/>
      <sheetName val="Serge Valois"/>
      <sheetName val="Annie Létourneau"/>
      <sheetName val="Stéphane Blanchette"/>
      <sheetName val="Annie Langlois"/>
      <sheetName val="Guylaine Joyal"/>
      <sheetName val="Peggy Ellis"/>
      <sheetName val="Martin Valois"/>
      <sheetName val="Lynda Blanquière"/>
      <sheetName val="Mathieu Gagnon"/>
      <sheetName val="François Blanchard "/>
      <sheetName val="Samuel Michaud"/>
      <sheetName val="Jinnie Meloche-Dalpé"/>
      <sheetName val="Gaetan Vigneault"/>
      <sheetName val="M-Claude Cusson"/>
      <sheetName val="Paul Nadeau"/>
      <sheetName val="Benoit Bertrand"/>
      <sheetName val="Dominique Janelle"/>
      <sheetName val="Eric Lampron"/>
      <sheetName val="Gabriel Marcoux"/>
      <sheetName val="Clovis Marcoux"/>
      <sheetName val="David Joseph"/>
      <sheetName val="Richard Valois"/>
      <sheetName val="Patrick Danis"/>
      <sheetName val="Francis Audet"/>
      <sheetName val="Frédéric Vézina"/>
      <sheetName val="Norbert Behrens"/>
      <sheetName val="Michael Novilla"/>
      <sheetName val="Jerus Moreno"/>
      <sheetName val="B-Papin Dongmo- Tsopze"/>
      <sheetName val="J-Claude Pelletier"/>
      <sheetName val="Fernand Manseau"/>
      <sheetName val="Francois Bussière"/>
      <sheetName val="André Aubé"/>
      <sheetName val="Jean Labranche"/>
      <sheetName val="Keven Gosselin"/>
      <sheetName val="Rémi Joyal"/>
      <sheetName val="Dave Poulin"/>
      <sheetName val="René Lambert"/>
      <sheetName val="Roger Montminy"/>
      <sheetName val="Yves Surprenant"/>
      <sheetName val="Patrick Valois"/>
      <sheetName val="Nathan Laguerre"/>
      <sheetName val="Karl Giguère"/>
      <sheetName val="Stéphane Dionne"/>
      <sheetName val="Martin Picard"/>
      <sheetName val="Martin Côté"/>
      <sheetName val="M-André Boisclair"/>
      <sheetName val="Daniel Lévesque"/>
      <sheetName val="Katherine Messier"/>
      <sheetName val="Edmond Gura"/>
      <sheetName val="Elias Kordahi"/>
      <sheetName val="Michael Whitney"/>
      <sheetName val="Jacques Tessier"/>
    </sheetNames>
    <sheetDataSet>
      <sheetData sheetId="0">
        <row r="3">
          <cell r="B3" t="str">
            <v>Numéro</v>
          </cell>
          <cell r="C3" t="str">
            <v>Nom</v>
          </cell>
          <cell r="D3" t="str">
            <v>Prénom</v>
          </cell>
          <cell r="E3" t="str">
            <v>Date de
naissance
(aaaa-mm-jj)</v>
          </cell>
          <cell r="F3" t="str">
            <v>Jour</v>
          </cell>
          <cell r="G3" t="str">
            <v>Mois</v>
          </cell>
          <cell r="H3" t="str">
            <v>Année</v>
          </cell>
          <cell r="I3" t="str">
            <v>Âge</v>
          </cell>
          <cell r="J3" t="str">
            <v>Mois Effectif</v>
          </cell>
          <cell r="K3" t="str">
            <v>Mois2</v>
          </cell>
          <cell r="L3" t="str">
            <v>65 + Ass.
Invalidité5</v>
          </cell>
          <cell r="M3" t="str">
            <v>65 + Ass.
Invalidité4</v>
          </cell>
          <cell r="N3" t="str">
            <v>65 + Ass.
Invalidité2</v>
          </cell>
          <cell r="O3" t="str">
            <v>65 + Ass.
Invalidité3</v>
          </cell>
          <cell r="P3" t="str">
            <v>65 + Ass.
Invalidité32</v>
          </cell>
          <cell r="Q3" t="str">
            <v>65 + Ass.
Invalidité33</v>
          </cell>
          <cell r="R3" t="str">
            <v>65 + Ass.
Invalidité34</v>
          </cell>
          <cell r="S3" t="str">
            <v>65 + Ass.
Invalidité35</v>
          </cell>
          <cell r="T3" t="str">
            <v>65 + Ass.
Invalidité354</v>
          </cell>
          <cell r="U3" t="str">
            <v>65 + Ass.
Invalidité353</v>
          </cell>
          <cell r="V3" t="str">
            <v>65 + Ass.
Invalidité352</v>
          </cell>
          <cell r="W3" t="str">
            <v>66 + Ass.
Invalidité35</v>
          </cell>
        </row>
        <row r="4">
          <cell r="B4">
            <v>29</v>
          </cell>
          <cell r="C4" t="str">
            <v>Aubé</v>
          </cell>
          <cell r="D4" t="str">
            <v>André</v>
          </cell>
          <cell r="E4">
            <v>27504</v>
          </cell>
          <cell r="F4">
            <v>20</v>
          </cell>
          <cell r="G4">
            <v>4</v>
          </cell>
          <cell r="H4">
            <v>1975</v>
          </cell>
          <cell r="I4">
            <v>2040</v>
          </cell>
          <cell r="J4">
            <v>27414</v>
          </cell>
          <cell r="K4" t="str">
            <v>Janvier</v>
          </cell>
        </row>
        <row r="5">
          <cell r="B5">
            <v>41</v>
          </cell>
          <cell r="C5" t="str">
            <v>Audet</v>
          </cell>
          <cell r="D5" t="str">
            <v>Francis</v>
          </cell>
          <cell r="E5">
            <v>35239</v>
          </cell>
          <cell r="F5">
            <v>23</v>
          </cell>
          <cell r="G5">
            <v>6</v>
          </cell>
          <cell r="H5">
            <v>1996</v>
          </cell>
          <cell r="I5">
            <v>2061</v>
          </cell>
          <cell r="J5">
            <v>35147</v>
          </cell>
          <cell r="K5" t="str">
            <v>Mars</v>
          </cell>
        </row>
        <row r="6">
          <cell r="B6">
            <v>114</v>
          </cell>
          <cell r="C6" t="str">
            <v>Behrens</v>
          </cell>
          <cell r="D6" t="str">
            <v>Norbert</v>
          </cell>
          <cell r="E6">
            <v>27078</v>
          </cell>
          <cell r="F6">
            <v>18</v>
          </cell>
          <cell r="G6">
            <v>2</v>
          </cell>
          <cell r="H6">
            <v>1974</v>
          </cell>
          <cell r="I6">
            <v>2039</v>
          </cell>
          <cell r="J6">
            <v>26986</v>
          </cell>
          <cell r="K6" t="str">
            <v>Novembre</v>
          </cell>
        </row>
        <row r="7">
          <cell r="C7" t="str">
            <v>Bergeron</v>
          </cell>
          <cell r="D7" t="str">
            <v>Tristan</v>
          </cell>
          <cell r="E7">
            <v>36066</v>
          </cell>
          <cell r="F7">
            <v>28</v>
          </cell>
          <cell r="G7">
            <v>9</v>
          </cell>
          <cell r="H7">
            <v>1998</v>
          </cell>
          <cell r="I7">
            <v>2063</v>
          </cell>
          <cell r="J7">
            <v>35974</v>
          </cell>
          <cell r="K7" t="str">
            <v>Juin</v>
          </cell>
        </row>
        <row r="8">
          <cell r="C8" t="str">
            <v>Bertrand</v>
          </cell>
          <cell r="D8" t="str">
            <v>Benoit</v>
          </cell>
          <cell r="E8">
            <v>26854</v>
          </cell>
          <cell r="F8">
            <v>9</v>
          </cell>
          <cell r="G8">
            <v>7</v>
          </cell>
          <cell r="H8">
            <v>1973</v>
          </cell>
          <cell r="I8">
            <v>2038</v>
          </cell>
          <cell r="J8">
            <v>26763</v>
          </cell>
          <cell r="K8" t="str">
            <v>Avril</v>
          </cell>
        </row>
        <row r="9">
          <cell r="B9">
            <v>23</v>
          </cell>
          <cell r="C9" t="str">
            <v>Blanchard</v>
          </cell>
          <cell r="D9" t="str">
            <v>François</v>
          </cell>
          <cell r="E9">
            <v>22571</v>
          </cell>
          <cell r="F9">
            <v>17</v>
          </cell>
          <cell r="G9">
            <v>10</v>
          </cell>
          <cell r="H9">
            <v>1961</v>
          </cell>
          <cell r="I9">
            <v>2026</v>
          </cell>
          <cell r="J9">
            <v>22479</v>
          </cell>
          <cell r="K9" t="str">
            <v>Juillet</v>
          </cell>
        </row>
        <row r="10">
          <cell r="B10">
            <v>56</v>
          </cell>
          <cell r="C10" t="str">
            <v>Blanchette</v>
          </cell>
          <cell r="D10" t="str">
            <v>Stéphane</v>
          </cell>
          <cell r="E10">
            <v>30860</v>
          </cell>
          <cell r="F10">
            <v>27</v>
          </cell>
          <cell r="G10">
            <v>6</v>
          </cell>
          <cell r="H10">
            <v>1984</v>
          </cell>
          <cell r="I10">
            <v>2049</v>
          </cell>
          <cell r="J10">
            <v>30768</v>
          </cell>
          <cell r="K10" t="str">
            <v>Mars</v>
          </cell>
        </row>
        <row r="11">
          <cell r="B11">
            <v>6</v>
          </cell>
          <cell r="C11" t="str">
            <v>Blaquière</v>
          </cell>
          <cell r="D11" t="str">
            <v>Lynda</v>
          </cell>
          <cell r="E11">
            <v>24885</v>
          </cell>
          <cell r="F11">
            <v>17</v>
          </cell>
          <cell r="G11">
            <v>2</v>
          </cell>
          <cell r="H11">
            <v>1968</v>
          </cell>
          <cell r="I11">
            <v>2033</v>
          </cell>
          <cell r="J11">
            <v>24793</v>
          </cell>
          <cell r="K11" t="str">
            <v>Novembre</v>
          </cell>
        </row>
        <row r="12">
          <cell r="B12">
            <v>77</v>
          </cell>
          <cell r="C12" t="str">
            <v>Boisclair</v>
          </cell>
          <cell r="D12" t="str">
            <v>Marc-André</v>
          </cell>
          <cell r="E12">
            <v>34346</v>
          </cell>
          <cell r="F12">
            <v>12</v>
          </cell>
          <cell r="G12">
            <v>1</v>
          </cell>
          <cell r="H12">
            <v>1994</v>
          </cell>
          <cell r="I12">
            <v>2059</v>
          </cell>
          <cell r="J12">
            <v>34254</v>
          </cell>
          <cell r="K12" t="str">
            <v>Octobre</v>
          </cell>
        </row>
        <row r="13">
          <cell r="B13">
            <v>28</v>
          </cell>
          <cell r="C13" t="str">
            <v>Bussière</v>
          </cell>
          <cell r="D13" t="str">
            <v>François</v>
          </cell>
          <cell r="E13">
            <v>24513</v>
          </cell>
          <cell r="F13">
            <v>10</v>
          </cell>
          <cell r="G13">
            <v>2</v>
          </cell>
          <cell r="H13">
            <v>1967</v>
          </cell>
          <cell r="I13">
            <v>2032</v>
          </cell>
          <cell r="J13">
            <v>24421</v>
          </cell>
          <cell r="K13" t="str">
            <v>Novembre</v>
          </cell>
        </row>
        <row r="14">
          <cell r="C14" t="str">
            <v>Côté</v>
          </cell>
          <cell r="D14" t="str">
            <v>Gilles</v>
          </cell>
          <cell r="E14">
            <v>20460</v>
          </cell>
          <cell r="F14">
            <v>6</v>
          </cell>
          <cell r="G14">
            <v>1</v>
          </cell>
          <cell r="H14">
            <v>1956</v>
          </cell>
          <cell r="I14">
            <v>2021</v>
          </cell>
          <cell r="J14">
            <v>20368</v>
          </cell>
          <cell r="K14" t="str">
            <v>Octobre</v>
          </cell>
        </row>
        <row r="15">
          <cell r="C15" t="str">
            <v>Côté</v>
          </cell>
          <cell r="D15" t="str">
            <v>René</v>
          </cell>
          <cell r="E15">
            <v>20404</v>
          </cell>
          <cell r="F15">
            <v>11</v>
          </cell>
          <cell r="G15">
            <v>11</v>
          </cell>
          <cell r="H15">
            <v>1955</v>
          </cell>
          <cell r="I15">
            <v>2020</v>
          </cell>
          <cell r="J15">
            <v>20312</v>
          </cell>
          <cell r="K15" t="str">
            <v>Aout</v>
          </cell>
        </row>
        <row r="16">
          <cell r="B16">
            <v>44</v>
          </cell>
          <cell r="C16" t="str">
            <v>Côté</v>
          </cell>
          <cell r="D16" t="str">
            <v>Martin</v>
          </cell>
          <cell r="E16">
            <v>26655</v>
          </cell>
          <cell r="F16">
            <v>22</v>
          </cell>
          <cell r="G16">
            <v>12</v>
          </cell>
          <cell r="H16">
            <v>1972</v>
          </cell>
          <cell r="I16">
            <v>2037</v>
          </cell>
          <cell r="J16">
            <v>26564</v>
          </cell>
          <cell r="K16" t="str">
            <v>Septembre</v>
          </cell>
        </row>
        <row r="17">
          <cell r="B17">
            <v>83</v>
          </cell>
          <cell r="C17" t="str">
            <v>Cusson</v>
          </cell>
          <cell r="D17" t="str">
            <v>Marie-Claude</v>
          </cell>
          <cell r="E17">
            <v>31993</v>
          </cell>
          <cell r="F17">
            <v>4</v>
          </cell>
          <cell r="G17">
            <v>8</v>
          </cell>
          <cell r="H17">
            <v>1987</v>
          </cell>
          <cell r="I17">
            <v>2052</v>
          </cell>
          <cell r="J17">
            <v>31901</v>
          </cell>
          <cell r="K17" t="str">
            <v>Mai</v>
          </cell>
        </row>
        <row r="18">
          <cell r="B18">
            <v>9</v>
          </cell>
          <cell r="C18" t="str">
            <v>Danis</v>
          </cell>
          <cell r="D18" t="str">
            <v>Patrick</v>
          </cell>
          <cell r="E18">
            <v>24277</v>
          </cell>
          <cell r="F18">
            <v>19</v>
          </cell>
          <cell r="G18">
            <v>6</v>
          </cell>
          <cell r="H18">
            <v>1966</v>
          </cell>
          <cell r="I18">
            <v>2031</v>
          </cell>
          <cell r="J18">
            <v>24185</v>
          </cell>
          <cell r="K18" t="str">
            <v>Mars</v>
          </cell>
        </row>
        <row r="19">
          <cell r="B19">
            <v>126</v>
          </cell>
          <cell r="C19" t="str">
            <v>De Courval Poliquin</v>
          </cell>
          <cell r="D19" t="str">
            <v>Mathieu</v>
          </cell>
          <cell r="E19">
            <v>29411</v>
          </cell>
          <cell r="F19">
            <v>9</v>
          </cell>
          <cell r="G19">
            <v>7</v>
          </cell>
          <cell r="H19">
            <v>1980</v>
          </cell>
          <cell r="I19">
            <v>2045</v>
          </cell>
          <cell r="J19">
            <v>29320</v>
          </cell>
          <cell r="K19" t="str">
            <v>Avril</v>
          </cell>
        </row>
        <row r="20">
          <cell r="B20">
            <v>25</v>
          </cell>
          <cell r="C20" t="str">
            <v>Dionne</v>
          </cell>
          <cell r="D20" t="str">
            <v>Stéphane</v>
          </cell>
          <cell r="E20">
            <v>24948</v>
          </cell>
          <cell r="F20">
            <v>20</v>
          </cell>
          <cell r="G20">
            <v>4</v>
          </cell>
          <cell r="H20">
            <v>1968</v>
          </cell>
          <cell r="I20">
            <v>2033</v>
          </cell>
          <cell r="J20">
            <v>24857</v>
          </cell>
          <cell r="K20" t="str">
            <v>Janvier</v>
          </cell>
        </row>
        <row r="21">
          <cell r="B21">
            <v>106</v>
          </cell>
          <cell r="C21" t="str">
            <v>Ellis</v>
          </cell>
          <cell r="D21" t="str">
            <v>Peggy</v>
          </cell>
          <cell r="E21">
            <v>23359</v>
          </cell>
          <cell r="F21">
            <v>14</v>
          </cell>
          <cell r="G21">
            <v>12</v>
          </cell>
          <cell r="H21">
            <v>1963</v>
          </cell>
          <cell r="I21">
            <v>2028</v>
          </cell>
          <cell r="J21">
            <v>23268</v>
          </cell>
          <cell r="K21" t="str">
            <v>Septembre</v>
          </cell>
        </row>
        <row r="22">
          <cell r="B22">
            <v>19</v>
          </cell>
          <cell r="C22" t="str">
            <v>Gagnon</v>
          </cell>
          <cell r="D22" t="str">
            <v>Mathieu</v>
          </cell>
          <cell r="E22">
            <v>28049</v>
          </cell>
          <cell r="F22">
            <v>16</v>
          </cell>
          <cell r="G22">
            <v>10</v>
          </cell>
          <cell r="H22">
            <v>1976</v>
          </cell>
          <cell r="I22">
            <v>2041</v>
          </cell>
          <cell r="J22">
            <v>27957</v>
          </cell>
          <cell r="K22" t="str">
            <v>Juillet</v>
          </cell>
        </row>
        <row r="23">
          <cell r="B23">
            <v>13</v>
          </cell>
          <cell r="C23" t="str">
            <v>Giguère</v>
          </cell>
          <cell r="D23" t="str">
            <v>Karl</v>
          </cell>
          <cell r="E23">
            <v>28387</v>
          </cell>
          <cell r="F23">
            <v>19</v>
          </cell>
          <cell r="G23">
            <v>9</v>
          </cell>
          <cell r="H23">
            <v>1977</v>
          </cell>
          <cell r="I23">
            <v>2042</v>
          </cell>
          <cell r="J23">
            <v>28295</v>
          </cell>
          <cell r="K23" t="str">
            <v>Juin</v>
          </cell>
        </row>
        <row r="24">
          <cell r="B24">
            <v>81</v>
          </cell>
          <cell r="C24" t="str">
            <v>Gosselin</v>
          </cell>
          <cell r="D24" t="str">
            <v>Keven</v>
          </cell>
          <cell r="E24">
            <v>33952</v>
          </cell>
          <cell r="F24">
            <v>14</v>
          </cell>
          <cell r="G24">
            <v>12</v>
          </cell>
          <cell r="H24">
            <v>1992</v>
          </cell>
          <cell r="I24">
            <v>2057</v>
          </cell>
          <cell r="J24">
            <v>33861</v>
          </cell>
          <cell r="K24" t="str">
            <v>Septembre</v>
          </cell>
        </row>
        <row r="25">
          <cell r="B25">
            <v>74</v>
          </cell>
          <cell r="C25" t="str">
            <v>Gura</v>
          </cell>
          <cell r="D25" t="str">
            <v>Edmond</v>
          </cell>
          <cell r="E25">
            <v>23635</v>
          </cell>
          <cell r="F25">
            <v>15</v>
          </cell>
          <cell r="G25">
            <v>9</v>
          </cell>
          <cell r="H25">
            <v>1964</v>
          </cell>
          <cell r="I25">
            <v>2029</v>
          </cell>
          <cell r="J25">
            <v>23543</v>
          </cell>
          <cell r="K25" t="str">
            <v>Juin</v>
          </cell>
        </row>
        <row r="26">
          <cell r="B26">
            <v>11</v>
          </cell>
          <cell r="C26" t="str">
            <v>Janelle</v>
          </cell>
          <cell r="D26" t="str">
            <v>Dominique</v>
          </cell>
          <cell r="E26">
            <v>26800</v>
          </cell>
          <cell r="F26">
            <v>16</v>
          </cell>
          <cell r="G26">
            <v>5</v>
          </cell>
          <cell r="H26">
            <v>1973</v>
          </cell>
          <cell r="I26">
            <v>2038</v>
          </cell>
          <cell r="J26">
            <v>26711</v>
          </cell>
          <cell r="K26" t="str">
            <v>Février</v>
          </cell>
        </row>
        <row r="27">
          <cell r="B27">
            <v>123</v>
          </cell>
          <cell r="C27" t="str">
            <v>Joseph</v>
          </cell>
          <cell r="D27" t="str">
            <v>David</v>
          </cell>
          <cell r="E27">
            <v>28691</v>
          </cell>
          <cell r="F27">
            <v>20</v>
          </cell>
          <cell r="G27">
            <v>7</v>
          </cell>
          <cell r="H27">
            <v>1978</v>
          </cell>
          <cell r="I27">
            <v>2043</v>
          </cell>
          <cell r="J27">
            <v>28600</v>
          </cell>
          <cell r="K27" t="str">
            <v>Avril</v>
          </cell>
        </row>
        <row r="28">
          <cell r="B28">
            <v>109</v>
          </cell>
          <cell r="C28" t="str">
            <v>Joyal</v>
          </cell>
          <cell r="D28" t="str">
            <v>Rémi</v>
          </cell>
          <cell r="E28">
            <v>28252</v>
          </cell>
          <cell r="F28">
            <v>7</v>
          </cell>
          <cell r="G28">
            <v>5</v>
          </cell>
          <cell r="H28">
            <v>1977</v>
          </cell>
          <cell r="I28">
            <v>2042</v>
          </cell>
          <cell r="J28">
            <v>28163</v>
          </cell>
          <cell r="K28" t="str">
            <v>Février</v>
          </cell>
        </row>
        <row r="29">
          <cell r="B29">
            <v>104</v>
          </cell>
          <cell r="C29" t="str">
            <v>Joyal</v>
          </cell>
          <cell r="D29" t="str">
            <v>Guylaine</v>
          </cell>
          <cell r="E29">
            <v>29433</v>
          </cell>
          <cell r="F29">
            <v>31</v>
          </cell>
          <cell r="G29">
            <v>7</v>
          </cell>
          <cell r="H29">
            <v>1980</v>
          </cell>
          <cell r="I29">
            <v>2045</v>
          </cell>
          <cell r="J29">
            <v>29341</v>
          </cell>
          <cell r="K29" t="str">
            <v>Avril</v>
          </cell>
          <cell r="L29" t="str">
            <v/>
          </cell>
          <cell r="M29" t="str">
            <v/>
          </cell>
          <cell r="N29" t="str">
            <v/>
          </cell>
          <cell r="O29">
            <v>25000</v>
          </cell>
          <cell r="P29" t="str">
            <v/>
          </cell>
          <cell r="Q29" t="str">
            <v/>
          </cell>
          <cell r="R29" t="str">
            <v/>
          </cell>
          <cell r="S29" t="str">
            <v/>
          </cell>
          <cell r="T29" t="str">
            <v/>
          </cell>
          <cell r="U29" t="str">
            <v/>
          </cell>
          <cell r="V29" t="str">
            <v/>
          </cell>
          <cell r="W29" t="str">
            <v/>
          </cell>
        </row>
        <row r="30">
          <cell r="B30">
            <v>73</v>
          </cell>
          <cell r="C30" t="str">
            <v>Kordahi</v>
          </cell>
          <cell r="D30" t="str">
            <v>Elias</v>
          </cell>
          <cell r="E30">
            <v>23071</v>
          </cell>
          <cell r="F30">
            <v>1</v>
          </cell>
          <cell r="G30">
            <v>3</v>
          </cell>
          <cell r="H30">
            <v>1963</v>
          </cell>
          <cell r="I30">
            <v>2028</v>
          </cell>
          <cell r="J30">
            <v>22981</v>
          </cell>
          <cell r="K30" t="str">
            <v>Décembre</v>
          </cell>
        </row>
        <row r="31">
          <cell r="B31">
            <v>32</v>
          </cell>
          <cell r="C31" t="str">
            <v>Labranche</v>
          </cell>
          <cell r="D31" t="str">
            <v>Jean</v>
          </cell>
          <cell r="E31">
            <v>24755</v>
          </cell>
          <cell r="F31">
            <v>10</v>
          </cell>
          <cell r="G31">
            <v>10</v>
          </cell>
          <cell r="H31">
            <v>1967</v>
          </cell>
          <cell r="I31">
            <v>2032</v>
          </cell>
          <cell r="J31">
            <v>24663</v>
          </cell>
          <cell r="K31" t="str">
            <v>Juillet</v>
          </cell>
        </row>
        <row r="32">
          <cell r="B32">
            <v>110</v>
          </cell>
          <cell r="C32" t="str">
            <v>Laguerre</v>
          </cell>
          <cell r="D32" t="str">
            <v>Nathan</v>
          </cell>
          <cell r="E32">
            <v>32996</v>
          </cell>
          <cell r="F32">
            <v>3</v>
          </cell>
          <cell r="G32">
            <v>5</v>
          </cell>
          <cell r="H32">
            <v>1990</v>
          </cell>
          <cell r="I32">
            <v>2055</v>
          </cell>
          <cell r="J32">
            <v>32907</v>
          </cell>
          <cell r="K32" t="str">
            <v>Février</v>
          </cell>
        </row>
        <row r="33">
          <cell r="B33">
            <v>4</v>
          </cell>
          <cell r="C33" t="str">
            <v>Lambert</v>
          </cell>
          <cell r="D33" t="str">
            <v>René</v>
          </cell>
          <cell r="E33">
            <v>23012</v>
          </cell>
          <cell r="F33">
            <v>1</v>
          </cell>
          <cell r="G33">
            <v>1</v>
          </cell>
          <cell r="H33">
            <v>1963</v>
          </cell>
          <cell r="I33">
            <v>2028</v>
          </cell>
          <cell r="J33">
            <v>22920</v>
          </cell>
          <cell r="K33" t="str">
            <v>Octobre</v>
          </cell>
        </row>
        <row r="34">
          <cell r="B34">
            <v>17</v>
          </cell>
          <cell r="C34" t="str">
            <v>Lampron</v>
          </cell>
          <cell r="D34" t="str">
            <v>Éric</v>
          </cell>
          <cell r="E34">
            <v>28365</v>
          </cell>
          <cell r="F34">
            <v>28</v>
          </cell>
          <cell r="G34">
            <v>8</v>
          </cell>
          <cell r="H34">
            <v>1977</v>
          </cell>
          <cell r="I34">
            <v>2042</v>
          </cell>
          <cell r="J34">
            <v>28273</v>
          </cell>
          <cell r="K34" t="str">
            <v>Mai</v>
          </cell>
        </row>
        <row r="35">
          <cell r="B35">
            <v>89</v>
          </cell>
          <cell r="C35" t="str">
            <v>Langlois</v>
          </cell>
          <cell r="D35" t="str">
            <v>Annie</v>
          </cell>
          <cell r="E35">
            <v>28674</v>
          </cell>
          <cell r="F35">
            <v>3</v>
          </cell>
          <cell r="G35">
            <v>7</v>
          </cell>
          <cell r="H35">
            <v>1978</v>
          </cell>
          <cell r="I35">
            <v>2043</v>
          </cell>
          <cell r="J35">
            <v>28583</v>
          </cell>
          <cell r="K35" t="str">
            <v>Avril</v>
          </cell>
        </row>
        <row r="36">
          <cell r="C36" t="str">
            <v>Leblanc</v>
          </cell>
          <cell r="D36" t="str">
            <v>Pascal</v>
          </cell>
          <cell r="E36">
            <v>27900</v>
          </cell>
          <cell r="F36">
            <v>20</v>
          </cell>
          <cell r="G36">
            <v>5</v>
          </cell>
          <cell r="H36">
            <v>1976</v>
          </cell>
          <cell r="I36">
            <v>2041</v>
          </cell>
          <cell r="J36">
            <v>27810</v>
          </cell>
          <cell r="K36" t="str">
            <v>Février</v>
          </cell>
        </row>
        <row r="37">
          <cell r="B37">
            <v>34</v>
          </cell>
          <cell r="C37" t="str">
            <v>Létourneau</v>
          </cell>
          <cell r="D37" t="str">
            <v>Annie</v>
          </cell>
          <cell r="E37">
            <v>28735</v>
          </cell>
          <cell r="F37">
            <v>2</v>
          </cell>
          <cell r="G37">
            <v>9</v>
          </cell>
          <cell r="H37">
            <v>1978</v>
          </cell>
          <cell r="I37">
            <v>2043</v>
          </cell>
          <cell r="J37">
            <v>28643</v>
          </cell>
          <cell r="K37" t="str">
            <v>Juin</v>
          </cell>
        </row>
        <row r="38">
          <cell r="B38">
            <v>86</v>
          </cell>
          <cell r="C38" t="str">
            <v>Lévesque</v>
          </cell>
          <cell r="D38" t="str">
            <v>Daniel</v>
          </cell>
          <cell r="E38">
            <v>25812</v>
          </cell>
          <cell r="F38">
            <v>1</v>
          </cell>
          <cell r="G38">
            <v>9</v>
          </cell>
          <cell r="H38">
            <v>1970</v>
          </cell>
          <cell r="I38">
            <v>2035</v>
          </cell>
          <cell r="J38">
            <v>25720</v>
          </cell>
          <cell r="K38" t="str">
            <v>Juin</v>
          </cell>
        </row>
        <row r="39">
          <cell r="B39">
            <v>12</v>
          </cell>
          <cell r="C39" t="str">
            <v>Manseau</v>
          </cell>
          <cell r="D39" t="str">
            <v>Fernand</v>
          </cell>
          <cell r="E39">
            <v>21577</v>
          </cell>
          <cell r="F39">
            <v>27</v>
          </cell>
          <cell r="G39">
            <v>1</v>
          </cell>
          <cell r="H39">
            <v>1959</v>
          </cell>
          <cell r="I39">
            <v>2024</v>
          </cell>
          <cell r="J39">
            <v>21485</v>
          </cell>
          <cell r="K39" t="str">
            <v>Octobre</v>
          </cell>
        </row>
        <row r="40">
          <cell r="B40">
            <v>47</v>
          </cell>
          <cell r="C40" t="str">
            <v>Marcoux</v>
          </cell>
          <cell r="D40" t="str">
            <v>Gabriel</v>
          </cell>
          <cell r="E40">
            <v>35246</v>
          </cell>
          <cell r="F40">
            <v>30</v>
          </cell>
          <cell r="G40">
            <v>6</v>
          </cell>
          <cell r="H40">
            <v>1996</v>
          </cell>
          <cell r="I40">
            <v>2061</v>
          </cell>
          <cell r="J40">
            <v>35154</v>
          </cell>
          <cell r="K40" t="str">
            <v>Mars</v>
          </cell>
        </row>
        <row r="41">
          <cell r="B41">
            <v>82</v>
          </cell>
          <cell r="C41" t="str">
            <v>Marcoux</v>
          </cell>
          <cell r="D41" t="str">
            <v>Clovis</v>
          </cell>
          <cell r="E41">
            <v>37847</v>
          </cell>
          <cell r="F41">
            <v>14</v>
          </cell>
          <cell r="G41">
            <v>8</v>
          </cell>
          <cell r="H41">
            <v>2003</v>
          </cell>
          <cell r="I41">
            <v>2068</v>
          </cell>
          <cell r="J41">
            <v>37755</v>
          </cell>
          <cell r="K41" t="str">
            <v>Mai</v>
          </cell>
        </row>
        <row r="42">
          <cell r="B42">
            <v>115</v>
          </cell>
          <cell r="C42" t="str">
            <v>Meloche, Dalpé</v>
          </cell>
          <cell r="D42" t="str">
            <v>Jinnie</v>
          </cell>
          <cell r="E42">
            <v>33560</v>
          </cell>
          <cell r="F42">
            <v>18</v>
          </cell>
          <cell r="G42">
            <v>11</v>
          </cell>
          <cell r="H42">
            <v>1991</v>
          </cell>
          <cell r="I42">
            <v>2056</v>
          </cell>
          <cell r="J42">
            <v>33468</v>
          </cell>
          <cell r="K42" t="str">
            <v>Aout</v>
          </cell>
        </row>
        <row r="43">
          <cell r="B43">
            <v>87</v>
          </cell>
          <cell r="C43" t="str">
            <v>Messier</v>
          </cell>
          <cell r="D43" t="str">
            <v>Katherine</v>
          </cell>
          <cell r="E43">
            <v>35255</v>
          </cell>
          <cell r="F43">
            <v>9</v>
          </cell>
          <cell r="G43">
            <v>7</v>
          </cell>
          <cell r="H43">
            <v>1996</v>
          </cell>
          <cell r="I43">
            <v>2061</v>
          </cell>
          <cell r="J43">
            <v>35164</v>
          </cell>
          <cell r="K43" t="str">
            <v>Avril</v>
          </cell>
        </row>
        <row r="44">
          <cell r="C44" t="str">
            <v>Meunier</v>
          </cell>
          <cell r="D44" t="str">
            <v>Anthony</v>
          </cell>
          <cell r="E44">
            <v>36289</v>
          </cell>
          <cell r="F44">
            <v>9</v>
          </cell>
          <cell r="G44">
            <v>5</v>
          </cell>
          <cell r="H44">
            <v>1999</v>
          </cell>
          <cell r="I44">
            <v>2064</v>
          </cell>
          <cell r="J44">
            <v>36200</v>
          </cell>
          <cell r="K44" t="str">
            <v>Février</v>
          </cell>
        </row>
        <row r="45">
          <cell r="B45">
            <v>35</v>
          </cell>
          <cell r="C45" t="str">
            <v>Michaud</v>
          </cell>
          <cell r="D45" t="str">
            <v>Samuel</v>
          </cell>
          <cell r="E45">
            <v>35026</v>
          </cell>
          <cell r="F45">
            <v>23</v>
          </cell>
          <cell r="G45">
            <v>11</v>
          </cell>
          <cell r="H45">
            <v>1995</v>
          </cell>
          <cell r="I45">
            <v>2060</v>
          </cell>
          <cell r="J45">
            <v>34934</v>
          </cell>
          <cell r="K45" t="str">
            <v>Aout</v>
          </cell>
        </row>
        <row r="46">
          <cell r="B46">
            <v>14</v>
          </cell>
          <cell r="C46" t="str">
            <v>Montminy</v>
          </cell>
          <cell r="D46" t="str">
            <v>Roger</v>
          </cell>
          <cell r="E46">
            <v>20308</v>
          </cell>
          <cell r="F46">
            <v>7</v>
          </cell>
          <cell r="G46">
            <v>8</v>
          </cell>
          <cell r="H46">
            <v>1955</v>
          </cell>
          <cell r="I46">
            <v>2020</v>
          </cell>
          <cell r="J46">
            <v>20216</v>
          </cell>
          <cell r="K46" t="str">
            <v>Mai</v>
          </cell>
        </row>
        <row r="47">
          <cell r="B47">
            <v>113</v>
          </cell>
          <cell r="C47" t="str">
            <v>Moreno</v>
          </cell>
          <cell r="D47" t="str">
            <v>Jerus Tiongco</v>
          </cell>
          <cell r="E47">
            <v>29005</v>
          </cell>
          <cell r="F47">
            <v>30</v>
          </cell>
          <cell r="G47">
            <v>5</v>
          </cell>
          <cell r="H47">
            <v>1979</v>
          </cell>
          <cell r="I47">
            <v>2044</v>
          </cell>
          <cell r="J47">
            <v>28914</v>
          </cell>
          <cell r="K47" t="str">
            <v>Février</v>
          </cell>
        </row>
        <row r="48">
          <cell r="C48" t="str">
            <v>Morin</v>
          </cell>
          <cell r="D48" t="str">
            <v>Gilles</v>
          </cell>
          <cell r="E48">
            <v>20075</v>
          </cell>
          <cell r="F48">
            <v>17</v>
          </cell>
          <cell r="G48">
            <v>12</v>
          </cell>
          <cell r="H48">
            <v>1954</v>
          </cell>
          <cell r="I48">
            <v>2019</v>
          </cell>
          <cell r="J48">
            <v>19984</v>
          </cell>
          <cell r="K48" t="str">
            <v>Septembre</v>
          </cell>
        </row>
        <row r="49">
          <cell r="B49">
            <v>30</v>
          </cell>
          <cell r="C49" t="str">
            <v>Nadeau</v>
          </cell>
          <cell r="D49" t="str">
            <v>Paul</v>
          </cell>
          <cell r="E49">
            <v>24903</v>
          </cell>
          <cell r="F49">
            <v>6</v>
          </cell>
          <cell r="G49">
            <v>3</v>
          </cell>
          <cell r="H49">
            <v>1968</v>
          </cell>
          <cell r="I49">
            <v>2033</v>
          </cell>
          <cell r="J49">
            <v>24812</v>
          </cell>
          <cell r="K49" t="str">
            <v>Décembre</v>
          </cell>
        </row>
        <row r="50">
          <cell r="B50">
            <v>112</v>
          </cell>
          <cell r="C50" t="str">
            <v>Novilla</v>
          </cell>
          <cell r="D50" t="str">
            <v>Michael Velasco</v>
          </cell>
          <cell r="E50">
            <v>32673</v>
          </cell>
          <cell r="F50">
            <v>14</v>
          </cell>
          <cell r="G50">
            <v>6</v>
          </cell>
          <cell r="H50">
            <v>1989</v>
          </cell>
          <cell r="I50">
            <v>2054</v>
          </cell>
          <cell r="J50">
            <v>32581</v>
          </cell>
          <cell r="K50" t="str">
            <v>Mars</v>
          </cell>
        </row>
        <row r="51">
          <cell r="C51" t="str">
            <v>Painchaud</v>
          </cell>
          <cell r="D51" t="str">
            <v>Luc</v>
          </cell>
          <cell r="E51">
            <v>20349</v>
          </cell>
          <cell r="F51">
            <v>17</v>
          </cell>
          <cell r="G51">
            <v>9</v>
          </cell>
          <cell r="H51">
            <v>1955</v>
          </cell>
          <cell r="I51">
            <v>2020</v>
          </cell>
          <cell r="J51">
            <v>20257</v>
          </cell>
          <cell r="K51" t="str">
            <v>Juin</v>
          </cell>
        </row>
        <row r="52">
          <cell r="B52">
            <v>10</v>
          </cell>
          <cell r="C52" t="str">
            <v>Pelletier</v>
          </cell>
          <cell r="D52" t="str">
            <v>Jean-Claude</v>
          </cell>
          <cell r="E52">
            <v>23150</v>
          </cell>
          <cell r="F52">
            <v>19</v>
          </cell>
          <cell r="G52">
            <v>5</v>
          </cell>
          <cell r="H52">
            <v>1963</v>
          </cell>
          <cell r="I52">
            <v>2028</v>
          </cell>
          <cell r="J52">
            <v>23061</v>
          </cell>
          <cell r="K52" t="str">
            <v>Février</v>
          </cell>
        </row>
        <row r="53">
          <cell r="B53">
            <v>39</v>
          </cell>
          <cell r="C53" t="str">
            <v>Picard</v>
          </cell>
          <cell r="D53" t="str">
            <v>Martin</v>
          </cell>
          <cell r="E53">
            <v>29918</v>
          </cell>
          <cell r="F53">
            <v>28</v>
          </cell>
          <cell r="G53">
            <v>11</v>
          </cell>
          <cell r="H53">
            <v>1984</v>
          </cell>
          <cell r="I53">
            <v>2049</v>
          </cell>
          <cell r="J53">
            <v>30922</v>
          </cell>
          <cell r="K53" t="str">
            <v>Aout</v>
          </cell>
        </row>
        <row r="54">
          <cell r="C54" t="str">
            <v>Pisano</v>
          </cell>
          <cell r="D54" t="str">
            <v>Dave-Carlo</v>
          </cell>
          <cell r="E54">
            <v>35679</v>
          </cell>
          <cell r="F54">
            <v>6</v>
          </cell>
          <cell r="G54">
            <v>9</v>
          </cell>
          <cell r="H54">
            <v>1997</v>
          </cell>
          <cell r="I54">
            <v>2062</v>
          </cell>
          <cell r="J54">
            <v>35587</v>
          </cell>
          <cell r="K54" t="str">
            <v>Juin</v>
          </cell>
        </row>
        <row r="55">
          <cell r="B55">
            <v>111</v>
          </cell>
          <cell r="C55" t="str">
            <v>Poulin</v>
          </cell>
          <cell r="D55" t="str">
            <v>Dave</v>
          </cell>
          <cell r="E55">
            <v>32242</v>
          </cell>
          <cell r="F55">
            <v>9</v>
          </cell>
          <cell r="G55">
            <v>4</v>
          </cell>
          <cell r="H55">
            <v>1988</v>
          </cell>
          <cell r="I55">
            <v>2053</v>
          </cell>
          <cell r="J55">
            <v>32151</v>
          </cell>
          <cell r="K55" t="str">
            <v>Janvier</v>
          </cell>
        </row>
        <row r="56">
          <cell r="C56" t="str">
            <v>Roy</v>
          </cell>
          <cell r="D56" t="str">
            <v>Daniel</v>
          </cell>
          <cell r="E56">
            <v>22771</v>
          </cell>
          <cell r="F56">
            <v>5</v>
          </cell>
          <cell r="G56">
            <v>5</v>
          </cell>
          <cell r="H56">
            <v>1962</v>
          </cell>
          <cell r="I56">
            <v>2027</v>
          </cell>
          <cell r="J56">
            <v>22682</v>
          </cell>
          <cell r="K56" t="str">
            <v>Février</v>
          </cell>
        </row>
        <row r="57">
          <cell r="B57">
            <v>15</v>
          </cell>
          <cell r="C57" t="str">
            <v>Surprenant</v>
          </cell>
          <cell r="D57" t="str">
            <v>Yves</v>
          </cell>
          <cell r="E57">
            <v>22143</v>
          </cell>
          <cell r="F57">
            <v>15</v>
          </cell>
          <cell r="G57">
            <v>8</v>
          </cell>
          <cell r="H57">
            <v>1960</v>
          </cell>
          <cell r="I57">
            <v>2025</v>
          </cell>
          <cell r="J57">
            <v>22051</v>
          </cell>
          <cell r="K57" t="str">
            <v>Mai</v>
          </cell>
        </row>
        <row r="58">
          <cell r="B58">
            <v>50</v>
          </cell>
          <cell r="C58" t="str">
            <v>Tessier</v>
          </cell>
          <cell r="D58" t="str">
            <v>Jacques</v>
          </cell>
          <cell r="E58">
            <v>24976</v>
          </cell>
          <cell r="F58">
            <v>18</v>
          </cell>
          <cell r="G58">
            <v>5</v>
          </cell>
          <cell r="H58">
            <v>1968</v>
          </cell>
          <cell r="I58">
            <v>2033</v>
          </cell>
          <cell r="J58">
            <v>24886</v>
          </cell>
          <cell r="K58" t="str">
            <v>Février</v>
          </cell>
        </row>
        <row r="59">
          <cell r="C59" t="str">
            <v>Thibodeau</v>
          </cell>
          <cell r="D59" t="str">
            <v>Andrew</v>
          </cell>
          <cell r="E59">
            <v>39565</v>
          </cell>
          <cell r="F59">
            <v>27</v>
          </cell>
          <cell r="G59">
            <v>4</v>
          </cell>
          <cell r="H59">
            <v>2008</v>
          </cell>
          <cell r="I59">
            <v>2073</v>
          </cell>
          <cell r="J59">
            <v>39474</v>
          </cell>
          <cell r="K59" t="str">
            <v>Janvier</v>
          </cell>
        </row>
        <row r="60">
          <cell r="B60">
            <v>2</v>
          </cell>
          <cell r="C60" t="str">
            <v>Valois</v>
          </cell>
          <cell r="D60" t="str">
            <v>Martin</v>
          </cell>
          <cell r="E60">
            <v>25713</v>
          </cell>
          <cell r="F60">
            <v>25</v>
          </cell>
          <cell r="G60">
            <v>5</v>
          </cell>
          <cell r="H60">
            <v>1970</v>
          </cell>
          <cell r="I60">
            <v>2035</v>
          </cell>
          <cell r="J60">
            <v>25624</v>
          </cell>
          <cell r="K60" t="str">
            <v>Février</v>
          </cell>
        </row>
        <row r="61">
          <cell r="B61">
            <v>5</v>
          </cell>
          <cell r="C61" t="str">
            <v>Valois</v>
          </cell>
          <cell r="D61" t="str">
            <v>Richard</v>
          </cell>
          <cell r="E61">
            <v>22064</v>
          </cell>
          <cell r="F61">
            <v>28</v>
          </cell>
          <cell r="G61">
            <v>5</v>
          </cell>
          <cell r="H61">
            <v>1960</v>
          </cell>
          <cell r="I61">
            <v>2025</v>
          </cell>
          <cell r="J61">
            <v>21974</v>
          </cell>
          <cell r="K61" t="str">
            <v>Février</v>
          </cell>
        </row>
        <row r="62">
          <cell r="B62">
            <v>27</v>
          </cell>
          <cell r="C62" t="str">
            <v>Valois</v>
          </cell>
          <cell r="D62" t="str">
            <v>Patrick</v>
          </cell>
          <cell r="E62">
            <v>26826</v>
          </cell>
          <cell r="F62">
            <v>11</v>
          </cell>
          <cell r="G62">
            <v>6</v>
          </cell>
          <cell r="H62">
            <v>1973</v>
          </cell>
          <cell r="I62">
            <v>2038</v>
          </cell>
          <cell r="J62">
            <v>26734</v>
          </cell>
          <cell r="K62" t="str">
            <v>Mars</v>
          </cell>
        </row>
        <row r="63">
          <cell r="B63">
            <v>1</v>
          </cell>
          <cell r="C63" t="str">
            <v>Valois</v>
          </cell>
          <cell r="D63" t="str">
            <v>Serge</v>
          </cell>
          <cell r="E63">
            <v>25062</v>
          </cell>
          <cell r="F63">
            <v>12</v>
          </cell>
          <cell r="G63">
            <v>8</v>
          </cell>
          <cell r="H63">
            <v>1968</v>
          </cell>
          <cell r="I63">
            <v>2033</v>
          </cell>
          <cell r="J63">
            <v>24970</v>
          </cell>
          <cell r="K63" t="str">
            <v>Mai</v>
          </cell>
          <cell r="L63" t="str">
            <v/>
          </cell>
          <cell r="M63" t="str">
            <v/>
          </cell>
          <cell r="N63" t="str">
            <v/>
          </cell>
          <cell r="O63" t="str">
            <v/>
          </cell>
          <cell r="P63" t="str">
            <v/>
          </cell>
          <cell r="Q63" t="str">
            <v/>
          </cell>
          <cell r="R63" t="str">
            <v/>
          </cell>
          <cell r="S63" t="str">
            <v/>
          </cell>
        </row>
        <row r="64">
          <cell r="B64">
            <v>84</v>
          </cell>
          <cell r="C64" t="str">
            <v>Vézina</v>
          </cell>
          <cell r="D64" t="str">
            <v>Frédéric</v>
          </cell>
          <cell r="E64">
            <v>29673</v>
          </cell>
          <cell r="F64">
            <v>28</v>
          </cell>
          <cell r="G64">
            <v>3</v>
          </cell>
          <cell r="H64">
            <v>1981</v>
          </cell>
          <cell r="I64">
            <v>2046</v>
          </cell>
          <cell r="J64">
            <v>29583</v>
          </cell>
          <cell r="K64" t="str">
            <v>Décembre</v>
          </cell>
          <cell r="L64" t="str">
            <v/>
          </cell>
          <cell r="M64" t="str">
            <v/>
          </cell>
          <cell r="N64" t="str">
            <v/>
          </cell>
          <cell r="O64" t="str">
            <v/>
          </cell>
          <cell r="P64" t="str">
            <v/>
          </cell>
          <cell r="Q64" t="str">
            <v/>
          </cell>
          <cell r="R64" t="str">
            <v/>
          </cell>
          <cell r="S64" t="str">
            <v/>
          </cell>
        </row>
        <row r="65">
          <cell r="B65">
            <v>20</v>
          </cell>
          <cell r="C65" t="str">
            <v>Vigneault</v>
          </cell>
          <cell r="D65" t="str">
            <v>Gaétan</v>
          </cell>
          <cell r="E65">
            <v>22840</v>
          </cell>
          <cell r="F65">
            <v>13</v>
          </cell>
          <cell r="G65">
            <v>7</v>
          </cell>
          <cell r="H65">
            <v>1962</v>
          </cell>
          <cell r="I65">
            <v>2027</v>
          </cell>
          <cell r="J65">
            <v>22749</v>
          </cell>
          <cell r="K65" t="str">
            <v>Avril</v>
          </cell>
          <cell r="L65" t="str">
            <v/>
          </cell>
          <cell r="M65" t="str">
            <v/>
          </cell>
          <cell r="N65" t="str">
            <v/>
          </cell>
          <cell r="O65" t="str">
            <v/>
          </cell>
          <cell r="P65" t="str">
            <v/>
          </cell>
          <cell r="Q65" t="str">
            <v/>
          </cell>
          <cell r="R65" t="str">
            <v/>
          </cell>
          <cell r="S65" t="str">
            <v/>
          </cell>
        </row>
      </sheetData>
      <sheetData sheetId="1">
        <row r="8">
          <cell r="K8">
            <v>39.01</v>
          </cell>
        </row>
        <row r="9">
          <cell r="I9">
            <v>1.8540000000000001</v>
          </cell>
          <cell r="J9" t="str">
            <v>N/A</v>
          </cell>
          <cell r="K9">
            <v>81.11</v>
          </cell>
          <cell r="N9">
            <v>0.09</v>
          </cell>
          <cell r="P9">
            <v>52</v>
          </cell>
        </row>
        <row r="10">
          <cell r="F10">
            <v>0.6</v>
          </cell>
          <cell r="H10">
            <v>0.38</v>
          </cell>
          <cell r="K10">
            <v>121.38</v>
          </cell>
          <cell r="P10">
            <v>70</v>
          </cell>
          <cell r="Z10">
            <v>2.16</v>
          </cell>
        </row>
        <row r="11">
          <cell r="E11">
            <v>0.36799999999999999</v>
          </cell>
          <cell r="F11">
            <v>3.6</v>
          </cell>
          <cell r="G11">
            <v>4.3999999999999997E-2</v>
          </cell>
          <cell r="H11">
            <v>0.64</v>
          </cell>
          <cell r="K11">
            <v>193.97</v>
          </cell>
          <cell r="L11">
            <v>4</v>
          </cell>
          <cell r="P11">
            <v>107</v>
          </cell>
        </row>
      </sheetData>
      <sheetData sheetId="2">
        <row r="8">
          <cell r="K8">
            <v>39.01</v>
          </cell>
        </row>
        <row r="9">
          <cell r="I9">
            <v>1.8540000000000001</v>
          </cell>
          <cell r="J9" t="str">
            <v>N/A</v>
          </cell>
          <cell r="K9">
            <v>98.3</v>
          </cell>
          <cell r="N9">
            <v>0.09</v>
          </cell>
          <cell r="P9">
            <v>55</v>
          </cell>
        </row>
        <row r="10">
          <cell r="F10">
            <v>0.6</v>
          </cell>
          <cell r="H10">
            <v>0.38</v>
          </cell>
          <cell r="K10">
            <v>146.59</v>
          </cell>
          <cell r="P10">
            <v>74</v>
          </cell>
          <cell r="Z10">
            <v>2.16</v>
          </cell>
        </row>
        <row r="11">
          <cell r="E11">
            <v>0.36799999999999999</v>
          </cell>
          <cell r="F11">
            <v>3.6</v>
          </cell>
          <cell r="G11">
            <v>4.3999999999999997E-2</v>
          </cell>
          <cell r="H11">
            <v>0.64</v>
          </cell>
          <cell r="K11">
            <v>233.87</v>
          </cell>
          <cell r="L11">
            <v>4</v>
          </cell>
          <cell r="P11">
            <v>113</v>
          </cell>
        </row>
      </sheetData>
      <sheetData sheetId="3"/>
      <sheetData sheetId="4"/>
      <sheetData sheetId="5"/>
      <sheetData sheetId="6"/>
      <sheetData sheetId="7">
        <row r="15">
          <cell r="A15" t="str">
            <v>Janvier</v>
          </cell>
        </row>
        <row r="20">
          <cell r="A20" t="str">
            <v>Février</v>
          </cell>
        </row>
        <row r="25">
          <cell r="A25" t="str">
            <v>Mars</v>
          </cell>
        </row>
        <row r="30">
          <cell r="A30" t="str">
            <v>Avril</v>
          </cell>
        </row>
        <row r="40">
          <cell r="A40">
            <v>45297</v>
          </cell>
        </row>
        <row r="45">
          <cell r="A45">
            <v>45353</v>
          </cell>
        </row>
        <row r="50">
          <cell r="A50">
            <v>45423</v>
          </cell>
        </row>
        <row r="55">
          <cell r="A55">
            <v>45493</v>
          </cell>
        </row>
        <row r="60">
          <cell r="A60">
            <v>45563</v>
          </cell>
        </row>
        <row r="65">
          <cell r="A65">
            <v>45633</v>
          </cell>
        </row>
      </sheetData>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0DDF0CE-2CAC-449D-9D43-D322632F663F}" name="Tableau13" displayName="Tableau13" ref="B3:W4" totalsRowShown="0" headerRowDxfId="30" dataDxfId="29" headerRowBorderDxfId="27" tableBorderDxfId="28">
  <autoFilter ref="B3:W4" xr:uid="{ABEDF4B7-D5D4-488C-AF1E-9AFCBE86CAC0}"/>
  <sortState xmlns:xlrd2="http://schemas.microsoft.com/office/spreadsheetml/2017/richdata2" ref="B4:H4">
    <sortCondition ref="B3:B4"/>
  </sortState>
  <tableColumns count="22">
    <tableColumn id="14" xr3:uid="{1F75D257-BD81-40BE-A5B4-8D1DFE77FB94}" name="Numéro" dataDxfId="26"/>
    <tableColumn id="3" xr3:uid="{195F413A-165A-4D34-BD1D-4BC747C6A678}" name="Nom" dataDxfId="25"/>
    <tableColumn id="4" xr3:uid="{763C7670-EF60-4C7B-9BDE-6CC4E517138A}" name="Prénom" dataDxfId="24"/>
    <tableColumn id="35" xr3:uid="{6DFF3745-2382-41BA-BA52-6529DF3E1F1B}" name="Date de_x000a_naissance_x000a_(aaaa-mm-jj)" dataDxfId="23"/>
    <tableColumn id="19" xr3:uid="{12888CAD-0038-4D6E-9A5B-37530FC80B15}" name="Jour" dataDxfId="22"/>
    <tableColumn id="18" xr3:uid="{56F4B485-119E-441B-AEB4-6C940DDF6C4D}" name="Mois" dataDxfId="21"/>
    <tableColumn id="10" xr3:uid="{AD9514A9-7695-4B7E-B67A-762436286814}" name="Année" dataDxfId="20"/>
    <tableColumn id="9" xr3:uid="{67B6DEF1-67C2-4832-BF7A-A0BE83E4F8B0}" name="Âge" dataDxfId="19">
      <calculatedColumnFormula>$H$2-Tableau13[[#This Row],[Année]]</calculatedColumnFormula>
    </tableColumn>
    <tableColumn id="13" xr3:uid="{D9D59F22-006B-4711-ACEA-9FA633AC13E8}" name="Mois Effectif" dataDxfId="18">
      <calculatedColumnFormula>EDATE(A4,-3)</calculatedColumnFormula>
    </tableColumn>
    <tableColumn id="17" xr3:uid="{56BE5FC5-9D07-4B0B-AB0D-7614DBDABB9E}" name="Mois2" dataDxfId="17"/>
    <tableColumn id="15" xr3:uid="{189B07F1-3BAB-4D34-9B2A-360D89A54FFE}" name="65 + Ass._x000a_Invalidité5" dataDxfId="16" dataCellStyle="Monétaire">
      <calculatedColumnFormula>IF($I4=K$2,25000,IF($I4&gt;K$2,""))</calculatedColumnFormula>
    </tableColumn>
    <tableColumn id="1" xr3:uid="{580276A2-0064-42FC-A05E-A6305FEFEA7D}" name="65 + Ass._x000a_Invalidité4" dataDxfId="15">
      <calculatedColumnFormula>IF($I$4=#REF!,"")</calculatedColumnFormula>
    </tableColumn>
    <tableColumn id="2" xr3:uid="{B904CF72-0C0E-4D58-AE8F-12E047FE4230}" name="65 + Ass._x000a_Invalidité2" dataDxfId="14">
      <calculatedColumnFormula>IF(I4=$L$2,G4,IF(I4&gt;$L$2,""))</calculatedColumnFormula>
    </tableColumn>
    <tableColumn id="5" xr3:uid="{3AE7B0F8-1173-41A1-8ECE-07D800856487}" name="65 + Ass._x000a_Invalidité3" dataDxfId="13">
      <calculatedColumnFormula>IF(I4=$M$2,G4,IF(I4&gt;$M$2,""))</calculatedColumnFormula>
    </tableColumn>
    <tableColumn id="6" xr3:uid="{E987B359-9BED-4DC5-B401-470909C7D943}" name="65 + Ass._x000a_Invalidité32" dataDxfId="12">
      <calculatedColumnFormula>IF(I4=$N$2,G4,IF(I4&gt;$N$2,""))</calculatedColumnFormula>
    </tableColumn>
    <tableColumn id="7" xr3:uid="{648618A1-08ED-4FAF-9C14-418C0D795FED}" name="65 + Ass._x000a_Invalidité33" dataDxfId="11">
      <calculatedColumnFormula>IF(I4=$O$2,G4,IF(I4&gt;$O$2,""))</calculatedColumnFormula>
    </tableColumn>
    <tableColumn id="8" xr3:uid="{E9FE97BD-4607-45BD-BC27-6F9775530864}" name="65 + Ass._x000a_Invalidité34" dataDxfId="10">
      <calculatedColumnFormula>IF(I4=$P$2,G4,IF(I4&gt;$P$2,""))</calculatedColumnFormula>
    </tableColumn>
    <tableColumn id="11" xr3:uid="{D7482815-24C9-45D5-B554-1A7B2FD6C36E}" name="65 + Ass._x000a_Invalidité35" dataDxfId="9">
      <calculatedColumnFormula>IF(I4=$Q$2,G4,IF(I4&gt;$Q$2,""))</calculatedColumnFormula>
    </tableColumn>
    <tableColumn id="23" xr3:uid="{0554F006-C6A2-4EE1-9F67-18AABF8B30A3}" name="65 + Ass._x000a_Invalidité354" dataDxfId="8" dataCellStyle="Monétaire"/>
    <tableColumn id="22" xr3:uid="{980D2789-CCBC-40C1-BAB1-63CCE98D72F3}" name="65 + Ass._x000a_Invalidité353" dataDxfId="7" dataCellStyle="Monétaire"/>
    <tableColumn id="21" xr3:uid="{96F971EB-E267-4E60-95E9-FF65ABC3C3C3}" name="65 + Ass._x000a_Invalidité352" dataDxfId="6" dataCellStyle="Monétaire"/>
    <tableColumn id="20" xr3:uid="{9AE8E39E-FE07-4DF4-94E6-DA5F6808F40C}" name="66 + Ass._x000a_Invalidité35" dataDxfId="5" dataCellStyle="Monétai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0950CD6-010D-4AF1-BDEF-42731F4D1AF1}">
  <sheetPr>
    <tabColor rgb="FFC00000"/>
  </sheetPr>
  <dimension ref="A1:AE21"/>
  <sheetViews>
    <sheetView zoomScale="130" zoomScaleNormal="130" workbookViewId="0">
      <selection activeCell="I10" sqref="I10"/>
    </sheetView>
  </sheetViews>
  <sheetFormatPr baseColWidth="10" defaultColWidth="11.42578125" defaultRowHeight="15" x14ac:dyDescent="0.2"/>
  <cols>
    <col min="1" max="1" width="13.140625" style="157" bestFit="1" customWidth="1"/>
    <col min="2" max="2" width="18.28515625" style="161" customWidth="1"/>
    <col min="3" max="3" width="16.28515625" style="162" customWidth="1"/>
    <col min="4" max="4" width="15.28515625" style="162" customWidth="1"/>
    <col min="5" max="5" width="16.5703125" style="162" customWidth="1"/>
    <col min="6" max="6" width="7.140625" style="162" customWidth="1"/>
    <col min="7" max="7" width="9.7109375" style="162" customWidth="1"/>
    <col min="8" max="8" width="10.42578125" style="180" customWidth="1"/>
    <col min="9" max="9" width="13.140625" style="180" customWidth="1"/>
    <col min="10" max="10" width="15" style="180" hidden="1" customWidth="1"/>
    <col min="11" max="11" width="15.5703125" style="181" customWidth="1"/>
    <col min="12" max="12" width="10.7109375" style="165" customWidth="1"/>
    <col min="13" max="16384" width="11.42578125" style="157"/>
  </cols>
  <sheetData>
    <row r="1" spans="1:31" x14ac:dyDescent="0.2">
      <c r="B1" s="158">
        <v>1</v>
      </c>
      <c r="C1" s="159">
        <v>2</v>
      </c>
      <c r="D1" s="159">
        <v>3</v>
      </c>
      <c r="E1" s="159">
        <v>4</v>
      </c>
      <c r="F1" s="159">
        <v>5</v>
      </c>
      <c r="G1" s="159">
        <v>6</v>
      </c>
      <c r="H1" s="160">
        <v>7</v>
      </c>
      <c r="I1" s="160">
        <v>8</v>
      </c>
      <c r="J1" s="160">
        <v>9</v>
      </c>
      <c r="K1" s="160">
        <v>10</v>
      </c>
      <c r="L1" s="160">
        <v>11</v>
      </c>
      <c r="M1" s="160">
        <v>12</v>
      </c>
      <c r="N1" s="160">
        <v>13</v>
      </c>
      <c r="O1" s="160">
        <v>14</v>
      </c>
      <c r="P1" s="160">
        <v>15</v>
      </c>
      <c r="Q1" s="160">
        <v>16</v>
      </c>
      <c r="R1" s="160">
        <v>17</v>
      </c>
      <c r="S1" s="160">
        <v>18</v>
      </c>
      <c r="T1" s="160">
        <v>19</v>
      </c>
      <c r="U1" s="160">
        <v>20</v>
      </c>
      <c r="V1" s="160">
        <v>21</v>
      </c>
      <c r="W1" s="160">
        <v>22</v>
      </c>
    </row>
    <row r="2" spans="1:31" ht="15.75" x14ac:dyDescent="0.2">
      <c r="H2" s="163">
        <v>65</v>
      </c>
      <c r="I2" s="164">
        <v>2045</v>
      </c>
      <c r="J2" s="163"/>
      <c r="K2" s="157"/>
      <c r="L2" s="165" t="s">
        <v>33</v>
      </c>
      <c r="M2" s="157" t="s">
        <v>40</v>
      </c>
      <c r="N2" s="157" t="s">
        <v>42</v>
      </c>
      <c r="O2" s="157" t="s">
        <v>44</v>
      </c>
      <c r="P2" s="157" t="s">
        <v>63</v>
      </c>
      <c r="Q2" s="157" t="s">
        <v>64</v>
      </c>
      <c r="R2" s="157" t="s">
        <v>65</v>
      </c>
      <c r="S2" s="157" t="s">
        <v>66</v>
      </c>
      <c r="T2" s="157" t="s">
        <v>67</v>
      </c>
      <c r="U2" s="157" t="s">
        <v>68</v>
      </c>
      <c r="V2" s="157" t="s">
        <v>69</v>
      </c>
      <c r="W2" s="157" t="s">
        <v>70</v>
      </c>
    </row>
    <row r="3" spans="1:31" ht="48" customHeight="1" x14ac:dyDescent="0.2">
      <c r="B3" s="166" t="s">
        <v>71</v>
      </c>
      <c r="C3" s="167" t="s">
        <v>72</v>
      </c>
      <c r="D3" s="167" t="s">
        <v>73</v>
      </c>
      <c r="E3" s="168" t="s">
        <v>74</v>
      </c>
      <c r="F3" s="168" t="s">
        <v>75</v>
      </c>
      <c r="G3" s="168" t="s">
        <v>76</v>
      </c>
      <c r="H3" s="168" t="s">
        <v>77</v>
      </c>
      <c r="I3" s="168" t="s">
        <v>78</v>
      </c>
      <c r="J3" s="169" t="s">
        <v>79</v>
      </c>
      <c r="K3" s="169" t="s">
        <v>80</v>
      </c>
      <c r="L3" s="170" t="s">
        <v>81</v>
      </c>
      <c r="M3" s="171" t="s">
        <v>82</v>
      </c>
      <c r="N3" s="171" t="s">
        <v>83</v>
      </c>
      <c r="O3" s="171" t="s">
        <v>84</v>
      </c>
      <c r="P3" s="171" t="s">
        <v>85</v>
      </c>
      <c r="Q3" s="171" t="s">
        <v>86</v>
      </c>
      <c r="R3" s="171" t="s">
        <v>87</v>
      </c>
      <c r="S3" s="171" t="s">
        <v>88</v>
      </c>
      <c r="T3" s="171" t="s">
        <v>89</v>
      </c>
      <c r="U3" s="171" t="s">
        <v>90</v>
      </c>
      <c r="V3" s="171" t="s">
        <v>91</v>
      </c>
      <c r="W3" s="171" t="s">
        <v>92</v>
      </c>
    </row>
    <row r="4" spans="1:31" x14ac:dyDescent="0.2">
      <c r="A4" s="172" t="str">
        <f t="shared" ref="A4" si="0">F4&amp;"-"&amp;G4&amp;"-"&amp;H4</f>
        <v>31-7-1980</v>
      </c>
      <c r="B4" s="173">
        <v>104</v>
      </c>
      <c r="C4" s="173" t="s">
        <v>93</v>
      </c>
      <c r="D4" s="173" t="s">
        <v>94</v>
      </c>
      <c r="E4" s="174">
        <v>29433</v>
      </c>
      <c r="F4" s="175">
        <v>31</v>
      </c>
      <c r="G4" s="179">
        <v>7</v>
      </c>
      <c r="H4" s="175">
        <v>1980</v>
      </c>
      <c r="I4" s="175">
        <f>H4+$H$2</f>
        <v>2045</v>
      </c>
      <c r="J4" s="176">
        <f>EDATE(A4,-3)</f>
        <v>29341</v>
      </c>
      <c r="K4" s="177" t="s">
        <v>44</v>
      </c>
      <c r="L4" s="178" t="str">
        <f>IF($K4='[1]Guylaine Joyal'!A15,25000,"")</f>
        <v/>
      </c>
      <c r="M4" s="178" t="str">
        <f>IF($K4='[1]Guylaine Joyal'!$A20,25000,"")</f>
        <v/>
      </c>
      <c r="N4" s="178" t="str">
        <f>IF($K4='[1]Guylaine Joyal'!$A25,25000,"")</f>
        <v/>
      </c>
      <c r="O4" s="178">
        <f>IF(I2=I4,IF($K4='[1]Guylaine Joyal'!$A30,25000,""),"")</f>
        <v>25000</v>
      </c>
      <c r="P4" s="178" t="str">
        <f>IF($K4='[1]Guylaine Joyal'!$A35,25000,"")</f>
        <v/>
      </c>
      <c r="Q4" s="178" t="str">
        <f>IF($K4='[1]Guylaine Joyal'!$A40,25000,"")</f>
        <v/>
      </c>
      <c r="R4" s="178" t="str">
        <f>IF($K4='[1]Guylaine Joyal'!$A45,25000,"")</f>
        <v/>
      </c>
      <c r="S4" s="178" t="str">
        <f>IF($K4='[1]Guylaine Joyal'!$A50,25000,"")</f>
        <v/>
      </c>
      <c r="T4" s="178" t="str">
        <f>IF($K4='[1]Guylaine Joyal'!$A55,25000,"")</f>
        <v/>
      </c>
      <c r="U4" s="178" t="str">
        <f>IF($K4='[1]Guylaine Joyal'!$A60,25000,"")</f>
        <v/>
      </c>
      <c r="V4" s="178" t="str">
        <f>IF($K4='[1]Guylaine Joyal'!$A65,25000,"")</f>
        <v/>
      </c>
      <c r="W4" s="178" t="str">
        <f>IF($K4='[1]Guylaine Joyal'!$A70,25000,"")</f>
        <v/>
      </c>
    </row>
    <row r="5" spans="1:31" ht="22.9" customHeight="1" x14ac:dyDescent="0.2"/>
    <row r="6" spans="1:31" s="162" customFormat="1" ht="18" x14ac:dyDescent="0.2">
      <c r="B6" s="182"/>
      <c r="H6" s="183"/>
      <c r="I6" s="183"/>
      <c r="J6" s="183"/>
      <c r="K6" s="181"/>
      <c r="L6" s="165"/>
      <c r="M6" s="157"/>
      <c r="N6" s="157"/>
      <c r="O6" s="157"/>
      <c r="P6" s="157"/>
      <c r="Q6" s="157"/>
      <c r="R6" s="157"/>
      <c r="S6" s="157"/>
      <c r="T6" s="157"/>
      <c r="U6" s="157"/>
      <c r="V6" s="157"/>
      <c r="W6" s="157"/>
      <c r="X6" s="157"/>
      <c r="Y6" s="157"/>
      <c r="Z6" s="157"/>
      <c r="AA6" s="157"/>
      <c r="AB6" s="157"/>
      <c r="AC6" s="157"/>
      <c r="AD6" s="157"/>
      <c r="AE6" s="157"/>
    </row>
    <row r="7" spans="1:31" s="162" customFormat="1" x14ac:dyDescent="0.2">
      <c r="B7" s="161"/>
      <c r="H7" s="180"/>
      <c r="I7" s="180"/>
      <c r="J7" s="180"/>
      <c r="K7" s="181"/>
      <c r="L7" s="165"/>
      <c r="M7" s="157"/>
      <c r="N7" s="157"/>
      <c r="O7" s="157"/>
      <c r="P7" s="157"/>
      <c r="Q7" s="157"/>
      <c r="R7" s="157"/>
      <c r="S7" s="157"/>
      <c r="T7" s="157"/>
      <c r="U7" s="157"/>
      <c r="V7" s="157"/>
      <c r="W7" s="157"/>
      <c r="X7" s="157"/>
      <c r="Y7" s="157"/>
      <c r="Z7" s="157"/>
      <c r="AA7" s="157"/>
      <c r="AB7" s="157"/>
      <c r="AC7" s="157"/>
      <c r="AD7" s="157"/>
      <c r="AE7" s="157"/>
    </row>
    <row r="8" spans="1:31" s="162" customFormat="1" x14ac:dyDescent="0.2">
      <c r="B8" s="161"/>
      <c r="H8" s="180"/>
      <c r="I8" s="180"/>
      <c r="J8" s="180"/>
      <c r="K8" s="181"/>
      <c r="L8" s="165"/>
      <c r="M8" s="157"/>
      <c r="N8" s="157"/>
      <c r="O8" s="157"/>
      <c r="P8" s="157"/>
      <c r="Q8" s="157"/>
      <c r="R8" s="157"/>
      <c r="S8" s="157"/>
      <c r="T8" s="157"/>
      <c r="U8" s="157"/>
      <c r="V8" s="157"/>
      <c r="W8" s="157"/>
      <c r="X8" s="157"/>
      <c r="Y8" s="157"/>
      <c r="Z8" s="157"/>
      <c r="AA8" s="157"/>
      <c r="AB8" s="157"/>
      <c r="AC8" s="157"/>
      <c r="AD8" s="157"/>
      <c r="AE8" s="157"/>
    </row>
    <row r="9" spans="1:31" s="162" customFormat="1" ht="15.75" x14ac:dyDescent="0.25">
      <c r="B9" s="161"/>
      <c r="G9"/>
      <c r="H9" s="180"/>
      <c r="I9" s="180"/>
      <c r="J9" s="180"/>
      <c r="K9" s="181"/>
      <c r="L9" s="165"/>
      <c r="M9" s="157"/>
      <c r="N9" s="157"/>
      <c r="O9" s="157"/>
      <c r="P9" s="157"/>
      <c r="Q9" s="157"/>
      <c r="R9" s="157"/>
      <c r="S9" s="157"/>
      <c r="T9" s="157"/>
      <c r="U9" s="157"/>
      <c r="V9" s="157"/>
      <c r="W9" s="157"/>
      <c r="X9" s="157"/>
      <c r="Y9" s="157"/>
      <c r="Z9" s="157"/>
      <c r="AA9" s="157"/>
      <c r="AB9" s="157"/>
      <c r="AC9" s="157"/>
      <c r="AD9" s="157"/>
      <c r="AE9" s="157"/>
    </row>
    <row r="10" spans="1:31" s="162" customFormat="1" ht="15.75" x14ac:dyDescent="0.25">
      <c r="B10" s="161"/>
      <c r="G10"/>
      <c r="H10" s="180"/>
      <c r="I10" s="180"/>
      <c r="J10" s="180"/>
      <c r="K10" s="181"/>
      <c r="L10" s="165"/>
      <c r="M10" s="157"/>
      <c r="N10" s="157"/>
      <c r="O10" s="157"/>
      <c r="P10" s="157"/>
      <c r="Q10" s="157"/>
      <c r="R10" s="157"/>
      <c r="S10" s="157"/>
      <c r="T10" s="157"/>
      <c r="U10" s="157"/>
      <c r="V10" s="157"/>
      <c r="W10" s="157"/>
      <c r="X10" s="157"/>
      <c r="Y10" s="157"/>
      <c r="Z10" s="157"/>
      <c r="AA10" s="157"/>
      <c r="AB10" s="157"/>
      <c r="AC10" s="157"/>
      <c r="AD10" s="157"/>
      <c r="AE10" s="157"/>
    </row>
    <row r="11" spans="1:31" s="162" customFormat="1" ht="15.75" x14ac:dyDescent="0.25">
      <c r="B11" s="161"/>
      <c r="G11"/>
      <c r="H11" s="180"/>
      <c r="I11" s="180"/>
      <c r="J11" s="180"/>
      <c r="K11" s="181"/>
      <c r="L11" s="165"/>
      <c r="M11" s="157"/>
      <c r="N11" s="157"/>
      <c r="O11" s="157"/>
      <c r="P11" s="157"/>
      <c r="Q11" s="157"/>
      <c r="R11" s="157"/>
      <c r="S11" s="157"/>
      <c r="T11" s="157"/>
      <c r="U11" s="157"/>
      <c r="V11" s="157"/>
      <c r="W11" s="157"/>
      <c r="X11" s="157"/>
      <c r="Y11" s="157"/>
      <c r="Z11" s="157"/>
      <c r="AA11" s="157"/>
      <c r="AB11" s="157"/>
      <c r="AC11" s="157"/>
      <c r="AD11" s="157"/>
      <c r="AE11" s="157"/>
    </row>
    <row r="12" spans="1:31" s="162" customFormat="1" ht="15.75" x14ac:dyDescent="0.25">
      <c r="B12" s="161"/>
      <c r="G12"/>
      <c r="H12" s="180"/>
      <c r="I12" s="180"/>
      <c r="J12" s="180"/>
      <c r="K12" s="181"/>
      <c r="L12" s="165"/>
      <c r="M12" s="157"/>
      <c r="N12" s="157"/>
      <c r="O12" s="157"/>
      <c r="P12" s="157"/>
      <c r="Q12" s="157"/>
      <c r="R12" s="157"/>
      <c r="S12" s="157"/>
      <c r="T12" s="157"/>
      <c r="U12" s="157"/>
      <c r="V12" s="157"/>
      <c r="W12" s="157"/>
      <c r="X12" s="157"/>
      <c r="Y12" s="157"/>
      <c r="Z12" s="157"/>
      <c r="AA12" s="157"/>
      <c r="AB12" s="157"/>
      <c r="AC12" s="157"/>
      <c r="AD12" s="157"/>
      <c r="AE12" s="157"/>
    </row>
    <row r="13" spans="1:31" s="162" customFormat="1" ht="15.75" x14ac:dyDescent="0.25">
      <c r="B13" s="161"/>
      <c r="G13"/>
      <c r="H13" s="180"/>
      <c r="I13" s="180"/>
      <c r="J13" s="180"/>
      <c r="K13" s="181"/>
      <c r="L13" s="165"/>
      <c r="M13" s="157"/>
      <c r="N13" s="157"/>
      <c r="O13" s="157"/>
      <c r="P13" s="157"/>
      <c r="Q13" s="157"/>
      <c r="R13" s="157"/>
      <c r="S13" s="157"/>
      <c r="T13" s="157"/>
      <c r="U13" s="157"/>
      <c r="V13" s="157"/>
      <c r="W13" s="157"/>
      <c r="X13" s="157"/>
      <c r="Y13" s="157"/>
      <c r="Z13" s="157"/>
      <c r="AA13" s="157"/>
      <c r="AB13" s="157"/>
      <c r="AC13" s="157"/>
      <c r="AD13" s="157"/>
      <c r="AE13" s="157"/>
    </row>
    <row r="14" spans="1:31" s="162" customFormat="1" ht="15.75" x14ac:dyDescent="0.25">
      <c r="B14" s="161"/>
      <c r="G14"/>
      <c r="H14" s="180"/>
      <c r="I14" s="180"/>
      <c r="J14" s="180"/>
      <c r="K14" s="181"/>
      <c r="L14" s="165"/>
      <c r="M14" s="157"/>
      <c r="N14" s="157"/>
      <c r="O14" s="157"/>
      <c r="P14" s="157"/>
      <c r="Q14" s="157"/>
      <c r="R14" s="157"/>
      <c r="S14" s="157"/>
      <c r="T14" s="157"/>
      <c r="U14" s="157"/>
      <c r="V14" s="157"/>
      <c r="W14" s="157"/>
      <c r="X14" s="157"/>
      <c r="Y14" s="157"/>
      <c r="Z14" s="157"/>
      <c r="AA14" s="157"/>
      <c r="AB14" s="157"/>
      <c r="AC14" s="157"/>
      <c r="AD14" s="157"/>
      <c r="AE14" s="157"/>
    </row>
    <row r="15" spans="1:31" s="162" customFormat="1" ht="15.75" x14ac:dyDescent="0.25">
      <c r="B15" s="161"/>
      <c r="G15"/>
      <c r="H15" s="180"/>
      <c r="I15" s="180"/>
      <c r="J15" s="180"/>
      <c r="K15" s="181"/>
      <c r="L15" s="165"/>
      <c r="M15" s="157"/>
      <c r="N15" s="157"/>
      <c r="O15" s="157"/>
      <c r="P15" s="157"/>
      <c r="Q15" s="157"/>
      <c r="R15" s="157"/>
      <c r="S15" s="157"/>
      <c r="T15" s="157"/>
      <c r="U15" s="157"/>
      <c r="V15" s="157"/>
      <c r="W15" s="157"/>
      <c r="X15" s="157"/>
      <c r="Y15" s="157"/>
      <c r="Z15" s="157"/>
      <c r="AA15" s="157"/>
      <c r="AB15" s="157"/>
      <c r="AC15" s="157"/>
      <c r="AD15" s="157"/>
      <c r="AE15" s="157"/>
    </row>
    <row r="16" spans="1:31" s="162" customFormat="1" ht="6" customHeight="1" x14ac:dyDescent="0.2">
      <c r="B16" s="161"/>
      <c r="H16" s="180"/>
      <c r="I16" s="180"/>
      <c r="J16" s="180"/>
      <c r="K16" s="181"/>
      <c r="L16" s="165"/>
      <c r="M16" s="157"/>
      <c r="N16" s="157"/>
      <c r="O16" s="157"/>
      <c r="P16" s="157"/>
      <c r="Q16" s="157"/>
      <c r="R16" s="157"/>
      <c r="S16" s="157"/>
      <c r="T16" s="157"/>
      <c r="U16" s="157"/>
      <c r="V16" s="157"/>
      <c r="W16" s="157"/>
      <c r="X16" s="157"/>
      <c r="Y16" s="157"/>
      <c r="Z16" s="157"/>
      <c r="AA16" s="157"/>
      <c r="AB16" s="157"/>
      <c r="AC16" s="157"/>
      <c r="AD16" s="157"/>
      <c r="AE16" s="157"/>
    </row>
    <row r="17" spans="2:31" s="162" customFormat="1" x14ac:dyDescent="0.2">
      <c r="B17" s="161"/>
      <c r="H17" s="180"/>
      <c r="I17" s="180"/>
      <c r="J17" s="180"/>
      <c r="K17" s="181"/>
      <c r="L17" s="165"/>
      <c r="M17" s="157"/>
      <c r="N17" s="157"/>
      <c r="O17" s="157"/>
      <c r="P17" s="157"/>
      <c r="Q17" s="157"/>
      <c r="R17" s="157"/>
      <c r="S17" s="157"/>
      <c r="T17" s="157"/>
      <c r="U17" s="157"/>
      <c r="V17" s="157"/>
      <c r="W17" s="157"/>
      <c r="X17" s="157"/>
      <c r="Y17" s="157"/>
      <c r="Z17" s="157"/>
      <c r="AA17" s="157"/>
      <c r="AB17" s="157"/>
      <c r="AC17" s="157"/>
      <c r="AD17" s="157"/>
      <c r="AE17" s="157"/>
    </row>
    <row r="18" spans="2:31" s="162" customFormat="1" x14ac:dyDescent="0.2">
      <c r="B18" s="161"/>
      <c r="G18" s="180"/>
      <c r="H18" s="180"/>
      <c r="I18" s="180"/>
      <c r="J18" s="180"/>
      <c r="K18" s="181"/>
      <c r="L18" s="165"/>
      <c r="M18" s="157"/>
      <c r="N18" s="157"/>
      <c r="O18" s="157"/>
      <c r="P18" s="157"/>
      <c r="Q18" s="157"/>
      <c r="R18" s="157"/>
      <c r="S18" s="157"/>
      <c r="T18" s="157"/>
      <c r="U18" s="157"/>
      <c r="V18" s="157"/>
      <c r="W18" s="157"/>
      <c r="X18" s="157"/>
      <c r="Y18" s="157"/>
      <c r="Z18" s="157"/>
      <c r="AA18" s="157"/>
      <c r="AB18" s="157"/>
      <c r="AC18" s="157"/>
      <c r="AD18" s="157"/>
      <c r="AE18" s="157"/>
    </row>
    <row r="19" spans="2:31" s="162" customFormat="1" x14ac:dyDescent="0.2">
      <c r="B19" s="161"/>
      <c r="G19" s="180"/>
      <c r="H19" s="180"/>
      <c r="I19" s="180"/>
      <c r="J19" s="180"/>
      <c r="K19" s="181"/>
      <c r="L19" s="165"/>
      <c r="M19" s="157"/>
      <c r="N19" s="157"/>
      <c r="O19" s="157"/>
      <c r="P19" s="157"/>
      <c r="Q19" s="157"/>
      <c r="R19" s="157"/>
      <c r="S19" s="157"/>
      <c r="T19" s="157"/>
      <c r="U19" s="157"/>
      <c r="V19" s="157"/>
      <c r="W19" s="157"/>
      <c r="X19" s="157"/>
      <c r="Y19" s="157"/>
      <c r="Z19" s="157"/>
      <c r="AA19" s="157"/>
      <c r="AB19" s="157"/>
      <c r="AC19" s="157"/>
      <c r="AD19" s="157"/>
      <c r="AE19" s="157"/>
    </row>
    <row r="20" spans="2:31" s="162" customFormat="1" x14ac:dyDescent="0.2">
      <c r="B20" s="161"/>
      <c r="G20" s="180"/>
      <c r="H20" s="180"/>
      <c r="I20" s="180"/>
      <c r="J20" s="180"/>
      <c r="K20" s="181"/>
      <c r="L20" s="165"/>
      <c r="M20" s="157"/>
      <c r="N20" s="157"/>
      <c r="O20" s="157"/>
      <c r="P20" s="157"/>
      <c r="Q20" s="157"/>
      <c r="R20" s="157"/>
      <c r="S20" s="157"/>
      <c r="T20" s="157"/>
      <c r="U20" s="157"/>
      <c r="V20" s="157"/>
      <c r="W20" s="157"/>
      <c r="X20" s="157"/>
      <c r="Y20" s="157"/>
      <c r="Z20" s="157"/>
      <c r="AA20" s="157"/>
      <c r="AB20" s="157"/>
      <c r="AC20" s="157"/>
      <c r="AD20" s="157"/>
      <c r="AE20" s="157"/>
    </row>
    <row r="21" spans="2:31" s="162" customFormat="1" x14ac:dyDescent="0.2">
      <c r="B21" s="161"/>
      <c r="H21" s="180"/>
      <c r="I21" s="180"/>
      <c r="J21" s="180"/>
      <c r="K21" s="181"/>
      <c r="L21" s="165"/>
      <c r="M21" s="157"/>
      <c r="N21" s="157"/>
      <c r="O21" s="157"/>
      <c r="P21" s="157"/>
      <c r="Q21" s="157"/>
      <c r="R21" s="157"/>
      <c r="S21" s="157"/>
      <c r="T21" s="157"/>
      <c r="U21" s="157"/>
      <c r="V21" s="157"/>
      <c r="W21" s="157"/>
      <c r="X21" s="157"/>
      <c r="Y21" s="157"/>
      <c r="Z21" s="157"/>
      <c r="AA21" s="157"/>
      <c r="AB21" s="157"/>
      <c r="AC21" s="157"/>
      <c r="AD21" s="157"/>
      <c r="AE21" s="157"/>
    </row>
  </sheetData>
  <pageMargins left="0.11811023622047245" right="0.11811023622047245" top="0.15748031496062992" bottom="0.15748031496062992" header="0.31496062992125984" footer="0.31496062992125984"/>
  <pageSetup paperSize="5" scale="80" orientation="portrait" verticalDpi="599"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3545F1-A0C9-4671-BA80-5D23FC981326}">
  <sheetPr>
    <tabColor theme="4" tint="0.59999389629810485"/>
  </sheetPr>
  <dimension ref="A1:AK80"/>
  <sheetViews>
    <sheetView tabSelected="1" workbookViewId="0">
      <pane ySplit="11" topLeftCell="A21" activePane="bottomLeft" state="frozen"/>
      <selection activeCell="Q4" sqref="Q4"/>
      <selection pane="bottomLeft" activeCell="B32" sqref="B32"/>
    </sheetView>
  </sheetViews>
  <sheetFormatPr baseColWidth="10" defaultRowHeight="15" x14ac:dyDescent="0.25"/>
  <cols>
    <col min="2" max="2" width="18.5703125" customWidth="1"/>
    <col min="23" max="23" width="11.42578125" customWidth="1"/>
  </cols>
  <sheetData>
    <row r="1" spans="1:25" ht="28.5" customHeight="1" thickBot="1" x14ac:dyDescent="0.55000000000000004">
      <c r="A1" s="1" t="s">
        <v>0</v>
      </c>
      <c r="B1" s="1"/>
      <c r="C1" s="1"/>
      <c r="D1" s="1"/>
      <c r="E1" s="1"/>
      <c r="F1" s="1"/>
      <c r="G1" s="1"/>
      <c r="H1" s="1"/>
      <c r="I1" s="1"/>
      <c r="J1" s="1"/>
      <c r="K1" s="1"/>
      <c r="L1" s="1"/>
      <c r="M1" s="1"/>
      <c r="N1" s="1"/>
      <c r="O1" s="1"/>
      <c r="P1" s="1"/>
      <c r="Q1" s="1"/>
      <c r="R1" s="1"/>
      <c r="S1" s="1"/>
      <c r="T1" s="1"/>
      <c r="U1" s="1"/>
      <c r="V1" s="1"/>
      <c r="W1" s="1"/>
      <c r="X1" s="1"/>
      <c r="Y1" s="1"/>
    </row>
    <row r="2" spans="1:25" s="12" customFormat="1" ht="71.45" customHeight="1" x14ac:dyDescent="0.25">
      <c r="A2" s="2" t="s">
        <v>1</v>
      </c>
      <c r="B2" s="3" t="s">
        <v>2</v>
      </c>
      <c r="C2" s="3" t="s">
        <v>3</v>
      </c>
      <c r="D2" s="4"/>
      <c r="E2" s="5" t="s">
        <v>4</v>
      </c>
      <c r="F2" s="5"/>
      <c r="G2" s="6" t="s">
        <v>5</v>
      </c>
      <c r="H2" s="6"/>
      <c r="I2" s="7" t="s">
        <v>6</v>
      </c>
      <c r="J2" s="8" t="s">
        <v>7</v>
      </c>
      <c r="K2" s="8" t="s">
        <v>8</v>
      </c>
      <c r="L2" s="8" t="s">
        <v>9</v>
      </c>
      <c r="M2" s="8" t="s">
        <v>10</v>
      </c>
      <c r="N2" s="3" t="s">
        <v>11</v>
      </c>
      <c r="O2" s="3" t="s">
        <v>12</v>
      </c>
      <c r="P2" s="3" t="s">
        <v>13</v>
      </c>
      <c r="Q2" s="3" t="s">
        <v>14</v>
      </c>
      <c r="R2" s="9" t="s">
        <v>15</v>
      </c>
      <c r="S2" s="9" t="s">
        <v>16</v>
      </c>
      <c r="T2" s="9" t="s">
        <v>17</v>
      </c>
      <c r="U2" s="9" t="s">
        <v>18</v>
      </c>
      <c r="V2" s="10" t="s">
        <v>15</v>
      </c>
      <c r="W2" s="10" t="s">
        <v>16</v>
      </c>
      <c r="X2" s="10" t="s">
        <v>17</v>
      </c>
      <c r="Y2" s="11" t="s">
        <v>18</v>
      </c>
    </row>
    <row r="3" spans="1:25" s="14" customFormat="1" ht="28.9" customHeight="1" x14ac:dyDescent="0.25">
      <c r="A3" s="13">
        <v>45292</v>
      </c>
      <c r="D3" s="15"/>
      <c r="E3" s="16" t="s">
        <v>19</v>
      </c>
      <c r="F3" s="17" t="s">
        <v>20</v>
      </c>
      <c r="G3" s="16" t="s">
        <v>21</v>
      </c>
      <c r="H3" s="17" t="s">
        <v>20</v>
      </c>
      <c r="I3" s="18" t="s">
        <v>22</v>
      </c>
      <c r="J3" s="18" t="s">
        <v>23</v>
      </c>
      <c r="K3" s="19">
        <f>'[1]PRIME JANVIER'!K8</f>
        <v>39.01</v>
      </c>
      <c r="L3" s="18"/>
      <c r="M3" s="18"/>
      <c r="O3" s="18"/>
      <c r="P3" s="20" t="s">
        <v>24</v>
      </c>
      <c r="Q3" s="20" t="s">
        <v>24</v>
      </c>
      <c r="R3" s="21" t="s">
        <v>25</v>
      </c>
      <c r="S3" s="21" t="s">
        <v>25</v>
      </c>
      <c r="T3" s="21" t="s">
        <v>25</v>
      </c>
      <c r="U3" s="21" t="s">
        <v>25</v>
      </c>
      <c r="V3" s="22" t="s">
        <v>26</v>
      </c>
      <c r="W3" s="22" t="s">
        <v>26</v>
      </c>
      <c r="X3" s="22" t="s">
        <v>26</v>
      </c>
      <c r="Y3" s="23" t="s">
        <v>26</v>
      </c>
    </row>
    <row r="4" spans="1:25" s="14" customFormat="1" x14ac:dyDescent="0.25">
      <c r="A4" s="24"/>
      <c r="B4" s="25"/>
      <c r="C4" s="25"/>
      <c r="E4" s="26" t="s">
        <v>27</v>
      </c>
      <c r="H4" s="16"/>
      <c r="I4" s="27">
        <f>'[1]PRIME JANVIER'!I9</f>
        <v>1.8540000000000001</v>
      </c>
      <c r="J4" s="28" t="str">
        <f>'[1]PRIME JANVIER'!J9</f>
        <v>N/A</v>
      </c>
      <c r="K4" s="29">
        <f>'[1]PRIME JANVIER'!K9</f>
        <v>81.11</v>
      </c>
      <c r="L4" s="30"/>
      <c r="M4" s="30"/>
      <c r="N4" s="31">
        <f>'[1]PRIME JANVIER'!N9</f>
        <v>0.09</v>
      </c>
      <c r="P4" s="29">
        <f>'[1]PRIME JANVIER'!P9</f>
        <v>52</v>
      </c>
      <c r="Q4" s="30"/>
      <c r="R4" s="30"/>
      <c r="S4" s="30"/>
      <c r="T4" s="30"/>
      <c r="V4" s="26" t="s">
        <v>28</v>
      </c>
      <c r="W4" s="26" t="s">
        <v>29</v>
      </c>
      <c r="X4" s="26" t="s">
        <v>30</v>
      </c>
      <c r="Y4" s="32" t="s">
        <v>31</v>
      </c>
    </row>
    <row r="5" spans="1:25" s="14" customFormat="1" x14ac:dyDescent="0.25">
      <c r="A5" s="24"/>
      <c r="E5" s="26"/>
      <c r="F5" s="33">
        <f>'[1]PRIME JANVIER'!F10</f>
        <v>0.6</v>
      </c>
      <c r="G5" s="26"/>
      <c r="H5" s="33">
        <f>'[1]PRIME JANVIER'!H10</f>
        <v>0.38</v>
      </c>
      <c r="I5" s="26"/>
      <c r="J5" s="26"/>
      <c r="K5" s="29">
        <f>'[1]PRIME JANVIER'!K10</f>
        <v>121.38</v>
      </c>
      <c r="L5" s="30"/>
      <c r="M5" s="30"/>
      <c r="N5" s="34"/>
      <c r="O5" s="35"/>
      <c r="P5" s="29">
        <f>'[1]PRIME JANVIER'!P10</f>
        <v>70</v>
      </c>
      <c r="Q5" s="30"/>
      <c r="R5" s="30"/>
      <c r="S5" s="30"/>
      <c r="T5" s="30"/>
      <c r="X5" s="36">
        <f>'[1]PRIME JANVIER'!Z10</f>
        <v>2.16</v>
      </c>
      <c r="Y5" s="32"/>
    </row>
    <row r="6" spans="1:25" s="14" customFormat="1" ht="15.75" thickBot="1" x14ac:dyDescent="0.3">
      <c r="A6" s="37"/>
      <c r="B6" s="38"/>
      <c r="C6" s="38"/>
      <c r="D6" s="38"/>
      <c r="E6" s="39">
        <f>'[1]PRIME JANVIER'!E11</f>
        <v>0.36799999999999999</v>
      </c>
      <c r="F6" s="40">
        <f>'[1]PRIME JANVIER'!F11</f>
        <v>3.6</v>
      </c>
      <c r="G6" s="39">
        <f>'[1]PRIME JANVIER'!G11</f>
        <v>4.3999999999999997E-2</v>
      </c>
      <c r="H6" s="40">
        <f>'[1]PRIME JANVIER'!H11</f>
        <v>0.64</v>
      </c>
      <c r="I6" s="41"/>
      <c r="J6" s="41"/>
      <c r="K6" s="42">
        <f>'[1]PRIME JANVIER'!K11</f>
        <v>193.97</v>
      </c>
      <c r="L6" s="43">
        <f>'[1]PRIME JANVIER'!L11</f>
        <v>4</v>
      </c>
      <c r="M6" s="44"/>
      <c r="N6" s="38"/>
      <c r="O6" s="45"/>
      <c r="P6" s="42">
        <f>'[1]PRIME JANVIER'!P11</f>
        <v>107</v>
      </c>
      <c r="Q6" s="44"/>
      <c r="R6" s="44"/>
      <c r="S6" s="44"/>
      <c r="T6" s="44"/>
      <c r="U6" s="38"/>
      <c r="V6" s="38"/>
      <c r="W6" s="38"/>
      <c r="X6" s="46" t="s">
        <v>32</v>
      </c>
      <c r="Y6" s="47"/>
    </row>
    <row r="7" spans="1:25" s="12" customFormat="1" ht="71.45" customHeight="1" x14ac:dyDescent="0.25">
      <c r="A7" s="2" t="s">
        <v>1</v>
      </c>
      <c r="B7" s="3" t="s">
        <v>2</v>
      </c>
      <c r="C7" s="3" t="s">
        <v>3</v>
      </c>
      <c r="D7" s="4"/>
      <c r="E7" s="5" t="s">
        <v>4</v>
      </c>
      <c r="F7" s="5"/>
      <c r="G7" s="6" t="s">
        <v>5</v>
      </c>
      <c r="H7" s="6"/>
      <c r="I7" s="7" t="s">
        <v>6</v>
      </c>
      <c r="J7" s="8" t="s">
        <v>7</v>
      </c>
      <c r="K7" s="8" t="s">
        <v>8</v>
      </c>
      <c r="L7" s="8" t="s">
        <v>9</v>
      </c>
      <c r="M7" s="8" t="s">
        <v>10</v>
      </c>
      <c r="N7" s="3" t="s">
        <v>11</v>
      </c>
      <c r="O7" s="3" t="s">
        <v>12</v>
      </c>
      <c r="P7" s="3" t="s">
        <v>13</v>
      </c>
      <c r="Q7" s="3" t="s">
        <v>14</v>
      </c>
      <c r="R7" s="9" t="s">
        <v>15</v>
      </c>
      <c r="S7" s="9" t="s">
        <v>16</v>
      </c>
      <c r="T7" s="9" t="s">
        <v>17</v>
      </c>
      <c r="U7" s="9" t="s">
        <v>18</v>
      </c>
      <c r="V7" s="10" t="s">
        <v>15</v>
      </c>
      <c r="W7" s="10" t="s">
        <v>16</v>
      </c>
      <c r="X7" s="10" t="s">
        <v>17</v>
      </c>
      <c r="Y7" s="11" t="s">
        <v>18</v>
      </c>
    </row>
    <row r="8" spans="1:25" s="14" customFormat="1" ht="28.9" customHeight="1" x14ac:dyDescent="0.25">
      <c r="A8" s="13">
        <v>45323</v>
      </c>
      <c r="D8" s="15"/>
      <c r="E8" s="16" t="s">
        <v>19</v>
      </c>
      <c r="F8" s="17" t="s">
        <v>20</v>
      </c>
      <c r="G8" s="16" t="s">
        <v>21</v>
      </c>
      <c r="H8" s="17" t="s">
        <v>20</v>
      </c>
      <c r="I8" s="18" t="s">
        <v>22</v>
      </c>
      <c r="J8" s="18" t="s">
        <v>23</v>
      </c>
      <c r="K8" s="19">
        <f>'[1]PRIME FÉVRIER'!K8</f>
        <v>39.01</v>
      </c>
      <c r="L8" s="18"/>
      <c r="M8" s="18"/>
      <c r="O8" s="18"/>
      <c r="P8" s="20" t="s">
        <v>24</v>
      </c>
      <c r="Q8" s="20" t="s">
        <v>24</v>
      </c>
      <c r="R8" s="21" t="s">
        <v>25</v>
      </c>
      <c r="S8" s="21" t="s">
        <v>25</v>
      </c>
      <c r="T8" s="21" t="s">
        <v>25</v>
      </c>
      <c r="U8" s="21" t="s">
        <v>25</v>
      </c>
      <c r="V8" s="22" t="s">
        <v>26</v>
      </c>
      <c r="W8" s="22" t="s">
        <v>26</v>
      </c>
      <c r="X8" s="22" t="s">
        <v>26</v>
      </c>
      <c r="Y8" s="23" t="s">
        <v>26</v>
      </c>
    </row>
    <row r="9" spans="1:25" s="14" customFormat="1" x14ac:dyDescent="0.25">
      <c r="A9" s="24"/>
      <c r="B9" s="25"/>
      <c r="C9" s="25"/>
      <c r="E9" s="26" t="s">
        <v>27</v>
      </c>
      <c r="H9" s="16"/>
      <c r="I9" s="27">
        <f>'[1]PRIME FÉVRIER'!I9</f>
        <v>1.8540000000000001</v>
      </c>
      <c r="J9" s="28" t="str">
        <f>'[1]PRIME FÉVRIER'!J9</f>
        <v>N/A</v>
      </c>
      <c r="K9" s="29">
        <f>'[1]PRIME FÉVRIER'!K9</f>
        <v>98.3</v>
      </c>
      <c r="L9" s="30"/>
      <c r="M9" s="30"/>
      <c r="N9" s="31">
        <f>'[1]PRIME FÉVRIER'!N9</f>
        <v>0.09</v>
      </c>
      <c r="P9" s="29">
        <f>'[1]PRIME FÉVRIER'!P9</f>
        <v>55</v>
      </c>
      <c r="Q9" s="30"/>
      <c r="R9" s="30"/>
      <c r="S9" s="30"/>
      <c r="T9" s="30"/>
      <c r="V9" s="26" t="s">
        <v>28</v>
      </c>
      <c r="W9" s="26" t="s">
        <v>29</v>
      </c>
      <c r="X9" s="26" t="s">
        <v>30</v>
      </c>
      <c r="Y9" s="32" t="s">
        <v>31</v>
      </c>
    </row>
    <row r="10" spans="1:25" s="14" customFormat="1" x14ac:dyDescent="0.25">
      <c r="A10" s="24"/>
      <c r="E10" s="26"/>
      <c r="F10" s="33">
        <f>'[1]PRIME FÉVRIER'!F10</f>
        <v>0.6</v>
      </c>
      <c r="G10" s="26"/>
      <c r="H10" s="33">
        <f>'[1]PRIME FÉVRIER'!H10</f>
        <v>0.38</v>
      </c>
      <c r="I10" s="26"/>
      <c r="J10" s="26"/>
      <c r="K10" s="29">
        <f>'[1]PRIME FÉVRIER'!K10</f>
        <v>146.59</v>
      </c>
      <c r="L10" s="30"/>
      <c r="M10" s="30"/>
      <c r="N10" s="34"/>
      <c r="O10" s="35"/>
      <c r="P10" s="29">
        <f>'[1]PRIME FÉVRIER'!P10</f>
        <v>74</v>
      </c>
      <c r="Q10" s="30"/>
      <c r="R10" s="30"/>
      <c r="S10" s="30"/>
      <c r="T10" s="30"/>
      <c r="X10" s="36">
        <f>'[1]PRIME FÉVRIER'!Z10</f>
        <v>2.16</v>
      </c>
      <c r="Y10" s="32"/>
    </row>
    <row r="11" spans="1:25" s="14" customFormat="1" ht="15.75" thickBot="1" x14ac:dyDescent="0.3">
      <c r="A11" s="37"/>
      <c r="B11" s="38"/>
      <c r="C11" s="38"/>
      <c r="D11" s="38"/>
      <c r="E11" s="39">
        <f>'[1]PRIME FÉVRIER'!E11</f>
        <v>0.36799999999999999</v>
      </c>
      <c r="F11" s="40">
        <f>'[1]PRIME FÉVRIER'!F11</f>
        <v>3.6</v>
      </c>
      <c r="G11" s="39">
        <f>'[1]PRIME FÉVRIER'!G11</f>
        <v>4.3999999999999997E-2</v>
      </c>
      <c r="H11" s="40">
        <f>'[1]PRIME FÉVRIER'!H11</f>
        <v>0.64</v>
      </c>
      <c r="I11" s="41"/>
      <c r="J11" s="41"/>
      <c r="K11" s="42">
        <f>'[1]PRIME FÉVRIER'!K11</f>
        <v>233.87</v>
      </c>
      <c r="L11" s="43">
        <f>'[1]PRIME FÉVRIER'!L11</f>
        <v>4</v>
      </c>
      <c r="M11" s="44"/>
      <c r="N11" s="38"/>
      <c r="O11" s="45"/>
      <c r="P11" s="42">
        <f>'[1]PRIME FÉVRIER'!P11</f>
        <v>113</v>
      </c>
      <c r="Q11" s="44"/>
      <c r="R11" s="44"/>
      <c r="S11" s="44"/>
      <c r="T11" s="44"/>
      <c r="U11" s="38"/>
      <c r="V11" s="38"/>
      <c r="W11" s="38"/>
      <c r="X11" s="46" t="s">
        <v>32</v>
      </c>
      <c r="Y11" s="47"/>
    </row>
    <row r="13" spans="1:25" x14ac:dyDescent="0.25">
      <c r="A13" s="48"/>
    </row>
    <row r="15" spans="1:25" x14ac:dyDescent="0.25">
      <c r="A15" s="49" t="s">
        <v>33</v>
      </c>
    </row>
    <row r="16" spans="1:25" s="14" customFormat="1" x14ac:dyDescent="0.25">
      <c r="A16" s="18">
        <v>104</v>
      </c>
      <c r="B16" s="50" t="s">
        <v>34</v>
      </c>
      <c r="C16" s="51">
        <f>40*26*52</f>
        <v>54080</v>
      </c>
      <c r="F16" s="52"/>
      <c r="G16" s="53"/>
      <c r="H16" s="53"/>
      <c r="I16" s="53"/>
      <c r="J16" s="53"/>
      <c r="P16" s="54"/>
      <c r="R16" s="54"/>
      <c r="S16" s="54"/>
      <c r="T16" s="54"/>
    </row>
    <row r="17" spans="1:37" s="14" customFormat="1" x14ac:dyDescent="0.25">
      <c r="A17" s="26"/>
      <c r="B17" s="55">
        <v>502348055</v>
      </c>
      <c r="C17" s="56">
        <v>1.5</v>
      </c>
      <c r="D17" s="57" t="s">
        <v>35</v>
      </c>
      <c r="E17" s="58">
        <f>ROUNDUP(IF(VLOOKUP(A16,[1]Anniversaires!$B$3:$W$65,11,FALSE)=25000,25000,IF($C16*$C17&lt;75000,$C16*$C17,75000)),-3)</f>
        <v>75000</v>
      </c>
      <c r="F17" s="59"/>
      <c r="G17" s="60">
        <f>+E17</f>
        <v>75000</v>
      </c>
      <c r="H17" s="60"/>
      <c r="I17" s="61">
        <f>ROUND((MIN(IF(C16/12&gt;2250,2250*67%,C16/12*67%)+IF(C16/12&gt;4500,2250*50%,((C16/12-2250)*50%))+IF(C16/12&gt;4500,((C16/12)-4500)*45%,0),((2250*67%)+(2250*50%)+((101133/12)-4500)*45%))),0)</f>
        <v>2636</v>
      </c>
      <c r="J17" s="60"/>
      <c r="K17" s="60"/>
      <c r="L17" s="60"/>
      <c r="M17" s="60"/>
      <c r="N17" s="60"/>
      <c r="O17" s="60"/>
      <c r="P17" s="60"/>
      <c r="Q17" s="60"/>
      <c r="R17" s="60"/>
      <c r="S17" s="60"/>
      <c r="T17" s="60"/>
    </row>
    <row r="18" spans="1:37" s="14" customFormat="1" x14ac:dyDescent="0.25">
      <c r="A18" s="26"/>
      <c r="B18" s="57" t="s">
        <v>36</v>
      </c>
      <c r="C18" s="62" t="s">
        <v>37</v>
      </c>
      <c r="D18" s="57" t="s">
        <v>38</v>
      </c>
      <c r="E18" s="60">
        <f>ROUND(SUM(E6*$E$17/1000),2)</f>
        <v>27.6</v>
      </c>
      <c r="F18" s="60">
        <f>ROUND(IF($C18="FAM",$F$6,IF($C18="MONO",$F$5,0)),2)</f>
        <v>0.6</v>
      </c>
      <c r="G18" s="60">
        <f>ROUND(SUM(G6*$G$17/1000),2)</f>
        <v>3.3</v>
      </c>
      <c r="H18" s="60">
        <f>ROUND(IF($C18="FAM",$H$6,IF($C18="MONO",$H$5,0)),2)*0</f>
        <v>0</v>
      </c>
      <c r="I18" s="60">
        <f>ROUND(I4*$I$17/100,2)</f>
        <v>48.87</v>
      </c>
      <c r="J18" s="60"/>
      <c r="K18" s="60">
        <f>IF($C19="FAM",$K$6,IF($C19="MONO",$K$5,IF($C19="IND",$K$4,IF($C19="MAL FAM",K3,0))))</f>
        <v>121.38</v>
      </c>
      <c r="L18" s="60">
        <f>L6</f>
        <v>4</v>
      </c>
      <c r="M18" s="60">
        <f>SUM(E18:L18)</f>
        <v>205.75</v>
      </c>
      <c r="N18" s="60">
        <f>ROUND(M18*$N$4,2)</f>
        <v>18.52</v>
      </c>
      <c r="O18" s="63">
        <f>SUM(M18:N18)</f>
        <v>224.27</v>
      </c>
      <c r="P18" s="60">
        <f>MIN(O18*50%,(IF($C19="FAM",$P$6,IF($C19="MONO",$P$5,IF($C19="IND",$P$4,IF($C19="",O18-(I18*(1+$N$4))-(L18*(1+$N$4)))))))+(L18*(1+$N$4)))</f>
        <v>74.36</v>
      </c>
      <c r="Q18" s="58">
        <f>O18-P18</f>
        <v>149.91000000000003</v>
      </c>
      <c r="R18" s="64">
        <f>IF(K18=0,SUM(E18:H18)*(1+$N$4),0)</f>
        <v>0</v>
      </c>
      <c r="S18" s="64">
        <f>IF(R18=0,P18,IF(R18&gt;0,(L18*(1+$N$4)),0))</f>
        <v>74.36</v>
      </c>
      <c r="T18" s="64">
        <f>(SUM(E18:I18)*(1+$N$4))-R18</f>
        <v>87.603300000000004</v>
      </c>
      <c r="U18" s="64">
        <f>O18-SUM(R18:T18)</f>
        <v>62.306700000000006</v>
      </c>
      <c r="V18" s="65">
        <f>ROUND(R18/$X$5,2)</f>
        <v>0</v>
      </c>
      <c r="W18" s="65">
        <f>ROUND(S18/$X$5,2)</f>
        <v>34.43</v>
      </c>
      <c r="X18" s="65">
        <f>ROUND(T18/$X$5,2)</f>
        <v>40.56</v>
      </c>
      <c r="Y18" s="65">
        <f>ROUND(U18/$X$5,2)</f>
        <v>28.85</v>
      </c>
    </row>
    <row r="19" spans="1:37" s="14" customFormat="1" x14ac:dyDescent="0.25">
      <c r="A19" s="26"/>
      <c r="B19" s="57" t="s">
        <v>39</v>
      </c>
      <c r="C19" s="62" t="s">
        <v>37</v>
      </c>
      <c r="D19" s="57"/>
      <c r="E19" s="66"/>
      <c r="F19" s="66"/>
      <c r="G19" s="66"/>
      <c r="H19" s="66"/>
      <c r="I19" s="66"/>
      <c r="J19" s="66"/>
      <c r="K19" s="66"/>
      <c r="L19" s="66"/>
      <c r="M19" s="66"/>
      <c r="N19" s="67"/>
      <c r="O19" s="68"/>
      <c r="P19" s="54"/>
      <c r="R19" s="54"/>
      <c r="S19" s="54"/>
      <c r="T19" s="54"/>
    </row>
    <row r="20" spans="1:37" x14ac:dyDescent="0.25">
      <c r="A20" s="49" t="s">
        <v>40</v>
      </c>
    </row>
    <row r="21" spans="1:37" s="14" customFormat="1" x14ac:dyDescent="0.25">
      <c r="A21" s="18">
        <v>104</v>
      </c>
      <c r="B21" s="50" t="s">
        <v>34</v>
      </c>
      <c r="C21" s="51">
        <f>40*26*52</f>
        <v>54080</v>
      </c>
      <c r="F21" s="52"/>
      <c r="G21" s="53"/>
      <c r="H21" s="53"/>
      <c r="I21" s="53"/>
      <c r="J21" s="53"/>
      <c r="P21" s="54"/>
      <c r="R21" s="54"/>
      <c r="S21" s="54"/>
      <c r="T21" s="54"/>
    </row>
    <row r="22" spans="1:37" s="14" customFormat="1" x14ac:dyDescent="0.25">
      <c r="A22" s="26"/>
      <c r="B22" s="55"/>
      <c r="C22" s="56">
        <v>1.5</v>
      </c>
      <c r="D22" s="57" t="s">
        <v>35</v>
      </c>
      <c r="E22" s="58">
        <f>ROUNDUP(IF(VLOOKUP(A21,[1]Anniversaires!$B$3:$W$65,12,FALSE)=25000,25000,IF($C21*$C22&lt;75000,$C21*$C22,75000)),-3)</f>
        <v>75000</v>
      </c>
      <c r="F22" s="59"/>
      <c r="G22" s="60">
        <f>+E22</f>
        <v>75000</v>
      </c>
      <c r="H22" s="60"/>
      <c r="I22" s="61">
        <f>ROUND((MIN(IF(C21/12&gt;2250,2250*67%,C21/12*67%)+IF(C21/12&gt;4500,2250*50%,((C21/12-2250)*50%))+IF(C21/12&gt;4500,((C21/12)-4500)*45%,0),((2250*67%)+(2250*50%)+((101133/12)-4500)*45%))),0)</f>
        <v>2636</v>
      </c>
      <c r="J22" s="60"/>
      <c r="K22" s="60"/>
      <c r="L22" s="60"/>
      <c r="M22" s="60"/>
      <c r="N22" s="60"/>
      <c r="O22" s="60"/>
      <c r="P22" s="60"/>
      <c r="Q22" s="60"/>
      <c r="R22" s="60"/>
      <c r="S22" s="60"/>
      <c r="T22" s="60"/>
    </row>
    <row r="23" spans="1:37" s="14" customFormat="1" x14ac:dyDescent="0.25">
      <c r="A23" s="26"/>
      <c r="B23" s="57" t="s">
        <v>36</v>
      </c>
      <c r="C23" s="62" t="s">
        <v>37</v>
      </c>
      <c r="D23" s="57" t="s">
        <v>38</v>
      </c>
      <c r="E23" s="60">
        <f>ROUND(SUM(E11*$E$22/1000),2)</f>
        <v>27.6</v>
      </c>
      <c r="F23" s="60">
        <f>ROUND(IF($C23="FAM",$F$11,IF($C23="MONO",$F$10,0)),2)</f>
        <v>0.6</v>
      </c>
      <c r="G23" s="60">
        <f>ROUND(SUM(G11*$G$22/1000),2)</f>
        <v>3.3</v>
      </c>
      <c r="H23" s="60">
        <f>ROUND(IF($C23="FAM",$H$11,IF($C23="MONO",$H$10,0)),2)</f>
        <v>0.38</v>
      </c>
      <c r="I23" s="60">
        <f>ROUND(I9*$I$22/100,2)</f>
        <v>48.87</v>
      </c>
      <c r="J23" s="60"/>
      <c r="K23" s="60">
        <f>IF($C24="FAM",$K$11,IF($C24="MONO",$K$10,IF($C24="IND",$K$9,IF($C24="MAL FAM",K8,0))))</f>
        <v>146.59</v>
      </c>
      <c r="L23" s="60">
        <f>L11</f>
        <v>4</v>
      </c>
      <c r="M23" s="60">
        <f>SUM(E23:L23)</f>
        <v>231.34</v>
      </c>
      <c r="N23" s="60">
        <f>ROUND(M23*$N$9,2)-0.01</f>
        <v>20.81</v>
      </c>
      <c r="O23" s="63">
        <f>SUM(M23:N23)</f>
        <v>252.15</v>
      </c>
      <c r="P23" s="60">
        <f>MIN(O23*50%,(IF($C24="FAM",$P$11,IF($C24="MONO",$P$10,IF($C24="IND",$P$9,IF($C24="",O23-(I23*(1+$N$9))-(L23*(1+$N$9)))))))+(L23*(1+$N$9)))</f>
        <v>78.36</v>
      </c>
      <c r="Q23" s="58">
        <f>O23-P23</f>
        <v>173.79000000000002</v>
      </c>
      <c r="R23" s="64">
        <f>IF(K23=0,SUM(E23:H23)*(1+$N$9),0)</f>
        <v>0</v>
      </c>
      <c r="S23" s="64">
        <f>IF(R23=0,P23,IF(R23&gt;0,(L23*(1+$N$9)),0))</f>
        <v>78.36</v>
      </c>
      <c r="T23" s="64">
        <f>(SUM(E23:I23)*(1+$N$9))-R23</f>
        <v>88.017500000000013</v>
      </c>
      <c r="U23" s="64">
        <f>O23-SUM(R23:T23)</f>
        <v>85.772500000000008</v>
      </c>
      <c r="V23" s="65">
        <f>ROUND(R23/$X$10,2)</f>
        <v>0</v>
      </c>
      <c r="W23" s="65">
        <f>ROUND(S23/$X$10,2)</f>
        <v>36.28</v>
      </c>
      <c r="X23" s="65">
        <f>ROUND(T23/$X$10,2)</f>
        <v>40.75</v>
      </c>
      <c r="Y23" s="65">
        <f>ROUND(U23/$X$10,2)</f>
        <v>39.71</v>
      </c>
    </row>
    <row r="24" spans="1:37" s="14" customFormat="1" x14ac:dyDescent="0.25">
      <c r="A24" s="26"/>
      <c r="B24" s="57" t="s">
        <v>39</v>
      </c>
      <c r="C24" s="62" t="s">
        <v>37</v>
      </c>
      <c r="D24" s="57"/>
      <c r="E24" s="66"/>
      <c r="F24" s="66"/>
      <c r="G24" s="66"/>
      <c r="H24" s="66"/>
      <c r="I24" s="66"/>
      <c r="J24" s="66"/>
      <c r="K24" s="66"/>
      <c r="L24" s="66"/>
      <c r="M24" s="66"/>
      <c r="N24" s="67" t="s">
        <v>41</v>
      </c>
      <c r="O24" s="68">
        <v>4.3600000000000003</v>
      </c>
      <c r="P24" s="54"/>
      <c r="R24" s="54"/>
      <c r="S24" s="54"/>
      <c r="T24" s="54"/>
    </row>
    <row r="25" spans="1:37" x14ac:dyDescent="0.25">
      <c r="A25" t="s">
        <v>42</v>
      </c>
      <c r="N25" s="69" t="s">
        <v>43</v>
      </c>
      <c r="O25">
        <v>-4.3600000000000003</v>
      </c>
    </row>
    <row r="26" spans="1:37" s="14" customFormat="1" x14ac:dyDescent="0.25">
      <c r="A26" s="18">
        <v>104</v>
      </c>
      <c r="B26" s="50" t="s">
        <v>34</v>
      </c>
      <c r="C26" s="51">
        <f>40*26*52</f>
        <v>54080</v>
      </c>
      <c r="F26" s="52"/>
      <c r="G26" s="53"/>
      <c r="H26" s="53"/>
      <c r="I26" s="53"/>
      <c r="J26" s="53"/>
      <c r="P26" s="54"/>
      <c r="R26" s="54"/>
      <c r="S26" s="54"/>
      <c r="T26" s="54"/>
    </row>
    <row r="27" spans="1:37" s="14" customFormat="1" x14ac:dyDescent="0.25">
      <c r="A27" s="26"/>
      <c r="B27" s="55"/>
      <c r="C27" s="56">
        <v>1.5</v>
      </c>
      <c r="D27" s="57" t="s">
        <v>35</v>
      </c>
      <c r="E27" s="58">
        <f>ROUNDUP(IF(VLOOKUP(A26,[1]Anniversaires!$B$3:$W$65,13,FALSE)=25000,25000,IF($C26*$C27&lt;75000,$C26*$C27,75000)),-3)</f>
        <v>75000</v>
      </c>
      <c r="F27" s="59"/>
      <c r="G27" s="60">
        <f>+E27</f>
        <v>75000</v>
      </c>
      <c r="H27" s="60"/>
      <c r="I27" s="61">
        <f>ROUND((MIN(IF(C26/12&gt;2250,2250*67%,C26/12*67%)+IF(C26/12&gt;4500,2250*50%,((C26/12-2250)*50%))+IF(C26/12&gt;4500,((C26/12)-4500)*45%,0),((2250*67%)+(2250*50%)+((101133/12)-4500)*45%))),0)</f>
        <v>2636</v>
      </c>
      <c r="J27" s="60"/>
      <c r="K27" s="60"/>
      <c r="L27" s="60"/>
      <c r="M27" s="60"/>
      <c r="N27" s="60"/>
      <c r="O27" s="60"/>
      <c r="P27" s="60"/>
      <c r="Q27" s="60"/>
      <c r="R27" s="60"/>
      <c r="S27" s="60"/>
      <c r="T27" s="60"/>
    </row>
    <row r="28" spans="1:37" s="14" customFormat="1" x14ac:dyDescent="0.25">
      <c r="A28" s="26"/>
      <c r="B28" s="57" t="s">
        <v>36</v>
      </c>
      <c r="C28" s="62" t="s">
        <v>37</v>
      </c>
      <c r="D28" s="57" t="s">
        <v>38</v>
      </c>
      <c r="E28" s="60">
        <f>ROUND(SUM(E27*$E$11/1000),2)</f>
        <v>27.6</v>
      </c>
      <c r="F28" s="60">
        <f>ROUND(IF($C28="FAM",$F$11,IF($C28="MONO",$F$10,0)),2)</f>
        <v>0.6</v>
      </c>
      <c r="G28" s="60">
        <f>ROUND(SUM(G27*$G$11/1000),2)</f>
        <v>3.3</v>
      </c>
      <c r="H28" s="60">
        <f>ROUND(IF($C28="FAM",$H$11,IF($C28="MONO",$H$10,0)),2)</f>
        <v>0.38</v>
      </c>
      <c r="I28" s="60">
        <f>ROUND(I27*$I$9/100,2)</f>
        <v>48.87</v>
      </c>
      <c r="J28" s="60"/>
      <c r="K28" s="60">
        <f>IF($C29="FAM",$K$11,IF($C29="MONO",$K$10,IF($C29="IND",$K$9,IF($C29="MAL FAM",$K$8,0))))</f>
        <v>146.59</v>
      </c>
      <c r="L28" s="60">
        <v>4</v>
      </c>
      <c r="M28" s="60">
        <f>SUM(E28:L28)</f>
        <v>231.34</v>
      </c>
      <c r="N28" s="60">
        <f>ROUND(M28*$N$9,2)-0.01</f>
        <v>20.81</v>
      </c>
      <c r="O28" s="70">
        <f>SUM(M28:N28)</f>
        <v>252.15</v>
      </c>
      <c r="P28" s="60">
        <f>MIN(O28*50%,(IF($C29="FAM",$P$11,IF($C29="MONO",$P$10,IF($C29="IND",$P$9,IF($C29="",O28-(I28*(1+$N$9))-(L28*(1+$N$9)))))))+(L28*(1+$N$9)))</f>
        <v>78.36</v>
      </c>
      <c r="Q28" s="58">
        <f>O28-P28</f>
        <v>173.79000000000002</v>
      </c>
      <c r="R28" s="64">
        <f>IF(K28=0,SUM(E28:H28)*(1+$N$9),0)</f>
        <v>0</v>
      </c>
      <c r="S28" s="64">
        <f>IF(R28=0,P28,IF(R28&gt;0,(L28*(1+$N$9)),0))</f>
        <v>78.36</v>
      </c>
      <c r="T28" s="64">
        <f>(SUM(E28:I28)*(1+$N$9))-R28</f>
        <v>88.017500000000013</v>
      </c>
      <c r="U28" s="64">
        <f>O28-SUM(R28:T28)</f>
        <v>85.772500000000008</v>
      </c>
      <c r="V28" s="71">
        <f>R28/$X$10</f>
        <v>0</v>
      </c>
      <c r="W28" s="71">
        <f>S28/$X$10</f>
        <v>36.277777777777779</v>
      </c>
      <c r="X28" s="71">
        <f>T28/$X$10</f>
        <v>40.748842592592595</v>
      </c>
      <c r="Y28" s="71">
        <f>U28/$X$10</f>
        <v>39.70949074074074</v>
      </c>
      <c r="Z28" s="59"/>
      <c r="AA28" s="59"/>
      <c r="AB28" s="59"/>
      <c r="AC28" s="59"/>
      <c r="AD28" s="59"/>
      <c r="AE28" s="59"/>
      <c r="AF28" s="59"/>
      <c r="AG28" s="59"/>
      <c r="AH28" s="58"/>
      <c r="AI28" s="58"/>
      <c r="AJ28" s="58"/>
      <c r="AK28" s="58"/>
    </row>
    <row r="29" spans="1:37" s="14" customFormat="1" x14ac:dyDescent="0.25">
      <c r="A29" s="26"/>
      <c r="B29" s="57" t="s">
        <v>39</v>
      </c>
      <c r="C29" s="62" t="s">
        <v>37</v>
      </c>
      <c r="D29" s="57"/>
      <c r="E29" s="66"/>
      <c r="F29" s="66"/>
      <c r="G29" s="66"/>
      <c r="H29" s="66"/>
      <c r="I29" s="66"/>
      <c r="J29" s="66"/>
      <c r="K29" s="66"/>
      <c r="L29" s="66"/>
      <c r="M29" s="66"/>
      <c r="N29" s="67"/>
      <c r="O29" s="68"/>
      <c r="P29" s="54"/>
      <c r="R29" s="54"/>
      <c r="S29" s="54"/>
      <c r="T29" s="54"/>
      <c r="V29" s="58"/>
    </row>
    <row r="30" spans="1:37" x14ac:dyDescent="0.25">
      <c r="A30" s="72" t="s">
        <v>44</v>
      </c>
    </row>
    <row r="31" spans="1:37" s="14" customFormat="1" x14ac:dyDescent="0.25">
      <c r="A31" s="18">
        <v>104</v>
      </c>
      <c r="B31" s="50" t="s">
        <v>34</v>
      </c>
      <c r="C31" s="51">
        <f>40*26*52</f>
        <v>54080</v>
      </c>
      <c r="F31" s="52"/>
      <c r="G31" s="53"/>
      <c r="H31" s="53"/>
      <c r="I31" s="53"/>
      <c r="J31" s="53"/>
      <c r="P31" s="54"/>
      <c r="R31" s="54"/>
      <c r="S31" s="54"/>
      <c r="T31" s="54"/>
    </row>
    <row r="32" spans="1:37" s="14" customFormat="1" x14ac:dyDescent="0.25">
      <c r="A32" s="26"/>
      <c r="B32" s="55"/>
      <c r="C32" s="56">
        <v>1.5</v>
      </c>
      <c r="D32" s="57" t="s">
        <v>35</v>
      </c>
      <c r="E32" s="58">
        <f>ROUNDUP(IF(VLOOKUP(A31,[1]Anniversaires!$B$3:$W$65,14,FALSE)=25000,25000,IF($C31*$C32&lt;75000,$C31*$C32,75000)),-3)</f>
        <v>25000</v>
      </c>
      <c r="F32" s="59"/>
      <c r="G32" s="60">
        <f>+E32</f>
        <v>25000</v>
      </c>
      <c r="H32" s="60"/>
      <c r="I32" s="61">
        <f>ROUND((MIN(IF(C31/12&gt;2250,2250*67%,C31/12*67%)+IF(C31/12&gt;4500,2250*50%,((C31/12-2250)*50%))+IF(C31/12&gt;4500,((C31/12)-4500)*45%,0),((2250*67%)+(2250*50%)+((101133/12)-4500)*45%))),0)</f>
        <v>2636</v>
      </c>
      <c r="J32" s="60"/>
      <c r="K32" s="60"/>
      <c r="L32" s="60"/>
      <c r="M32" s="60"/>
      <c r="N32" s="60"/>
      <c r="O32" s="60"/>
      <c r="P32" s="60"/>
      <c r="Q32" s="60"/>
      <c r="R32" s="60"/>
      <c r="S32" s="60"/>
      <c r="T32" s="60"/>
    </row>
    <row r="33" spans="1:37" s="14" customFormat="1" x14ac:dyDescent="0.25">
      <c r="A33" s="26"/>
      <c r="B33" s="57" t="s">
        <v>36</v>
      </c>
      <c r="C33" s="62" t="s">
        <v>37</v>
      </c>
      <c r="D33" s="57" t="s">
        <v>38</v>
      </c>
      <c r="E33" s="60">
        <f>ROUND(SUM(E32*$E$11/1000),2)</f>
        <v>9.1999999999999993</v>
      </c>
      <c r="F33" s="60">
        <f>ROUND(IF($C33="FAM",$F$11,IF($C33="MONO",$F$10,0)),2)</f>
        <v>0.6</v>
      </c>
      <c r="G33" s="60">
        <f>ROUND(SUM(G32*$G$11/1000),2)</f>
        <v>1.1000000000000001</v>
      </c>
      <c r="H33" s="60">
        <f>ROUND(IF($C33="FAM",$H$11,IF($C33="MONO",$H$10,0)),2)</f>
        <v>0.38</v>
      </c>
      <c r="I33" s="60">
        <f>ROUND(I32*$I$9/100,2)</f>
        <v>48.87</v>
      </c>
      <c r="J33" s="60"/>
      <c r="K33" s="60">
        <f>IF($C34="FAM",$K$11,IF($C34="MONO",$K$10,IF($C34="IND",$K$9,IF($C34="MAL FAM",$K$8,0))))</f>
        <v>146.59</v>
      </c>
      <c r="L33" s="60">
        <v>4</v>
      </c>
      <c r="M33" s="60">
        <f>SUM(E33:L33)</f>
        <v>210.74</v>
      </c>
      <c r="N33" s="60">
        <f>ROUND(M33*$N$9,2)-0.01</f>
        <v>18.959999999999997</v>
      </c>
      <c r="O33" s="70">
        <f>SUM(M33:N33)</f>
        <v>229.70000000000002</v>
      </c>
      <c r="P33" s="60">
        <f>MIN(O33*50%,(IF($C34="FAM",$P$11,IF($C34="MONO",$P$10,IF($C34="IND",$P$9,IF($C34="",O33-(I33*(1+$N$9))-(L33*(1+$N$9)))))))+(L33*(1+$N$9)))</f>
        <v>78.36</v>
      </c>
      <c r="Q33" s="58">
        <f>O33-P33</f>
        <v>151.34000000000003</v>
      </c>
      <c r="R33" s="64">
        <f>IF(K33=0,SUM(E33:H33)*(1+$N$9),0)</f>
        <v>0</v>
      </c>
      <c r="S33" s="64">
        <f>IF(R33=0,P33,IF(R33&gt;0,(L33*(1+$N$9)),0))</f>
        <v>78.36</v>
      </c>
      <c r="T33" s="64">
        <f>(SUM(E33:I33)*(1+$N$9))-R33</f>
        <v>65.563500000000005</v>
      </c>
      <c r="U33" s="64">
        <f>O33-SUM(R33:T33)</f>
        <v>85.776500000000027</v>
      </c>
      <c r="V33" s="71">
        <f>R33/$X$10</f>
        <v>0</v>
      </c>
      <c r="W33" s="71">
        <f>S33/$X$10</f>
        <v>36.277777777777779</v>
      </c>
      <c r="X33" s="71">
        <f>T33/$X$10</f>
        <v>30.353472222222223</v>
      </c>
      <c r="Y33" s="71">
        <f>U33/$X$10</f>
        <v>39.711342592592601</v>
      </c>
      <c r="Z33" s="59"/>
      <c r="AA33" s="59"/>
      <c r="AB33" s="59"/>
      <c r="AC33" s="59"/>
      <c r="AD33" s="59"/>
      <c r="AE33" s="59"/>
      <c r="AF33" s="59"/>
      <c r="AG33" s="59"/>
      <c r="AH33" s="58"/>
      <c r="AI33" s="58"/>
      <c r="AJ33" s="58"/>
      <c r="AK33" s="58"/>
    </row>
    <row r="34" spans="1:37" s="14" customFormat="1" x14ac:dyDescent="0.25">
      <c r="A34" s="26"/>
      <c r="B34" s="57" t="s">
        <v>39</v>
      </c>
      <c r="C34" s="62" t="s">
        <v>37</v>
      </c>
      <c r="D34" s="57"/>
      <c r="E34" s="66"/>
      <c r="F34" s="66"/>
      <c r="G34" s="66"/>
      <c r="H34" s="66"/>
      <c r="I34" s="66"/>
      <c r="J34" s="66"/>
      <c r="K34" s="66"/>
      <c r="L34" s="66"/>
      <c r="M34" s="66"/>
      <c r="N34" s="67"/>
      <c r="O34" s="68"/>
      <c r="P34" s="54"/>
      <c r="R34" s="54"/>
      <c r="S34" s="54"/>
      <c r="T34" s="54"/>
      <c r="V34" s="58"/>
    </row>
    <row r="35" spans="1:37" s="14" customFormat="1" x14ac:dyDescent="0.25">
      <c r="A35" s="26"/>
      <c r="B35" s="57"/>
      <c r="C35" s="73"/>
      <c r="D35" s="57"/>
      <c r="E35" s="66"/>
      <c r="F35" s="66"/>
      <c r="G35" s="66"/>
      <c r="H35" s="66"/>
      <c r="I35" s="66"/>
      <c r="J35" s="66"/>
      <c r="K35" s="66"/>
      <c r="L35" s="66"/>
      <c r="M35" s="66"/>
      <c r="N35" s="67"/>
      <c r="O35" s="68"/>
      <c r="P35" s="54"/>
      <c r="R35" s="54"/>
      <c r="S35" s="54"/>
      <c r="T35" s="54"/>
      <c r="V35" s="58"/>
    </row>
    <row r="36" spans="1:37" s="14" customFormat="1" x14ac:dyDescent="0.25">
      <c r="A36" s="26"/>
      <c r="B36" s="57"/>
      <c r="C36" s="73"/>
      <c r="D36" s="57"/>
      <c r="E36" s="66"/>
      <c r="F36" s="66"/>
      <c r="G36" s="66"/>
      <c r="H36" s="66"/>
      <c r="I36" s="66"/>
      <c r="J36" s="66"/>
      <c r="K36" s="66"/>
      <c r="L36" s="66"/>
      <c r="M36" s="66"/>
      <c r="N36" s="67"/>
      <c r="O36" s="68"/>
      <c r="P36" s="54"/>
      <c r="R36" s="54"/>
      <c r="S36" s="54"/>
      <c r="T36" s="54"/>
      <c r="V36" s="58"/>
    </row>
    <row r="37" spans="1:37" s="14" customFormat="1" x14ac:dyDescent="0.25">
      <c r="A37" s="26"/>
      <c r="B37" s="57"/>
      <c r="C37" s="73"/>
      <c r="D37" s="57"/>
      <c r="E37" s="66"/>
      <c r="F37" s="66"/>
      <c r="G37" s="66"/>
      <c r="H37" s="66"/>
      <c r="I37" s="66"/>
      <c r="J37" s="66"/>
      <c r="K37" s="66"/>
      <c r="L37" s="66"/>
      <c r="M37" s="66"/>
      <c r="N37" s="67"/>
      <c r="O37" s="68"/>
      <c r="P37" s="54"/>
      <c r="R37" s="54"/>
      <c r="S37" s="54"/>
      <c r="T37" s="54"/>
      <c r="V37" s="58"/>
    </row>
    <row r="38" spans="1:37" x14ac:dyDescent="0.25">
      <c r="A38" s="74" t="s">
        <v>45</v>
      </c>
      <c r="H38" s="74" t="s">
        <v>46</v>
      </c>
      <c r="I38" s="75"/>
      <c r="J38" s="75"/>
      <c r="K38" s="75"/>
      <c r="L38" s="75"/>
      <c r="M38" s="75"/>
      <c r="N38" s="75"/>
      <c r="O38" s="75"/>
      <c r="P38" s="75"/>
      <c r="R38" s="74" t="s">
        <v>47</v>
      </c>
    </row>
    <row r="39" spans="1:37" ht="30" x14ac:dyDescent="0.25">
      <c r="A39" s="74"/>
      <c r="B39" s="75"/>
      <c r="C39" s="76">
        <v>801</v>
      </c>
      <c r="D39" s="77">
        <v>803</v>
      </c>
      <c r="E39" s="77">
        <v>200</v>
      </c>
      <c r="F39" s="78">
        <v>201</v>
      </c>
      <c r="H39" s="76">
        <v>801</v>
      </c>
      <c r="I39" s="77">
        <v>803</v>
      </c>
      <c r="J39" s="77">
        <v>200</v>
      </c>
      <c r="K39" s="78">
        <v>201</v>
      </c>
      <c r="L39" s="77"/>
      <c r="M39" s="79" t="s">
        <v>48</v>
      </c>
      <c r="N39" s="80"/>
      <c r="O39" s="80"/>
      <c r="P39" s="81"/>
      <c r="R39" s="82" t="s">
        <v>49</v>
      </c>
      <c r="S39" s="82" t="s">
        <v>50</v>
      </c>
      <c r="T39" s="82" t="s">
        <v>51</v>
      </c>
      <c r="U39" s="82" t="s">
        <v>52</v>
      </c>
      <c r="V39" s="83" t="s">
        <v>53</v>
      </c>
      <c r="W39" s="84" t="s">
        <v>54</v>
      </c>
      <c r="X39" s="85"/>
      <c r="Y39" s="86"/>
    </row>
    <row r="40" spans="1:37" x14ac:dyDescent="0.25">
      <c r="A40" s="87">
        <v>45297</v>
      </c>
      <c r="B40" s="88">
        <v>2</v>
      </c>
      <c r="C40" s="89">
        <f>V18</f>
        <v>0</v>
      </c>
      <c r="D40" s="90">
        <f>W18</f>
        <v>34.43</v>
      </c>
      <c r="E40" s="90">
        <f>X18</f>
        <v>40.56</v>
      </c>
      <c r="F40" s="91">
        <f>Y18</f>
        <v>28.85</v>
      </c>
      <c r="H40" s="89">
        <v>0</v>
      </c>
      <c r="I40" s="90">
        <v>37.18</v>
      </c>
      <c r="J40" s="90">
        <v>44.01</v>
      </c>
      <c r="K40" s="91">
        <v>31.15</v>
      </c>
      <c r="L40" s="92"/>
      <c r="M40" s="93">
        <f>H40-C40</f>
        <v>0</v>
      </c>
      <c r="N40" s="94">
        <f>I40-D40</f>
        <v>2.75</v>
      </c>
      <c r="O40" s="94">
        <f>J40-E40</f>
        <v>3.4499999999999957</v>
      </c>
      <c r="P40" s="95">
        <f t="shared" ref="M40:P49" si="0">K40-F40</f>
        <v>2.2999999999999972</v>
      </c>
      <c r="R40" s="96"/>
      <c r="S40" s="97"/>
      <c r="T40" s="97"/>
      <c r="U40" s="98"/>
      <c r="V40" s="99"/>
      <c r="W40" s="100"/>
      <c r="X40" s="101"/>
      <c r="Y40" s="102"/>
    </row>
    <row r="41" spans="1:37" x14ac:dyDescent="0.25">
      <c r="A41" s="103">
        <f>A40+14</f>
        <v>45311</v>
      </c>
      <c r="B41" s="104">
        <v>2</v>
      </c>
      <c r="C41" s="105">
        <f>V18</f>
        <v>0</v>
      </c>
      <c r="D41" s="106">
        <f>W18</f>
        <v>34.43</v>
      </c>
      <c r="E41" s="106">
        <f>X18</f>
        <v>40.56</v>
      </c>
      <c r="F41" s="107">
        <f>Y18</f>
        <v>28.85</v>
      </c>
      <c r="H41" s="105">
        <v>0</v>
      </c>
      <c r="I41" s="106">
        <v>37.18</v>
      </c>
      <c r="J41" s="106">
        <v>44.01</v>
      </c>
      <c r="K41" s="107">
        <v>31.15</v>
      </c>
      <c r="L41" s="92"/>
      <c r="M41" s="108">
        <f t="shared" si="0"/>
        <v>0</v>
      </c>
      <c r="N41" s="109">
        <f t="shared" si="0"/>
        <v>2.75</v>
      </c>
      <c r="O41" s="109">
        <f t="shared" si="0"/>
        <v>3.4499999999999957</v>
      </c>
      <c r="P41" s="110">
        <f t="shared" si="0"/>
        <v>2.2999999999999972</v>
      </c>
      <c r="R41" s="96">
        <f>R18</f>
        <v>0</v>
      </c>
      <c r="S41" s="97">
        <f>S18</f>
        <v>74.36</v>
      </c>
      <c r="T41" s="97">
        <f>T18</f>
        <v>87.603300000000004</v>
      </c>
      <c r="U41" s="98">
        <f>U18</f>
        <v>62.306700000000006</v>
      </c>
      <c r="V41" s="99">
        <f>SUM(R41:U41)</f>
        <v>224.27</v>
      </c>
      <c r="W41" s="111"/>
      <c r="Y41" s="112"/>
    </row>
    <row r="42" spans="1:37" x14ac:dyDescent="0.25">
      <c r="A42" s="103">
        <f t="shared" ref="A42:A43" si="1">A41+14</f>
        <v>45325</v>
      </c>
      <c r="B42" s="104">
        <v>2</v>
      </c>
      <c r="C42" s="105">
        <f>V23</f>
        <v>0</v>
      </c>
      <c r="D42" s="106">
        <f>W23</f>
        <v>36.28</v>
      </c>
      <c r="E42" s="106">
        <f>X23</f>
        <v>40.75</v>
      </c>
      <c r="F42" s="107">
        <f>Y23</f>
        <v>39.71</v>
      </c>
      <c r="H42" s="105">
        <v>0</v>
      </c>
      <c r="I42" s="106">
        <v>37.18</v>
      </c>
      <c r="J42" s="106">
        <v>44.01</v>
      </c>
      <c r="K42" s="107">
        <v>31.15</v>
      </c>
      <c r="L42" s="92"/>
      <c r="M42" s="108">
        <f t="shared" si="0"/>
        <v>0</v>
      </c>
      <c r="N42" s="109">
        <f t="shared" si="0"/>
        <v>0.89999999999999858</v>
      </c>
      <c r="O42" s="109">
        <f t="shared" si="0"/>
        <v>3.259999999999998</v>
      </c>
      <c r="P42" s="110">
        <f t="shared" si="0"/>
        <v>-8.5600000000000023</v>
      </c>
      <c r="R42" s="96"/>
      <c r="S42" s="97"/>
      <c r="T42" s="97"/>
      <c r="U42" s="98"/>
      <c r="V42" s="99"/>
      <c r="W42" s="111"/>
      <c r="Y42" s="112"/>
    </row>
    <row r="43" spans="1:37" ht="16.5" customHeight="1" x14ac:dyDescent="0.25">
      <c r="A43" s="72">
        <f t="shared" si="1"/>
        <v>45339</v>
      </c>
      <c r="B43" s="113">
        <v>2</v>
      </c>
      <c r="C43" s="106">
        <f>V23</f>
        <v>0</v>
      </c>
      <c r="D43" s="106">
        <f>W23</f>
        <v>36.28</v>
      </c>
      <c r="E43" s="106">
        <f>X23</f>
        <v>40.75</v>
      </c>
      <c r="F43" s="107">
        <f>Y23</f>
        <v>39.71</v>
      </c>
      <c r="H43" s="105">
        <v>0</v>
      </c>
      <c r="I43" s="106">
        <v>29.87</v>
      </c>
      <c r="J43" s="106">
        <v>98.65</v>
      </c>
      <c r="K43" s="107">
        <v>91.55</v>
      </c>
      <c r="L43" s="92"/>
      <c r="M43" s="108">
        <f t="shared" si="0"/>
        <v>0</v>
      </c>
      <c r="N43" s="109">
        <f t="shared" si="0"/>
        <v>-6.41</v>
      </c>
      <c r="O43" s="109">
        <f t="shared" si="0"/>
        <v>57.900000000000006</v>
      </c>
      <c r="P43" s="110">
        <f t="shared" si="0"/>
        <v>51.839999999999996</v>
      </c>
      <c r="R43" s="96">
        <f>R23</f>
        <v>0</v>
      </c>
      <c r="S43" s="97">
        <f>S23</f>
        <v>78.36</v>
      </c>
      <c r="T43" s="97">
        <f>T23</f>
        <v>88.017500000000013</v>
      </c>
      <c r="U43" s="98">
        <f>U23</f>
        <v>85.772500000000008</v>
      </c>
      <c r="V43" s="99">
        <f>SUM(R43:U43)</f>
        <v>252.15</v>
      </c>
      <c r="W43" s="111"/>
      <c r="Y43" s="112"/>
    </row>
    <row r="44" spans="1:37" ht="16.5" customHeight="1" x14ac:dyDescent="0.25">
      <c r="A44" s="72">
        <v>45339</v>
      </c>
      <c r="B44" s="113" t="s">
        <v>55</v>
      </c>
      <c r="C44" s="106"/>
      <c r="D44" s="106"/>
      <c r="E44" s="106"/>
      <c r="F44" s="107"/>
      <c r="H44" s="105">
        <v>0</v>
      </c>
      <c r="I44" s="106">
        <v>0</v>
      </c>
      <c r="J44" s="106">
        <v>-67.680000000000007</v>
      </c>
      <c r="K44" s="107">
        <v>-47.9</v>
      </c>
      <c r="L44" s="92"/>
      <c r="M44" s="108">
        <f t="shared" si="0"/>
        <v>0</v>
      </c>
      <c r="N44" s="109">
        <f t="shared" si="0"/>
        <v>0</v>
      </c>
      <c r="O44" s="109">
        <f t="shared" si="0"/>
        <v>-67.680000000000007</v>
      </c>
      <c r="P44" s="110">
        <f t="shared" si="0"/>
        <v>-47.9</v>
      </c>
      <c r="R44" s="96"/>
      <c r="S44" s="97"/>
      <c r="T44" s="97"/>
      <c r="U44" s="98"/>
      <c r="V44" s="99"/>
      <c r="W44" s="111"/>
      <c r="Y44" s="112"/>
    </row>
    <row r="45" spans="1:37" ht="16.5" customHeight="1" x14ac:dyDescent="0.25">
      <c r="A45" s="72">
        <f>A43+14</f>
        <v>45353</v>
      </c>
      <c r="B45" s="113">
        <v>2</v>
      </c>
      <c r="C45" s="106">
        <f>V28</f>
        <v>0</v>
      </c>
      <c r="D45" s="106">
        <f>W28</f>
        <v>36.277777777777779</v>
      </c>
      <c r="E45" s="106">
        <f>X28</f>
        <v>40.748842592592595</v>
      </c>
      <c r="F45" s="107">
        <f>Y28</f>
        <v>39.70949074074074</v>
      </c>
      <c r="H45" s="105">
        <v>0</v>
      </c>
      <c r="I45" s="106">
        <v>36.28</v>
      </c>
      <c r="J45" s="106">
        <v>40.75</v>
      </c>
      <c r="K45" s="107">
        <v>39.71</v>
      </c>
      <c r="L45" s="92"/>
      <c r="M45" s="108">
        <f t="shared" si="0"/>
        <v>0</v>
      </c>
      <c r="N45" s="109">
        <f t="shared" si="0"/>
        <v>2.2222222222225696E-3</v>
      </c>
      <c r="O45" s="109">
        <f t="shared" si="0"/>
        <v>1.1574074074047758E-3</v>
      </c>
      <c r="P45" s="110">
        <f t="shared" si="0"/>
        <v>5.0925925926037507E-4</v>
      </c>
      <c r="R45" s="96">
        <f>R28</f>
        <v>0</v>
      </c>
      <c r="S45" s="97">
        <f>S28</f>
        <v>78.36</v>
      </c>
      <c r="T45" s="97">
        <f>T28</f>
        <v>88.017500000000013</v>
      </c>
      <c r="U45" s="97">
        <f>U28</f>
        <v>85.772500000000008</v>
      </c>
      <c r="V45" s="99">
        <f>SUM(R45:U45)</f>
        <v>252.15</v>
      </c>
      <c r="W45" s="111"/>
      <c r="Y45" s="112"/>
    </row>
    <row r="46" spans="1:37" ht="16.5" customHeight="1" x14ac:dyDescent="0.25">
      <c r="A46" s="72">
        <f>A45+14</f>
        <v>45367</v>
      </c>
      <c r="B46" s="113">
        <v>2</v>
      </c>
      <c r="C46" s="106">
        <f>V28</f>
        <v>0</v>
      </c>
      <c r="D46" s="106">
        <f>W28</f>
        <v>36.277777777777779</v>
      </c>
      <c r="E46" s="106">
        <f>X28</f>
        <v>40.748842592592595</v>
      </c>
      <c r="F46" s="107">
        <f>Y28</f>
        <v>39.70949074074074</v>
      </c>
      <c r="H46" s="105">
        <v>0</v>
      </c>
      <c r="I46" s="106">
        <v>36.28</v>
      </c>
      <c r="J46" s="106">
        <v>40.75</v>
      </c>
      <c r="K46" s="107">
        <v>39.71</v>
      </c>
      <c r="L46" s="92"/>
      <c r="M46" s="108">
        <f t="shared" si="0"/>
        <v>0</v>
      </c>
      <c r="N46" s="109">
        <f t="shared" si="0"/>
        <v>2.2222222222225696E-3</v>
      </c>
      <c r="O46" s="109">
        <f t="shared" si="0"/>
        <v>1.1574074074047758E-3</v>
      </c>
      <c r="P46" s="110">
        <f t="shared" si="0"/>
        <v>5.0925925926037507E-4</v>
      </c>
      <c r="R46" s="96"/>
      <c r="S46" s="97"/>
      <c r="T46" s="97"/>
      <c r="U46" s="97"/>
      <c r="V46" s="99"/>
      <c r="W46" s="111"/>
      <c r="Y46" s="112"/>
    </row>
    <row r="47" spans="1:37" ht="16.5" customHeight="1" x14ac:dyDescent="0.25">
      <c r="A47" s="72">
        <f>A46+14</f>
        <v>45381</v>
      </c>
      <c r="B47" s="113">
        <v>2</v>
      </c>
      <c r="C47" s="106">
        <f>V28</f>
        <v>0</v>
      </c>
      <c r="D47" s="106">
        <f>W28</f>
        <v>36.277777777777779</v>
      </c>
      <c r="E47" s="106">
        <f>X28</f>
        <v>40.748842592592595</v>
      </c>
      <c r="F47" s="107">
        <f>Y28</f>
        <v>39.70949074074074</v>
      </c>
      <c r="H47" s="105">
        <v>0</v>
      </c>
      <c r="I47" s="106">
        <v>36.28</v>
      </c>
      <c r="J47" s="106">
        <v>40.75</v>
      </c>
      <c r="K47" s="107">
        <v>39.71</v>
      </c>
      <c r="L47" s="92"/>
      <c r="M47" s="108">
        <f t="shared" si="0"/>
        <v>0</v>
      </c>
      <c r="N47" s="109">
        <f t="shared" si="0"/>
        <v>2.2222222222225696E-3</v>
      </c>
      <c r="O47" s="109">
        <f t="shared" si="0"/>
        <v>1.1574074074047758E-3</v>
      </c>
      <c r="P47" s="110">
        <f t="shared" si="0"/>
        <v>5.0925925926037507E-4</v>
      </c>
      <c r="R47" s="96"/>
      <c r="S47" s="97"/>
      <c r="T47" s="97"/>
      <c r="U47" s="97"/>
      <c r="V47" s="99"/>
      <c r="W47" s="111"/>
      <c r="Y47" s="112"/>
    </row>
    <row r="48" spans="1:37" ht="16.5" customHeight="1" x14ac:dyDescent="0.25">
      <c r="A48" s="72">
        <f>A47+14</f>
        <v>45395</v>
      </c>
      <c r="B48" s="113">
        <v>2</v>
      </c>
      <c r="C48" s="106">
        <f>V33</f>
        <v>0</v>
      </c>
      <c r="D48" s="106">
        <f t="shared" ref="D48:F48" si="2">W33</f>
        <v>36.277777777777779</v>
      </c>
      <c r="E48" s="106">
        <f t="shared" si="2"/>
        <v>30.353472222222223</v>
      </c>
      <c r="F48" s="107">
        <f t="shared" si="2"/>
        <v>39.711342592592601</v>
      </c>
      <c r="H48" s="105"/>
      <c r="I48" s="106"/>
      <c r="J48" s="106"/>
      <c r="K48" s="107"/>
      <c r="L48" s="92"/>
      <c r="M48" s="108">
        <f t="shared" si="0"/>
        <v>0</v>
      </c>
      <c r="N48" s="109">
        <f t="shared" si="0"/>
        <v>-36.277777777777779</v>
      </c>
      <c r="O48" s="109">
        <f t="shared" si="0"/>
        <v>-30.353472222222223</v>
      </c>
      <c r="P48" s="110">
        <f t="shared" si="0"/>
        <v>-39.711342592592601</v>
      </c>
      <c r="R48" s="96">
        <f>R33</f>
        <v>0</v>
      </c>
      <c r="S48" s="97">
        <f>S33</f>
        <v>78.36</v>
      </c>
      <c r="T48" s="97">
        <f>T33</f>
        <v>65.563500000000005</v>
      </c>
      <c r="U48" s="97">
        <f>U33</f>
        <v>85.776500000000027</v>
      </c>
      <c r="V48" s="99">
        <f>SUM(R48:U48)</f>
        <v>229.70000000000002</v>
      </c>
      <c r="W48" s="111"/>
      <c r="Y48" s="112"/>
    </row>
    <row r="49" spans="1:25" ht="16.5" customHeight="1" x14ac:dyDescent="0.25">
      <c r="A49" s="72">
        <f>A48+14</f>
        <v>45409</v>
      </c>
      <c r="B49" s="113">
        <v>2</v>
      </c>
      <c r="C49" s="106">
        <f>V33</f>
        <v>0</v>
      </c>
      <c r="D49" s="106">
        <f t="shared" ref="D49:F49" si="3">W33</f>
        <v>36.277777777777779</v>
      </c>
      <c r="E49" s="106">
        <f t="shared" si="3"/>
        <v>30.353472222222223</v>
      </c>
      <c r="F49" s="107">
        <f t="shared" si="3"/>
        <v>39.711342592592601</v>
      </c>
      <c r="H49" s="105"/>
      <c r="I49" s="106"/>
      <c r="J49" s="106"/>
      <c r="K49" s="107"/>
      <c r="L49" s="92"/>
      <c r="M49" s="108">
        <f t="shared" si="0"/>
        <v>0</v>
      </c>
      <c r="N49" s="109">
        <f t="shared" si="0"/>
        <v>-36.277777777777779</v>
      </c>
      <c r="O49" s="109">
        <f t="shared" si="0"/>
        <v>-30.353472222222223</v>
      </c>
      <c r="P49" s="110">
        <f t="shared" si="0"/>
        <v>-39.711342592592601</v>
      </c>
      <c r="R49" s="96"/>
      <c r="S49" s="97"/>
      <c r="T49" s="97"/>
      <c r="U49" s="97"/>
      <c r="V49" s="99"/>
      <c r="W49" s="111"/>
      <c r="Y49" s="112"/>
    </row>
    <row r="50" spans="1:25" ht="16.5" customHeight="1" x14ac:dyDescent="0.25">
      <c r="A50" s="72">
        <f t="shared" ref="A50:A66" si="4">A49+14</f>
        <v>45423</v>
      </c>
      <c r="B50" s="113">
        <v>2</v>
      </c>
      <c r="C50" s="106"/>
      <c r="D50" s="106"/>
      <c r="E50" s="106"/>
      <c r="F50" s="107"/>
      <c r="H50" s="114"/>
      <c r="I50" s="92"/>
      <c r="J50" s="92"/>
      <c r="K50" s="115"/>
      <c r="L50" s="92"/>
      <c r="M50" s="108"/>
      <c r="N50" s="109"/>
      <c r="O50" s="109"/>
      <c r="P50" s="110"/>
      <c r="R50" s="96"/>
      <c r="S50" s="97"/>
      <c r="T50" s="97"/>
      <c r="U50" s="97"/>
      <c r="V50" s="99"/>
      <c r="W50" s="111"/>
      <c r="Y50" s="112"/>
    </row>
    <row r="51" spans="1:25" ht="16.5" customHeight="1" x14ac:dyDescent="0.25">
      <c r="A51" s="72">
        <f t="shared" si="4"/>
        <v>45437</v>
      </c>
      <c r="B51" s="113">
        <v>2</v>
      </c>
      <c r="C51" s="106"/>
      <c r="D51" s="106"/>
      <c r="E51" s="106"/>
      <c r="F51" s="107"/>
      <c r="H51" s="114"/>
      <c r="I51" s="92"/>
      <c r="J51" s="92"/>
      <c r="K51" s="115"/>
      <c r="L51" s="92"/>
      <c r="M51" s="108"/>
      <c r="N51" s="109"/>
      <c r="O51" s="109"/>
      <c r="P51" s="110"/>
      <c r="R51" s="96"/>
      <c r="S51" s="97"/>
      <c r="T51" s="97"/>
      <c r="U51" s="97"/>
      <c r="V51" s="99"/>
      <c r="W51" s="111"/>
      <c r="Y51" s="112"/>
    </row>
    <row r="52" spans="1:25" ht="16.5" customHeight="1" x14ac:dyDescent="0.25">
      <c r="A52" s="72">
        <f t="shared" si="4"/>
        <v>45451</v>
      </c>
      <c r="B52" s="113">
        <v>2</v>
      </c>
      <c r="C52" s="106"/>
      <c r="D52" s="106"/>
      <c r="E52" s="106"/>
      <c r="F52" s="107"/>
      <c r="H52" s="114"/>
      <c r="I52" s="92"/>
      <c r="J52" s="92"/>
      <c r="K52" s="115"/>
      <c r="L52" s="92"/>
      <c r="M52" s="108"/>
      <c r="N52" s="109"/>
      <c r="O52" s="109"/>
      <c r="P52" s="110"/>
      <c r="R52" s="96"/>
      <c r="S52" s="97"/>
      <c r="T52" s="97"/>
      <c r="U52" s="97"/>
      <c r="V52" s="99"/>
      <c r="W52" s="111"/>
      <c r="Y52" s="112"/>
    </row>
    <row r="53" spans="1:25" ht="16.5" customHeight="1" x14ac:dyDescent="0.25">
      <c r="A53" s="72">
        <f t="shared" si="4"/>
        <v>45465</v>
      </c>
      <c r="B53" s="113">
        <v>2</v>
      </c>
      <c r="C53" s="106"/>
      <c r="D53" s="106"/>
      <c r="E53" s="106"/>
      <c r="F53" s="107"/>
      <c r="H53" s="114"/>
      <c r="I53" s="92"/>
      <c r="J53" s="92"/>
      <c r="K53" s="115"/>
      <c r="L53" s="92"/>
      <c r="M53" s="108"/>
      <c r="N53" s="109"/>
      <c r="O53" s="109"/>
      <c r="P53" s="110"/>
      <c r="R53" s="96"/>
      <c r="S53" s="97"/>
      <c r="T53" s="97"/>
      <c r="U53" s="97"/>
      <c r="V53" s="99"/>
      <c r="W53" s="111"/>
      <c r="Y53" s="112"/>
    </row>
    <row r="54" spans="1:25" ht="16.5" customHeight="1" x14ac:dyDescent="0.25">
      <c r="A54" s="72">
        <f t="shared" si="4"/>
        <v>45479</v>
      </c>
      <c r="B54" s="113">
        <v>2</v>
      </c>
      <c r="C54" s="106"/>
      <c r="D54" s="106"/>
      <c r="E54" s="106"/>
      <c r="F54" s="107"/>
      <c r="H54" s="114"/>
      <c r="I54" s="92"/>
      <c r="J54" s="92"/>
      <c r="K54" s="115"/>
      <c r="L54" s="92"/>
      <c r="M54" s="108"/>
      <c r="N54" s="109"/>
      <c r="O54" s="109"/>
      <c r="P54" s="110"/>
      <c r="R54" s="96"/>
      <c r="S54" s="97"/>
      <c r="T54" s="97"/>
      <c r="U54" s="97"/>
      <c r="V54" s="99"/>
      <c r="W54" s="111"/>
      <c r="Y54" s="112"/>
    </row>
    <row r="55" spans="1:25" ht="16.5" customHeight="1" x14ac:dyDescent="0.25">
      <c r="A55" s="72">
        <f t="shared" si="4"/>
        <v>45493</v>
      </c>
      <c r="B55" s="113">
        <v>2</v>
      </c>
      <c r="C55" s="106"/>
      <c r="D55" s="106"/>
      <c r="E55" s="106"/>
      <c r="F55" s="107"/>
      <c r="H55" s="114"/>
      <c r="I55" s="92"/>
      <c r="J55" s="92"/>
      <c r="K55" s="115"/>
      <c r="L55" s="92"/>
      <c r="M55" s="108"/>
      <c r="N55" s="109"/>
      <c r="O55" s="109"/>
      <c r="P55" s="110"/>
      <c r="R55" s="96"/>
      <c r="S55" s="97"/>
      <c r="T55" s="97"/>
      <c r="U55" s="97"/>
      <c r="V55" s="99"/>
      <c r="W55" s="111"/>
      <c r="Y55" s="112"/>
    </row>
    <row r="56" spans="1:25" ht="16.5" customHeight="1" x14ac:dyDescent="0.25">
      <c r="A56" s="72">
        <f t="shared" si="4"/>
        <v>45507</v>
      </c>
      <c r="B56" s="113">
        <v>2</v>
      </c>
      <c r="C56" s="106"/>
      <c r="D56" s="106"/>
      <c r="E56" s="106"/>
      <c r="F56" s="107"/>
      <c r="H56" s="114"/>
      <c r="I56" s="92"/>
      <c r="J56" s="92"/>
      <c r="K56" s="115"/>
      <c r="L56" s="92"/>
      <c r="M56" s="108"/>
      <c r="N56" s="109"/>
      <c r="O56" s="109"/>
      <c r="P56" s="110"/>
      <c r="R56" s="96"/>
      <c r="S56" s="97"/>
      <c r="T56" s="97"/>
      <c r="U56" s="97"/>
      <c r="V56" s="99"/>
      <c r="W56" s="111"/>
      <c r="Y56" s="112"/>
    </row>
    <row r="57" spans="1:25" ht="16.5" customHeight="1" x14ac:dyDescent="0.25">
      <c r="A57" s="72">
        <f t="shared" si="4"/>
        <v>45521</v>
      </c>
      <c r="B57" s="113">
        <v>2</v>
      </c>
      <c r="C57" s="106"/>
      <c r="D57" s="106"/>
      <c r="E57" s="106"/>
      <c r="F57" s="107"/>
      <c r="H57" s="114"/>
      <c r="I57" s="92"/>
      <c r="J57" s="92"/>
      <c r="K57" s="115"/>
      <c r="L57" s="92"/>
      <c r="M57" s="108"/>
      <c r="N57" s="109"/>
      <c r="O57" s="109"/>
      <c r="P57" s="110"/>
      <c r="R57" s="96"/>
      <c r="S57" s="97"/>
      <c r="T57" s="97"/>
      <c r="U57" s="97"/>
      <c r="V57" s="99"/>
      <c r="W57" s="111"/>
      <c r="Y57" s="112"/>
    </row>
    <row r="58" spans="1:25" ht="16.5" customHeight="1" x14ac:dyDescent="0.25">
      <c r="A58" s="72">
        <f t="shared" si="4"/>
        <v>45535</v>
      </c>
      <c r="B58" s="113">
        <v>2</v>
      </c>
      <c r="C58" s="106"/>
      <c r="D58" s="106"/>
      <c r="E58" s="106"/>
      <c r="F58" s="107"/>
      <c r="H58" s="114"/>
      <c r="I58" s="92"/>
      <c r="J58" s="92"/>
      <c r="K58" s="115"/>
      <c r="L58" s="92"/>
      <c r="M58" s="108"/>
      <c r="N58" s="109"/>
      <c r="O58" s="109"/>
      <c r="P58" s="110"/>
      <c r="R58" s="96"/>
      <c r="S58" s="97"/>
      <c r="T58" s="97"/>
      <c r="U58" s="97"/>
      <c r="V58" s="99"/>
      <c r="W58" s="111"/>
      <c r="Y58" s="112"/>
    </row>
    <row r="59" spans="1:25" ht="16.5" customHeight="1" x14ac:dyDescent="0.25">
      <c r="A59" s="72">
        <f t="shared" si="4"/>
        <v>45549</v>
      </c>
      <c r="B59" s="113">
        <v>2</v>
      </c>
      <c r="C59" s="106"/>
      <c r="D59" s="106"/>
      <c r="E59" s="106"/>
      <c r="F59" s="107"/>
      <c r="H59" s="114"/>
      <c r="I59" s="92"/>
      <c r="J59" s="92"/>
      <c r="K59" s="115"/>
      <c r="L59" s="92"/>
      <c r="M59" s="108"/>
      <c r="N59" s="109"/>
      <c r="O59" s="109"/>
      <c r="P59" s="110"/>
      <c r="R59" s="96"/>
      <c r="S59" s="97"/>
      <c r="T59" s="97"/>
      <c r="U59" s="97"/>
      <c r="V59" s="99"/>
      <c r="W59" s="111"/>
      <c r="Y59" s="112"/>
    </row>
    <row r="60" spans="1:25" ht="16.5" customHeight="1" x14ac:dyDescent="0.25">
      <c r="A60" s="72">
        <f t="shared" si="4"/>
        <v>45563</v>
      </c>
      <c r="B60" s="113">
        <v>2</v>
      </c>
      <c r="C60" s="106"/>
      <c r="D60" s="106"/>
      <c r="E60" s="106"/>
      <c r="F60" s="107"/>
      <c r="H60" s="114"/>
      <c r="I60" s="92"/>
      <c r="J60" s="92"/>
      <c r="K60" s="115"/>
      <c r="L60" s="92"/>
      <c r="M60" s="108"/>
      <c r="N60" s="109"/>
      <c r="O60" s="109"/>
      <c r="P60" s="110"/>
      <c r="R60" s="96"/>
      <c r="S60" s="97"/>
      <c r="T60" s="97"/>
      <c r="U60" s="97"/>
      <c r="V60" s="99"/>
      <c r="W60" s="111"/>
      <c r="Y60" s="112"/>
    </row>
    <row r="61" spans="1:25" ht="16.5" customHeight="1" x14ac:dyDescent="0.25">
      <c r="A61" s="72">
        <f t="shared" si="4"/>
        <v>45577</v>
      </c>
      <c r="B61" s="113">
        <v>2</v>
      </c>
      <c r="C61" s="106"/>
      <c r="D61" s="106"/>
      <c r="E61" s="106"/>
      <c r="F61" s="107"/>
      <c r="H61" s="114"/>
      <c r="I61" s="92"/>
      <c r="J61" s="92"/>
      <c r="K61" s="115"/>
      <c r="L61" s="92"/>
      <c r="M61" s="108"/>
      <c r="N61" s="109"/>
      <c r="O61" s="109"/>
      <c r="P61" s="110"/>
      <c r="R61" s="96"/>
      <c r="S61" s="97"/>
      <c r="T61" s="97"/>
      <c r="U61" s="97"/>
      <c r="V61" s="99"/>
      <c r="W61" s="111"/>
      <c r="Y61" s="112"/>
    </row>
    <row r="62" spans="1:25" ht="16.5" customHeight="1" x14ac:dyDescent="0.25">
      <c r="A62" s="72">
        <f t="shared" si="4"/>
        <v>45591</v>
      </c>
      <c r="B62" s="113">
        <v>2</v>
      </c>
      <c r="C62" s="106"/>
      <c r="D62" s="106"/>
      <c r="E62" s="106"/>
      <c r="F62" s="107"/>
      <c r="H62" s="114"/>
      <c r="I62" s="92"/>
      <c r="J62" s="92"/>
      <c r="K62" s="115"/>
      <c r="L62" s="92"/>
      <c r="M62" s="108"/>
      <c r="N62" s="109"/>
      <c r="O62" s="109"/>
      <c r="P62" s="110"/>
      <c r="R62" s="96"/>
      <c r="S62" s="97"/>
      <c r="T62" s="97"/>
      <c r="U62" s="97"/>
      <c r="V62" s="99"/>
      <c r="W62" s="111"/>
      <c r="Y62" s="112"/>
    </row>
    <row r="63" spans="1:25" ht="16.5" customHeight="1" x14ac:dyDescent="0.25">
      <c r="A63" s="72">
        <f t="shared" si="4"/>
        <v>45605</v>
      </c>
      <c r="B63" s="113">
        <v>2</v>
      </c>
      <c r="C63" s="106"/>
      <c r="D63" s="106"/>
      <c r="E63" s="106"/>
      <c r="F63" s="107"/>
      <c r="H63" s="114"/>
      <c r="I63" s="92"/>
      <c r="J63" s="92"/>
      <c r="K63" s="115"/>
      <c r="L63" s="92"/>
      <c r="M63" s="108"/>
      <c r="N63" s="109"/>
      <c r="O63" s="109"/>
      <c r="P63" s="110"/>
      <c r="R63" s="96"/>
      <c r="S63" s="97"/>
      <c r="T63" s="97"/>
      <c r="U63" s="97"/>
      <c r="V63" s="99"/>
      <c r="W63" s="111"/>
      <c r="Y63" s="112"/>
    </row>
    <row r="64" spans="1:25" ht="16.5" customHeight="1" x14ac:dyDescent="0.25">
      <c r="A64" s="72">
        <f t="shared" si="4"/>
        <v>45619</v>
      </c>
      <c r="B64" s="113">
        <v>2</v>
      </c>
      <c r="C64" s="106"/>
      <c r="D64" s="106"/>
      <c r="E64" s="106"/>
      <c r="F64" s="107"/>
      <c r="H64" s="114"/>
      <c r="I64" s="92"/>
      <c r="J64" s="92"/>
      <c r="K64" s="115"/>
      <c r="L64" s="92"/>
      <c r="M64" s="108"/>
      <c r="N64" s="109"/>
      <c r="O64" s="109"/>
      <c r="P64" s="110"/>
      <c r="R64" s="96"/>
      <c r="S64" s="97"/>
      <c r="T64" s="97"/>
      <c r="U64" s="97"/>
      <c r="V64" s="99"/>
      <c r="W64" s="111"/>
      <c r="Y64" s="112"/>
    </row>
    <row r="65" spans="1:25" ht="16.5" customHeight="1" x14ac:dyDescent="0.25">
      <c r="A65" s="72">
        <f t="shared" si="4"/>
        <v>45633</v>
      </c>
      <c r="B65" s="113">
        <v>2</v>
      </c>
      <c r="C65" s="106"/>
      <c r="D65" s="106"/>
      <c r="E65" s="106"/>
      <c r="F65" s="107"/>
      <c r="H65" s="114"/>
      <c r="I65" s="92"/>
      <c r="J65" s="92"/>
      <c r="K65" s="115"/>
      <c r="L65" s="92"/>
      <c r="M65" s="108"/>
      <c r="N65" s="109"/>
      <c r="O65" s="109"/>
      <c r="P65" s="110"/>
      <c r="R65" s="96"/>
      <c r="S65" s="97"/>
      <c r="T65" s="97"/>
      <c r="U65" s="97"/>
      <c r="V65" s="99"/>
      <c r="W65" s="111"/>
      <c r="Y65" s="112"/>
    </row>
    <row r="66" spans="1:25" x14ac:dyDescent="0.25">
      <c r="A66" s="72">
        <f t="shared" si="4"/>
        <v>45647</v>
      </c>
      <c r="B66" s="113">
        <v>2</v>
      </c>
      <c r="C66" s="105"/>
      <c r="D66" s="106"/>
      <c r="E66" s="106"/>
      <c r="F66" s="107"/>
      <c r="H66" s="114"/>
      <c r="I66" s="92"/>
      <c r="J66" s="92"/>
      <c r="K66" s="115"/>
      <c r="L66" s="116"/>
      <c r="M66" s="108"/>
      <c r="N66" s="109"/>
      <c r="O66" s="109"/>
      <c r="P66" s="110"/>
      <c r="R66" s="96"/>
      <c r="S66" s="97"/>
      <c r="T66" s="97"/>
      <c r="U66" s="97"/>
      <c r="V66" s="99"/>
      <c r="W66" s="111"/>
      <c r="Y66" s="112"/>
    </row>
    <row r="67" spans="1:25" x14ac:dyDescent="0.25">
      <c r="A67" s="100"/>
      <c r="B67" s="101"/>
      <c r="C67" s="117">
        <f>SUM(C40:C66)</f>
        <v>0</v>
      </c>
      <c r="D67" s="117">
        <f>SUM(D40:D66)</f>
        <v>322.80888888888887</v>
      </c>
      <c r="E67" s="117">
        <f>SUM(E40:E66)</f>
        <v>345.57347222222222</v>
      </c>
      <c r="F67" s="117">
        <f>SUM(F40:F66)</f>
        <v>335.67115740740741</v>
      </c>
      <c r="G67" s="117">
        <f>SUM(C67:F67)</f>
        <v>1004.0535185185186</v>
      </c>
      <c r="H67" s="117">
        <f>SUM(H40:H66)</f>
        <v>0</v>
      </c>
      <c r="I67" s="117">
        <f>SUM(I40:I66)</f>
        <v>250.25</v>
      </c>
      <c r="J67" s="117">
        <f>SUM(J40:J66)</f>
        <v>285.25</v>
      </c>
      <c r="K67" s="117">
        <f>SUM(K40:K66)</f>
        <v>256.23</v>
      </c>
      <c r="L67" s="117">
        <f>SUM(H67:K67)</f>
        <v>791.73</v>
      </c>
      <c r="M67" s="117">
        <f>SUM(M40:M66)</f>
        <v>0</v>
      </c>
      <c r="N67" s="117">
        <f>SUM(N40:N66)</f>
        <v>-72.558888888888902</v>
      </c>
      <c r="O67" s="117">
        <f>SUM(O40:O66)</f>
        <v>-60.323472222222236</v>
      </c>
      <c r="P67" s="117">
        <f>SUM(P40:P66)</f>
        <v>-79.441157407407431</v>
      </c>
      <c r="Q67" s="117">
        <f>SUM(M67:P67)</f>
        <v>-212.3235185185186</v>
      </c>
      <c r="R67" s="118">
        <f>SUM(R40:R66)</f>
        <v>0</v>
      </c>
      <c r="S67" s="118">
        <f>SUM(S40:S66)</f>
        <v>309.44</v>
      </c>
      <c r="T67" s="118">
        <f>SUM(T40:T66)</f>
        <v>329.20180000000005</v>
      </c>
      <c r="U67" s="118">
        <f>SUM(U40:U66)</f>
        <v>319.62820000000005</v>
      </c>
      <c r="V67" s="118">
        <f>SUM(R67:U67)</f>
        <v>958.27000000000021</v>
      </c>
      <c r="W67" s="101"/>
      <c r="X67" s="101"/>
      <c r="Y67" s="102"/>
    </row>
    <row r="68" spans="1:25" x14ac:dyDescent="0.25">
      <c r="A68" s="119"/>
      <c r="B68" s="120" t="s">
        <v>56</v>
      </c>
      <c r="C68" s="121">
        <f>R67</f>
        <v>0</v>
      </c>
      <c r="D68" s="121">
        <f>S67</f>
        <v>309.44</v>
      </c>
      <c r="E68" s="121">
        <f>T67</f>
        <v>329.20180000000005</v>
      </c>
      <c r="F68" s="121">
        <f>U67</f>
        <v>319.62820000000005</v>
      </c>
      <c r="G68" s="122">
        <f>SUM(C68:F68)</f>
        <v>958.27000000000021</v>
      </c>
      <c r="H68" s="123"/>
      <c r="I68" s="123"/>
      <c r="J68" s="123"/>
      <c r="K68" s="122"/>
      <c r="L68" s="123"/>
      <c r="M68" s="123"/>
      <c r="N68" s="123"/>
      <c r="O68" s="123"/>
      <c r="P68" s="123"/>
      <c r="Q68" s="123"/>
      <c r="R68" s="123"/>
      <c r="S68" s="123"/>
      <c r="T68" s="123"/>
      <c r="U68" s="124" t="s">
        <v>57</v>
      </c>
      <c r="V68" s="125">
        <f>SUM(V40:V66)-V67</f>
        <v>0</v>
      </c>
      <c r="W68" s="123"/>
      <c r="X68" s="123"/>
      <c r="Y68" s="126"/>
    </row>
    <row r="69" spans="1:25" x14ac:dyDescent="0.25">
      <c r="C69" s="127"/>
      <c r="D69" s="127"/>
      <c r="E69" s="127"/>
      <c r="F69" s="127"/>
      <c r="G69" s="128"/>
      <c r="H69" s="128"/>
      <c r="I69" s="129"/>
      <c r="J69" s="129"/>
      <c r="K69" s="130"/>
    </row>
    <row r="70" spans="1:25" x14ac:dyDescent="0.25">
      <c r="E70" s="75"/>
      <c r="G70" s="75"/>
      <c r="H70" s="131">
        <f>SUM(H67:H69)</f>
        <v>0</v>
      </c>
      <c r="I70" s="131">
        <f t="shared" ref="I70:K70" si="5">SUM(I67:I69)</f>
        <v>250.25</v>
      </c>
      <c r="J70" s="131">
        <f t="shared" si="5"/>
        <v>285.25</v>
      </c>
      <c r="K70" s="131">
        <f t="shared" si="5"/>
        <v>256.23</v>
      </c>
      <c r="L70" s="131">
        <f>SUM(H70:K70)</f>
        <v>791.73</v>
      </c>
    </row>
    <row r="71" spans="1:25" x14ac:dyDescent="0.25">
      <c r="E71" s="92"/>
      <c r="G71" s="132" t="s">
        <v>58</v>
      </c>
      <c r="H71" s="132">
        <f>-(H70-C67)</f>
        <v>0</v>
      </c>
      <c r="I71" s="132">
        <f>-(I70-D67)</f>
        <v>72.558888888888873</v>
      </c>
      <c r="J71" s="132">
        <f>-(J70-E67)</f>
        <v>60.323472222222222</v>
      </c>
      <c r="K71" s="132">
        <f>-(K70-F67)</f>
        <v>79.441157407407388</v>
      </c>
      <c r="L71" s="132">
        <f>SUM(H71:K71)</f>
        <v>212.32351851851848</v>
      </c>
    </row>
    <row r="72" spans="1:25" x14ac:dyDescent="0.25">
      <c r="B72" s="127"/>
      <c r="E72" s="75"/>
      <c r="G72" s="132" t="s">
        <v>58</v>
      </c>
      <c r="H72" s="132">
        <f>-(C67-C68)</f>
        <v>0</v>
      </c>
      <c r="I72" s="132">
        <f>-(D67-D68)</f>
        <v>-13.368888888888875</v>
      </c>
      <c r="J72" s="132">
        <f>-(E67-E68)</f>
        <v>-16.371672222222173</v>
      </c>
      <c r="K72" s="132">
        <f>-(F67-F68)</f>
        <v>-16.042957407407357</v>
      </c>
      <c r="L72" s="132">
        <f>SUM(H72:K72)</f>
        <v>-45.783518518518406</v>
      </c>
    </row>
    <row r="73" spans="1:25" x14ac:dyDescent="0.25">
      <c r="E73" s="75"/>
      <c r="G73" s="133" t="s">
        <v>59</v>
      </c>
      <c r="H73" s="134">
        <f>SUM(H71:H72)</f>
        <v>0</v>
      </c>
      <c r="I73" s="134">
        <f t="shared" ref="I73:K73" si="6">SUM(I71:I72)</f>
        <v>59.19</v>
      </c>
      <c r="J73" s="134">
        <f t="shared" si="6"/>
        <v>43.951800000000048</v>
      </c>
      <c r="K73" s="134">
        <f t="shared" si="6"/>
        <v>63.398200000000031</v>
      </c>
      <c r="L73" s="134">
        <f>SUM(H73:K73)</f>
        <v>166.54000000000008</v>
      </c>
      <c r="M73" s="135"/>
      <c r="N73" s="135"/>
      <c r="O73" s="135"/>
      <c r="P73" s="135"/>
      <c r="Q73" s="135"/>
      <c r="R73" s="136"/>
    </row>
    <row r="74" spans="1:25" ht="15.75" thickBot="1" x14ac:dyDescent="0.3">
      <c r="E74" s="75"/>
      <c r="F74" s="75"/>
      <c r="G74" s="92"/>
      <c r="H74" s="92"/>
      <c r="I74" s="92"/>
      <c r="J74" s="92"/>
      <c r="K74" s="75"/>
    </row>
    <row r="75" spans="1:25" ht="15.75" thickBot="1" x14ac:dyDescent="0.3">
      <c r="F75" s="137"/>
      <c r="G75" s="138" t="s">
        <v>60</v>
      </c>
      <c r="H75" s="139">
        <f>H67+H73</f>
        <v>0</v>
      </c>
      <c r="I75" s="139">
        <f>I67+I73</f>
        <v>309.44</v>
      </c>
      <c r="J75" s="139">
        <f>J67+J73</f>
        <v>329.20180000000005</v>
      </c>
      <c r="K75" s="139">
        <f>K67+K73</f>
        <v>319.62820000000005</v>
      </c>
      <c r="L75" s="140">
        <f>SUM(H75:K75)</f>
        <v>958.27000000000021</v>
      </c>
    </row>
    <row r="76" spans="1:25" ht="15.75" thickBot="1" x14ac:dyDescent="0.3">
      <c r="F76" s="137"/>
      <c r="G76" s="137"/>
      <c r="H76" s="141"/>
      <c r="I76" s="141"/>
      <c r="J76" s="141"/>
      <c r="K76" s="141"/>
      <c r="L76" s="141"/>
    </row>
    <row r="77" spans="1:25" x14ac:dyDescent="0.25">
      <c r="F77" s="142"/>
      <c r="G77" s="143" t="s">
        <v>61</v>
      </c>
      <c r="H77" s="144"/>
      <c r="I77" s="144"/>
      <c r="J77" s="144"/>
      <c r="K77" s="144"/>
      <c r="L77" s="145"/>
    </row>
    <row r="78" spans="1:25" x14ac:dyDescent="0.25">
      <c r="F78" s="146"/>
      <c r="G78" s="147" t="s">
        <v>62</v>
      </c>
      <c r="H78" s="148">
        <f>R67</f>
        <v>0</v>
      </c>
      <c r="I78" s="148">
        <f>S67</f>
        <v>309.44</v>
      </c>
      <c r="J78" s="148">
        <f>T67</f>
        <v>329.20180000000005</v>
      </c>
      <c r="K78" s="148">
        <f>U67</f>
        <v>319.62820000000005</v>
      </c>
      <c r="L78" s="149">
        <f>SUM(H78:K78)</f>
        <v>958.27000000000021</v>
      </c>
    </row>
    <row r="79" spans="1:25" x14ac:dyDescent="0.25">
      <c r="F79" s="146"/>
      <c r="G79" s="150"/>
      <c r="H79" s="151"/>
      <c r="I79" s="151"/>
      <c r="J79" s="151"/>
      <c r="K79" s="151"/>
      <c r="L79" s="152"/>
    </row>
    <row r="80" spans="1:25" ht="15.75" thickBot="1" x14ac:dyDescent="0.3">
      <c r="F80" s="153"/>
      <c r="G80" s="154"/>
      <c r="H80" s="155">
        <f>SUM(H78:H79)</f>
        <v>0</v>
      </c>
      <c r="I80" s="155">
        <f t="shared" ref="I80:L80" si="7">SUM(I78:I79)</f>
        <v>309.44</v>
      </c>
      <c r="J80" s="155">
        <f t="shared" si="7"/>
        <v>329.20180000000005</v>
      </c>
      <c r="K80" s="155">
        <f t="shared" si="7"/>
        <v>319.62820000000005</v>
      </c>
      <c r="L80" s="156">
        <f t="shared" si="7"/>
        <v>958.27000000000021</v>
      </c>
    </row>
  </sheetData>
  <mergeCells count="4">
    <mergeCell ref="E2:F2"/>
    <mergeCell ref="G2:H2"/>
    <mergeCell ref="E7:F7"/>
    <mergeCell ref="G7:H7"/>
  </mergeCells>
  <conditionalFormatting sqref="O2:O11">
    <cfRule type="cellIs" dxfId="4" priority="4" operator="greaterThan">
      <formula>"0.00"</formula>
    </cfRule>
  </conditionalFormatting>
  <conditionalFormatting sqref="O16:O19">
    <cfRule type="cellIs" dxfId="3" priority="5" operator="greaterThan">
      <formula>"0.00"</formula>
    </cfRule>
  </conditionalFormatting>
  <conditionalFormatting sqref="O21:O24">
    <cfRule type="cellIs" dxfId="2" priority="1" operator="greaterThan">
      <formula>"0.00"</formula>
    </cfRule>
  </conditionalFormatting>
  <conditionalFormatting sqref="O26:O29">
    <cfRule type="cellIs" dxfId="1" priority="3" operator="greaterThan">
      <formula>"0.00"</formula>
    </cfRule>
  </conditionalFormatting>
  <conditionalFormatting sqref="O31:O37">
    <cfRule type="cellIs" dxfId="0" priority="2" operator="greaterThan">
      <formula>"0.00"</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Anniversaires</vt:lpstr>
      <vt:lpstr>Guylaine Joyal</vt:lpstr>
      <vt:lpstr>Anniversaires!Zone_d_impression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Annie Langlois</dc:creator>
  <cp:lastModifiedBy>Annie Langlois</cp:lastModifiedBy>
  <dcterms:created xsi:type="dcterms:W3CDTF">2024-04-17T19:36:50Z</dcterms:created>
  <dcterms:modified xsi:type="dcterms:W3CDTF">2024-04-17T19:47:36Z</dcterms:modified>
</cp:coreProperties>
</file>