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028"/>
  <workbookPr autoCompressPictures="0"/>
  <bookViews>
    <workbookView xWindow="360" yWindow="280" windowWidth="19480" windowHeight="14460"/>
  </bookViews>
  <sheets>
    <sheet name="BD" sheetId="1" r:id="rId1"/>
    <sheet name="TCD" sheetId="3" r:id="rId2"/>
    <sheet name="Synthèse" sheetId="4" r:id="rId3"/>
    <sheet name="Réf" sheetId="5" r:id="rId4"/>
    <sheet name="Liste salariés" sheetId="6" r:id="rId5"/>
    <sheet name="Stats Direction 1" sheetId="7" r:id="rId6"/>
    <sheet name="Stats Direction 2" sheetId="8" r:id="rId7"/>
  </sheets>
  <definedNames>
    <definedName name="__bookmark_1">BD!$A$1:$A$43</definedName>
    <definedName name="_xlnm._FilterDatabase" localSheetId="2" hidden="1">Synthèse!$A$1:$S$12</definedName>
  </definedNames>
  <calcPr calcId="140001" concurrentCalc="0"/>
  <pivotCaches>
    <pivotCache cacheId="0" r:id="rId8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" i="4" l="1"/>
  <c r="A2" i="4"/>
  <c r="C3" i="4"/>
  <c r="C2" i="4"/>
  <c r="D3" i="4"/>
  <c r="K2" i="4"/>
  <c r="I2" i="4"/>
  <c r="G2" i="4"/>
  <c r="E2" i="4"/>
  <c r="L2" i="4"/>
  <c r="P3" i="4"/>
  <c r="A4" i="4"/>
  <c r="C4" i="4"/>
  <c r="P4" i="4"/>
  <c r="A5" i="4"/>
  <c r="C5" i="4"/>
  <c r="K4" i="4"/>
  <c r="I4" i="4"/>
  <c r="G4" i="4"/>
  <c r="L4" i="4"/>
  <c r="P5" i="4"/>
  <c r="A6" i="4"/>
  <c r="C6" i="4"/>
  <c r="D6" i="4"/>
  <c r="K5" i="4"/>
  <c r="I5" i="4"/>
  <c r="G5" i="4"/>
  <c r="E5" i="4"/>
  <c r="L5" i="4"/>
  <c r="P6" i="4"/>
  <c r="A7" i="4"/>
  <c r="C7" i="4"/>
  <c r="P7" i="4"/>
  <c r="A8" i="4"/>
  <c r="C8" i="4"/>
  <c r="P8" i="4"/>
  <c r="A9" i="4"/>
  <c r="C9" i="4"/>
  <c r="D9" i="4"/>
  <c r="K8" i="4"/>
  <c r="I8" i="4"/>
  <c r="G8" i="4"/>
  <c r="L8" i="4"/>
  <c r="P9" i="4"/>
  <c r="A10" i="4"/>
  <c r="C10" i="4"/>
  <c r="D10" i="4"/>
  <c r="K9" i="4"/>
  <c r="I9" i="4"/>
  <c r="G9" i="4"/>
  <c r="E9" i="4"/>
  <c r="L9" i="4"/>
  <c r="P10" i="4"/>
  <c r="A11" i="4"/>
  <c r="C11" i="4"/>
  <c r="P11" i="4"/>
  <c r="A12" i="4"/>
  <c r="C12" i="4"/>
  <c r="P12" i="4"/>
  <c r="A13" i="4"/>
  <c r="C13" i="4"/>
  <c r="D13" i="4"/>
  <c r="K12" i="4"/>
  <c r="I12" i="4"/>
  <c r="G12" i="4"/>
  <c r="L12" i="4"/>
  <c r="P13" i="4"/>
  <c r="D4" i="7"/>
  <c r="B2" i="4"/>
  <c r="B3" i="4"/>
  <c r="B4" i="4"/>
  <c r="B5" i="4"/>
  <c r="B6" i="4"/>
  <c r="B7" i="4"/>
  <c r="B8" i="4"/>
  <c r="B9" i="4"/>
  <c r="B10" i="4"/>
  <c r="B11" i="4"/>
  <c r="B12" i="4"/>
  <c r="B13" i="4"/>
  <c r="B4" i="7"/>
  <c r="O13" i="4"/>
  <c r="R5" i="4"/>
  <c r="O10" i="4"/>
  <c r="F13" i="4"/>
  <c r="D12" i="4"/>
  <c r="J13" i="4"/>
  <c r="H13" i="4"/>
  <c r="D11" i="4"/>
  <c r="G13" i="4"/>
  <c r="E13" i="4"/>
  <c r="D4" i="4"/>
  <c r="K13" i="4"/>
  <c r="I13" i="4"/>
  <c r="D8" i="4"/>
  <c r="D7" i="4"/>
  <c r="R13" i="4"/>
  <c r="M13" i="4"/>
  <c r="N13" i="4"/>
  <c r="L13" i="4"/>
  <c r="S13" i="4"/>
  <c r="R12" i="4"/>
  <c r="R8" i="4"/>
  <c r="R4" i="4"/>
  <c r="R11" i="4"/>
  <c r="R7" i="4"/>
  <c r="R3" i="4"/>
  <c r="R10" i="4"/>
  <c r="R6" i="4"/>
  <c r="R9" i="4"/>
  <c r="O3" i="4"/>
  <c r="O4" i="4"/>
  <c r="O5" i="4"/>
  <c r="O6" i="4"/>
  <c r="O7" i="4"/>
  <c r="O8" i="4"/>
  <c r="O9" i="4"/>
  <c r="O11" i="4"/>
  <c r="O12" i="4"/>
  <c r="O2" i="4"/>
  <c r="D37" i="1"/>
  <c r="D38" i="1"/>
  <c r="D39" i="1"/>
  <c r="D40" i="1"/>
  <c r="D41" i="1"/>
  <c r="D42" i="1"/>
  <c r="D43" i="1"/>
  <c r="D44" i="1"/>
  <c r="D20" i="1"/>
  <c r="D21" i="1"/>
  <c r="D22" i="1"/>
  <c r="D23" i="1"/>
  <c r="D24" i="1"/>
  <c r="D25" i="1"/>
  <c r="D26" i="1"/>
  <c r="D27" i="1"/>
  <c r="D28" i="1"/>
  <c r="D29" i="1"/>
  <c r="D16" i="1"/>
  <c r="D17" i="1"/>
  <c r="D18" i="1"/>
  <c r="D19" i="1"/>
  <c r="D30" i="1"/>
  <c r="D31" i="1"/>
  <c r="D32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33" i="1"/>
  <c r="D34" i="1"/>
  <c r="D35" i="1"/>
  <c r="D36" i="1"/>
  <c r="H10" i="4"/>
  <c r="F3" i="4"/>
  <c r="F11" i="4"/>
  <c r="J7" i="4"/>
  <c r="K6" i="4"/>
  <c r="G7" i="4"/>
  <c r="H5" i="4"/>
  <c r="G6" i="4"/>
  <c r="E8" i="4"/>
  <c r="F6" i="4"/>
  <c r="I10" i="4"/>
  <c r="J12" i="4"/>
  <c r="H4" i="4"/>
  <c r="H12" i="4"/>
  <c r="E7" i="4"/>
  <c r="F5" i="4"/>
  <c r="G3" i="4"/>
  <c r="I3" i="4"/>
  <c r="I11" i="4"/>
  <c r="J9" i="4"/>
  <c r="G10" i="4"/>
  <c r="H7" i="4"/>
  <c r="K10" i="4"/>
  <c r="E10" i="4"/>
  <c r="F8" i="4"/>
  <c r="K7" i="4"/>
  <c r="K11" i="4"/>
  <c r="H8" i="4"/>
  <c r="E11" i="4"/>
  <c r="K3" i="4"/>
  <c r="I7" i="4"/>
  <c r="J8" i="4"/>
  <c r="H11" i="4"/>
  <c r="F4" i="4"/>
  <c r="J10" i="4"/>
  <c r="H6" i="4"/>
  <c r="F7" i="4"/>
  <c r="F2" i="4"/>
  <c r="J3" i="4"/>
  <c r="J11" i="4"/>
  <c r="H2" i="4"/>
  <c r="J4" i="4"/>
  <c r="H9" i="4"/>
  <c r="E4" i="4"/>
  <c r="E12" i="4"/>
  <c r="F10" i="4"/>
  <c r="G11" i="4"/>
  <c r="J6" i="4"/>
  <c r="D2" i="4"/>
  <c r="E3" i="4"/>
  <c r="F9" i="4"/>
  <c r="J5" i="4"/>
  <c r="J2" i="4"/>
  <c r="H3" i="4"/>
  <c r="E6" i="4"/>
  <c r="F12" i="4"/>
  <c r="I6" i="4"/>
  <c r="Q2" i="4"/>
  <c r="Q13" i="4"/>
  <c r="R2" i="4"/>
  <c r="Q11" i="4"/>
  <c r="Q10" i="4"/>
  <c r="Q6" i="4"/>
  <c r="Q4" i="4"/>
  <c r="Q12" i="4"/>
  <c r="Q9" i="4"/>
  <c r="Q7" i="4"/>
  <c r="Q5" i="4"/>
  <c r="Q3" i="4"/>
  <c r="M2" i="4"/>
  <c r="N2" i="4"/>
  <c r="M12" i="4"/>
  <c r="N12" i="4"/>
  <c r="M10" i="4"/>
  <c r="N10" i="4"/>
  <c r="M8" i="4"/>
  <c r="N8" i="4"/>
  <c r="M6" i="4"/>
  <c r="N6" i="4"/>
  <c r="M4" i="4"/>
  <c r="N4" i="4"/>
  <c r="M11" i="4"/>
  <c r="N11" i="4"/>
  <c r="M9" i="4"/>
  <c r="N9" i="4"/>
  <c r="M7" i="4"/>
  <c r="N7" i="4"/>
  <c r="M5" i="4"/>
  <c r="N5" i="4"/>
  <c r="M3" i="4"/>
  <c r="N3" i="4"/>
  <c r="S12" i="4"/>
  <c r="L11" i="4"/>
  <c r="S11" i="4"/>
  <c r="L7" i="4"/>
  <c r="L10" i="4"/>
  <c r="S10" i="4"/>
  <c r="L6" i="4"/>
  <c r="S6" i="4"/>
  <c r="L3" i="4"/>
  <c r="S3" i="4"/>
  <c r="B3" i="7"/>
  <c r="B7" i="8"/>
  <c r="B3" i="8"/>
  <c r="B7" i="7"/>
  <c r="B4" i="8"/>
  <c r="B6" i="8"/>
  <c r="B5" i="8"/>
  <c r="B6" i="7"/>
  <c r="S9" i="4"/>
  <c r="S7" i="4"/>
  <c r="S8" i="4"/>
  <c r="S4" i="4"/>
  <c r="S5" i="4"/>
  <c r="S2" i="4"/>
  <c r="Q8" i="4"/>
  <c r="B5" i="7"/>
  <c r="B8" i="8"/>
  <c r="B8" i="7"/>
</calcChain>
</file>

<file path=xl/sharedStrings.xml><?xml version="1.0" encoding="utf-8"?>
<sst xmlns="http://schemas.openxmlformats.org/spreadsheetml/2006/main" count="104" uniqueCount="36">
  <si>
    <t>Date</t>
  </si>
  <si>
    <t>Nom</t>
  </si>
  <si>
    <t>Heure</t>
  </si>
  <si>
    <t>Robert</t>
  </si>
  <si>
    <t>Gérard</t>
  </si>
  <si>
    <t>Albert</t>
  </si>
  <si>
    <t>N° badg</t>
  </si>
  <si>
    <t>Somme de Heure</t>
  </si>
  <si>
    <t>Badg 1</t>
  </si>
  <si>
    <t>Badg 2</t>
  </si>
  <si>
    <t>Badg 3</t>
  </si>
  <si>
    <t>Badg 4</t>
  </si>
  <si>
    <t>Badg 5</t>
  </si>
  <si>
    <t>Badg 6</t>
  </si>
  <si>
    <t>Badg 7</t>
  </si>
  <si>
    <t>Badg 8</t>
  </si>
  <si>
    <t>Dernier badgeage</t>
  </si>
  <si>
    <t>Temps travaillé jour</t>
  </si>
  <si>
    <t>Nb badgeages</t>
  </si>
  <si>
    <t>Joursem</t>
  </si>
  <si>
    <t>Repos quotidien</t>
  </si>
  <si>
    <t>Repos hebdo</t>
  </si>
  <si>
    <t>W matin hors bornes</t>
  </si>
  <si>
    <t>W soir hors bornes</t>
  </si>
  <si>
    <t>Salarié</t>
  </si>
  <si>
    <t>Direction</t>
  </si>
  <si>
    <t>Direction 2</t>
  </si>
  <si>
    <t>Direction 1</t>
  </si>
  <si>
    <t>Fiche statistique de la Direction 1</t>
  </si>
  <si>
    <t>Fiche statistique de la Direction 2</t>
  </si>
  <si>
    <t>Repos hebdo inférieur à 35h:</t>
  </si>
  <si>
    <t>Repos quotidien inférieur à 11h:</t>
  </si>
  <si>
    <t>Jours de week ends travaillés:</t>
  </si>
  <si>
    <t>Temps travaillé hors plage le matin:</t>
  </si>
  <si>
    <t>Temps travaillé hors plage le soir:</t>
  </si>
  <si>
    <t>Journées de travail supérieures à 12h: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</si>
</sst>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101040C]dd/mm/yy"/>
    <numFmt numFmtId="165" formatCode="[h]:mm"/>
  </numFmts>
  <fonts count="4" x14ac:knownFonts="1">
    <font>
      <sz val="10"/>
      <name val="Arial"/>
    </font>
    <font>
      <sz val="10"/>
      <name val="Arial"/>
      <family val="2"/>
    </font>
    <font>
      <sz val="9"/>
      <color indexed="8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Fill="1"/>
    <xf numFmtId="0" fontId="3" fillId="0" borderId="0" xfId="0" applyFont="1" applyFill="1"/>
    <xf numFmtId="0" fontId="3" fillId="0" borderId="1" xfId="0" applyFont="1" applyFill="1" applyBorder="1" applyAlignment="1">
      <alignment horizontal="center"/>
    </xf>
    <xf numFmtId="165" fontId="3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165" fontId="1" fillId="0" borderId="0" xfId="0" applyNumberFormat="1" applyFont="1" applyFill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2" xfId="0" pivotButton="1" applyBorder="1"/>
    <xf numFmtId="0" fontId="2" fillId="0" borderId="7" xfId="0" applyFont="1" applyFill="1" applyBorder="1" applyAlignment="1"/>
    <xf numFmtId="0" fontId="3" fillId="0" borderId="8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164" fontId="0" fillId="0" borderId="2" xfId="0" applyNumberFormat="1" applyBorder="1"/>
    <xf numFmtId="164" fontId="0" fillId="0" borderId="9" xfId="0" applyNumberFormat="1" applyBorder="1"/>
    <xf numFmtId="0" fontId="0" fillId="0" borderId="10" xfId="0" applyBorder="1"/>
    <xf numFmtId="0" fontId="0" fillId="0" borderId="2" xfId="0" applyNumberFormat="1" applyBorder="1"/>
    <xf numFmtId="0" fontId="0" fillId="0" borderId="10" xfId="0" applyNumberFormat="1" applyBorder="1"/>
    <xf numFmtId="0" fontId="0" fillId="0" borderId="9" xfId="0" applyNumberFormat="1" applyBorder="1"/>
    <xf numFmtId="0" fontId="0" fillId="0" borderId="0" xfId="0" applyNumberFormat="1"/>
    <xf numFmtId="164" fontId="0" fillId="0" borderId="11" xfId="0" applyNumberFormat="1" applyBorder="1"/>
    <xf numFmtId="0" fontId="0" fillId="0" borderId="11" xfId="0" applyNumberFormat="1" applyBorder="1"/>
    <xf numFmtId="0" fontId="0" fillId="0" borderId="12" xfId="0" applyNumberFormat="1" applyBorder="1"/>
    <xf numFmtId="0" fontId="0" fillId="0" borderId="13" xfId="0" applyBorder="1"/>
    <xf numFmtId="0" fontId="0" fillId="0" borderId="13" xfId="0" applyNumberFormat="1" applyBorder="1"/>
    <xf numFmtId="0" fontId="0" fillId="0" borderId="14" xfId="0" applyNumberFormat="1" applyBorder="1"/>
    <xf numFmtId="0" fontId="0" fillId="0" borderId="15" xfId="0" applyNumberFormat="1" applyBorder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165" fontId="3" fillId="0" borderId="0" xfId="0" applyNumberFormat="1" applyFont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h]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101040C]dd/mm/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8"/>
        </top>
        <bottom style="thin">
          <color indexed="8"/>
        </bottom>
      </border>
    </dxf>
    <dxf>
      <border outline="0">
        <left style="thin">
          <color indexed="8"/>
        </left>
        <right style="thin">
          <color indexed="64"/>
        </right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DCDCED"/>
      <rgbColor rgb="008080C0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pivotCacheDefinition" Target="pivotCache/pivotCacheDefinition1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OITEL Nicolas" refreshedDate="43394.887703819448" createdVersion="4" refreshedVersion="4" recordCount="43">
  <cacheSource type="worksheet">
    <worksheetSource name="Tableau1"/>
  </cacheSource>
  <cacheFields count="4">
    <cacheField name="Nom" numFmtId="0">
      <sharedItems count="3">
        <s v="Albert"/>
        <s v="Gérard"/>
        <s v="Robert"/>
      </sharedItems>
    </cacheField>
    <cacheField name="Date" numFmtId="164">
      <sharedItems containsSemiMixedTypes="0" containsNonDate="0" containsDate="1" containsString="0" minDate="2018-10-12T00:00:00" maxDate="2018-10-21T00:00:00" count="7">
        <d v="2018-10-15T00:00:00"/>
        <d v="2018-10-16T00:00:00"/>
        <d v="2018-10-18T00:00:00"/>
        <d v="2018-10-19T00:00:00"/>
        <d v="2018-10-20T00:00:00"/>
        <d v="2018-10-12T00:00:00"/>
        <d v="2018-10-17T00:00:00"/>
      </sharedItems>
    </cacheField>
    <cacheField name="Heure" numFmtId="165">
      <sharedItems containsSemiMixedTypes="0" containsNonDate="0" containsDate="1" containsString="0" minDate="1899-12-30T06:23:00" maxDate="1899-12-30T19:27:00"/>
    </cacheField>
    <cacheField name="N° badg" numFmtId="0">
      <sharedItems containsSemiMixedTypes="0" containsString="0" containsNumber="1" containsInteger="1" minValue="1" maxValue="8" count="8">
        <n v="1"/>
        <n v="2"/>
        <n v="3"/>
        <n v="4"/>
        <n v="5"/>
        <n v="6"/>
        <n v="7"/>
        <n v="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">
  <r>
    <x v="0"/>
    <x v="0"/>
    <d v="1899-12-30T08:19:00"/>
    <x v="0"/>
  </r>
  <r>
    <x v="0"/>
    <x v="0"/>
    <d v="1899-12-30T08:25:00"/>
    <x v="1"/>
  </r>
  <r>
    <x v="0"/>
    <x v="1"/>
    <d v="1899-12-30T09:06:00"/>
    <x v="0"/>
  </r>
  <r>
    <x v="0"/>
    <x v="1"/>
    <d v="1899-12-30T11:35:00"/>
    <x v="1"/>
  </r>
  <r>
    <x v="0"/>
    <x v="1"/>
    <d v="1899-12-30T13:51:00"/>
    <x v="2"/>
  </r>
  <r>
    <x v="0"/>
    <x v="1"/>
    <d v="1899-12-30T17:42:00"/>
    <x v="3"/>
  </r>
  <r>
    <x v="0"/>
    <x v="2"/>
    <d v="1899-12-30T09:01:00"/>
    <x v="0"/>
  </r>
  <r>
    <x v="0"/>
    <x v="2"/>
    <d v="1899-12-30T12:04:00"/>
    <x v="1"/>
  </r>
  <r>
    <x v="0"/>
    <x v="2"/>
    <d v="1899-12-30T13:00:00"/>
    <x v="2"/>
  </r>
  <r>
    <x v="0"/>
    <x v="2"/>
    <d v="1899-12-30T17:49:00"/>
    <x v="3"/>
  </r>
  <r>
    <x v="0"/>
    <x v="3"/>
    <d v="1899-12-30T07:31:00"/>
    <x v="0"/>
  </r>
  <r>
    <x v="0"/>
    <x v="3"/>
    <d v="1899-12-30T12:45:00"/>
    <x v="1"/>
  </r>
  <r>
    <x v="0"/>
    <x v="4"/>
    <d v="1899-12-30T13:17:00"/>
    <x v="0"/>
  </r>
  <r>
    <x v="0"/>
    <x v="4"/>
    <d v="1899-12-30T16:32:00"/>
    <x v="1"/>
  </r>
  <r>
    <x v="1"/>
    <x v="5"/>
    <d v="1899-12-30T09:17:00"/>
    <x v="0"/>
  </r>
  <r>
    <x v="1"/>
    <x v="5"/>
    <d v="1899-12-30T13:21:00"/>
    <x v="1"/>
  </r>
  <r>
    <x v="1"/>
    <x v="5"/>
    <d v="1899-12-30T13:38:00"/>
    <x v="2"/>
  </r>
  <r>
    <x v="1"/>
    <x v="5"/>
    <d v="1899-12-30T17:28:00"/>
    <x v="3"/>
  </r>
  <r>
    <x v="1"/>
    <x v="0"/>
    <d v="1899-12-30T09:10:00"/>
    <x v="0"/>
  </r>
  <r>
    <x v="1"/>
    <x v="0"/>
    <d v="1899-12-30T13:11:00"/>
    <x v="1"/>
  </r>
  <r>
    <x v="1"/>
    <x v="0"/>
    <d v="1899-12-30T13:30:00"/>
    <x v="2"/>
  </r>
  <r>
    <x v="1"/>
    <x v="0"/>
    <d v="1899-12-30T17:32:00"/>
    <x v="3"/>
  </r>
  <r>
    <x v="1"/>
    <x v="1"/>
    <d v="1899-12-30T07:08:00"/>
    <x v="0"/>
  </r>
  <r>
    <x v="1"/>
    <x v="1"/>
    <d v="1899-12-30T19:27:00"/>
    <x v="1"/>
  </r>
  <r>
    <x v="1"/>
    <x v="6"/>
    <d v="1899-12-30T06:23:00"/>
    <x v="0"/>
  </r>
  <r>
    <x v="1"/>
    <x v="6"/>
    <d v="1899-12-30T13:48:00"/>
    <x v="1"/>
  </r>
  <r>
    <x v="1"/>
    <x v="6"/>
    <d v="1899-12-30T14:47:00"/>
    <x v="2"/>
  </r>
  <r>
    <x v="1"/>
    <x v="6"/>
    <d v="1899-12-30T17:22:00"/>
    <x v="3"/>
  </r>
  <r>
    <x v="1"/>
    <x v="3"/>
    <d v="1899-12-30T09:14:00"/>
    <x v="0"/>
  </r>
  <r>
    <x v="1"/>
    <x v="3"/>
    <d v="1899-12-30T13:12:00"/>
    <x v="1"/>
  </r>
  <r>
    <x v="1"/>
    <x v="3"/>
    <d v="1899-12-30T16:56:00"/>
    <x v="2"/>
  </r>
  <r>
    <x v="2"/>
    <x v="0"/>
    <d v="1899-12-30T07:31:00"/>
    <x v="0"/>
  </r>
  <r>
    <x v="2"/>
    <x v="0"/>
    <d v="1899-12-30T11:21:00"/>
    <x v="1"/>
  </r>
  <r>
    <x v="2"/>
    <x v="0"/>
    <d v="1899-12-30T11:52:00"/>
    <x v="2"/>
  </r>
  <r>
    <x v="2"/>
    <x v="0"/>
    <d v="1899-12-30T17:09:00"/>
    <x v="3"/>
  </r>
  <r>
    <x v="2"/>
    <x v="1"/>
    <d v="1899-12-30T07:32:00"/>
    <x v="0"/>
  </r>
  <r>
    <x v="2"/>
    <x v="1"/>
    <d v="1899-12-30T09:00:00"/>
    <x v="1"/>
  </r>
  <r>
    <x v="2"/>
    <x v="1"/>
    <d v="1899-12-30T09:30:00"/>
    <x v="2"/>
  </r>
  <r>
    <x v="2"/>
    <x v="1"/>
    <d v="1899-12-30T11:19:00"/>
    <x v="3"/>
  </r>
  <r>
    <x v="2"/>
    <x v="1"/>
    <d v="1899-12-30T11:52:00"/>
    <x v="4"/>
  </r>
  <r>
    <x v="2"/>
    <x v="1"/>
    <d v="1899-12-30T16:07:00"/>
    <x v="5"/>
  </r>
  <r>
    <x v="2"/>
    <x v="1"/>
    <d v="1899-12-30T17:00:00"/>
    <x v="6"/>
  </r>
  <r>
    <x v="2"/>
    <x v="1"/>
    <d v="1899-12-30T19:23:00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dataOnRows="1" applyNumberFormats="0" applyBorderFormats="0" applyFontFormats="0" applyPatternFormats="0" applyAlignmentFormats="0" applyWidthHeightFormats="1" dataCaption="Données" updatedVersion="4" minRefreshableVersion="3" showMemberPropertyTips="0" useAutoFormatting="1" rowGrandTotals="0" colGrandTotals="0" itemPrintTitles="1" createdVersion="4" indent="0" compact="0" compactData="0" gridDropZones="1">
  <location ref="A3:J16" firstHeaderRow="1" firstDataRow="2" firstDataCol="2"/>
  <pivotFields count="4">
    <pivotField axis="axisRow" compact="0" outline="0" subtotalTop="0" showAll="0" includeNewItemsInFilter="1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numFmtId="164" outline="0" subtotalTop="0" showAll="0" includeNewItemsInFilter="1">
      <items count="8">
        <item x="5"/>
        <item x="0"/>
        <item x="1"/>
        <item x="6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5" outline="0" subtotalTop="0" showAll="0" includeNewItemsInFilter="1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cludeNewItemsInFilter="1">
      <items count="9">
        <item x="0"/>
        <item x="1"/>
        <item x="2"/>
        <item x="3"/>
        <item x="4"/>
        <item x="5"/>
        <item x="6"/>
        <item x="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12">
    <i>
      <x/>
      <x v="1"/>
    </i>
    <i r="1">
      <x v="2"/>
    </i>
    <i r="1">
      <x v="4"/>
    </i>
    <i r="1">
      <x v="5"/>
    </i>
    <i r="1">
      <x v="6"/>
    </i>
    <i>
      <x v="1"/>
      <x/>
    </i>
    <i r="1">
      <x v="1"/>
    </i>
    <i r="1">
      <x v="2"/>
    </i>
    <i r="1">
      <x v="3"/>
    </i>
    <i r="1">
      <x v="5"/>
    </i>
    <i>
      <x v="2"/>
      <x v="1"/>
    </i>
    <i r="1">
      <x v="2"/>
    </i>
  </rowItems>
  <colFields count="1">
    <field x="3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colItems>
  <dataFields count="1">
    <dataField name="Somme de Heure" fld="2" baseField="1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/>
    </ext>
  </extLst>
</pivotTableDefinition>
</file>

<file path=xl/tables/table1.xml><?xml version="1.0" encoding="utf-8"?>
<table xmlns="http://schemas.openxmlformats.org/spreadsheetml/2006/main" id="1" name="Tableau1" displayName="Tableau1" ref="A1:D44" totalsRowShown="0" tableBorderDxfId="4">
  <autoFilter ref="A1:D44"/>
  <sortState ref="A2:D44">
    <sortCondition ref="A2:A44"/>
    <sortCondition ref="B2:B44"/>
    <sortCondition ref="C2:C44"/>
  </sortState>
  <tableColumns count="4">
    <tableColumn id="1" name="Nom" dataDxfId="3"/>
    <tableColumn id="2" name="Date" dataDxfId="2"/>
    <tableColumn id="3" name="Heure" dataDxfId="1"/>
    <tableColumn id="4" name="N° badg" dataDxfId="0">
      <calculatedColumnFormula>IF(OR(A2&lt;&gt;A1,B2&lt;&gt;B1),1,D1+1)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4"/>
  <sheetViews>
    <sheetView tabSelected="1" workbookViewId="0">
      <selection activeCell="B11" sqref="B11"/>
    </sheetView>
  </sheetViews>
  <sheetFormatPr baseColWidth="10" defaultColWidth="9.1640625" defaultRowHeight="12" x14ac:dyDescent="0"/>
  <cols>
    <col min="1" max="1" width="8.5" style="1" customWidth="1"/>
    <col min="2" max="2" width="9.1640625" style="7" customWidth="1"/>
    <col min="3" max="3" width="9.1640625" style="8" customWidth="1"/>
    <col min="4" max="4" width="10.33203125" style="7" customWidth="1"/>
    <col min="5" max="16384" width="9.1640625" style="1"/>
  </cols>
  <sheetData>
    <row r="1" spans="1:4" s="2" customFormat="1">
      <c r="A1" s="3" t="s">
        <v>1</v>
      </c>
      <c r="B1" s="3" t="s">
        <v>0</v>
      </c>
      <c r="C1" s="4" t="s">
        <v>2</v>
      </c>
      <c r="D1" s="16" t="s">
        <v>6</v>
      </c>
    </row>
    <row r="2" spans="1:4">
      <c r="A2" s="15" t="s">
        <v>5</v>
      </c>
      <c r="B2" s="5">
        <v>43388</v>
      </c>
      <c r="C2" s="6">
        <v>0.34652777777777777</v>
      </c>
      <c r="D2" s="17">
        <f t="shared" ref="D2:D15" si="0">IF(OR(A2&lt;&gt;A1,B2&lt;&gt;B1),1,D1+1)</f>
        <v>1</v>
      </c>
    </row>
    <row r="3" spans="1:4">
      <c r="A3" s="15" t="s">
        <v>5</v>
      </c>
      <c r="B3" s="5">
        <v>43388</v>
      </c>
      <c r="C3" s="6">
        <v>0.35069444444444442</v>
      </c>
      <c r="D3" s="17">
        <f t="shared" si="0"/>
        <v>2</v>
      </c>
    </row>
    <row r="4" spans="1:4">
      <c r="A4" s="15" t="s">
        <v>5</v>
      </c>
      <c r="B4" s="5">
        <v>43389</v>
      </c>
      <c r="C4" s="6">
        <v>0.37916666666666665</v>
      </c>
      <c r="D4" s="17">
        <f t="shared" si="0"/>
        <v>1</v>
      </c>
    </row>
    <row r="5" spans="1:4">
      <c r="A5" s="15" t="s">
        <v>5</v>
      </c>
      <c r="B5" s="5">
        <v>43389</v>
      </c>
      <c r="C5" s="6">
        <v>0.4826388888888889</v>
      </c>
      <c r="D5" s="17">
        <f t="shared" si="0"/>
        <v>2</v>
      </c>
    </row>
    <row r="6" spans="1:4">
      <c r="A6" s="15" t="s">
        <v>5</v>
      </c>
      <c r="B6" s="5">
        <v>43389</v>
      </c>
      <c r="C6" s="6">
        <v>0.57708333333333328</v>
      </c>
      <c r="D6" s="17">
        <f t="shared" si="0"/>
        <v>3</v>
      </c>
    </row>
    <row r="7" spans="1:4">
      <c r="A7" s="15" t="s">
        <v>5</v>
      </c>
      <c r="B7" s="5">
        <v>43389</v>
      </c>
      <c r="C7" s="6">
        <v>0.73749999999999993</v>
      </c>
      <c r="D7" s="17">
        <f t="shared" si="0"/>
        <v>4</v>
      </c>
    </row>
    <row r="8" spans="1:4">
      <c r="A8" s="15" t="s">
        <v>5</v>
      </c>
      <c r="B8" s="5">
        <v>43391</v>
      </c>
      <c r="C8" s="6">
        <v>0.3756944444444445</v>
      </c>
      <c r="D8" s="17">
        <f t="shared" si="0"/>
        <v>1</v>
      </c>
    </row>
    <row r="9" spans="1:4">
      <c r="A9" s="15" t="s">
        <v>5</v>
      </c>
      <c r="B9" s="5">
        <v>43391</v>
      </c>
      <c r="C9" s="6">
        <v>0.50277777777777777</v>
      </c>
      <c r="D9" s="17">
        <f t="shared" si="0"/>
        <v>2</v>
      </c>
    </row>
    <row r="10" spans="1:4">
      <c r="A10" s="15" t="s">
        <v>5</v>
      </c>
      <c r="B10" s="5">
        <v>43391</v>
      </c>
      <c r="C10" s="6">
        <v>0.54166666666666663</v>
      </c>
      <c r="D10" s="17">
        <f t="shared" si="0"/>
        <v>3</v>
      </c>
    </row>
    <row r="11" spans="1:4">
      <c r="A11" s="15" t="s">
        <v>5</v>
      </c>
      <c r="B11" s="5">
        <v>43391</v>
      </c>
      <c r="C11" s="6">
        <v>0.74236111111111114</v>
      </c>
      <c r="D11" s="17">
        <f t="shared" si="0"/>
        <v>4</v>
      </c>
    </row>
    <row r="12" spans="1:4">
      <c r="A12" s="15" t="s">
        <v>5</v>
      </c>
      <c r="B12" s="5">
        <v>43392</v>
      </c>
      <c r="C12" s="6">
        <v>0.31319444444444444</v>
      </c>
      <c r="D12" s="17">
        <f t="shared" si="0"/>
        <v>1</v>
      </c>
    </row>
    <row r="13" spans="1:4">
      <c r="A13" s="15" t="s">
        <v>5</v>
      </c>
      <c r="B13" s="5">
        <v>43392</v>
      </c>
      <c r="C13" s="6">
        <v>0.53125</v>
      </c>
      <c r="D13" s="17">
        <f t="shared" si="0"/>
        <v>2</v>
      </c>
    </row>
    <row r="14" spans="1:4">
      <c r="A14" s="15" t="s">
        <v>5</v>
      </c>
      <c r="B14" s="5">
        <v>43393</v>
      </c>
      <c r="C14" s="6">
        <v>0.55347222222222225</v>
      </c>
      <c r="D14" s="17">
        <f t="shared" si="0"/>
        <v>1</v>
      </c>
    </row>
    <row r="15" spans="1:4">
      <c r="A15" s="15" t="s">
        <v>5</v>
      </c>
      <c r="B15" s="5">
        <v>43393</v>
      </c>
      <c r="C15" s="6">
        <v>0.68888888888888899</v>
      </c>
      <c r="D15" s="17">
        <f t="shared" si="0"/>
        <v>2</v>
      </c>
    </row>
    <row r="16" spans="1:4">
      <c r="A16" s="15" t="s">
        <v>4</v>
      </c>
      <c r="B16" s="5">
        <v>43385</v>
      </c>
      <c r="C16" s="6">
        <v>0.38680555555555557</v>
      </c>
      <c r="D16" s="17">
        <f>IF(OR(A16&lt;&gt;A29,B16&lt;&gt;B29),1,D29+1)</f>
        <v>1</v>
      </c>
    </row>
    <row r="17" spans="1:4">
      <c r="A17" s="15" t="s">
        <v>4</v>
      </c>
      <c r="B17" s="5">
        <v>43385</v>
      </c>
      <c r="C17" s="6">
        <v>0.55625000000000002</v>
      </c>
      <c r="D17" s="17">
        <f>IF(OR(A17&lt;&gt;A16,B17&lt;&gt;B16),1,D16+1)</f>
        <v>2</v>
      </c>
    </row>
    <row r="18" spans="1:4">
      <c r="A18" s="15" t="s">
        <v>4</v>
      </c>
      <c r="B18" s="5">
        <v>43385</v>
      </c>
      <c r="C18" s="6">
        <v>0.56805555555555554</v>
      </c>
      <c r="D18" s="17">
        <f>IF(OR(A18&lt;&gt;A17,B18&lt;&gt;B17),1,D17+1)</f>
        <v>3</v>
      </c>
    </row>
    <row r="19" spans="1:4">
      <c r="A19" s="15" t="s">
        <v>4</v>
      </c>
      <c r="B19" s="5">
        <v>43385</v>
      </c>
      <c r="C19" s="6">
        <v>0.72777777777777775</v>
      </c>
      <c r="D19" s="17">
        <f>IF(OR(A19&lt;&gt;A18,B19&lt;&gt;B18),1,D18+1)</f>
        <v>4</v>
      </c>
    </row>
    <row r="20" spans="1:4">
      <c r="A20" s="15" t="s">
        <v>4</v>
      </c>
      <c r="B20" s="5">
        <v>43388</v>
      </c>
      <c r="C20" s="6">
        <v>0.38194444444444442</v>
      </c>
      <c r="D20" s="17">
        <f>IF(OR(A20&lt;&gt;A15,B20&lt;&gt;B15),1,D15+1)</f>
        <v>1</v>
      </c>
    </row>
    <row r="21" spans="1:4">
      <c r="A21" s="15" t="s">
        <v>4</v>
      </c>
      <c r="B21" s="5">
        <v>43388</v>
      </c>
      <c r="C21" s="6">
        <v>0.5493055555555556</v>
      </c>
      <c r="D21" s="17">
        <f t="shared" ref="D21:D29" si="1">IF(OR(A21&lt;&gt;A20,B21&lt;&gt;B20),1,D20+1)</f>
        <v>2</v>
      </c>
    </row>
    <row r="22" spans="1:4">
      <c r="A22" s="15" t="s">
        <v>4</v>
      </c>
      <c r="B22" s="5">
        <v>43388</v>
      </c>
      <c r="C22" s="6">
        <v>0.5625</v>
      </c>
      <c r="D22" s="17">
        <f t="shared" si="1"/>
        <v>3</v>
      </c>
    </row>
    <row r="23" spans="1:4">
      <c r="A23" s="15" t="s">
        <v>4</v>
      </c>
      <c r="B23" s="5">
        <v>43388</v>
      </c>
      <c r="C23" s="6">
        <v>0.73055555555555562</v>
      </c>
      <c r="D23" s="17">
        <f t="shared" si="1"/>
        <v>4</v>
      </c>
    </row>
    <row r="24" spans="1:4">
      <c r="A24" s="15" t="s">
        <v>4</v>
      </c>
      <c r="B24" s="5">
        <v>43389</v>
      </c>
      <c r="C24" s="6">
        <v>0.29722222222222222</v>
      </c>
      <c r="D24" s="17">
        <f t="shared" si="1"/>
        <v>1</v>
      </c>
    </row>
    <row r="25" spans="1:4">
      <c r="A25" s="15" t="s">
        <v>4</v>
      </c>
      <c r="B25" s="5">
        <v>43389</v>
      </c>
      <c r="C25" s="6">
        <v>0.81041666666666667</v>
      </c>
      <c r="D25" s="17">
        <f t="shared" si="1"/>
        <v>2</v>
      </c>
    </row>
    <row r="26" spans="1:4">
      <c r="A26" s="15" t="s">
        <v>4</v>
      </c>
      <c r="B26" s="5">
        <v>43390</v>
      </c>
      <c r="C26" s="6">
        <v>0.26597222222222222</v>
      </c>
      <c r="D26" s="17">
        <f t="shared" si="1"/>
        <v>1</v>
      </c>
    </row>
    <row r="27" spans="1:4">
      <c r="A27" s="15" t="s">
        <v>4</v>
      </c>
      <c r="B27" s="5">
        <v>43390</v>
      </c>
      <c r="C27" s="6">
        <v>0.57500000000000007</v>
      </c>
      <c r="D27" s="17">
        <f t="shared" si="1"/>
        <v>2</v>
      </c>
    </row>
    <row r="28" spans="1:4">
      <c r="A28" s="15" t="s">
        <v>4</v>
      </c>
      <c r="B28" s="5">
        <v>43390</v>
      </c>
      <c r="C28" s="6">
        <v>0.61597222222222225</v>
      </c>
      <c r="D28" s="17">
        <f t="shared" si="1"/>
        <v>3</v>
      </c>
    </row>
    <row r="29" spans="1:4">
      <c r="A29" s="15" t="s">
        <v>4</v>
      </c>
      <c r="B29" s="5">
        <v>43390</v>
      </c>
      <c r="C29" s="6">
        <v>0.72361111111111109</v>
      </c>
      <c r="D29" s="17">
        <f t="shared" si="1"/>
        <v>4</v>
      </c>
    </row>
    <row r="30" spans="1:4">
      <c r="A30" s="15" t="s">
        <v>4</v>
      </c>
      <c r="B30" s="5">
        <v>43392</v>
      </c>
      <c r="C30" s="6">
        <v>0.38472222222222219</v>
      </c>
      <c r="D30" s="17">
        <f>IF(OR(A30&lt;&gt;A19,B30&lt;&gt;B19),1,D19+1)</f>
        <v>1</v>
      </c>
    </row>
    <row r="31" spans="1:4">
      <c r="A31" s="15" t="s">
        <v>4</v>
      </c>
      <c r="B31" s="5">
        <v>43392</v>
      </c>
      <c r="C31" s="6">
        <v>0.54999999999999993</v>
      </c>
      <c r="D31" s="17">
        <f t="shared" ref="D31:D44" si="2">IF(OR(A31&lt;&gt;A30,B31&lt;&gt;B30),1,D30+1)</f>
        <v>2</v>
      </c>
    </row>
    <row r="32" spans="1:4">
      <c r="A32" s="15" t="s">
        <v>4</v>
      </c>
      <c r="B32" s="5">
        <v>43392</v>
      </c>
      <c r="C32" s="6">
        <v>0.7055555555555556</v>
      </c>
      <c r="D32" s="17">
        <f t="shared" si="2"/>
        <v>3</v>
      </c>
    </row>
    <row r="33" spans="1:4">
      <c r="A33" s="15" t="s">
        <v>3</v>
      </c>
      <c r="B33" s="5">
        <v>43388</v>
      </c>
      <c r="C33" s="6">
        <v>0.31319444444444444</v>
      </c>
      <c r="D33" s="17">
        <f t="shared" si="2"/>
        <v>1</v>
      </c>
    </row>
    <row r="34" spans="1:4">
      <c r="A34" s="15" t="s">
        <v>3</v>
      </c>
      <c r="B34" s="5">
        <v>43388</v>
      </c>
      <c r="C34" s="6">
        <v>0.47291666666666665</v>
      </c>
      <c r="D34" s="17">
        <f t="shared" si="2"/>
        <v>2</v>
      </c>
    </row>
    <row r="35" spans="1:4">
      <c r="A35" s="15" t="s">
        <v>3</v>
      </c>
      <c r="B35" s="5">
        <v>43388</v>
      </c>
      <c r="C35" s="6">
        <v>0.49444444444444446</v>
      </c>
      <c r="D35" s="17">
        <f t="shared" si="2"/>
        <v>3</v>
      </c>
    </row>
    <row r="36" spans="1:4">
      <c r="A36" s="15" t="s">
        <v>3</v>
      </c>
      <c r="B36" s="5">
        <v>43388</v>
      </c>
      <c r="C36" s="6">
        <v>0.71458333333333324</v>
      </c>
      <c r="D36" s="17">
        <f t="shared" si="2"/>
        <v>4</v>
      </c>
    </row>
    <row r="37" spans="1:4">
      <c r="A37" s="15" t="s">
        <v>3</v>
      </c>
      <c r="B37" s="5">
        <v>43389</v>
      </c>
      <c r="C37" s="6">
        <v>0.31388888888888888</v>
      </c>
      <c r="D37" s="17">
        <f t="shared" si="2"/>
        <v>1</v>
      </c>
    </row>
    <row r="38" spans="1:4">
      <c r="A38" s="15" t="s">
        <v>3</v>
      </c>
      <c r="B38" s="5">
        <v>43389</v>
      </c>
      <c r="C38" s="6">
        <v>0.375</v>
      </c>
      <c r="D38" s="17">
        <f t="shared" si="2"/>
        <v>2</v>
      </c>
    </row>
    <row r="39" spans="1:4">
      <c r="A39" s="15" t="s">
        <v>3</v>
      </c>
      <c r="B39" s="5">
        <v>43389</v>
      </c>
      <c r="C39" s="6">
        <v>0.39583333333333331</v>
      </c>
      <c r="D39" s="17">
        <f t="shared" si="2"/>
        <v>3</v>
      </c>
    </row>
    <row r="40" spans="1:4">
      <c r="A40" s="15" t="s">
        <v>3</v>
      </c>
      <c r="B40" s="5">
        <v>43389</v>
      </c>
      <c r="C40" s="6">
        <v>0.47152777777777777</v>
      </c>
      <c r="D40" s="17">
        <f t="shared" si="2"/>
        <v>4</v>
      </c>
    </row>
    <row r="41" spans="1:4">
      <c r="A41" s="15" t="s">
        <v>3</v>
      </c>
      <c r="B41" s="5">
        <v>43389</v>
      </c>
      <c r="C41" s="6">
        <v>0.49444444444444446</v>
      </c>
      <c r="D41" s="17">
        <f t="shared" si="2"/>
        <v>5</v>
      </c>
    </row>
    <row r="42" spans="1:4">
      <c r="A42" s="15" t="s">
        <v>3</v>
      </c>
      <c r="B42" s="5">
        <v>43389</v>
      </c>
      <c r="C42" s="6">
        <v>0.67152777777777783</v>
      </c>
      <c r="D42" s="17">
        <f t="shared" si="2"/>
        <v>6</v>
      </c>
    </row>
    <row r="43" spans="1:4">
      <c r="A43" s="15" t="s">
        <v>3</v>
      </c>
      <c r="B43" s="5">
        <v>43389</v>
      </c>
      <c r="C43" s="6">
        <v>0.70833333333333337</v>
      </c>
      <c r="D43" s="17">
        <f t="shared" si="2"/>
        <v>7</v>
      </c>
    </row>
    <row r="44" spans="1:4">
      <c r="A44" s="15" t="s">
        <v>3</v>
      </c>
      <c r="B44" s="5">
        <v>43389</v>
      </c>
      <c r="C44" s="6">
        <v>0.80763888888888891</v>
      </c>
      <c r="D44" s="17">
        <f t="shared" si="2"/>
        <v>8</v>
      </c>
    </row>
  </sheetData>
  <pageMargins left="0.49212598425196852" right="0.49212598425196852" top="0.89370078740157477" bottom="0.89370078740157477" header="0.5" footer="0.5"/>
  <pageSetup paperSize="9" orientation="portrait" horizontalDpi="300" verticalDpi="300"/>
  <headerFooter alignWithMargins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6"/>
  <sheetViews>
    <sheetView workbookViewId="0">
      <selection activeCell="C9" sqref="C9"/>
    </sheetView>
  </sheetViews>
  <sheetFormatPr baseColWidth="10" defaultRowHeight="12" x14ac:dyDescent="0"/>
  <cols>
    <col min="1" max="1" width="11.5" bestFit="1" customWidth="1"/>
    <col min="2" max="2" width="8.1640625" bestFit="1" customWidth="1"/>
    <col min="3" max="11" width="12" bestFit="1" customWidth="1"/>
  </cols>
  <sheetData>
    <row r="3" spans="1:10">
      <c r="A3" s="14" t="s">
        <v>7</v>
      </c>
      <c r="B3" s="10"/>
      <c r="C3" s="14" t="s">
        <v>6</v>
      </c>
      <c r="D3" s="10"/>
      <c r="E3" s="10"/>
      <c r="F3" s="10"/>
      <c r="G3" s="10"/>
      <c r="H3" s="10"/>
      <c r="I3" s="10"/>
      <c r="J3" s="11"/>
    </row>
    <row r="4" spans="1:10">
      <c r="A4" s="14" t="s">
        <v>1</v>
      </c>
      <c r="B4" s="14" t="s">
        <v>0</v>
      </c>
      <c r="C4" s="9">
        <v>1</v>
      </c>
      <c r="D4" s="20">
        <v>2</v>
      </c>
      <c r="E4" s="20">
        <v>3</v>
      </c>
      <c r="F4" s="20">
        <v>4</v>
      </c>
      <c r="G4" s="20">
        <v>5</v>
      </c>
      <c r="H4" s="20">
        <v>6</v>
      </c>
      <c r="I4" s="20">
        <v>7</v>
      </c>
      <c r="J4" s="28">
        <v>8</v>
      </c>
    </row>
    <row r="5" spans="1:10">
      <c r="A5" s="9" t="s">
        <v>5</v>
      </c>
      <c r="B5" s="18">
        <v>43388</v>
      </c>
      <c r="C5" s="21">
        <v>0.34652777777777777</v>
      </c>
      <c r="D5" s="22">
        <v>0.35069444444444442</v>
      </c>
      <c r="E5" s="22"/>
      <c r="F5" s="22"/>
      <c r="G5" s="22"/>
      <c r="H5" s="22"/>
      <c r="I5" s="22"/>
      <c r="J5" s="29"/>
    </row>
    <row r="6" spans="1:10">
      <c r="A6" s="12" t="s">
        <v>5</v>
      </c>
      <c r="B6" s="19">
        <v>43389</v>
      </c>
      <c r="C6" s="23">
        <v>0.37916666666666665</v>
      </c>
      <c r="D6" s="24">
        <v>0.4826388888888889</v>
      </c>
      <c r="E6" s="24">
        <v>0.57708333333333328</v>
      </c>
      <c r="F6" s="24">
        <v>0.73749999999999993</v>
      </c>
      <c r="G6" s="24"/>
      <c r="H6" s="24"/>
      <c r="I6" s="24"/>
      <c r="J6" s="30"/>
    </row>
    <row r="7" spans="1:10">
      <c r="A7" s="12" t="s">
        <v>5</v>
      </c>
      <c r="B7" s="19">
        <v>43391</v>
      </c>
      <c r="C7" s="23">
        <v>0.3756944444444445</v>
      </c>
      <c r="D7" s="24">
        <v>0.50277777777777777</v>
      </c>
      <c r="E7" s="24">
        <v>0.54166666666666663</v>
      </c>
      <c r="F7" s="24">
        <v>0.74236111111111114</v>
      </c>
      <c r="G7" s="24"/>
      <c r="H7" s="24"/>
      <c r="I7" s="24"/>
      <c r="J7" s="30"/>
    </row>
    <row r="8" spans="1:10">
      <c r="A8" s="12" t="s">
        <v>5</v>
      </c>
      <c r="B8" s="19">
        <v>43392</v>
      </c>
      <c r="C8" s="23">
        <v>0.31319444444444444</v>
      </c>
      <c r="D8" s="24">
        <v>0.53125</v>
      </c>
      <c r="E8" s="24"/>
      <c r="F8" s="24"/>
      <c r="G8" s="24"/>
      <c r="H8" s="24"/>
      <c r="I8" s="24"/>
      <c r="J8" s="30"/>
    </row>
    <row r="9" spans="1:10">
      <c r="A9" s="12" t="s">
        <v>5</v>
      </c>
      <c r="B9" s="19">
        <v>43393</v>
      </c>
      <c r="C9" s="23">
        <v>0.55347222222222225</v>
      </c>
      <c r="D9" s="24">
        <v>0.68888888888888899</v>
      </c>
      <c r="E9" s="24"/>
      <c r="F9" s="24"/>
      <c r="G9" s="24"/>
      <c r="H9" s="24"/>
      <c r="I9" s="24"/>
      <c r="J9" s="30"/>
    </row>
    <row r="10" spans="1:10">
      <c r="A10" s="9" t="s">
        <v>4</v>
      </c>
      <c r="B10" s="18">
        <v>43385</v>
      </c>
      <c r="C10" s="21">
        <v>0.38680555555555557</v>
      </c>
      <c r="D10" s="22">
        <v>0.55625000000000002</v>
      </c>
      <c r="E10" s="22">
        <v>0.56805555555555554</v>
      </c>
      <c r="F10" s="22">
        <v>0.72777777777777775</v>
      </c>
      <c r="G10" s="22"/>
      <c r="H10" s="22"/>
      <c r="I10" s="22"/>
      <c r="J10" s="29"/>
    </row>
    <row r="11" spans="1:10">
      <c r="A11" s="12" t="s">
        <v>4</v>
      </c>
      <c r="B11" s="19">
        <v>43388</v>
      </c>
      <c r="C11" s="23">
        <v>0.38194444444444442</v>
      </c>
      <c r="D11" s="24">
        <v>0.5493055555555556</v>
      </c>
      <c r="E11" s="24">
        <v>0.5625</v>
      </c>
      <c r="F11" s="24">
        <v>0.73055555555555562</v>
      </c>
      <c r="G11" s="24"/>
      <c r="H11" s="24"/>
      <c r="I11" s="24"/>
      <c r="J11" s="30"/>
    </row>
    <row r="12" spans="1:10">
      <c r="A12" s="12" t="s">
        <v>4</v>
      </c>
      <c r="B12" s="19">
        <v>43389</v>
      </c>
      <c r="C12" s="23">
        <v>0.29722222222222222</v>
      </c>
      <c r="D12" s="24">
        <v>0.81041666666666667</v>
      </c>
      <c r="E12" s="24"/>
      <c r="F12" s="24"/>
      <c r="G12" s="24"/>
      <c r="H12" s="24"/>
      <c r="I12" s="24"/>
      <c r="J12" s="30"/>
    </row>
    <row r="13" spans="1:10">
      <c r="A13" s="12" t="s">
        <v>4</v>
      </c>
      <c r="B13" s="19">
        <v>43390</v>
      </c>
      <c r="C13" s="23">
        <v>0.26597222222222222</v>
      </c>
      <c r="D13" s="24">
        <v>0.57500000000000007</v>
      </c>
      <c r="E13" s="24">
        <v>0.61597222222222225</v>
      </c>
      <c r="F13" s="24">
        <v>0.72361111111111109</v>
      </c>
      <c r="G13" s="24"/>
      <c r="H13" s="24"/>
      <c r="I13" s="24"/>
      <c r="J13" s="30"/>
    </row>
    <row r="14" spans="1:10">
      <c r="A14" s="12" t="s">
        <v>4</v>
      </c>
      <c r="B14" s="19">
        <v>43392</v>
      </c>
      <c r="C14" s="23">
        <v>0.38472222222222219</v>
      </c>
      <c r="D14" s="24">
        <v>0.54999999999999993</v>
      </c>
      <c r="E14" s="24">
        <v>0.7055555555555556</v>
      </c>
      <c r="F14" s="24"/>
      <c r="G14" s="24"/>
      <c r="H14" s="24"/>
      <c r="I14" s="24"/>
      <c r="J14" s="30"/>
    </row>
    <row r="15" spans="1:10">
      <c r="A15" s="9" t="s">
        <v>3</v>
      </c>
      <c r="B15" s="18">
        <v>43388</v>
      </c>
      <c r="C15" s="21">
        <v>0.31319444444444444</v>
      </c>
      <c r="D15" s="22">
        <v>0.47291666666666665</v>
      </c>
      <c r="E15" s="22">
        <v>0.49444444444444446</v>
      </c>
      <c r="F15" s="22">
        <v>0.71458333333333324</v>
      </c>
      <c r="G15" s="22"/>
      <c r="H15" s="22"/>
      <c r="I15" s="22"/>
      <c r="J15" s="29"/>
    </row>
    <row r="16" spans="1:10">
      <c r="A16" s="13" t="s">
        <v>3</v>
      </c>
      <c r="B16" s="25">
        <v>43389</v>
      </c>
      <c r="C16" s="26">
        <v>0.31388888888888888</v>
      </c>
      <c r="D16" s="27">
        <v>0.375</v>
      </c>
      <c r="E16" s="27">
        <v>0.39583333333333331</v>
      </c>
      <c r="F16" s="27">
        <v>0.47152777777777777</v>
      </c>
      <c r="G16" s="27">
        <v>0.49444444444444446</v>
      </c>
      <c r="H16" s="27">
        <v>0.67152777777777783</v>
      </c>
      <c r="I16" s="27">
        <v>0.70833333333333337</v>
      </c>
      <c r="J16" s="31">
        <v>0.80763888888888891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workbookViewId="0">
      <selection activeCell="F7" sqref="F7"/>
    </sheetView>
  </sheetViews>
  <sheetFormatPr baseColWidth="10" defaultRowHeight="12" x14ac:dyDescent="0"/>
  <cols>
    <col min="1" max="1" width="6.6640625" style="35" customWidth="1"/>
    <col min="2" max="2" width="9.6640625" style="35" customWidth="1"/>
    <col min="3" max="3" width="10.33203125" style="43" customWidth="1"/>
    <col min="4" max="11" width="8.5" style="37" customWidth="1"/>
    <col min="12" max="12" width="10.1640625" style="38" customWidth="1"/>
    <col min="13" max="13" width="11" style="38" customWidth="1"/>
    <col min="14" max="14" width="10.83203125" style="36"/>
    <col min="15" max="15" width="9.6640625" style="36" customWidth="1"/>
    <col min="16" max="16" width="9.5" style="37" customWidth="1"/>
    <col min="17" max="17" width="8.5" style="37" customWidth="1"/>
    <col min="18" max="19" width="10.83203125" style="37"/>
    <col min="20" max="16384" width="10.83203125" style="35"/>
  </cols>
  <sheetData>
    <row r="1" spans="1:19" s="39" customFormat="1" ht="36">
      <c r="A1" s="39" t="s">
        <v>1</v>
      </c>
      <c r="B1" s="39" t="s">
        <v>25</v>
      </c>
      <c r="C1" s="40" t="s">
        <v>0</v>
      </c>
      <c r="D1" s="41" t="s">
        <v>8</v>
      </c>
      <c r="E1" s="41" t="s">
        <v>9</v>
      </c>
      <c r="F1" s="41" t="s">
        <v>10</v>
      </c>
      <c r="G1" s="41" t="s">
        <v>11</v>
      </c>
      <c r="H1" s="41" t="s">
        <v>12</v>
      </c>
      <c r="I1" s="41" t="s">
        <v>13</v>
      </c>
      <c r="J1" s="41" t="s">
        <v>14</v>
      </c>
      <c r="K1" s="41" t="s">
        <v>15</v>
      </c>
      <c r="L1" s="42" t="s">
        <v>16</v>
      </c>
      <c r="M1" s="42" t="s">
        <v>18</v>
      </c>
      <c r="N1" s="39" t="s">
        <v>17</v>
      </c>
      <c r="O1" s="39" t="s">
        <v>19</v>
      </c>
      <c r="P1" s="41" t="s">
        <v>20</v>
      </c>
      <c r="Q1" s="41" t="s">
        <v>21</v>
      </c>
      <c r="R1" s="41" t="s">
        <v>22</v>
      </c>
      <c r="S1" s="41" t="s">
        <v>23</v>
      </c>
    </row>
    <row r="2" spans="1:19">
      <c r="A2" s="35" t="str">
        <f>TCD!A5</f>
        <v>Albert</v>
      </c>
      <c r="B2" s="35" t="str">
        <f>VLOOKUP(A2,'Liste salariés'!A:B,2,FALSE)</f>
        <v>Direction 2</v>
      </c>
      <c r="C2" s="43">
        <f>TCD!B5</f>
        <v>43388</v>
      </c>
      <c r="D2" s="37">
        <f>GETPIVOTDATA("Heure",TCD!$A$3,"Nom",TCD!$A5,"Date",TCD!$B5,"N° badg",TCD!C$4)</f>
        <v>0.34652777777777777</v>
      </c>
      <c r="E2" s="37">
        <f>GETPIVOTDATA("Heure",TCD!$A$3,"Nom",TCD!$A5,"Date",TCD!$B5,"N° badg",TCD!D$4)</f>
        <v>0.35069444444444442</v>
      </c>
      <c r="F2" s="37">
        <f>GETPIVOTDATA("Heure",TCD!$A$3,"Nom",TCD!$A5,"Date",TCD!$B5,"N° badg",TCD!E$4)</f>
        <v>0</v>
      </c>
      <c r="G2" s="37">
        <f>GETPIVOTDATA("Heure",TCD!$A$3,"Nom",TCD!$A5,"Date",TCD!$B5,"N° badg",TCD!F$4)</f>
        <v>0</v>
      </c>
      <c r="H2" s="37">
        <f>GETPIVOTDATA("Heure",TCD!$A$3,"Nom",TCD!$A5,"Date",TCD!$B5,"N° badg",TCD!G$4)</f>
        <v>0</v>
      </c>
      <c r="I2" s="37">
        <f>GETPIVOTDATA("Heure",TCD!$A$3,"Nom",TCD!$A5,"Date",TCD!$B5,"N° badg",TCD!H$4)</f>
        <v>0</v>
      </c>
      <c r="J2" s="37">
        <f>GETPIVOTDATA("Heure",TCD!$A$3,"Nom",TCD!$A5,"Date",TCD!$B5,"N° badg",TCD!I$4)</f>
        <v>0</v>
      </c>
      <c r="K2" s="37">
        <f>GETPIVOTDATA("Heure",TCD!$A$3,"Nom",TCD!$A5,"Date",TCD!$B5,"N° badg",TCD!J$4)</f>
        <v>0</v>
      </c>
      <c r="L2" s="37">
        <f>IF(K2&lt;&gt;0,K2,IF(I2&lt;&gt;0,I2,IF(G2&lt;&gt;0,G2,IF(E2&lt;&gt;0,E2,))))</f>
        <v>0.35069444444444442</v>
      </c>
      <c r="M2" s="38">
        <f>8-(COUNTIF(D2:K2,Réf!A1))</f>
        <v>2</v>
      </c>
      <c r="N2" s="37">
        <f t="shared" ref="N2:N9" si="0">IF(OR(M2=2,M2=4,M2=6,M2=8),(E2-D2)+(G2-F2)+(I2-H2)+(K2-J2),"")</f>
        <v>4.1666666666666519E-3</v>
      </c>
      <c r="O2" s="36">
        <f>WEEKDAY(C2,2)</f>
        <v>1</v>
      </c>
      <c r="Q2" s="37" t="str">
        <f>IF(AND(A2=A1,O2=1,O1=5),D2+Réf!$A$2+Réf!$A$2+(Réf!$A$2-L1),"")</f>
        <v/>
      </c>
      <c r="R2" s="37" t="str">
        <f>IF(D2&lt;Réf!$A$3,Réf!$A$3-D2,"")</f>
        <v/>
      </c>
      <c r="S2" s="37" t="str">
        <f>IF(L2&gt;Réf!$A$4,L2-Réf!$A$4,"")</f>
        <v/>
      </c>
    </row>
    <row r="3" spans="1:19">
      <c r="A3" s="35" t="str">
        <f>TCD!A6</f>
        <v>Albert</v>
      </c>
      <c r="B3" s="35" t="str">
        <f>VLOOKUP(A3,'Liste salariés'!A:B,2,FALSE)</f>
        <v>Direction 2</v>
      </c>
      <c r="C3" s="43">
        <f>TCD!B6</f>
        <v>43389</v>
      </c>
      <c r="D3" s="37">
        <f>GETPIVOTDATA("Heure",TCD!$A$3,"Nom",TCD!$A6,"Date",TCD!$B6,"N° badg",TCD!C$4)</f>
        <v>0.37916666666666665</v>
      </c>
      <c r="E3" s="37">
        <f>GETPIVOTDATA("Heure",TCD!$A$3,"Nom",TCD!$A6,"Date",TCD!$B6,"N° badg",TCD!D$4)</f>
        <v>0.4826388888888889</v>
      </c>
      <c r="F3" s="37">
        <f>GETPIVOTDATA("Heure",TCD!$A$3,"Nom",TCD!$A6,"Date",TCD!$B6,"N° badg",TCD!E$4)</f>
        <v>0.57708333333333328</v>
      </c>
      <c r="G3" s="37">
        <f>GETPIVOTDATA("Heure",TCD!$A$3,"Nom",TCD!$A6,"Date",TCD!$B6,"N° badg",TCD!F$4)</f>
        <v>0.73749999999999993</v>
      </c>
      <c r="H3" s="37">
        <f>GETPIVOTDATA("Heure",TCD!$A$3,"Nom",TCD!$A6,"Date",TCD!$B6,"N° badg",TCD!G$4)</f>
        <v>0</v>
      </c>
      <c r="I3" s="37">
        <f>GETPIVOTDATA("Heure",TCD!$A$3,"Nom",TCD!$A6,"Date",TCD!$B6,"N° badg",TCD!H$4)</f>
        <v>0</v>
      </c>
      <c r="J3" s="37">
        <f>GETPIVOTDATA("Heure",TCD!$A$3,"Nom",TCD!$A6,"Date",TCD!$B6,"N° badg",TCD!I$4)</f>
        <v>0</v>
      </c>
      <c r="K3" s="37">
        <f>GETPIVOTDATA("Heure",TCD!$A$3,"Nom",TCD!$A6,"Date",TCD!$B6,"N° badg",TCD!J$4)</f>
        <v>0</v>
      </c>
      <c r="L3" s="37">
        <f t="shared" ref="L3:L12" si="1">IF(K3&lt;&gt;0,K3,IF(I3&lt;&gt;0,I3,IF(G3&lt;&gt;0,G3,IF(E3&lt;&gt;0,E3,))))</f>
        <v>0.73749999999999993</v>
      </c>
      <c r="M3" s="38">
        <f>8-(COUNTIF(D3:K3,Réf!A3))</f>
        <v>8</v>
      </c>
      <c r="N3" s="37">
        <f t="shared" si="0"/>
        <v>0.2638888888888889</v>
      </c>
      <c r="O3" s="36">
        <f t="shared" ref="O3:O12" si="2">WEEKDAY(C3,2)</f>
        <v>2</v>
      </c>
      <c r="P3" s="37">
        <f>IF(AND(A3=A2,C3=C2+1),D3+(Réf!$A$2-L2),"")</f>
        <v>1.0284722222222222</v>
      </c>
      <c r="Q3" s="37" t="str">
        <f>IF(AND(A3=A2,O3=1,O2=5),D3+Réf!$A$2+Réf!$A$2+(Réf!$A$2-L2),"")</f>
        <v/>
      </c>
      <c r="R3" s="37" t="str">
        <f>IF(D3&lt;Réf!$A$3,Réf!$A$3-D3,"")</f>
        <v/>
      </c>
      <c r="S3" s="37" t="str">
        <f>IF(L3&gt;Réf!$A$4,L3-Réf!$A$4,"")</f>
        <v/>
      </c>
    </row>
    <row r="4" spans="1:19">
      <c r="A4" s="35" t="str">
        <f>TCD!A7</f>
        <v>Albert</v>
      </c>
      <c r="B4" s="35" t="str">
        <f>VLOOKUP(A4,'Liste salariés'!A:B,2,FALSE)</f>
        <v>Direction 2</v>
      </c>
      <c r="C4" s="43">
        <f>TCD!B7</f>
        <v>43391</v>
      </c>
      <c r="D4" s="37">
        <f>GETPIVOTDATA("Heure",TCD!$A$3,"Nom",TCD!$A7,"Date",TCD!$B7,"N° badg",TCD!C$4)</f>
        <v>0.3756944444444445</v>
      </c>
      <c r="E4" s="37">
        <f>GETPIVOTDATA("Heure",TCD!$A$3,"Nom",TCD!$A7,"Date",TCD!$B7,"N° badg",TCD!D$4)</f>
        <v>0.50277777777777777</v>
      </c>
      <c r="F4" s="37">
        <f>GETPIVOTDATA("Heure",TCD!$A$3,"Nom",TCD!$A7,"Date",TCD!$B7,"N° badg",TCD!E$4)</f>
        <v>0.54166666666666663</v>
      </c>
      <c r="G4" s="37">
        <f>GETPIVOTDATA("Heure",TCD!$A$3,"Nom",TCD!$A7,"Date",TCD!$B7,"N° badg",TCD!F$4)</f>
        <v>0.74236111111111114</v>
      </c>
      <c r="H4" s="37">
        <f>GETPIVOTDATA("Heure",TCD!$A$3,"Nom",TCD!$A7,"Date",TCD!$B7,"N° badg",TCD!G$4)</f>
        <v>0</v>
      </c>
      <c r="I4" s="37">
        <f>GETPIVOTDATA("Heure",TCD!$A$3,"Nom",TCD!$A7,"Date",TCD!$B7,"N° badg",TCD!H$4)</f>
        <v>0</v>
      </c>
      <c r="J4" s="37">
        <f>GETPIVOTDATA("Heure",TCD!$A$3,"Nom",TCD!$A7,"Date",TCD!$B7,"N° badg",TCD!I$4)</f>
        <v>0</v>
      </c>
      <c r="K4" s="37">
        <f>GETPIVOTDATA("Heure",TCD!$A$3,"Nom",TCD!$A7,"Date",TCD!$B7,"N° badg",TCD!J$4)</f>
        <v>0</v>
      </c>
      <c r="L4" s="37">
        <f t="shared" si="1"/>
        <v>0.74236111111111114</v>
      </c>
      <c r="M4" s="38">
        <f>8-(COUNTIF(D4:K4,Réf!A4))</f>
        <v>8</v>
      </c>
      <c r="N4" s="37">
        <f t="shared" si="0"/>
        <v>0.32777777777777778</v>
      </c>
      <c r="O4" s="36">
        <f t="shared" si="2"/>
        <v>4</v>
      </c>
      <c r="P4" s="37" t="str">
        <f>IF(AND(A4=A3,C4=C3+1),D4+(Réf!$A$2-L3),"")</f>
        <v/>
      </c>
      <c r="Q4" s="37" t="str">
        <f>IF(AND(A4=A3,O4=1,O3=5),D4+Réf!$A$2+Réf!$A$2+(Réf!$A$2-L3),"")</f>
        <v/>
      </c>
      <c r="R4" s="37" t="str">
        <f>IF(D4&lt;Réf!$A$3,Réf!$A$3-D4,"")</f>
        <v/>
      </c>
      <c r="S4" s="37" t="str">
        <f>IF(L4&gt;Réf!$A$4,L4-Réf!$A$4,"")</f>
        <v/>
      </c>
    </row>
    <row r="5" spans="1:19">
      <c r="A5" s="35" t="str">
        <f>TCD!A8</f>
        <v>Albert</v>
      </c>
      <c r="B5" s="35" t="str">
        <f>VLOOKUP(A5,'Liste salariés'!A:B,2,FALSE)</f>
        <v>Direction 2</v>
      </c>
      <c r="C5" s="43">
        <f>TCD!B8</f>
        <v>43392</v>
      </c>
      <c r="D5" s="37">
        <v>0.30416666666666664</v>
      </c>
      <c r="E5" s="37">
        <f>GETPIVOTDATA("Heure",TCD!$A$3,"Nom",TCD!$A8,"Date",TCD!$B8,"N° badg",TCD!D$4)</f>
        <v>0.53125</v>
      </c>
      <c r="F5" s="37">
        <f>GETPIVOTDATA("Heure",TCD!$A$3,"Nom",TCD!$A8,"Date",TCD!$B8,"N° badg",TCD!E$4)</f>
        <v>0</v>
      </c>
      <c r="G5" s="37">
        <f>GETPIVOTDATA("Heure",TCD!$A$3,"Nom",TCD!$A8,"Date",TCD!$B8,"N° badg",TCD!F$4)</f>
        <v>0</v>
      </c>
      <c r="H5" s="37">
        <f>GETPIVOTDATA("Heure",TCD!$A$3,"Nom",TCD!$A8,"Date",TCD!$B8,"N° badg",TCD!G$4)</f>
        <v>0</v>
      </c>
      <c r="I5" s="37">
        <f>GETPIVOTDATA("Heure",TCD!$A$3,"Nom",TCD!$A8,"Date",TCD!$B8,"N° badg",TCD!H$4)</f>
        <v>0</v>
      </c>
      <c r="J5" s="37">
        <f>GETPIVOTDATA("Heure",TCD!$A$3,"Nom",TCD!$A8,"Date",TCD!$B8,"N° badg",TCD!I$4)</f>
        <v>0</v>
      </c>
      <c r="K5" s="37">
        <f>GETPIVOTDATA("Heure",TCD!$A$3,"Nom",TCD!$A8,"Date",TCD!$B8,"N° badg",TCD!J$4)</f>
        <v>0</v>
      </c>
      <c r="L5" s="37">
        <f t="shared" si="1"/>
        <v>0.53125</v>
      </c>
      <c r="M5" s="38">
        <f>8-(COUNTIF(D5:K5,Réf!A5))</f>
        <v>8</v>
      </c>
      <c r="N5" s="37">
        <f t="shared" si="0"/>
        <v>0.22708333333333336</v>
      </c>
      <c r="O5" s="36">
        <f t="shared" si="2"/>
        <v>5</v>
      </c>
      <c r="P5" s="37">
        <f>IF(AND(A5=A4,C5=C4+1),D5+(Réf!$A$2-L4),"")</f>
        <v>0.56180555555555545</v>
      </c>
      <c r="Q5" s="37" t="str">
        <f>IF(AND(A5=A4,O5=1,O4=5),D5+Réf!$A$2+Réf!$A$2+(Réf!$A$2-L4),"")</f>
        <v/>
      </c>
      <c r="R5" s="37">
        <f>IF(D5&lt;Réf!$A$3,Réf!$A$3-D5,"")</f>
        <v>8.3333333333333592E-3</v>
      </c>
      <c r="S5" s="37" t="str">
        <f>IF(L5&gt;Réf!$A$4,L5-Réf!$A$4,"")</f>
        <v/>
      </c>
    </row>
    <row r="6" spans="1:19">
      <c r="A6" s="35" t="str">
        <f>TCD!A9</f>
        <v>Albert</v>
      </c>
      <c r="B6" s="35" t="str">
        <f>VLOOKUP(A6,'Liste salariés'!A:B,2,FALSE)</f>
        <v>Direction 2</v>
      </c>
      <c r="C6" s="43">
        <f>TCD!B9</f>
        <v>43393</v>
      </c>
      <c r="D6" s="37">
        <f>GETPIVOTDATA("Heure",TCD!$A$3,"Nom",TCD!$A9,"Date",TCD!$B9,"N° badg",TCD!C$4)</f>
        <v>0.55347222222222225</v>
      </c>
      <c r="E6" s="37">
        <f>GETPIVOTDATA("Heure",TCD!$A$3,"Nom",TCD!$A9,"Date",TCD!$B9,"N° badg",TCD!D$4)</f>
        <v>0.68888888888888899</v>
      </c>
      <c r="F6" s="37">
        <f>GETPIVOTDATA("Heure",TCD!$A$3,"Nom",TCD!$A9,"Date",TCD!$B9,"N° badg",TCD!E$4)</f>
        <v>0</v>
      </c>
      <c r="G6" s="37">
        <f>GETPIVOTDATA("Heure",TCD!$A$3,"Nom",TCD!$A9,"Date",TCD!$B9,"N° badg",TCD!F$4)</f>
        <v>0</v>
      </c>
      <c r="H6" s="37">
        <f>GETPIVOTDATA("Heure",TCD!$A$3,"Nom",TCD!$A9,"Date",TCD!$B9,"N° badg",TCD!G$4)</f>
        <v>0</v>
      </c>
      <c r="I6" s="37">
        <f>GETPIVOTDATA("Heure",TCD!$A$3,"Nom",TCD!$A9,"Date",TCD!$B9,"N° badg",TCD!H$4)</f>
        <v>0</v>
      </c>
      <c r="J6" s="37">
        <f>GETPIVOTDATA("Heure",TCD!$A$3,"Nom",TCD!$A9,"Date",TCD!$B9,"N° badg",TCD!I$4)</f>
        <v>0</v>
      </c>
      <c r="K6" s="37">
        <f>GETPIVOTDATA("Heure",TCD!$A$3,"Nom",TCD!$A9,"Date",TCD!$B9,"N° badg",TCD!J$4)</f>
        <v>0</v>
      </c>
      <c r="L6" s="37">
        <f t="shared" si="1"/>
        <v>0.68888888888888899</v>
      </c>
      <c r="M6" s="38">
        <f>8-(COUNTIF(D6:K6,Réf!A6))</f>
        <v>8</v>
      </c>
      <c r="N6" s="37">
        <f t="shared" si="0"/>
        <v>0.13541666666666674</v>
      </c>
      <c r="O6" s="36">
        <f t="shared" si="2"/>
        <v>6</v>
      </c>
      <c r="P6" s="37">
        <f>IF(AND(A6=A5,C6=C5+1),D6+(Réf!$A$2-L5),"")</f>
        <v>1.0222222222222221</v>
      </c>
      <c r="Q6" s="37" t="str">
        <f>IF(AND(A6=A5,O6=1,O5=5),D6+Réf!$A$2+Réf!$A$2+(Réf!$A$2-L5),"")</f>
        <v/>
      </c>
      <c r="R6" s="37" t="str">
        <f>IF(D6&lt;Réf!$A$3,Réf!$A$3-D6,"")</f>
        <v/>
      </c>
      <c r="S6" s="37" t="str">
        <f>IF(L6&gt;Réf!$A$4,L6-Réf!$A$4,"")</f>
        <v/>
      </c>
    </row>
    <row r="7" spans="1:19">
      <c r="A7" s="35" t="str">
        <f>TCD!A10</f>
        <v>Gérard</v>
      </c>
      <c r="B7" s="35" t="str">
        <f>VLOOKUP(A7,'Liste salariés'!A:B,2,FALSE)</f>
        <v>Direction 1</v>
      </c>
      <c r="C7" s="43">
        <f>TCD!B10</f>
        <v>43385</v>
      </c>
      <c r="D7" s="37">
        <f>GETPIVOTDATA("Heure",TCD!$A$3,"Nom",TCD!$A10,"Date",TCD!$B10,"N° badg",TCD!C$4)</f>
        <v>0.38680555555555557</v>
      </c>
      <c r="E7" s="37">
        <f>GETPIVOTDATA("Heure",TCD!$A$3,"Nom",TCD!$A10,"Date",TCD!$B10,"N° badg",TCD!D$4)</f>
        <v>0.55625000000000002</v>
      </c>
      <c r="F7" s="37">
        <f>GETPIVOTDATA("Heure",TCD!$A$3,"Nom",TCD!$A10,"Date",TCD!$B10,"N° badg",TCD!E$4)</f>
        <v>0.56805555555555554</v>
      </c>
      <c r="G7" s="37">
        <f>GETPIVOTDATA("Heure",TCD!$A$3,"Nom",TCD!$A10,"Date",TCD!$B10,"N° badg",TCD!F$4)</f>
        <v>0.72777777777777775</v>
      </c>
      <c r="H7" s="37">
        <f>GETPIVOTDATA("Heure",TCD!$A$3,"Nom",TCD!$A10,"Date",TCD!$B10,"N° badg",TCD!G$4)</f>
        <v>0</v>
      </c>
      <c r="I7" s="37">
        <f>GETPIVOTDATA("Heure",TCD!$A$3,"Nom",TCD!$A10,"Date",TCD!$B10,"N° badg",TCD!H$4)</f>
        <v>0</v>
      </c>
      <c r="J7" s="37">
        <f>GETPIVOTDATA("Heure",TCD!$A$3,"Nom",TCD!$A10,"Date",TCD!$B10,"N° badg",TCD!I$4)</f>
        <v>0</v>
      </c>
      <c r="K7" s="37">
        <f>GETPIVOTDATA("Heure",TCD!$A$3,"Nom",TCD!$A10,"Date",TCD!$B10,"N° badg",TCD!J$4)</f>
        <v>0</v>
      </c>
      <c r="L7" s="37">
        <f t="shared" si="1"/>
        <v>0.72777777777777775</v>
      </c>
      <c r="M7" s="38">
        <f>8-(COUNTIF(D7:K7,Réf!A7))</f>
        <v>8</v>
      </c>
      <c r="N7" s="37">
        <f t="shared" si="0"/>
        <v>0.32916666666666666</v>
      </c>
      <c r="O7" s="36">
        <f t="shared" si="2"/>
        <v>5</v>
      </c>
      <c r="P7" s="37" t="str">
        <f>IF(AND(A7=A6,C7=C6+1),D7+(Réf!$A$2-L6),"")</f>
        <v/>
      </c>
      <c r="Q7" s="37" t="str">
        <f>IF(AND(A7=A6,O7=1,O6=5),D7+Réf!$A$2+Réf!$A$2+(Réf!$A$2-L6),"")</f>
        <v/>
      </c>
      <c r="R7" s="37" t="str">
        <f>IF(D7&lt;Réf!$A$3,Réf!$A$3-D7,"")</f>
        <v/>
      </c>
      <c r="S7" s="37" t="str">
        <f>IF(L7&gt;Réf!$A$4,L7-Réf!$A$4,"")</f>
        <v/>
      </c>
    </row>
    <row r="8" spans="1:19">
      <c r="A8" s="35" t="str">
        <f>TCD!A11</f>
        <v>Gérard</v>
      </c>
      <c r="B8" s="35" t="str">
        <f>VLOOKUP(A8,'Liste salariés'!A:B,2,FALSE)</f>
        <v>Direction 1</v>
      </c>
      <c r="C8" s="43">
        <f>TCD!B11</f>
        <v>43388</v>
      </c>
      <c r="D8" s="37">
        <f>GETPIVOTDATA("Heure",TCD!$A$3,"Nom",TCD!$A11,"Date",TCD!$B11,"N° badg",TCD!C$4)</f>
        <v>0.38194444444444442</v>
      </c>
      <c r="E8" s="37">
        <f>GETPIVOTDATA("Heure",TCD!$A$3,"Nom",TCD!$A11,"Date",TCD!$B11,"N° badg",TCD!D$4)</f>
        <v>0.5493055555555556</v>
      </c>
      <c r="F8" s="37">
        <f>GETPIVOTDATA("Heure",TCD!$A$3,"Nom",TCD!$A11,"Date",TCD!$B11,"N° badg",TCD!E$4)</f>
        <v>0.5625</v>
      </c>
      <c r="G8" s="37">
        <f>GETPIVOTDATA("Heure",TCD!$A$3,"Nom",TCD!$A11,"Date",TCD!$B11,"N° badg",TCD!F$4)</f>
        <v>0.73055555555555562</v>
      </c>
      <c r="H8" s="37">
        <f>GETPIVOTDATA("Heure",TCD!$A$3,"Nom",TCD!$A11,"Date",TCD!$B11,"N° badg",TCD!G$4)</f>
        <v>0</v>
      </c>
      <c r="I8" s="37">
        <f>GETPIVOTDATA("Heure",TCD!$A$3,"Nom",TCD!$A11,"Date",TCD!$B11,"N° badg",TCD!H$4)</f>
        <v>0</v>
      </c>
      <c r="J8" s="37">
        <f>GETPIVOTDATA("Heure",TCD!$A$3,"Nom",TCD!$A11,"Date",TCD!$B11,"N° badg",TCD!I$4)</f>
        <v>0</v>
      </c>
      <c r="K8" s="37">
        <f>GETPIVOTDATA("Heure",TCD!$A$3,"Nom",TCD!$A11,"Date",TCD!$B11,"N° badg",TCD!J$4)</f>
        <v>0</v>
      </c>
      <c r="L8" s="37">
        <f t="shared" si="1"/>
        <v>0.73055555555555562</v>
      </c>
      <c r="M8" s="38">
        <f>8-(COUNTIF(D8:K8,Réf!A8))</f>
        <v>4</v>
      </c>
      <c r="N8" s="37">
        <f t="shared" si="0"/>
        <v>0.33541666666666681</v>
      </c>
      <c r="O8" s="36">
        <f t="shared" si="2"/>
        <v>1</v>
      </c>
      <c r="P8" s="37" t="str">
        <f>IF(AND(A8=A7,C8=C7+1),D8+(Réf!$A$2-L7),"")</f>
        <v/>
      </c>
      <c r="Q8" s="37">
        <f>IF(AND(A8=A7,O8=1,O7=5),D8+Réf!$A$2+Réf!$A$2+(Réf!$A$2-L7),"")</f>
        <v>2.6541666666666668</v>
      </c>
      <c r="R8" s="37" t="str">
        <f>IF(D8&lt;Réf!$A$3,Réf!$A$3-D8,"")</f>
        <v/>
      </c>
      <c r="S8" s="37" t="str">
        <f>IF(L8&gt;Réf!$A$4,L8-Réf!$A$4,"")</f>
        <v/>
      </c>
    </row>
    <row r="9" spans="1:19">
      <c r="A9" s="35" t="str">
        <f>TCD!A12</f>
        <v>Gérard</v>
      </c>
      <c r="B9" s="35" t="str">
        <f>VLOOKUP(A9,'Liste salariés'!A:B,2,FALSE)</f>
        <v>Direction 1</v>
      </c>
      <c r="C9" s="43">
        <f>TCD!B12</f>
        <v>43389</v>
      </c>
      <c r="D9" s="37">
        <f>GETPIVOTDATA("Heure",TCD!$A$3,"Nom",TCD!$A12,"Date",TCD!$B12,"N° badg",TCD!C$4)</f>
        <v>0.29722222222222222</v>
      </c>
      <c r="E9" s="37">
        <f>GETPIVOTDATA("Heure",TCD!$A$3,"Nom",TCD!$A12,"Date",TCD!$B12,"N° badg",TCD!D$4)</f>
        <v>0.81041666666666667</v>
      </c>
      <c r="F9" s="37">
        <f>GETPIVOTDATA("Heure",TCD!$A$3,"Nom",TCD!$A12,"Date",TCD!$B12,"N° badg",TCD!E$4)</f>
        <v>0</v>
      </c>
      <c r="G9" s="37">
        <f>GETPIVOTDATA("Heure",TCD!$A$3,"Nom",TCD!$A12,"Date",TCD!$B12,"N° badg",TCD!F$4)</f>
        <v>0</v>
      </c>
      <c r="H9" s="37">
        <f>GETPIVOTDATA("Heure",TCD!$A$3,"Nom",TCD!$A12,"Date",TCD!$B12,"N° badg",TCD!G$4)</f>
        <v>0</v>
      </c>
      <c r="I9" s="37">
        <f>GETPIVOTDATA("Heure",TCD!$A$3,"Nom",TCD!$A12,"Date",TCD!$B12,"N° badg",TCD!H$4)</f>
        <v>0</v>
      </c>
      <c r="J9" s="37">
        <f>GETPIVOTDATA("Heure",TCD!$A$3,"Nom",TCD!$A12,"Date",TCD!$B12,"N° badg",TCD!I$4)</f>
        <v>0</v>
      </c>
      <c r="K9" s="37">
        <f>GETPIVOTDATA("Heure",TCD!$A$3,"Nom",TCD!$A12,"Date",TCD!$B12,"N° badg",TCD!J$4)</f>
        <v>0</v>
      </c>
      <c r="L9" s="37">
        <f t="shared" si="1"/>
        <v>0.81041666666666667</v>
      </c>
      <c r="M9" s="38">
        <f>8-(COUNTIF(D9:K9,Réf!A9))</f>
        <v>2</v>
      </c>
      <c r="N9" s="37">
        <f t="shared" si="0"/>
        <v>0.51319444444444451</v>
      </c>
      <c r="O9" s="36">
        <f t="shared" si="2"/>
        <v>2</v>
      </c>
      <c r="P9" s="37">
        <f>IF(AND(A9=A8,C9=C8+1),D9+(Réf!$A$2-L8),"")</f>
        <v>0.56666666666666665</v>
      </c>
      <c r="Q9" s="37" t="str">
        <f>IF(AND(A9=A8,O9=1,O8=5),D9+Réf!$A$2+Réf!$A$2+(Réf!$A$2-L8),"")</f>
        <v/>
      </c>
      <c r="R9" s="37">
        <f>IF(D9&lt;Réf!$A$3,Réf!$A$3-D9,"")</f>
        <v>1.5277777777777779E-2</v>
      </c>
      <c r="S9" s="37">
        <f>IF(L9&gt;Réf!$A$4,L9-Réf!$A$4,"")</f>
        <v>1.8750000000000044E-2</v>
      </c>
    </row>
    <row r="10" spans="1:19">
      <c r="A10" s="35" t="str">
        <f>TCD!A13</f>
        <v>Gérard</v>
      </c>
      <c r="B10" s="35" t="str">
        <f>VLOOKUP(A10,'Liste salariés'!A:B,2,FALSE)</f>
        <v>Direction 1</v>
      </c>
      <c r="C10" s="43">
        <f>TCD!B13</f>
        <v>43390</v>
      </c>
      <c r="D10" s="37">
        <f>GETPIVOTDATA("Heure",TCD!$A$3,"Nom",TCD!$A13,"Date",TCD!$B13,"N° badg",TCD!C$4)</f>
        <v>0.26597222222222222</v>
      </c>
      <c r="E10" s="37">
        <f>GETPIVOTDATA("Heure",TCD!$A$3,"Nom",TCD!$A13,"Date",TCD!$B13,"N° badg",TCD!D$4)</f>
        <v>0.57500000000000007</v>
      </c>
      <c r="F10" s="37">
        <f>GETPIVOTDATA("Heure",TCD!$A$3,"Nom",TCD!$A13,"Date",TCD!$B13,"N° badg",TCD!E$4)</f>
        <v>0.61597222222222225</v>
      </c>
      <c r="G10" s="37">
        <f>GETPIVOTDATA("Heure",TCD!$A$3,"Nom",TCD!$A13,"Date",TCD!$B13,"N° badg",TCD!F$4)</f>
        <v>0.72361111111111109</v>
      </c>
      <c r="H10" s="37">
        <f>GETPIVOTDATA("Heure",TCD!$A$3,"Nom",TCD!$A13,"Date",TCD!$B13,"N° badg",TCD!G$4)</f>
        <v>0</v>
      </c>
      <c r="I10" s="37">
        <f>GETPIVOTDATA("Heure",TCD!$A$3,"Nom",TCD!$A13,"Date",TCD!$B13,"N° badg",TCD!H$4)</f>
        <v>0</v>
      </c>
      <c r="J10" s="37">
        <f>GETPIVOTDATA("Heure",TCD!$A$3,"Nom",TCD!$A13,"Date",TCD!$B13,"N° badg",TCD!I$4)</f>
        <v>0</v>
      </c>
      <c r="K10" s="37">
        <f>GETPIVOTDATA("Heure",TCD!$A$3,"Nom",TCD!$A13,"Date",TCD!$B13,"N° badg",TCD!J$4)</f>
        <v>0</v>
      </c>
      <c r="L10" s="37">
        <f t="shared" si="1"/>
        <v>0.72361111111111109</v>
      </c>
      <c r="M10" s="38">
        <f>8-(COUNTIF(D10:K10,Réf!A10))</f>
        <v>4</v>
      </c>
      <c r="N10" s="37">
        <f>IF(OR(M10=2,M10=4,M10=6,M10=8),(E10-D10)+(G10-F10)+(I10-H10)+(K10-J10),"")</f>
        <v>0.41666666666666669</v>
      </c>
      <c r="O10" s="36">
        <f t="shared" si="2"/>
        <v>3</v>
      </c>
      <c r="P10" s="37">
        <f>IF(AND(A10=A9,C10=C9+1),D10+(Réf!$A$2-L9),"")</f>
        <v>0.45555555555555555</v>
      </c>
      <c r="Q10" s="37" t="str">
        <f>IF(AND(A10=A9,O10=1,O9=5),D10+Réf!$A$2+Réf!$A$2+(Réf!$A$2-L9),"")</f>
        <v/>
      </c>
      <c r="R10" s="37">
        <f>IF(D10&lt;Réf!$A$3,Réf!$A$3-D10,"")</f>
        <v>4.6527777777777779E-2</v>
      </c>
      <c r="S10" s="37" t="str">
        <f>IF(L10&gt;Réf!$A$4,L10-Réf!$A$4,"")</f>
        <v/>
      </c>
    </row>
    <row r="11" spans="1:19">
      <c r="A11" s="35" t="str">
        <f>TCD!A14</f>
        <v>Gérard</v>
      </c>
      <c r="B11" s="35" t="str">
        <f>VLOOKUP(A11,'Liste salariés'!A:B,2,FALSE)</f>
        <v>Direction 1</v>
      </c>
      <c r="C11" s="43">
        <f>TCD!B14</f>
        <v>43392</v>
      </c>
      <c r="D11" s="37">
        <f>GETPIVOTDATA("Heure",TCD!$A$3,"Nom",TCD!$A14,"Date",TCD!$B14,"N° badg",TCD!C$4)</f>
        <v>0.38472222222222219</v>
      </c>
      <c r="E11" s="37">
        <f>GETPIVOTDATA("Heure",TCD!$A$3,"Nom",TCD!$A14,"Date",TCD!$B14,"N° badg",TCD!D$4)</f>
        <v>0.54999999999999993</v>
      </c>
      <c r="F11" s="37">
        <f>GETPIVOTDATA("Heure",TCD!$A$3,"Nom",TCD!$A14,"Date",TCD!$B14,"N° badg",TCD!E$4)</f>
        <v>0.7055555555555556</v>
      </c>
      <c r="G11" s="37">
        <f>GETPIVOTDATA("Heure",TCD!$A$3,"Nom",TCD!$A14,"Date",TCD!$B14,"N° badg",TCD!F$4)</f>
        <v>0</v>
      </c>
      <c r="H11" s="37">
        <f>GETPIVOTDATA("Heure",TCD!$A$3,"Nom",TCD!$A14,"Date",TCD!$B14,"N° badg",TCD!G$4)</f>
        <v>0</v>
      </c>
      <c r="I11" s="37">
        <f>GETPIVOTDATA("Heure",TCD!$A$3,"Nom",TCD!$A14,"Date",TCD!$B14,"N° badg",TCD!H$4)</f>
        <v>0</v>
      </c>
      <c r="J11" s="37">
        <f>GETPIVOTDATA("Heure",TCD!$A$3,"Nom",TCD!$A14,"Date",TCD!$B14,"N° badg",TCD!I$4)</f>
        <v>0</v>
      </c>
      <c r="K11" s="37">
        <f>GETPIVOTDATA("Heure",TCD!$A$3,"Nom",TCD!$A14,"Date",TCD!$B14,"N° badg",TCD!J$4)</f>
        <v>0</v>
      </c>
      <c r="L11" s="37">
        <f t="shared" si="1"/>
        <v>0.54999999999999993</v>
      </c>
      <c r="M11" s="38">
        <f>8-(COUNTIF(D11:K11,Réf!A11))</f>
        <v>3</v>
      </c>
      <c r="N11" s="37" t="str">
        <f t="shared" ref="N11:N12" si="3">IF(OR(M11=2,M11=4,M11=6,M11=8),(E11-D11)+(G11-F11)+(I11-H11)+(K11-J11),"")</f>
        <v/>
      </c>
      <c r="O11" s="36">
        <f t="shared" si="2"/>
        <v>5</v>
      </c>
      <c r="P11" s="37" t="str">
        <f>IF(AND(A11=A10,C11=C10+1),D11+(Réf!$A$2-L10),"")</f>
        <v/>
      </c>
      <c r="Q11" s="37" t="str">
        <f>IF(AND(A11=A10,O11=1,O10=5),D11+Réf!$A$2+Réf!$A$2+(Réf!$A$2-L10),"")</f>
        <v/>
      </c>
      <c r="R11" s="37" t="str">
        <f>IF(D11&lt;Réf!$A$3,Réf!$A$3-D11,"")</f>
        <v/>
      </c>
      <c r="S11" s="37" t="str">
        <f>IF(L11&gt;Réf!$A$4,L11-Réf!$A$4,"")</f>
        <v/>
      </c>
    </row>
    <row r="12" spans="1:19">
      <c r="A12" s="35" t="str">
        <f>TCD!A15</f>
        <v>Robert</v>
      </c>
      <c r="B12" s="35" t="str">
        <f>VLOOKUP(A12,'Liste salariés'!A:B,2,FALSE)</f>
        <v>Direction 2</v>
      </c>
      <c r="C12" s="43">
        <f>TCD!B15</f>
        <v>43388</v>
      </c>
      <c r="D12" s="37">
        <f>GETPIVOTDATA("Heure",TCD!$A$3,"Nom",TCD!$A15,"Date",TCD!$B15,"N° badg",TCD!C$4)</f>
        <v>0.31319444444444444</v>
      </c>
      <c r="E12" s="37">
        <f>GETPIVOTDATA("Heure",TCD!$A$3,"Nom",TCD!$A15,"Date",TCD!$B15,"N° badg",TCD!D$4)</f>
        <v>0.47291666666666665</v>
      </c>
      <c r="F12" s="37">
        <f>GETPIVOTDATA("Heure",TCD!$A$3,"Nom",TCD!$A15,"Date",TCD!$B15,"N° badg",TCD!E$4)</f>
        <v>0.49444444444444446</v>
      </c>
      <c r="G12" s="37">
        <f>GETPIVOTDATA("Heure",TCD!$A$3,"Nom",TCD!$A15,"Date",TCD!$B15,"N° badg",TCD!F$4)</f>
        <v>0.71458333333333324</v>
      </c>
      <c r="H12" s="37">
        <f>GETPIVOTDATA("Heure",TCD!$A$3,"Nom",TCD!$A15,"Date",TCD!$B15,"N° badg",TCD!G$4)</f>
        <v>0</v>
      </c>
      <c r="I12" s="37">
        <f>GETPIVOTDATA("Heure",TCD!$A$3,"Nom",TCD!$A15,"Date",TCD!$B15,"N° badg",TCD!H$4)</f>
        <v>0</v>
      </c>
      <c r="J12" s="37">
        <f>GETPIVOTDATA("Heure",TCD!$A$3,"Nom",TCD!$A15,"Date",TCD!$B15,"N° badg",TCD!I$4)</f>
        <v>0</v>
      </c>
      <c r="K12" s="37">
        <f>GETPIVOTDATA("Heure",TCD!$A$3,"Nom",TCD!$A15,"Date",TCD!$B15,"N° badg",TCD!J$4)</f>
        <v>0</v>
      </c>
      <c r="L12" s="37">
        <f t="shared" si="1"/>
        <v>0.71458333333333324</v>
      </c>
      <c r="M12" s="38">
        <f>8-(COUNTIF(D12:K12,Réf!A12))</f>
        <v>4</v>
      </c>
      <c r="N12" s="37">
        <f t="shared" si="3"/>
        <v>0.37986111111111098</v>
      </c>
      <c r="O12" s="36">
        <f t="shared" si="2"/>
        <v>1</v>
      </c>
      <c r="P12" s="37" t="str">
        <f>IF(AND(A12=A11,C12=C11+1),D12+(Réf!$A$2-L11),"")</f>
        <v/>
      </c>
      <c r="Q12" s="37" t="str">
        <f>IF(AND(A12=A11,O12=1,O11=5),D12+Réf!$A$2+Réf!$A$2+(Réf!$A$2-L11),"")</f>
        <v/>
      </c>
      <c r="R12" s="37" t="str">
        <f>IF(D12&lt;Réf!$A$3,Réf!$A$3-D12,"")</f>
        <v/>
      </c>
      <c r="S12" s="37" t="str">
        <f>IF(L12&gt;Réf!$A$4,L12-Réf!$A$4,"")</f>
        <v/>
      </c>
    </row>
    <row r="13" spans="1:19">
      <c r="A13" s="35" t="str">
        <f>TCD!A16</f>
        <v>Robert</v>
      </c>
      <c r="B13" s="35" t="str">
        <f>VLOOKUP(A13,'Liste salariés'!A:B,2,FALSE)</f>
        <v>Direction 2</v>
      </c>
      <c r="C13" s="43">
        <f>TCD!B16</f>
        <v>43389</v>
      </c>
      <c r="D13" s="37">
        <f>GETPIVOTDATA("Heure",TCD!$A$3,"Nom",TCD!$A16,"Date",TCD!$B16,"N° badg",TCD!C$4)</f>
        <v>0.31388888888888888</v>
      </c>
      <c r="E13" s="37">
        <f>GETPIVOTDATA("Heure",TCD!$A$3,"Nom",TCD!$A16,"Date",TCD!$B16,"N° badg",TCD!D$4)</f>
        <v>0.375</v>
      </c>
      <c r="F13" s="37">
        <f>GETPIVOTDATA("Heure",TCD!$A$3,"Nom",TCD!$A16,"Date",TCD!$B16,"N° badg",TCD!E$4)</f>
        <v>0.39583333333333331</v>
      </c>
      <c r="G13" s="37">
        <f>GETPIVOTDATA("Heure",TCD!$A$3,"Nom",TCD!$A16,"Date",TCD!$B16,"N° badg",TCD!F$4)</f>
        <v>0.47152777777777777</v>
      </c>
      <c r="H13" s="37">
        <f>GETPIVOTDATA("Heure",TCD!$A$3,"Nom",TCD!$A16,"Date",TCD!$B16,"N° badg",TCD!G$4)</f>
        <v>0.49444444444444446</v>
      </c>
      <c r="I13" s="37">
        <f>GETPIVOTDATA("Heure",TCD!$A$3,"Nom",TCD!$A16,"Date",TCD!$B16,"N° badg",TCD!H$4)</f>
        <v>0.67152777777777783</v>
      </c>
      <c r="J13" s="37">
        <f>GETPIVOTDATA("Heure",TCD!$A$3,"Nom",TCD!$A16,"Date",TCD!$B16,"N° badg",TCD!I$4)</f>
        <v>0.70833333333333337</v>
      </c>
      <c r="K13" s="37">
        <f>GETPIVOTDATA("Heure",TCD!$A$3,"Nom",TCD!$A16,"Date",TCD!$B16,"N° badg",TCD!J$4)</f>
        <v>0.80763888888888891</v>
      </c>
      <c r="L13" s="37">
        <f t="shared" ref="L13" si="4">IF(K13&lt;&gt;0,K13,IF(I13&lt;&gt;0,I13,IF(G13&lt;&gt;0,G13,IF(E13&lt;&gt;0,E13,))))</f>
        <v>0.80763888888888891</v>
      </c>
      <c r="M13" s="38">
        <f>8-(COUNTIF(D13:K13,Réf!A13))</f>
        <v>8</v>
      </c>
      <c r="N13" s="37">
        <f t="shared" ref="N13" si="5">IF(OR(M13=2,M13=4,M13=6,M13=8),(E13-D13)+(G13-F13)+(I13-H13)+(K13-J13),"")</f>
        <v>0.41319444444444448</v>
      </c>
      <c r="O13" s="36">
        <f t="shared" ref="O13" si="6">WEEKDAY(C13,2)</f>
        <v>2</v>
      </c>
      <c r="P13" s="37">
        <f>IF(AND(A13=A12,C13=C12+1),D13+(Réf!$A$2-L12),"")</f>
        <v>0.59930555555555565</v>
      </c>
      <c r="Q13" s="37" t="str">
        <f>IF(AND(A13=A12,O13=1,O12=5),D13+Réf!$A$2+Réf!$A$2+(Réf!$A$2-L12),"")</f>
        <v/>
      </c>
      <c r="R13" s="37" t="str">
        <f>IF(D13&lt;Réf!$A$3,Réf!$A$3-D13,"")</f>
        <v/>
      </c>
      <c r="S13" s="37">
        <f>IF(L13&gt;Réf!$A$4,L13-Réf!$A$4,"")</f>
        <v>1.5972222222222276E-2</v>
      </c>
    </row>
  </sheetData>
  <autoFilter ref="A1:S12"/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6" sqref="A6"/>
    </sheetView>
  </sheetViews>
  <sheetFormatPr baseColWidth="10" defaultRowHeight="12" x14ac:dyDescent="0"/>
  <sheetData>
    <row r="1" spans="1:1">
      <c r="A1" s="33">
        <v>0</v>
      </c>
    </row>
    <row r="2" spans="1:1">
      <c r="A2" s="33">
        <v>1</v>
      </c>
    </row>
    <row r="3" spans="1:1">
      <c r="A3" s="33">
        <v>0.3125</v>
      </c>
    </row>
    <row r="4" spans="1:1">
      <c r="A4" s="33">
        <v>0.79166666666666663</v>
      </c>
    </row>
    <row r="5" spans="1:1">
      <c r="A5" s="33">
        <v>0.5</v>
      </c>
    </row>
    <row r="6" spans="1:1">
      <c r="A6" s="33">
        <v>0.45833333333333331</v>
      </c>
    </row>
    <row r="7" spans="1:1">
      <c r="A7" s="33">
        <v>1.4583333333333333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5" sqref="B5"/>
    </sheetView>
  </sheetViews>
  <sheetFormatPr baseColWidth="10" defaultRowHeight="12" x14ac:dyDescent="0"/>
  <sheetData>
    <row r="1" spans="1:2">
      <c r="A1" s="44" t="s">
        <v>24</v>
      </c>
      <c r="B1" s="44" t="s">
        <v>25</v>
      </c>
    </row>
    <row r="2" spans="1:2">
      <c r="A2" s="44" t="s">
        <v>5</v>
      </c>
      <c r="B2" s="44" t="s">
        <v>26</v>
      </c>
    </row>
    <row r="3" spans="1:2">
      <c r="A3" s="44" t="s">
        <v>4</v>
      </c>
      <c r="B3" s="44" t="s">
        <v>27</v>
      </c>
    </row>
    <row r="4" spans="1:2">
      <c r="A4" s="44" t="s">
        <v>3</v>
      </c>
      <c r="B4" s="44" t="s">
        <v>26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D4" sqref="D4"/>
    </sheetView>
  </sheetViews>
  <sheetFormatPr baseColWidth="10" defaultRowHeight="12" x14ac:dyDescent="0"/>
  <cols>
    <col min="1" max="1" width="37" customWidth="1"/>
    <col min="2" max="2" width="10.83203125" style="34"/>
  </cols>
  <sheetData>
    <row r="1" spans="1:4">
      <c r="A1" s="45" t="s">
        <v>28</v>
      </c>
    </row>
    <row r="3" spans="1:4">
      <c r="A3" s="44" t="s">
        <v>35</v>
      </c>
      <c r="B3" s="34">
        <f>COUNTIFS(Synthèse!B:B,"Direction 1",Synthèse!N:N,"&lt;Réf!A5")</f>
        <v>1</v>
      </c>
    </row>
    <row r="4" spans="1:4">
      <c r="A4" s="44" t="s">
        <v>31</v>
      </c>
      <c r="B4" s="34">
        <f>COUNTIFS(Synthèse!B:B,"Direction 1",Synthèse!P:P,"&gt;Réf!A6")</f>
        <v>0</v>
      </c>
      <c r="D4">
        <f>COUNTIF(Synthèse!P:P,"&gt;Réf!A5")</f>
        <v>1</v>
      </c>
    </row>
    <row r="5" spans="1:4">
      <c r="A5" s="44" t="s">
        <v>30</v>
      </c>
      <c r="B5" s="34">
        <f>COUNTIFS(Synthèse!B:B,"Direction 1",Synthèse!Q:Q,"&lt;Réf!A7",Synthèse!Q:Q,"&gt;Réf!A1")</f>
        <v>0</v>
      </c>
    </row>
    <row r="6" spans="1:4">
      <c r="A6" s="44" t="s">
        <v>32</v>
      </c>
      <c r="B6" s="34">
        <f>COUNTIFS(Synthèse!B:B,"Direction 1",Synthèse!O:O,6)+COUNTIFS(Synthèse!B:B,"Direction 1",Synthèse!O:O,7)</f>
        <v>0</v>
      </c>
    </row>
    <row r="7" spans="1:4">
      <c r="A7" s="44" t="s">
        <v>33</v>
      </c>
      <c r="B7" s="32">
        <f>SUMIF(Synthèse!B:B,"Direction 1",Synthèse!R:R)</f>
        <v>6.1805555555555558E-2</v>
      </c>
    </row>
    <row r="8" spans="1:4">
      <c r="A8" s="44" t="s">
        <v>34</v>
      </c>
      <c r="B8" s="32">
        <f>SUMIF(Synthèse!B:B,"Direction 1",Synthèse!S:S)</f>
        <v>1.8750000000000044E-2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B3" sqref="B3"/>
    </sheetView>
  </sheetViews>
  <sheetFormatPr baseColWidth="10" defaultRowHeight="12" x14ac:dyDescent="0"/>
  <cols>
    <col min="1" max="1" width="37" customWidth="1"/>
    <col min="2" max="2" width="10.83203125" style="34"/>
  </cols>
  <sheetData>
    <row r="1" spans="1:2">
      <c r="A1" s="45" t="s">
        <v>29</v>
      </c>
    </row>
    <row r="3" spans="1:2">
      <c r="A3" s="44" t="s">
        <v>35</v>
      </c>
      <c r="B3" s="34">
        <f>COUNTIFS(Synthèse!B:B,"Direction 2",Synthèse!N:N,"&gt;Réf!A5")</f>
        <v>0</v>
      </c>
    </row>
    <row r="4" spans="1:2">
      <c r="A4" s="44" t="s">
        <v>31</v>
      </c>
      <c r="B4" s="34">
        <f>COUNTIFS(Synthèse!B:B,"Direction2",Synthèse!P:P,"&lt;Réf!A6",Synthèse!P:P,"&gt;Réf!A1")</f>
        <v>0</v>
      </c>
    </row>
    <row r="5" spans="1:2">
      <c r="A5" s="44" t="s">
        <v>30</v>
      </c>
      <c r="B5" s="34">
        <f>COUNTIFS(Synthèse!B:B,"Direction 2",Synthèse!Q:Q,"&lt;Réf!A7",Synthèse!Q:Q,"&gt;Réf!A1")</f>
        <v>0</v>
      </c>
    </row>
    <row r="6" spans="1:2">
      <c r="A6" s="44" t="s">
        <v>32</v>
      </c>
      <c r="B6" s="34">
        <f>COUNTIFS(Synthèse!B:B,"Direction 2",Synthèse!O:O,6)+COUNTIFS(Synthèse!B:B,"Direction 1",Synthèse!O:O,7)</f>
        <v>1</v>
      </c>
    </row>
    <row r="7" spans="1:2">
      <c r="A7" s="44" t="s">
        <v>33</v>
      </c>
      <c r="B7" s="32">
        <f>SUMIF(Synthèse!B:B,"Direction 2",Synthèse!R:R)</f>
        <v>8.3333333333333592E-3</v>
      </c>
    </row>
    <row r="8" spans="1:2">
      <c r="A8" s="44" t="s">
        <v>34</v>
      </c>
      <c r="B8" s="32">
        <f>SUMIF(Synthèse!B:B,"Direction 2",Synthèse!S:S)</f>
        <v>1.5972222222222276E-2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BD</vt:lpstr>
      <vt:lpstr>TCD</vt:lpstr>
      <vt:lpstr>Synthèse</vt:lpstr>
      <vt:lpstr>Réf</vt:lpstr>
      <vt:lpstr>Liste salariés</vt:lpstr>
      <vt:lpstr>Stats Direction 1</vt:lpstr>
      <vt:lpstr>Stats Direction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BOITEL, Nicolas</dc:creator>
  <cp:lastModifiedBy>Nicolas</cp:lastModifiedBy>
  <dcterms:created xsi:type="dcterms:W3CDTF">2018-10-20T19:15:56Z</dcterms:created>
  <dcterms:modified xsi:type="dcterms:W3CDTF">2018-10-21T19:34:54Z</dcterms:modified>
</cp:coreProperties>
</file>