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16" codeName="{C80E003A-6C80-AF87-3323-10F97C11A349}"/>
  <workbookPr codeName="ThisWorkbook"/>
  <mc:AlternateContent xmlns:mc="http://schemas.openxmlformats.org/markup-compatibility/2006">
    <mc:Choice Requires="x15">
      <x15ac:absPath xmlns:x15ac="http://schemas.microsoft.com/office/spreadsheetml/2010/11/ac" url="/Volumes/Expansion/Normandy Discovery Tours/VISITES 2024/"/>
    </mc:Choice>
  </mc:AlternateContent>
  <xr:revisionPtr revIDLastSave="0" documentId="13_ncr:1_{451B14AE-2B2C-5446-9889-F898F96FBA64}" xr6:coauthVersionLast="47" xr6:coauthVersionMax="47" xr10:uidLastSave="{00000000-0000-0000-0000-000000000000}"/>
  <bookViews>
    <workbookView xWindow="1620" yWindow="520" windowWidth="25580" windowHeight="16380" activeTab="1" xr2:uid="{00000000-000D-0000-FFFF-FFFF00000000}"/>
  </bookViews>
  <sheets>
    <sheet name="TOTAL" sheetId="8" r:id="rId1"/>
    <sheet name="AVRIL CA" sheetId="1" r:id="rId2"/>
    <sheet name="AVRIL D" sheetId="10" r:id="rId3"/>
    <sheet name="MAI CA" sheetId="11" r:id="rId4"/>
    <sheet name="MAI D" sheetId="12" r:id="rId5"/>
    <sheet name="JUIN CA" sheetId="13" r:id="rId6"/>
    <sheet name="JUIN D" sheetId="14" r:id="rId7"/>
    <sheet name="JUILLET CA" sheetId="15" r:id="rId8"/>
    <sheet name="JUILLET D" sheetId="16" r:id="rId9"/>
    <sheet name="AOUT CA" sheetId="17" r:id="rId10"/>
    <sheet name="AOUT D" sheetId="18" r:id="rId11"/>
    <sheet name="SEPT CA" sheetId="19" r:id="rId12"/>
    <sheet name="SEPT D" sheetId="20" r:id="rId13"/>
    <sheet name="OCT CA" sheetId="21" r:id="rId14"/>
    <sheet name="OCT D" sheetId="30" r:id="rId15"/>
    <sheet name="NOV D" sheetId="31" r:id="rId16"/>
    <sheet name="DEC D" sheetId="32" r:id="rId17"/>
    <sheet name="JANV D" sheetId="33" r:id="rId18"/>
    <sheet name="FEV D" sheetId="34" r:id="rId19"/>
    <sheet name="MARS D" sheetId="35" r:id="rId20"/>
  </sheets>
  <definedNames>
    <definedName name="_xlnm._FilterDatabase" localSheetId="1" hidden="1">'AVRIL CA'!$J$1:$J$89</definedName>
    <definedName name="couleur">GET.CELL(63,'AVRIL CA'!XFD1)</definedName>
    <definedName name="couleurF">GET.CELL(63,'AVRIL CA'!XFC1)</definedName>
    <definedName name="couleurR">GET.CELL(63,'AVRIL CA'!XFA1)</definedName>
    <definedName name="Couleurs">OFFSET('AVRIL D'!#REF!,0,0,COUNTA('AVRIL D'!$L:$L)+0)</definedName>
    <definedName name="Couleurs1">OFFSET('AVRIL CA'!$S$9,0,0,COUNTA('AVRIL CA'!$F:$F)-2)</definedName>
    <definedName name="Couleurs2">OFFSET('AVRIL CA'!$S$9,0,0,COUNTA('AVRIL CA'!$F:$F)-2)</definedName>
    <definedName name="Couleurs3">OFFSET('AVRIL CA'!$S$9,0,0,COUNTA('AVRIL CA'!$F:$F)-2)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7" i="8" l="1"/>
  <c r="F37" i="8" s="1"/>
  <c r="C36" i="8"/>
  <c r="F36" i="8" s="1"/>
  <c r="C35" i="8"/>
  <c r="F35" i="8" s="1"/>
  <c r="C34" i="8"/>
  <c r="F34" i="8" s="1"/>
  <c r="C33" i="8"/>
  <c r="F33" i="8" s="1"/>
  <c r="E32" i="8"/>
  <c r="D32" i="8"/>
  <c r="C32" i="8"/>
  <c r="E31" i="8"/>
  <c r="D31" i="8"/>
  <c r="C31" i="8"/>
  <c r="E30" i="8"/>
  <c r="D30" i="8"/>
  <c r="C30" i="8"/>
  <c r="E29" i="8"/>
  <c r="D29" i="8"/>
  <c r="C29" i="8"/>
  <c r="F29" i="8" s="1"/>
  <c r="E28" i="8"/>
  <c r="D28" i="8"/>
  <c r="C28" i="8"/>
  <c r="F28" i="8" s="1"/>
  <c r="E27" i="8"/>
  <c r="D27" i="8"/>
  <c r="C27" i="8"/>
  <c r="F27" i="8" s="1"/>
  <c r="E26" i="8"/>
  <c r="D26" i="8"/>
  <c r="C26" i="8"/>
  <c r="M73" i="1" a="1"/>
  <c r="F26" i="8" l="1"/>
  <c r="F32" i="8"/>
  <c r="E38" i="8"/>
  <c r="F31" i="8"/>
  <c r="F38" i="8" s="1"/>
  <c r="F30" i="8"/>
  <c r="D38" i="8"/>
  <c r="C38" i="8"/>
  <c r="M73" i="1"/>
  <c r="P73" i="1" a="1"/>
  <c r="P73" i="1"/>
  <c r="M74" i="1" a="1"/>
  <c r="M74" i="1"/>
  <c r="P74" i="1" a="1"/>
  <c r="P74" i="1"/>
  <c r="J78" i="1"/>
  <c r="L78" i="1"/>
  <c r="O78" i="1"/>
  <c r="M76" i="1" a="1"/>
  <c r="M76" i="1"/>
  <c r="P76" i="1" a="1"/>
  <c r="P76" i="1"/>
  <c r="M75" i="1" a="1"/>
  <c r="M75" i="1"/>
  <c r="P75" i="1" a="1"/>
  <c r="P75" i="1"/>
  <c r="V13" i="1"/>
  <c r="U13" i="1"/>
  <c r="T13" i="1"/>
  <c r="M72" i="1" a="1"/>
  <c r="X13" i="1" l="1"/>
  <c r="W13" i="1"/>
  <c r="M72" i="1"/>
  <c r="P72" i="1" a="1"/>
  <c r="P72" i="1"/>
  <c r="I60" i="13" l="1"/>
  <c r="T14" i="11"/>
  <c r="U14" i="11"/>
  <c r="V14" i="11"/>
  <c r="M15" i="11" a="1"/>
  <c r="P15" i="11" a="1"/>
  <c r="P15" i="11" l="1"/>
  <c r="M15" i="11"/>
  <c r="X14" i="11"/>
  <c r="W14" i="11"/>
  <c r="I21" i="10" l="1"/>
  <c r="M14" i="11" a="1"/>
  <c r="P14" i="11" a="1"/>
  <c r="P14" i="11" l="1"/>
  <c r="M14" i="11"/>
  <c r="H14" i="18" l="1"/>
  <c r="N17" i="8"/>
  <c r="H36" i="35"/>
  <c r="I36" i="35" s="1"/>
  <c r="I35" i="35"/>
  <c r="H35" i="35"/>
  <c r="H34" i="35"/>
  <c r="I34" i="35" s="1"/>
  <c r="I33" i="35"/>
  <c r="H33" i="35"/>
  <c r="H32" i="35"/>
  <c r="I32" i="35" s="1"/>
  <c r="I31" i="35"/>
  <c r="H31" i="35"/>
  <c r="H30" i="35"/>
  <c r="I30" i="35" s="1"/>
  <c r="I29" i="35"/>
  <c r="H29" i="35"/>
  <c r="H28" i="35"/>
  <c r="I28" i="35" s="1"/>
  <c r="I27" i="35"/>
  <c r="H27" i="35"/>
  <c r="H26" i="35"/>
  <c r="I26" i="35" s="1"/>
  <c r="I25" i="35"/>
  <c r="H25" i="35"/>
  <c r="H24" i="35"/>
  <c r="I24" i="35" s="1"/>
  <c r="I23" i="35"/>
  <c r="H23" i="35"/>
  <c r="H22" i="35"/>
  <c r="I22" i="35" s="1"/>
  <c r="I21" i="35"/>
  <c r="H21" i="35"/>
  <c r="H20" i="35"/>
  <c r="I20" i="35" s="1"/>
  <c r="I19" i="35"/>
  <c r="H19" i="35"/>
  <c r="H18" i="35"/>
  <c r="I18" i="35" s="1"/>
  <c r="L17" i="35"/>
  <c r="M17" i="35" s="1"/>
  <c r="H17" i="35"/>
  <c r="I17" i="35" s="1"/>
  <c r="L16" i="35"/>
  <c r="M16" i="35" s="1"/>
  <c r="H16" i="35"/>
  <c r="I16" i="35" s="1"/>
  <c r="L15" i="35"/>
  <c r="M15" i="35" s="1"/>
  <c r="H15" i="35"/>
  <c r="I15" i="35" s="1"/>
  <c r="L14" i="35"/>
  <c r="M14" i="35" s="1"/>
  <c r="H14" i="35"/>
  <c r="I14" i="35" s="1"/>
  <c r="L13" i="35"/>
  <c r="M13" i="35" s="1"/>
  <c r="H13" i="35"/>
  <c r="I13" i="35" s="1"/>
  <c r="L12" i="35"/>
  <c r="M12" i="35" s="1"/>
  <c r="H12" i="35"/>
  <c r="I12" i="35" s="1"/>
  <c r="L11" i="35"/>
  <c r="M11" i="35" s="1"/>
  <c r="H11" i="35"/>
  <c r="I11" i="35" s="1"/>
  <c r="L10" i="35"/>
  <c r="M10" i="35" s="1"/>
  <c r="H10" i="35"/>
  <c r="I10" i="35" s="1"/>
  <c r="L9" i="35"/>
  <c r="I9" i="35"/>
  <c r="H9" i="35"/>
  <c r="L8" i="35"/>
  <c r="M8" i="35" s="1"/>
  <c r="I8" i="35"/>
  <c r="H8" i="35"/>
  <c r="L7" i="35"/>
  <c r="M7" i="35" s="1"/>
  <c r="I7" i="35"/>
  <c r="H7" i="35"/>
  <c r="H4" i="35"/>
  <c r="F4" i="35"/>
  <c r="H16" i="8" s="1"/>
  <c r="H36" i="34"/>
  <c r="I36" i="34" s="1"/>
  <c r="H35" i="34"/>
  <c r="I35" i="34" s="1"/>
  <c r="H34" i="34"/>
  <c r="I34" i="34" s="1"/>
  <c r="H33" i="34"/>
  <c r="I33" i="34" s="1"/>
  <c r="H32" i="34"/>
  <c r="I32" i="34" s="1"/>
  <c r="H31" i="34"/>
  <c r="I31" i="34" s="1"/>
  <c r="H30" i="34"/>
  <c r="I30" i="34" s="1"/>
  <c r="H29" i="34"/>
  <c r="I29" i="34" s="1"/>
  <c r="H28" i="34"/>
  <c r="I28" i="34" s="1"/>
  <c r="H27" i="34"/>
  <c r="I27" i="34" s="1"/>
  <c r="H26" i="34"/>
  <c r="I26" i="34" s="1"/>
  <c r="H25" i="34"/>
  <c r="I25" i="34" s="1"/>
  <c r="H24" i="34"/>
  <c r="I24" i="34" s="1"/>
  <c r="H23" i="34"/>
  <c r="I23" i="34" s="1"/>
  <c r="H22" i="34"/>
  <c r="I22" i="34" s="1"/>
  <c r="H21" i="34"/>
  <c r="I21" i="34" s="1"/>
  <c r="H20" i="34"/>
  <c r="I20" i="34" s="1"/>
  <c r="H19" i="34"/>
  <c r="I19" i="34" s="1"/>
  <c r="H18" i="34"/>
  <c r="I18" i="34" s="1"/>
  <c r="L17" i="34"/>
  <c r="M17" i="34" s="1"/>
  <c r="H17" i="34"/>
  <c r="I17" i="34" s="1"/>
  <c r="L16" i="34"/>
  <c r="M16" i="34" s="1"/>
  <c r="H16" i="34"/>
  <c r="I16" i="34" s="1"/>
  <c r="L15" i="34"/>
  <c r="M15" i="34" s="1"/>
  <c r="H15" i="34"/>
  <c r="I15" i="34" s="1"/>
  <c r="L14" i="34"/>
  <c r="M14" i="34" s="1"/>
  <c r="H14" i="34"/>
  <c r="I14" i="34" s="1"/>
  <c r="L13" i="34"/>
  <c r="M13" i="34" s="1"/>
  <c r="H13" i="34"/>
  <c r="I13" i="34" s="1"/>
  <c r="L12" i="34"/>
  <c r="M12" i="34" s="1"/>
  <c r="H12" i="34"/>
  <c r="I12" i="34" s="1"/>
  <c r="L11" i="34"/>
  <c r="M11" i="34" s="1"/>
  <c r="H11" i="34"/>
  <c r="I11" i="34" s="1"/>
  <c r="L10" i="34"/>
  <c r="M10" i="34" s="1"/>
  <c r="H10" i="34"/>
  <c r="I10" i="34" s="1"/>
  <c r="L9" i="34"/>
  <c r="I9" i="34"/>
  <c r="H9" i="34"/>
  <c r="L8" i="34"/>
  <c r="M8" i="34" s="1"/>
  <c r="H8" i="34"/>
  <c r="I8" i="34" s="1"/>
  <c r="L7" i="34"/>
  <c r="M7" i="34" s="1"/>
  <c r="I7" i="34"/>
  <c r="H7" i="34"/>
  <c r="H4" i="34"/>
  <c r="F4" i="34"/>
  <c r="H15" i="8" s="1"/>
  <c r="H36" i="33"/>
  <c r="I36" i="33" s="1"/>
  <c r="I35" i="33"/>
  <c r="H35" i="33"/>
  <c r="H34" i="33"/>
  <c r="I34" i="33" s="1"/>
  <c r="I33" i="33"/>
  <c r="H33" i="33"/>
  <c r="H32" i="33"/>
  <c r="I32" i="33" s="1"/>
  <c r="I31" i="33"/>
  <c r="H31" i="33"/>
  <c r="H30" i="33"/>
  <c r="I30" i="33" s="1"/>
  <c r="I29" i="33"/>
  <c r="H29" i="33"/>
  <c r="H28" i="33"/>
  <c r="I28" i="33" s="1"/>
  <c r="I27" i="33"/>
  <c r="H27" i="33"/>
  <c r="H26" i="33"/>
  <c r="I26" i="33" s="1"/>
  <c r="I25" i="33"/>
  <c r="H25" i="33"/>
  <c r="H24" i="33"/>
  <c r="I24" i="33" s="1"/>
  <c r="I23" i="33"/>
  <c r="H23" i="33"/>
  <c r="H22" i="33"/>
  <c r="I22" i="33" s="1"/>
  <c r="I21" i="33"/>
  <c r="H21" i="33"/>
  <c r="H20" i="33"/>
  <c r="I20" i="33" s="1"/>
  <c r="I19" i="33"/>
  <c r="H19" i="33"/>
  <c r="H18" i="33"/>
  <c r="I18" i="33" s="1"/>
  <c r="L17" i="33"/>
  <c r="M17" i="33" s="1"/>
  <c r="H17" i="33"/>
  <c r="I17" i="33" s="1"/>
  <c r="L16" i="33"/>
  <c r="M16" i="33" s="1"/>
  <c r="H16" i="33"/>
  <c r="I16" i="33" s="1"/>
  <c r="L15" i="33"/>
  <c r="M15" i="33" s="1"/>
  <c r="H15" i="33"/>
  <c r="I15" i="33" s="1"/>
  <c r="L14" i="33"/>
  <c r="M14" i="33" s="1"/>
  <c r="H14" i="33"/>
  <c r="I14" i="33" s="1"/>
  <c r="L13" i="33"/>
  <c r="M13" i="33" s="1"/>
  <c r="H13" i="33"/>
  <c r="I13" i="33" s="1"/>
  <c r="L12" i="33"/>
  <c r="M12" i="33" s="1"/>
  <c r="H12" i="33"/>
  <c r="I12" i="33" s="1"/>
  <c r="L11" i="33"/>
  <c r="M11" i="33" s="1"/>
  <c r="H11" i="33"/>
  <c r="I11" i="33" s="1"/>
  <c r="L10" i="33"/>
  <c r="M10" i="33" s="1"/>
  <c r="H10" i="33"/>
  <c r="I10" i="33" s="1"/>
  <c r="L9" i="33"/>
  <c r="I9" i="33"/>
  <c r="H9" i="33"/>
  <c r="L8" i="33"/>
  <c r="M8" i="33" s="1"/>
  <c r="I8" i="33"/>
  <c r="H8" i="33"/>
  <c r="L7" i="33"/>
  <c r="M7" i="33" s="1"/>
  <c r="I7" i="33"/>
  <c r="H7" i="33"/>
  <c r="H4" i="33"/>
  <c r="F4" i="33"/>
  <c r="H14" i="8" s="1"/>
  <c r="H13" i="32"/>
  <c r="I13" i="32" s="1"/>
  <c r="H36" i="32"/>
  <c r="I36" i="32" s="1"/>
  <c r="H35" i="32"/>
  <c r="I35" i="32" s="1"/>
  <c r="H34" i="32"/>
  <c r="I34" i="32" s="1"/>
  <c r="H33" i="32"/>
  <c r="I33" i="32" s="1"/>
  <c r="H32" i="32"/>
  <c r="I32" i="32" s="1"/>
  <c r="H31" i="32"/>
  <c r="I31" i="32" s="1"/>
  <c r="H30" i="32"/>
  <c r="I30" i="32" s="1"/>
  <c r="H29" i="32"/>
  <c r="I29" i="32" s="1"/>
  <c r="H28" i="32"/>
  <c r="I28" i="32" s="1"/>
  <c r="H27" i="32"/>
  <c r="I27" i="32" s="1"/>
  <c r="H26" i="32"/>
  <c r="I26" i="32" s="1"/>
  <c r="H25" i="32"/>
  <c r="I25" i="32" s="1"/>
  <c r="H24" i="32"/>
  <c r="I24" i="32" s="1"/>
  <c r="H23" i="32"/>
  <c r="I23" i="32" s="1"/>
  <c r="H22" i="32"/>
  <c r="I22" i="32" s="1"/>
  <c r="H21" i="32"/>
  <c r="I21" i="32" s="1"/>
  <c r="H20" i="32"/>
  <c r="I20" i="32" s="1"/>
  <c r="H19" i="32"/>
  <c r="I19" i="32" s="1"/>
  <c r="H18" i="32"/>
  <c r="I18" i="32" s="1"/>
  <c r="L17" i="32"/>
  <c r="M17" i="32" s="1"/>
  <c r="H17" i="32"/>
  <c r="I17" i="32" s="1"/>
  <c r="L16" i="32"/>
  <c r="M16" i="32" s="1"/>
  <c r="H16" i="32"/>
  <c r="I16" i="32" s="1"/>
  <c r="L15" i="32"/>
  <c r="M15" i="32" s="1"/>
  <c r="H15" i="32"/>
  <c r="I15" i="32" s="1"/>
  <c r="L14" i="32"/>
  <c r="M14" i="32" s="1"/>
  <c r="H14" i="32"/>
  <c r="I14" i="32" s="1"/>
  <c r="L13" i="32"/>
  <c r="M13" i="32" s="1"/>
  <c r="L12" i="32"/>
  <c r="M12" i="32" s="1"/>
  <c r="H12" i="32"/>
  <c r="I12" i="32" s="1"/>
  <c r="L11" i="32"/>
  <c r="M11" i="32" s="1"/>
  <c r="H11" i="32"/>
  <c r="I11" i="32" s="1"/>
  <c r="L10" i="32"/>
  <c r="M10" i="32" s="1"/>
  <c r="H10" i="32"/>
  <c r="I10" i="32" s="1"/>
  <c r="L9" i="32"/>
  <c r="I9" i="32"/>
  <c r="H9" i="32"/>
  <c r="L8" i="32"/>
  <c r="M8" i="32" s="1"/>
  <c r="I8" i="32"/>
  <c r="H8" i="32"/>
  <c r="L7" i="32"/>
  <c r="M7" i="32" s="1"/>
  <c r="I7" i="32"/>
  <c r="H7" i="32"/>
  <c r="F4" i="32"/>
  <c r="H13" i="8" s="1"/>
  <c r="H36" i="31"/>
  <c r="I36" i="31" s="1"/>
  <c r="I35" i="31"/>
  <c r="H35" i="31"/>
  <c r="H34" i="31"/>
  <c r="I34" i="31" s="1"/>
  <c r="I33" i="31"/>
  <c r="H33" i="31"/>
  <c r="H32" i="31"/>
  <c r="I32" i="31" s="1"/>
  <c r="I31" i="31"/>
  <c r="H31" i="31"/>
  <c r="H30" i="31"/>
  <c r="I30" i="31" s="1"/>
  <c r="I29" i="31"/>
  <c r="H29" i="31"/>
  <c r="H28" i="31"/>
  <c r="I28" i="31" s="1"/>
  <c r="I27" i="31"/>
  <c r="H27" i="31"/>
  <c r="H26" i="31"/>
  <c r="I26" i="31" s="1"/>
  <c r="I25" i="31"/>
  <c r="H25" i="31"/>
  <c r="H24" i="31"/>
  <c r="I24" i="31" s="1"/>
  <c r="I23" i="31"/>
  <c r="H23" i="31"/>
  <c r="H22" i="31"/>
  <c r="I22" i="31" s="1"/>
  <c r="I21" i="31"/>
  <c r="H21" i="31"/>
  <c r="H20" i="31"/>
  <c r="I20" i="31" s="1"/>
  <c r="I19" i="31"/>
  <c r="H19" i="31"/>
  <c r="H18" i="31"/>
  <c r="I18" i="31" s="1"/>
  <c r="L17" i="31"/>
  <c r="M17" i="31" s="1"/>
  <c r="H17" i="31"/>
  <c r="I17" i="31" s="1"/>
  <c r="L16" i="31"/>
  <c r="M16" i="31" s="1"/>
  <c r="H16" i="31"/>
  <c r="I16" i="31" s="1"/>
  <c r="L15" i="31"/>
  <c r="M15" i="31" s="1"/>
  <c r="H15" i="31"/>
  <c r="I15" i="31" s="1"/>
  <c r="L14" i="31"/>
  <c r="M14" i="31" s="1"/>
  <c r="H14" i="31"/>
  <c r="I14" i="31" s="1"/>
  <c r="L13" i="31"/>
  <c r="M13" i="31" s="1"/>
  <c r="H13" i="31"/>
  <c r="I13" i="31" s="1"/>
  <c r="L12" i="31"/>
  <c r="M12" i="31" s="1"/>
  <c r="H12" i="31"/>
  <c r="I12" i="31" s="1"/>
  <c r="L11" i="31"/>
  <c r="M11" i="31" s="1"/>
  <c r="H11" i="31"/>
  <c r="I11" i="31" s="1"/>
  <c r="L10" i="31"/>
  <c r="M10" i="31" s="1"/>
  <c r="H10" i="31"/>
  <c r="I10" i="31" s="1"/>
  <c r="L9" i="31"/>
  <c r="I9" i="31"/>
  <c r="H9" i="31"/>
  <c r="L8" i="31"/>
  <c r="M8" i="31" s="1"/>
  <c r="I8" i="31"/>
  <c r="H8" i="31"/>
  <c r="L7" i="31"/>
  <c r="M7" i="31" s="1"/>
  <c r="I7" i="31"/>
  <c r="H7" i="31"/>
  <c r="H4" i="31"/>
  <c r="F4" i="31"/>
  <c r="H12" i="8" s="1"/>
  <c r="L17" i="30"/>
  <c r="M17" i="30" s="1"/>
  <c r="H36" i="30"/>
  <c r="I36" i="30" s="1"/>
  <c r="I35" i="30"/>
  <c r="H35" i="30"/>
  <c r="H34" i="30"/>
  <c r="I34" i="30" s="1"/>
  <c r="I33" i="30"/>
  <c r="H33" i="30"/>
  <c r="H32" i="30"/>
  <c r="I32" i="30" s="1"/>
  <c r="I31" i="30"/>
  <c r="H31" i="30"/>
  <c r="H30" i="30"/>
  <c r="I30" i="30" s="1"/>
  <c r="I29" i="30"/>
  <c r="H29" i="30"/>
  <c r="H28" i="30"/>
  <c r="I28" i="30" s="1"/>
  <c r="I27" i="30"/>
  <c r="H27" i="30"/>
  <c r="H26" i="30"/>
  <c r="I26" i="30" s="1"/>
  <c r="I25" i="30"/>
  <c r="H25" i="30"/>
  <c r="H24" i="30"/>
  <c r="I24" i="30" s="1"/>
  <c r="I23" i="30"/>
  <c r="H23" i="30"/>
  <c r="H22" i="30"/>
  <c r="I22" i="30" s="1"/>
  <c r="I21" i="30"/>
  <c r="H21" i="30"/>
  <c r="H20" i="30"/>
  <c r="I20" i="30" s="1"/>
  <c r="I19" i="30"/>
  <c r="H19" i="30"/>
  <c r="H18" i="30"/>
  <c r="I18" i="30" s="1"/>
  <c r="I17" i="30"/>
  <c r="H17" i="30"/>
  <c r="L16" i="30"/>
  <c r="M16" i="30" s="1"/>
  <c r="I16" i="30"/>
  <c r="H16" i="30"/>
  <c r="L15" i="30"/>
  <c r="M15" i="30" s="1"/>
  <c r="H15" i="30"/>
  <c r="I15" i="30" s="1"/>
  <c r="L14" i="30"/>
  <c r="M14" i="30" s="1"/>
  <c r="I14" i="30"/>
  <c r="H14" i="30"/>
  <c r="L13" i="30"/>
  <c r="M13" i="30" s="1"/>
  <c r="I13" i="30"/>
  <c r="H13" i="30"/>
  <c r="L12" i="30"/>
  <c r="M12" i="30" s="1"/>
  <c r="I12" i="30"/>
  <c r="H12" i="30"/>
  <c r="L11" i="30"/>
  <c r="M11" i="30" s="1"/>
  <c r="I11" i="30"/>
  <c r="H11" i="30"/>
  <c r="L10" i="30"/>
  <c r="M10" i="30" s="1"/>
  <c r="I10" i="30"/>
  <c r="H10" i="30"/>
  <c r="L9" i="30"/>
  <c r="I9" i="30"/>
  <c r="H9" i="30"/>
  <c r="L8" i="30"/>
  <c r="M8" i="30" s="1"/>
  <c r="H8" i="30"/>
  <c r="I8" i="30" s="1"/>
  <c r="L7" i="30"/>
  <c r="M7" i="30" s="1"/>
  <c r="I7" i="30"/>
  <c r="H7" i="30"/>
  <c r="H4" i="30"/>
  <c r="F4" i="30"/>
  <c r="H11" i="8" s="1"/>
  <c r="H8" i="16"/>
  <c r="L9" i="16"/>
  <c r="L10" i="16"/>
  <c r="L11" i="16"/>
  <c r="L12" i="16"/>
  <c r="L13" i="16"/>
  <c r="L14" i="16"/>
  <c r="L15" i="16"/>
  <c r="L16" i="16"/>
  <c r="L17" i="16"/>
  <c r="L18" i="16"/>
  <c r="L8" i="16"/>
  <c r="P26" i="11" a="1"/>
  <c r="M26" i="11" a="1"/>
  <c r="I4" i="31" l="1"/>
  <c r="P26" i="11"/>
  <c r="M26" i="11"/>
  <c r="I4" i="35"/>
  <c r="I4" i="34"/>
  <c r="I4" i="33"/>
  <c r="I4" i="32"/>
  <c r="H4" i="32"/>
  <c r="I4" i="30"/>
  <c r="J18" i="10" l="1"/>
  <c r="F5" i="10"/>
  <c r="H5" i="8" s="1"/>
  <c r="I18" i="10"/>
  <c r="M22" i="11" a="1"/>
  <c r="P22" i="11" a="1"/>
  <c r="P22" i="11" l="1"/>
  <c r="M22" i="11"/>
  <c r="L18" i="18" l="1"/>
  <c r="M18" i="18" s="1"/>
  <c r="M18" i="16"/>
  <c r="L18" i="14"/>
  <c r="M18" i="14" s="1"/>
  <c r="M18" i="12"/>
  <c r="N18" i="12" s="1"/>
  <c r="J14" i="12"/>
  <c r="G15" i="12" a="1"/>
  <c r="M34" i="11" a="1"/>
  <c r="P34" i="11" a="1"/>
  <c r="P34" i="11" l="1"/>
  <c r="M34" i="11"/>
  <c r="G15" i="12"/>
  <c r="I15" i="12"/>
  <c r="J15" i="12" s="1"/>
  <c r="M14" i="12"/>
  <c r="N14" i="12" s="1"/>
  <c r="D10" i="8" l="1"/>
  <c r="C12" i="8"/>
  <c r="F12" i="8" s="1"/>
  <c r="G12" i="8" s="1"/>
  <c r="C13" i="8"/>
  <c r="F13" i="8" s="1"/>
  <c r="G13" i="8" s="1"/>
  <c r="C14" i="8"/>
  <c r="F14" i="8" s="1"/>
  <c r="G14" i="8" s="1"/>
  <c r="C15" i="8"/>
  <c r="F15" i="8" s="1"/>
  <c r="G15" i="8" s="1"/>
  <c r="C16" i="8"/>
  <c r="F16" i="8" s="1"/>
  <c r="G16" i="8" s="1"/>
  <c r="M56" i="21"/>
  <c r="K56" i="21"/>
  <c r="K57" i="21" s="1"/>
  <c r="D11" i="8" s="1"/>
  <c r="I56" i="21"/>
  <c r="G56" i="21"/>
  <c r="S14" i="21"/>
  <c r="R14" i="21"/>
  <c r="Q14" i="21"/>
  <c r="S13" i="21"/>
  <c r="R13" i="21"/>
  <c r="Q13" i="21"/>
  <c r="S12" i="21"/>
  <c r="R12" i="21"/>
  <c r="Q12" i="21"/>
  <c r="S11" i="21"/>
  <c r="R11" i="21"/>
  <c r="Q11" i="21"/>
  <c r="S10" i="21"/>
  <c r="R10" i="21"/>
  <c r="Q10" i="21"/>
  <c r="S9" i="21"/>
  <c r="R9" i="21"/>
  <c r="Q9" i="21"/>
  <c r="H36" i="20"/>
  <c r="I36" i="20" s="1"/>
  <c r="H35" i="20"/>
  <c r="I35" i="20" s="1"/>
  <c r="H34" i="20"/>
  <c r="I34" i="20" s="1"/>
  <c r="H33" i="20"/>
  <c r="I33" i="20" s="1"/>
  <c r="H32" i="20"/>
  <c r="I32" i="20" s="1"/>
  <c r="H31" i="20"/>
  <c r="I31" i="20" s="1"/>
  <c r="H30" i="20"/>
  <c r="I30" i="20" s="1"/>
  <c r="H29" i="20"/>
  <c r="I29" i="20" s="1"/>
  <c r="H28" i="20"/>
  <c r="I28" i="20" s="1"/>
  <c r="H27" i="20"/>
  <c r="I27" i="20" s="1"/>
  <c r="H26" i="20"/>
  <c r="I26" i="20" s="1"/>
  <c r="H25" i="20"/>
  <c r="I25" i="20" s="1"/>
  <c r="H24" i="20"/>
  <c r="I24" i="20" s="1"/>
  <c r="H23" i="20"/>
  <c r="I23" i="20" s="1"/>
  <c r="H22" i="20"/>
  <c r="I22" i="20" s="1"/>
  <c r="H21" i="20"/>
  <c r="I21" i="20" s="1"/>
  <c r="H20" i="20"/>
  <c r="I20" i="20" s="1"/>
  <c r="H19" i="20"/>
  <c r="I19" i="20" s="1"/>
  <c r="H18" i="20"/>
  <c r="I18" i="20" s="1"/>
  <c r="H17" i="20"/>
  <c r="I17" i="20" s="1"/>
  <c r="L16" i="20"/>
  <c r="M16" i="20" s="1"/>
  <c r="H16" i="20"/>
  <c r="I16" i="20" s="1"/>
  <c r="L15" i="20"/>
  <c r="M15" i="20" s="1"/>
  <c r="H15" i="20"/>
  <c r="I15" i="20" s="1"/>
  <c r="L14" i="20"/>
  <c r="M14" i="20" s="1"/>
  <c r="H14" i="20"/>
  <c r="I14" i="20" s="1"/>
  <c r="L13" i="20"/>
  <c r="M13" i="20" s="1"/>
  <c r="H13" i="20"/>
  <c r="I13" i="20" s="1"/>
  <c r="L12" i="20"/>
  <c r="M12" i="20" s="1"/>
  <c r="H12" i="20"/>
  <c r="I12" i="20" s="1"/>
  <c r="L11" i="20"/>
  <c r="M11" i="20" s="1"/>
  <c r="H11" i="20"/>
  <c r="I11" i="20" s="1"/>
  <c r="L10" i="20"/>
  <c r="M10" i="20" s="1"/>
  <c r="H10" i="20"/>
  <c r="I10" i="20" s="1"/>
  <c r="L9" i="20"/>
  <c r="I9" i="20"/>
  <c r="H9" i="20"/>
  <c r="L8" i="20"/>
  <c r="M8" i="20" s="1"/>
  <c r="I8" i="20"/>
  <c r="H8" i="20"/>
  <c r="L7" i="20"/>
  <c r="M7" i="20" s="1"/>
  <c r="I7" i="20"/>
  <c r="H7" i="20"/>
  <c r="F4" i="20"/>
  <c r="H10" i="8" s="1"/>
  <c r="M56" i="19"/>
  <c r="M57" i="19" s="1"/>
  <c r="E10" i="8" s="1"/>
  <c r="K56" i="19"/>
  <c r="K57" i="19" s="1"/>
  <c r="I56" i="19"/>
  <c r="I57" i="19" s="1"/>
  <c r="C10" i="8" s="1"/>
  <c r="G56" i="19"/>
  <c r="S14" i="19"/>
  <c r="R14" i="19"/>
  <c r="Q14" i="19"/>
  <c r="S13" i="19"/>
  <c r="R13" i="19"/>
  <c r="Q13" i="19"/>
  <c r="S12" i="19"/>
  <c r="R12" i="19"/>
  <c r="Q12" i="19"/>
  <c r="S11" i="19"/>
  <c r="R11" i="19"/>
  <c r="Q11" i="19"/>
  <c r="S10" i="19"/>
  <c r="R10" i="19"/>
  <c r="Q10" i="19"/>
  <c r="S9" i="19"/>
  <c r="R9" i="19"/>
  <c r="Q9" i="19"/>
  <c r="H37" i="18"/>
  <c r="I37" i="18" s="1"/>
  <c r="H36" i="18"/>
  <c r="I36" i="18" s="1"/>
  <c r="H35" i="18"/>
  <c r="I35" i="18" s="1"/>
  <c r="H34" i="18"/>
  <c r="I34" i="18" s="1"/>
  <c r="H33" i="18"/>
  <c r="I33" i="18" s="1"/>
  <c r="H32" i="18"/>
  <c r="I32" i="18" s="1"/>
  <c r="H31" i="18"/>
  <c r="I31" i="18" s="1"/>
  <c r="H30" i="18"/>
  <c r="I30" i="18" s="1"/>
  <c r="H29" i="18"/>
  <c r="I29" i="18" s="1"/>
  <c r="H28" i="18"/>
  <c r="I28" i="18" s="1"/>
  <c r="H27" i="18"/>
  <c r="I27" i="18" s="1"/>
  <c r="H26" i="18"/>
  <c r="I26" i="18" s="1"/>
  <c r="H25" i="18"/>
  <c r="I25" i="18" s="1"/>
  <c r="H24" i="18"/>
  <c r="I24" i="18" s="1"/>
  <c r="H23" i="18"/>
  <c r="I23" i="18" s="1"/>
  <c r="H22" i="18"/>
  <c r="I22" i="18" s="1"/>
  <c r="H21" i="18"/>
  <c r="I21" i="18" s="1"/>
  <c r="H20" i="18"/>
  <c r="I20" i="18" s="1"/>
  <c r="H19" i="18"/>
  <c r="I19" i="18" s="1"/>
  <c r="H18" i="18"/>
  <c r="I18" i="18" s="1"/>
  <c r="L17" i="18"/>
  <c r="M17" i="18" s="1"/>
  <c r="H17" i="18"/>
  <c r="I17" i="18" s="1"/>
  <c r="L16" i="18"/>
  <c r="M16" i="18" s="1"/>
  <c r="H16" i="18"/>
  <c r="I16" i="18" s="1"/>
  <c r="L15" i="18"/>
  <c r="M15" i="18" s="1"/>
  <c r="H15" i="18"/>
  <c r="I15" i="18" s="1"/>
  <c r="L14" i="18"/>
  <c r="M14" i="18" s="1"/>
  <c r="I14" i="18"/>
  <c r="L13" i="18"/>
  <c r="M13" i="18" s="1"/>
  <c r="H13" i="18"/>
  <c r="I13" i="18" s="1"/>
  <c r="L12" i="18"/>
  <c r="M12" i="18" s="1"/>
  <c r="H12" i="18"/>
  <c r="I12" i="18" s="1"/>
  <c r="L11" i="18"/>
  <c r="M11" i="18" s="1"/>
  <c r="H11" i="18"/>
  <c r="I11" i="18" s="1"/>
  <c r="L10" i="18"/>
  <c r="I10" i="18"/>
  <c r="H10" i="18"/>
  <c r="L9" i="18"/>
  <c r="M9" i="18" s="1"/>
  <c r="I9" i="18"/>
  <c r="H9" i="18"/>
  <c r="L8" i="18"/>
  <c r="M8" i="18" s="1"/>
  <c r="I8" i="18"/>
  <c r="H8" i="18"/>
  <c r="F5" i="18"/>
  <c r="H9" i="8" s="1"/>
  <c r="M56" i="17"/>
  <c r="M57" i="17" s="1"/>
  <c r="E9" i="8" s="1"/>
  <c r="K56" i="17"/>
  <c r="K57" i="17" s="1"/>
  <c r="D9" i="8" s="1"/>
  <c r="I56" i="17"/>
  <c r="G56" i="17"/>
  <c r="S14" i="17"/>
  <c r="R14" i="17"/>
  <c r="Q14" i="17"/>
  <c r="S13" i="17"/>
  <c r="R13" i="17"/>
  <c r="Q13" i="17"/>
  <c r="S12" i="17"/>
  <c r="R12" i="17"/>
  <c r="Q12" i="17"/>
  <c r="S11" i="17"/>
  <c r="R11" i="17"/>
  <c r="Q11" i="17"/>
  <c r="S10" i="17"/>
  <c r="R10" i="17"/>
  <c r="Q10" i="17"/>
  <c r="S9" i="17"/>
  <c r="R9" i="17"/>
  <c r="Q9" i="17"/>
  <c r="H37" i="16"/>
  <c r="I37" i="16" s="1"/>
  <c r="H36" i="16"/>
  <c r="I36" i="16" s="1"/>
  <c r="H35" i="16"/>
  <c r="I35" i="16" s="1"/>
  <c r="H34" i="16"/>
  <c r="I34" i="16" s="1"/>
  <c r="H33" i="16"/>
  <c r="I33" i="16" s="1"/>
  <c r="H32" i="16"/>
  <c r="I32" i="16" s="1"/>
  <c r="H31" i="16"/>
  <c r="I31" i="16" s="1"/>
  <c r="H30" i="16"/>
  <c r="I30" i="16" s="1"/>
  <c r="H29" i="16"/>
  <c r="I29" i="16" s="1"/>
  <c r="H28" i="16"/>
  <c r="I28" i="16" s="1"/>
  <c r="H27" i="16"/>
  <c r="I27" i="16" s="1"/>
  <c r="H26" i="16"/>
  <c r="I26" i="16" s="1"/>
  <c r="H25" i="16"/>
  <c r="I25" i="16" s="1"/>
  <c r="H24" i="16"/>
  <c r="I24" i="16" s="1"/>
  <c r="H23" i="16"/>
  <c r="I23" i="16" s="1"/>
  <c r="H22" i="16"/>
  <c r="I22" i="16" s="1"/>
  <c r="H21" i="16"/>
  <c r="I21" i="16" s="1"/>
  <c r="H20" i="16"/>
  <c r="I20" i="16" s="1"/>
  <c r="H19" i="16"/>
  <c r="I19" i="16" s="1"/>
  <c r="H18" i="16"/>
  <c r="I18" i="16" s="1"/>
  <c r="M17" i="16"/>
  <c r="H17" i="16"/>
  <c r="I17" i="16" s="1"/>
  <c r="M16" i="16"/>
  <c r="H16" i="16"/>
  <c r="I16" i="16" s="1"/>
  <c r="M15" i="16"/>
  <c r="H15" i="16"/>
  <c r="I15" i="16" s="1"/>
  <c r="M14" i="16"/>
  <c r="H14" i="16"/>
  <c r="I14" i="16" s="1"/>
  <c r="M13" i="16"/>
  <c r="H13" i="16"/>
  <c r="I13" i="16" s="1"/>
  <c r="M12" i="16"/>
  <c r="H12" i="16"/>
  <c r="I12" i="16" s="1"/>
  <c r="M11" i="16"/>
  <c r="H11" i="16"/>
  <c r="I11" i="16" s="1"/>
  <c r="I10" i="16"/>
  <c r="H10" i="16"/>
  <c r="M9" i="16"/>
  <c r="H9" i="16"/>
  <c r="I9" i="16" s="1"/>
  <c r="M8" i="16"/>
  <c r="I8" i="16"/>
  <c r="F5" i="16"/>
  <c r="H8" i="8" s="1"/>
  <c r="F5" i="14"/>
  <c r="H7" i="8" s="1"/>
  <c r="M64" i="15"/>
  <c r="M65" i="15" s="1"/>
  <c r="E8" i="8" s="1"/>
  <c r="K64" i="15"/>
  <c r="K65" i="15" s="1"/>
  <c r="D8" i="8" s="1"/>
  <c r="I64" i="15"/>
  <c r="G64" i="15"/>
  <c r="S15" i="15"/>
  <c r="R15" i="15"/>
  <c r="Q15" i="15"/>
  <c r="S14" i="15"/>
  <c r="R14" i="15"/>
  <c r="Q14" i="15"/>
  <c r="S13" i="15"/>
  <c r="R13" i="15"/>
  <c r="Q13" i="15"/>
  <c r="S12" i="15"/>
  <c r="R12" i="15"/>
  <c r="Q12" i="15"/>
  <c r="S11" i="15"/>
  <c r="R11" i="15"/>
  <c r="Q11" i="15"/>
  <c r="H35" i="14"/>
  <c r="I35" i="14" s="1"/>
  <c r="H34" i="14"/>
  <c r="I34" i="14" s="1"/>
  <c r="H33" i="14"/>
  <c r="I33" i="14" s="1"/>
  <c r="H32" i="14"/>
  <c r="I32" i="14" s="1"/>
  <c r="H31" i="14"/>
  <c r="I31" i="14" s="1"/>
  <c r="H30" i="14"/>
  <c r="I30" i="14" s="1"/>
  <c r="H29" i="14"/>
  <c r="I29" i="14" s="1"/>
  <c r="H28" i="14"/>
  <c r="I28" i="14" s="1"/>
  <c r="H27" i="14"/>
  <c r="I27" i="14" s="1"/>
  <c r="H26" i="14"/>
  <c r="I26" i="14" s="1"/>
  <c r="H25" i="14"/>
  <c r="I25" i="14" s="1"/>
  <c r="H24" i="14"/>
  <c r="I24" i="14" s="1"/>
  <c r="H23" i="14"/>
  <c r="I23" i="14" s="1"/>
  <c r="H22" i="14"/>
  <c r="I22" i="14" s="1"/>
  <c r="H21" i="14"/>
  <c r="I21" i="14" s="1"/>
  <c r="H20" i="14"/>
  <c r="I20" i="14" s="1"/>
  <c r="H19" i="14"/>
  <c r="I19" i="14" s="1"/>
  <c r="H18" i="14"/>
  <c r="I18" i="14" s="1"/>
  <c r="L17" i="14"/>
  <c r="M17" i="14" s="1"/>
  <c r="H17" i="14"/>
  <c r="I17" i="14" s="1"/>
  <c r="L16" i="14"/>
  <c r="M16" i="14" s="1"/>
  <c r="H16" i="14"/>
  <c r="I16" i="14" s="1"/>
  <c r="L15" i="14"/>
  <c r="M15" i="14" s="1"/>
  <c r="H15" i="14"/>
  <c r="I15" i="14" s="1"/>
  <c r="L14" i="14"/>
  <c r="M14" i="14" s="1"/>
  <c r="H14" i="14"/>
  <c r="I14" i="14" s="1"/>
  <c r="L13" i="14"/>
  <c r="M13" i="14" s="1"/>
  <c r="H13" i="14"/>
  <c r="I13" i="14" s="1"/>
  <c r="L12" i="14"/>
  <c r="M12" i="14" s="1"/>
  <c r="H12" i="14"/>
  <c r="I12" i="14" s="1"/>
  <c r="L11" i="14"/>
  <c r="M11" i="14" s="1"/>
  <c r="H11" i="14"/>
  <c r="I11" i="14" s="1"/>
  <c r="L10" i="14"/>
  <c r="H10" i="14"/>
  <c r="I10" i="14" s="1"/>
  <c r="L9" i="14"/>
  <c r="M9" i="14" s="1"/>
  <c r="H9" i="14"/>
  <c r="I9" i="14" s="1"/>
  <c r="L8" i="14"/>
  <c r="M8" i="14" s="1"/>
  <c r="H8" i="14"/>
  <c r="I8" i="14" s="1"/>
  <c r="I13" i="12"/>
  <c r="J13" i="12" s="1"/>
  <c r="M60" i="13"/>
  <c r="M61" i="13" s="1"/>
  <c r="E7" i="8" s="1"/>
  <c r="K60" i="13"/>
  <c r="K61" i="13" s="1"/>
  <c r="D7" i="8" s="1"/>
  <c r="I61" i="13"/>
  <c r="C7" i="8" s="1"/>
  <c r="G60" i="13"/>
  <c r="S15" i="13"/>
  <c r="R15" i="13"/>
  <c r="Q15" i="13"/>
  <c r="S14" i="13"/>
  <c r="R14" i="13"/>
  <c r="Q14" i="13"/>
  <c r="S13" i="13"/>
  <c r="R13" i="13"/>
  <c r="Q13" i="13"/>
  <c r="S12" i="13"/>
  <c r="R12" i="13"/>
  <c r="Q12" i="13"/>
  <c r="S11" i="13"/>
  <c r="R11" i="13"/>
  <c r="Q11" i="13"/>
  <c r="S9" i="13"/>
  <c r="R9" i="13"/>
  <c r="Q9" i="13"/>
  <c r="O56" i="11"/>
  <c r="O57" i="11" s="1"/>
  <c r="E6" i="8" s="1"/>
  <c r="L56" i="11"/>
  <c r="L57" i="11" s="1"/>
  <c r="D6" i="8" s="1"/>
  <c r="J56" i="11"/>
  <c r="J57" i="11" s="1"/>
  <c r="C6" i="8" s="1"/>
  <c r="H56" i="11"/>
  <c r="V15" i="11"/>
  <c r="U15" i="11"/>
  <c r="T15" i="11"/>
  <c r="V13" i="11"/>
  <c r="U13" i="11"/>
  <c r="T13" i="11"/>
  <c r="V12" i="11"/>
  <c r="U12" i="11"/>
  <c r="T12" i="11"/>
  <c r="V11" i="11"/>
  <c r="U11" i="11"/>
  <c r="T11" i="11"/>
  <c r="V10" i="11"/>
  <c r="U10" i="11"/>
  <c r="T10" i="11"/>
  <c r="I38" i="12"/>
  <c r="J38" i="12" s="1"/>
  <c r="I37" i="12"/>
  <c r="J37" i="12" s="1"/>
  <c r="I36" i="12"/>
  <c r="J36" i="12" s="1"/>
  <c r="I35" i="12"/>
  <c r="J35" i="12" s="1"/>
  <c r="I34" i="12"/>
  <c r="J34" i="12" s="1"/>
  <c r="I33" i="12"/>
  <c r="J33" i="12" s="1"/>
  <c r="I32" i="12"/>
  <c r="J32" i="12" s="1"/>
  <c r="I31" i="12"/>
  <c r="J31" i="12" s="1"/>
  <c r="I30" i="12"/>
  <c r="J30" i="12" s="1"/>
  <c r="I29" i="12"/>
  <c r="J29" i="12" s="1"/>
  <c r="I28" i="12"/>
  <c r="J28" i="12" s="1"/>
  <c r="I27" i="12"/>
  <c r="J27" i="12" s="1"/>
  <c r="I26" i="12"/>
  <c r="J26" i="12" s="1"/>
  <c r="I25" i="12"/>
  <c r="J25" i="12" s="1"/>
  <c r="I24" i="12"/>
  <c r="J24" i="12" s="1"/>
  <c r="I23" i="12"/>
  <c r="J23" i="12" s="1"/>
  <c r="I22" i="12"/>
  <c r="J22" i="12" s="1"/>
  <c r="I21" i="12"/>
  <c r="J21" i="12" s="1"/>
  <c r="I20" i="12"/>
  <c r="J20" i="12" s="1"/>
  <c r="I19" i="12"/>
  <c r="J19" i="12" s="1"/>
  <c r="M17" i="12"/>
  <c r="N17" i="12" s="1"/>
  <c r="I18" i="12"/>
  <c r="J18" i="12" s="1"/>
  <c r="M16" i="12"/>
  <c r="N16" i="12" s="1"/>
  <c r="I17" i="12"/>
  <c r="J17" i="12" s="1"/>
  <c r="M15" i="12"/>
  <c r="N15" i="12" s="1"/>
  <c r="I16" i="12"/>
  <c r="J16" i="12" s="1"/>
  <c r="M13" i="12"/>
  <c r="N13" i="12" s="1"/>
  <c r="M12" i="12"/>
  <c r="N12" i="12" s="1"/>
  <c r="I12" i="12"/>
  <c r="J12" i="12" s="1"/>
  <c r="M11" i="12"/>
  <c r="N11" i="12" s="1"/>
  <c r="I11" i="12"/>
  <c r="J11" i="12" s="1"/>
  <c r="M10" i="12"/>
  <c r="I10" i="12"/>
  <c r="J10" i="12" s="1"/>
  <c r="M9" i="12"/>
  <c r="N9" i="12" s="1"/>
  <c r="I9" i="12"/>
  <c r="J9" i="12" s="1"/>
  <c r="M8" i="12"/>
  <c r="N8" i="12" s="1"/>
  <c r="I8" i="12"/>
  <c r="J8" i="12" s="1"/>
  <c r="F5" i="12"/>
  <c r="H6" i="8" s="1"/>
  <c r="G30" i="12" a="1"/>
  <c r="G8" i="12" a="1"/>
  <c r="G10" i="12" a="1"/>
  <c r="G29" i="12" a="1"/>
  <c r="G32" i="12" a="1"/>
  <c r="G35" i="12" a="1"/>
  <c r="G19" i="12" a="1"/>
  <c r="G36" i="12" a="1"/>
  <c r="G25" i="12" a="1"/>
  <c r="G31" i="12" a="1"/>
  <c r="G24" i="12" a="1"/>
  <c r="G37" i="12" a="1"/>
  <c r="G18" i="12" a="1"/>
  <c r="G16" i="12" a="1"/>
  <c r="G38" i="12" a="1"/>
  <c r="G34" i="12" a="1"/>
  <c r="G17" i="12" a="1"/>
  <c r="G20" i="12" a="1"/>
  <c r="G33" i="12" a="1"/>
  <c r="G12" i="12" a="1"/>
  <c r="G9" i="12" a="1"/>
  <c r="G23" i="12" a="1"/>
  <c r="G26" i="12" a="1"/>
  <c r="G13" i="12" a="1"/>
  <c r="G28" i="12" a="1"/>
  <c r="G22" i="12" a="1"/>
  <c r="G21" i="12" a="1"/>
  <c r="G27" i="12" a="1"/>
  <c r="M27" i="11" a="1"/>
  <c r="M12" i="11" a="1"/>
  <c r="M28" i="11" a="1"/>
  <c r="M37" i="11" a="1"/>
  <c r="M52" i="11" a="1"/>
  <c r="M55" i="11" a="1"/>
  <c r="M47" i="11" a="1"/>
  <c r="P27" i="11" a="1"/>
  <c r="P52" i="11" a="1"/>
  <c r="M41" i="11" a="1"/>
  <c r="P19" i="11" a="1"/>
  <c r="M51" i="11" a="1"/>
  <c r="M46" i="11" a="1"/>
  <c r="M24" i="11" a="1"/>
  <c r="P43" i="11" a="1"/>
  <c r="P40" i="11" a="1"/>
  <c r="P53" i="11" a="1"/>
  <c r="M54" i="11" a="1"/>
  <c r="P57" i="11" a="1"/>
  <c r="P17" i="11" a="1"/>
  <c r="M30" i="11" a="1"/>
  <c r="P47" i="11" a="1"/>
  <c r="P55" i="11" a="1"/>
  <c r="M56" i="11" a="1"/>
  <c r="M43" i="11" a="1"/>
  <c r="P10" i="11" a="1"/>
  <c r="P25" i="11" a="1"/>
  <c r="P51" i="11" a="1"/>
  <c r="M45" i="11" a="1"/>
  <c r="P32" i="11" a="1"/>
  <c r="P42" i="11" a="1"/>
  <c r="P56" i="11" a="1"/>
  <c r="P28" i="11" a="1"/>
  <c r="M39" i="11" a="1"/>
  <c r="P36" i="11" a="1"/>
  <c r="P30" i="11" a="1"/>
  <c r="P38" i="11" a="1"/>
  <c r="M35" i="11" a="1"/>
  <c r="M10" i="11" a="1"/>
  <c r="M40" i="11" a="1"/>
  <c r="M42" i="11" a="1"/>
  <c r="M16" i="11" a="1"/>
  <c r="M44" i="11" a="1"/>
  <c r="M11" i="11" a="1"/>
  <c r="M19" i="11" a="1"/>
  <c r="P20" i="11" a="1"/>
  <c r="M17" i="11" a="1"/>
  <c r="P29" i="11" a="1"/>
  <c r="M32" i="11" a="1"/>
  <c r="P54" i="11" a="1"/>
  <c r="M13" i="11" a="1"/>
  <c r="P31" i="11" a="1"/>
  <c r="M53" i="11" a="1"/>
  <c r="M48" i="11" a="1"/>
  <c r="P46" i="11" a="1"/>
  <c r="P37" i="11" a="1"/>
  <c r="M31" i="11" a="1"/>
  <c r="P41" i="11" a="1"/>
  <c r="P12" i="11" a="1"/>
  <c r="P24" i="11" a="1"/>
  <c r="M50" i="11" a="1"/>
  <c r="M49" i="11" a="1"/>
  <c r="P11" i="11" a="1"/>
  <c r="P33" i="11" a="1"/>
  <c r="P39" i="11" a="1"/>
  <c r="P50" i="11" a="1"/>
  <c r="P49" i="11" a="1"/>
  <c r="M25" i="11" a="1"/>
  <c r="M23" i="11" a="1"/>
  <c r="M29" i="11" a="1"/>
  <c r="M36" i="11" a="1"/>
  <c r="P48" i="11" a="1"/>
  <c r="P35" i="11" a="1"/>
  <c r="M33" i="11" a="1"/>
  <c r="M21" i="11" a="1"/>
  <c r="P21" i="11" a="1"/>
  <c r="M38" i="11" a="1"/>
  <c r="M57" i="11" a="1"/>
  <c r="P13" i="11" a="1"/>
  <c r="P16" i="11" a="1"/>
  <c r="P44" i="11" a="1"/>
  <c r="P45" i="11" a="1"/>
  <c r="M20" i="11" a="1"/>
  <c r="P23" i="11" a="1"/>
  <c r="M57" i="21" l="1"/>
  <c r="E11" i="8"/>
  <c r="T12" i="19"/>
  <c r="F10" i="8"/>
  <c r="G10" i="8" s="1"/>
  <c r="K10" i="8" s="1"/>
  <c r="T13" i="19"/>
  <c r="S15" i="21"/>
  <c r="T12" i="21"/>
  <c r="F7" i="8"/>
  <c r="P55" i="11"/>
  <c r="P51" i="11"/>
  <c r="P47" i="11"/>
  <c r="P43" i="11"/>
  <c r="P39" i="11"/>
  <c r="P35" i="11"/>
  <c r="P32" i="11"/>
  <c r="P24" i="11"/>
  <c r="P21" i="11"/>
  <c r="P19" i="11"/>
  <c r="P17" i="11"/>
  <c r="P12" i="11"/>
  <c r="P10" i="11"/>
  <c r="M56" i="11"/>
  <c r="J7" i="11" s="1"/>
  <c r="P7" i="11" s="1"/>
  <c r="M54" i="11"/>
  <c r="M52" i="11"/>
  <c r="M50" i="11"/>
  <c r="M48" i="11"/>
  <c r="M46" i="11"/>
  <c r="M44" i="11"/>
  <c r="M42" i="11"/>
  <c r="M40" i="11"/>
  <c r="M38" i="11"/>
  <c r="M36" i="11"/>
  <c r="M33" i="11"/>
  <c r="M31" i="11"/>
  <c r="M29" i="11"/>
  <c r="M28" i="11"/>
  <c r="M27" i="11"/>
  <c r="M25" i="11"/>
  <c r="M23" i="11"/>
  <c r="M20" i="11"/>
  <c r="M16" i="11"/>
  <c r="M13" i="11"/>
  <c r="M11" i="11"/>
  <c r="P57" i="11"/>
  <c r="P53" i="11"/>
  <c r="P49" i="11"/>
  <c r="P45" i="11"/>
  <c r="P41" i="11"/>
  <c r="P37" i="11"/>
  <c r="P30" i="11"/>
  <c r="P56" i="11"/>
  <c r="P54" i="11"/>
  <c r="P52" i="11"/>
  <c r="P50" i="11"/>
  <c r="P48" i="11"/>
  <c r="P46" i="11"/>
  <c r="P44" i="11"/>
  <c r="P42" i="11"/>
  <c r="P40" i="11"/>
  <c r="P38" i="11"/>
  <c r="P36" i="11"/>
  <c r="P33" i="11"/>
  <c r="P31" i="11"/>
  <c r="P29" i="11"/>
  <c r="P28" i="11"/>
  <c r="P27" i="11"/>
  <c r="P25" i="11"/>
  <c r="P23" i="11"/>
  <c r="P20" i="11"/>
  <c r="P16" i="11"/>
  <c r="P13" i="11"/>
  <c r="P11" i="11"/>
  <c r="M57" i="11"/>
  <c r="M55" i="11"/>
  <c r="M53" i="11"/>
  <c r="M51" i="11"/>
  <c r="M49" i="11"/>
  <c r="M47" i="11"/>
  <c r="M45" i="11"/>
  <c r="M43" i="11"/>
  <c r="M41" i="11"/>
  <c r="M39" i="11"/>
  <c r="M37" i="11"/>
  <c r="M35" i="11"/>
  <c r="M32" i="11"/>
  <c r="M30" i="11"/>
  <c r="M24" i="11"/>
  <c r="M21" i="11"/>
  <c r="M19" i="11"/>
  <c r="M17" i="11"/>
  <c r="M12" i="11"/>
  <c r="M10" i="11"/>
  <c r="F6" i="8"/>
  <c r="G6" i="8" s="1"/>
  <c r="K6" i="8" s="1"/>
  <c r="R16" i="21"/>
  <c r="I6" i="21"/>
  <c r="Q15" i="21"/>
  <c r="U14" i="21"/>
  <c r="U13" i="21"/>
  <c r="U11" i="21"/>
  <c r="T11" i="21"/>
  <c r="U10" i="21"/>
  <c r="Q16" i="21"/>
  <c r="T9" i="21"/>
  <c r="U12" i="21"/>
  <c r="T13" i="21"/>
  <c r="R15" i="21"/>
  <c r="S16" i="21"/>
  <c r="U9" i="21"/>
  <c r="T10" i="21"/>
  <c r="T14" i="21"/>
  <c r="I57" i="21"/>
  <c r="I4" i="20"/>
  <c r="H4" i="20"/>
  <c r="U11" i="17"/>
  <c r="S15" i="19"/>
  <c r="U11" i="19"/>
  <c r="T9" i="19"/>
  <c r="T10" i="19"/>
  <c r="T14" i="19"/>
  <c r="K6" i="19"/>
  <c r="Q15" i="19"/>
  <c r="U10" i="19"/>
  <c r="R15" i="19"/>
  <c r="R16" i="19"/>
  <c r="U13" i="19"/>
  <c r="U14" i="19"/>
  <c r="U12" i="19"/>
  <c r="S16" i="19"/>
  <c r="U9" i="19"/>
  <c r="T11" i="19"/>
  <c r="Q16" i="19"/>
  <c r="I6" i="19"/>
  <c r="I5" i="18"/>
  <c r="H5" i="18"/>
  <c r="T9" i="17"/>
  <c r="R16" i="17"/>
  <c r="U13" i="17"/>
  <c r="U14" i="17"/>
  <c r="I6" i="17"/>
  <c r="S15" i="17"/>
  <c r="S16" i="17"/>
  <c r="T12" i="17"/>
  <c r="Q15" i="17"/>
  <c r="U10" i="17"/>
  <c r="T11" i="17"/>
  <c r="T13" i="17"/>
  <c r="U12" i="17"/>
  <c r="R15" i="17"/>
  <c r="U9" i="17"/>
  <c r="T10" i="17"/>
  <c r="T14" i="17"/>
  <c r="I57" i="17"/>
  <c r="Q16" i="17"/>
  <c r="I5" i="16"/>
  <c r="H5" i="16"/>
  <c r="S16" i="15"/>
  <c r="U12" i="15"/>
  <c r="T13" i="15"/>
  <c r="T14" i="15"/>
  <c r="Q16" i="15"/>
  <c r="Q17" i="15"/>
  <c r="T12" i="15"/>
  <c r="U15" i="15"/>
  <c r="I6" i="15"/>
  <c r="R17" i="15"/>
  <c r="U14" i="15"/>
  <c r="S17" i="15"/>
  <c r="U13" i="15"/>
  <c r="R16" i="15"/>
  <c r="T11" i="15"/>
  <c r="T15" i="15"/>
  <c r="I65" i="15"/>
  <c r="U11" i="15"/>
  <c r="I5" i="14"/>
  <c r="H5" i="14"/>
  <c r="J5" i="12"/>
  <c r="K6" i="13"/>
  <c r="T12" i="13"/>
  <c r="U15" i="13"/>
  <c r="U14" i="13"/>
  <c r="T14" i="13"/>
  <c r="U11" i="13"/>
  <c r="Q16" i="13"/>
  <c r="S16" i="13"/>
  <c r="T13" i="13"/>
  <c r="T9" i="13"/>
  <c r="U12" i="13"/>
  <c r="I6" i="13"/>
  <c r="R16" i="13"/>
  <c r="U13" i="13"/>
  <c r="U9" i="13"/>
  <c r="T11" i="13"/>
  <c r="T15" i="13"/>
  <c r="X15" i="11"/>
  <c r="W13" i="11"/>
  <c r="W10" i="11"/>
  <c r="X12" i="11"/>
  <c r="W15" i="11"/>
  <c r="X11" i="11"/>
  <c r="L7" i="11"/>
  <c r="X13" i="11"/>
  <c r="X10" i="11"/>
  <c r="W11" i="11"/>
  <c r="W12" i="11"/>
  <c r="G17" i="12"/>
  <c r="G19" i="12"/>
  <c r="G20" i="12"/>
  <c r="G21" i="12"/>
  <c r="G22" i="12"/>
  <c r="G23" i="12"/>
  <c r="G24" i="12"/>
  <c r="G25" i="12"/>
  <c r="G26" i="12"/>
  <c r="G27" i="12"/>
  <c r="G28" i="12"/>
  <c r="G29" i="12"/>
  <c r="G30" i="12"/>
  <c r="G31" i="12"/>
  <c r="G32" i="12"/>
  <c r="G33" i="12"/>
  <c r="G34" i="12"/>
  <c r="G35" i="12"/>
  <c r="G36" i="12"/>
  <c r="G37" i="12"/>
  <c r="G38" i="12"/>
  <c r="G9" i="12"/>
  <c r="G12" i="12"/>
  <c r="G13" i="12"/>
  <c r="G16" i="12"/>
  <c r="G18" i="12"/>
  <c r="G8" i="12"/>
  <c r="G10" i="12"/>
  <c r="I5" i="12"/>
  <c r="V11" i="1"/>
  <c r="V12" i="1"/>
  <c r="V14" i="1"/>
  <c r="V15" i="1"/>
  <c r="V16" i="1"/>
  <c r="V10" i="1"/>
  <c r="U11" i="1"/>
  <c r="U12" i="1"/>
  <c r="U14" i="1"/>
  <c r="U15" i="1"/>
  <c r="U16" i="1"/>
  <c r="U10" i="1"/>
  <c r="T11" i="1"/>
  <c r="T12" i="1"/>
  <c r="T14" i="1"/>
  <c r="T15" i="1"/>
  <c r="T16" i="1"/>
  <c r="T10" i="1"/>
  <c r="M9" i="10"/>
  <c r="M10" i="10"/>
  <c r="M11" i="10"/>
  <c r="M12" i="10"/>
  <c r="M13" i="10"/>
  <c r="M14" i="10"/>
  <c r="M15" i="10"/>
  <c r="M16" i="10"/>
  <c r="M17" i="10"/>
  <c r="M8" i="10"/>
  <c r="N8" i="10" s="1"/>
  <c r="I11" i="10"/>
  <c r="J11" i="10" s="1"/>
  <c r="I9" i="10"/>
  <c r="I10" i="10"/>
  <c r="J10" i="10" s="1"/>
  <c r="I12" i="10"/>
  <c r="J12" i="10" s="1"/>
  <c r="I13" i="10"/>
  <c r="J13" i="10" s="1"/>
  <c r="I14" i="10"/>
  <c r="J14" i="10" s="1"/>
  <c r="I15" i="10"/>
  <c r="J15" i="10" s="1"/>
  <c r="I16" i="10"/>
  <c r="J16" i="10" s="1"/>
  <c r="I37" i="10"/>
  <c r="J37" i="10" s="1"/>
  <c r="I36" i="10"/>
  <c r="J36" i="10" s="1"/>
  <c r="I35" i="10"/>
  <c r="J35" i="10" s="1"/>
  <c r="I34" i="10"/>
  <c r="J34" i="10" s="1"/>
  <c r="I33" i="10"/>
  <c r="J33" i="10" s="1"/>
  <c r="I32" i="10"/>
  <c r="J32" i="10" s="1"/>
  <c r="I31" i="10"/>
  <c r="J31" i="10" s="1"/>
  <c r="I30" i="10"/>
  <c r="J30" i="10" s="1"/>
  <c r="I29" i="10"/>
  <c r="J29" i="10" s="1"/>
  <c r="I28" i="10"/>
  <c r="J28" i="10" s="1"/>
  <c r="I27" i="10"/>
  <c r="J27" i="10" s="1"/>
  <c r="I26" i="10"/>
  <c r="J26" i="10" s="1"/>
  <c r="I25" i="10"/>
  <c r="J25" i="10" s="1"/>
  <c r="I24" i="10"/>
  <c r="J24" i="10" s="1"/>
  <c r="I23" i="10"/>
  <c r="J23" i="10" s="1"/>
  <c r="I22" i="10"/>
  <c r="J22" i="10" s="1"/>
  <c r="J21" i="10"/>
  <c r="I20" i="10"/>
  <c r="J20" i="10" s="1"/>
  <c r="I19" i="10"/>
  <c r="J19" i="10" s="1"/>
  <c r="I17" i="10"/>
  <c r="J17" i="10" s="1"/>
  <c r="I8" i="10"/>
  <c r="J8" i="10" s="1"/>
  <c r="L79" i="1"/>
  <c r="C5" i="8"/>
  <c r="K12" i="8"/>
  <c r="K13" i="8"/>
  <c r="K14" i="8"/>
  <c r="K15" i="8"/>
  <c r="K16" i="8"/>
  <c r="E5" i="8"/>
  <c r="E17" i="8" s="1"/>
  <c r="H78" i="1"/>
  <c r="G17" i="10" a="1"/>
  <c r="G16" i="10" a="1"/>
  <c r="G33" i="10" a="1"/>
  <c r="G18" i="10" a="1"/>
  <c r="G14" i="10" a="1"/>
  <c r="G36" i="10" a="1"/>
  <c r="G22" i="10" a="1"/>
  <c r="G13" i="10" a="1"/>
  <c r="G24" i="10" a="1"/>
  <c r="G9" i="10" a="1"/>
  <c r="G32" i="10" a="1"/>
  <c r="G35" i="10" a="1"/>
  <c r="G25" i="10" a="1"/>
  <c r="G8" i="10" a="1"/>
  <c r="G12" i="10" a="1"/>
  <c r="G31" i="10" a="1"/>
  <c r="G10" i="10" a="1"/>
  <c r="G29" i="10" a="1"/>
  <c r="G37" i="10" a="1"/>
  <c r="G23" i="10" a="1"/>
  <c r="G28" i="10" a="1"/>
  <c r="G30" i="10" a="1"/>
  <c r="G21" i="10" a="1"/>
  <c r="G27" i="10" a="1"/>
  <c r="G15" i="10" a="1"/>
  <c r="G26" i="10" a="1"/>
  <c r="G20" i="10" a="1"/>
  <c r="G34" i="10" a="1"/>
  <c r="G19" i="10" a="1"/>
  <c r="M52" i="1" a="1"/>
  <c r="M12" i="1" a="1"/>
  <c r="M29" i="1" a="1"/>
  <c r="M57" i="1" a="1"/>
  <c r="P46" i="1" a="1"/>
  <c r="P11" i="1" a="1"/>
  <c r="P25" i="1" a="1"/>
  <c r="P49" i="1" a="1"/>
  <c r="P52" i="1" a="1"/>
  <c r="P69" i="1" a="1"/>
  <c r="P42" i="1" a="1"/>
  <c r="M25" i="1" a="1"/>
  <c r="M10" i="1" a="1"/>
  <c r="P22" i="1" a="1"/>
  <c r="M59" i="1" a="1"/>
  <c r="P67" i="1" a="1"/>
  <c r="P59" i="1" a="1"/>
  <c r="P29" i="1" a="1"/>
  <c r="M67" i="1" a="1"/>
  <c r="M22" i="1" a="1"/>
  <c r="P27" i="1" a="1"/>
  <c r="M69" i="1" a="1"/>
  <c r="M36" i="1" a="1"/>
  <c r="M41" i="1" a="1"/>
  <c r="P24" i="1" a="1"/>
  <c r="M42" i="1" a="1"/>
  <c r="P65" i="1" a="1"/>
  <c r="M63" i="1" a="1"/>
  <c r="M55" i="1" a="1"/>
  <c r="P57" i="1" a="1"/>
  <c r="M44" i="1" a="1"/>
  <c r="P60" i="1" a="1"/>
  <c r="P41" i="1" a="1"/>
  <c r="P55" i="1" a="1"/>
  <c r="P63" i="1" a="1"/>
  <c r="P70" i="1" a="1"/>
  <c r="M46" i="1" a="1"/>
  <c r="M47" i="1" a="1"/>
  <c r="P36" i="1" a="1"/>
  <c r="M11" i="1" a="1"/>
  <c r="P10" i="1" a="1"/>
  <c r="P44" i="1" a="1"/>
  <c r="M60" i="1" a="1"/>
  <c r="M49" i="1" a="1"/>
  <c r="M70" i="1" a="1"/>
  <c r="P47" i="1" a="1"/>
  <c r="M65" i="1" a="1"/>
  <c r="M24" i="1" a="1"/>
  <c r="M27" i="1" a="1"/>
  <c r="P12" i="1" a="1"/>
  <c r="K6" i="17" l="1"/>
  <c r="C9" i="8"/>
  <c r="F9" i="8" s="1"/>
  <c r="G9" i="8" s="1"/>
  <c r="K9" i="8" s="1"/>
  <c r="G7" i="8"/>
  <c r="K7" i="8" s="1"/>
  <c r="W16" i="1"/>
  <c r="K6" i="21"/>
  <c r="C11" i="8"/>
  <c r="F11" i="8" s="1"/>
  <c r="K6" i="15"/>
  <c r="C8" i="8"/>
  <c r="F8" i="8" s="1"/>
  <c r="J7" i="1"/>
  <c r="P7" i="1" s="1"/>
  <c r="X12" i="1"/>
  <c r="X14" i="1"/>
  <c r="V18" i="1"/>
  <c r="T18" i="1"/>
  <c r="J79" i="1"/>
  <c r="X11" i="1"/>
  <c r="U18" i="1"/>
  <c r="X16" i="1"/>
  <c r="X15" i="1"/>
  <c r="O79" i="1"/>
  <c r="X10" i="1"/>
  <c r="U17" i="1"/>
  <c r="T17" i="1"/>
  <c r="H17" i="8"/>
  <c r="I5" i="10"/>
  <c r="G8" i="10"/>
  <c r="G14" i="10"/>
  <c r="G19" i="10"/>
  <c r="G21" i="10"/>
  <c r="G23" i="10"/>
  <c r="G25" i="10"/>
  <c r="G27" i="10"/>
  <c r="G29" i="10"/>
  <c r="G36" i="10"/>
  <c r="G12" i="10"/>
  <c r="G16" i="10"/>
  <c r="G13" i="10"/>
  <c r="G17" i="10"/>
  <c r="G10" i="10"/>
  <c r="G15" i="10"/>
  <c r="G9" i="10"/>
  <c r="G18" i="10"/>
  <c r="G20" i="10"/>
  <c r="G22" i="10"/>
  <c r="G24" i="10"/>
  <c r="G26" i="10"/>
  <c r="G28" i="10"/>
  <c r="G30" i="10"/>
  <c r="G31" i="10"/>
  <c r="G32" i="10"/>
  <c r="G33" i="10"/>
  <c r="G34" i="10"/>
  <c r="G35" i="10"/>
  <c r="G37" i="10"/>
  <c r="J9" i="10"/>
  <c r="J5" i="10" s="1"/>
  <c r="I5" i="8" s="1"/>
  <c r="J5" i="8" s="1"/>
  <c r="M10" i="1"/>
  <c r="P47" i="1"/>
  <c r="M65" i="1"/>
  <c r="M57" i="1"/>
  <c r="M47" i="1"/>
  <c r="P65" i="1"/>
  <c r="P55" i="1"/>
  <c r="P59" i="1"/>
  <c r="P57" i="1"/>
  <c r="P52" i="1"/>
  <c r="M60" i="1"/>
  <c r="P49" i="1"/>
  <c r="P69" i="1"/>
  <c r="M67" i="1"/>
  <c r="M59" i="1"/>
  <c r="P12" i="1"/>
  <c r="P70" i="1"/>
  <c r="P27" i="1"/>
  <c r="M29" i="1"/>
  <c r="M24" i="1"/>
  <c r="M12" i="1"/>
  <c r="M52" i="1"/>
  <c r="M46" i="1"/>
  <c r="M44" i="1"/>
  <c r="P22" i="1"/>
  <c r="P25" i="1"/>
  <c r="M36" i="1"/>
  <c r="M70" i="1"/>
  <c r="M63" i="1"/>
  <c r="P29" i="1"/>
  <c r="P24" i="1"/>
  <c r="P44" i="1"/>
  <c r="P63" i="1"/>
  <c r="P42" i="1"/>
  <c r="P41" i="1"/>
  <c r="M41" i="1"/>
  <c r="P67" i="1"/>
  <c r="P10" i="1"/>
  <c r="M69" i="1"/>
  <c r="P60" i="1"/>
  <c r="P36" i="1"/>
  <c r="P11" i="1"/>
  <c r="P46" i="1"/>
  <c r="M27" i="1"/>
  <c r="M25" i="1"/>
  <c r="M22" i="1"/>
  <c r="M11" i="1"/>
  <c r="M55" i="1"/>
  <c r="M49" i="1"/>
  <c r="M42" i="1"/>
  <c r="W18" i="1" l="1"/>
  <c r="G8" i="8"/>
  <c r="K8" i="8" s="1"/>
  <c r="G11" i="8"/>
  <c r="K11" i="8" s="1"/>
  <c r="C17" i="8"/>
  <c r="L7" i="1"/>
  <c r="N17" i="10"/>
  <c r="N13" i="10"/>
  <c r="N14" i="10"/>
  <c r="N9" i="10"/>
  <c r="N16" i="10"/>
  <c r="N12" i="10"/>
  <c r="N15" i="10"/>
  <c r="N11" i="10"/>
  <c r="D5" i="8"/>
  <c r="D17" i="8" l="1"/>
  <c r="F5" i="8"/>
  <c r="V17" i="1"/>
  <c r="W17" i="1" s="1"/>
  <c r="G5" i="8" l="1"/>
  <c r="G17" i="8" s="1"/>
  <c r="L17" i="8" s="1"/>
  <c r="F17" i="8"/>
  <c r="W14" i="1"/>
  <c r="W15" i="1"/>
  <c r="W11" i="1"/>
  <c r="W12" i="1"/>
  <c r="W10" i="1" l="1"/>
  <c r="K5" i="8"/>
  <c r="K17" i="8" s="1"/>
  <c r="C79" i="1" a="1"/>
  <c r="C79" i="1" s="1"/>
  <c r="C78" i="1" s="1" a="1"/>
  <c r="C78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1">
    <bk>
      <extLst>
        <ext uri="{3e2802c4-a4d2-4d8b-9148-e3be6c30e623}">
          <xlrd:rvb i="0"/>
        </ext>
      </extLst>
    </bk>
  </futureMetadata>
  <cellMetadata count="1">
    <bk>
      <rc t="1" v="0"/>
    </bk>
  </cellMetadata>
  <valueMetadata count="1">
    <bk>
      <rc t="2" v="0"/>
    </bk>
  </valueMetadata>
</metadata>
</file>

<file path=xl/sharedStrings.xml><?xml version="1.0" encoding="utf-8"?>
<sst xmlns="http://schemas.openxmlformats.org/spreadsheetml/2006/main" count="1580" uniqueCount="243">
  <si>
    <t>Date</t>
  </si>
  <si>
    <t>Heures</t>
  </si>
  <si>
    <t>Thomas</t>
  </si>
  <si>
    <t>Flavie</t>
  </si>
  <si>
    <t>Raphaëlle</t>
  </si>
  <si>
    <t>Informations</t>
  </si>
  <si>
    <t>Charges</t>
  </si>
  <si>
    <t>9h-10h</t>
  </si>
  <si>
    <t>14h-15h</t>
  </si>
  <si>
    <t>10h-12h</t>
  </si>
  <si>
    <t>10h-14h</t>
  </si>
  <si>
    <t>9h30-11h30</t>
  </si>
  <si>
    <t>9h-11h</t>
  </si>
  <si>
    <t>Pour JB</t>
  </si>
  <si>
    <t>13h-17h</t>
  </si>
  <si>
    <t>11h30-13h30</t>
  </si>
  <si>
    <t>14h-16h</t>
  </si>
  <si>
    <t>14h30-16h30</t>
  </si>
  <si>
    <t>AVRIL</t>
  </si>
  <si>
    <t>CA TTC</t>
  </si>
  <si>
    <t>CA HT</t>
  </si>
  <si>
    <t>CA Thomas</t>
  </si>
  <si>
    <t>CA Flavie</t>
  </si>
  <si>
    <t>CA Raphaëlle</t>
  </si>
  <si>
    <t>CA-Charges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</si>
  <si>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</si>
  <si>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</si>
  <si>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</si>
  <si>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</si>
  <si>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</si>
  <si>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</si>
  <si>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</si>
  <si>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</si>
  <si>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JANVIER</t>
  </si>
  <si>
    <t>FEVRIER</t>
  </si>
  <si>
    <t>MARS</t>
  </si>
  <si>
    <t>Salaire</t>
  </si>
  <si>
    <t>TOTAL</t>
  </si>
  <si>
    <t>9h-17h</t>
  </si>
  <si>
    <t>Information</t>
  </si>
  <si>
    <t>CHIFFRE D'AFFAIRES</t>
  </si>
  <si>
    <t>DÉPENSES</t>
  </si>
  <si>
    <t>N Facture</t>
  </si>
  <si>
    <t>Chèque</t>
  </si>
  <si>
    <t>Espèces</t>
  </si>
  <si>
    <t>Virement</t>
  </si>
  <si>
    <t>Viator</t>
  </si>
  <si>
    <t>Essence</t>
  </si>
  <si>
    <t>Jeep</t>
  </si>
  <si>
    <t>Communication</t>
  </si>
  <si>
    <t>Repas</t>
  </si>
  <si>
    <t>Assurance</t>
  </si>
  <si>
    <t>Visite JB Hub</t>
  </si>
  <si>
    <t>T</t>
  </si>
  <si>
    <t>F</t>
  </si>
  <si>
    <t>R</t>
  </si>
  <si>
    <t>CB</t>
  </si>
  <si>
    <t>16h30-18h30</t>
  </si>
  <si>
    <t>9h-13h</t>
  </si>
  <si>
    <t/>
  </si>
  <si>
    <t>Garage</t>
  </si>
  <si>
    <t>GYG</t>
  </si>
  <si>
    <t>TVA</t>
  </si>
  <si>
    <t>Charges HT</t>
  </si>
  <si>
    <t>avec Hub</t>
  </si>
  <si>
    <t>jeep</t>
  </si>
  <si>
    <t>TOTAL HT</t>
  </si>
  <si>
    <t>Crédit bail</t>
  </si>
  <si>
    <t>Prêt jeep</t>
  </si>
  <si>
    <t>Zervant</t>
  </si>
  <si>
    <t>Free</t>
  </si>
  <si>
    <t>Structure</t>
  </si>
  <si>
    <t>Emprunt/Crédit</t>
  </si>
  <si>
    <t>charges recup</t>
  </si>
  <si>
    <t>Colonne6</t>
  </si>
  <si>
    <t>Récup</t>
  </si>
  <si>
    <t>Mode de dépense</t>
  </si>
  <si>
    <t>Charge TTC</t>
  </si>
  <si>
    <t>Charge HT</t>
  </si>
  <si>
    <t>Microsoft</t>
  </si>
  <si>
    <t>Colonne11</t>
  </si>
  <si>
    <t>Colonne14</t>
  </si>
  <si>
    <t>Devis</t>
  </si>
  <si>
    <t>Factures</t>
  </si>
  <si>
    <t>$T</t>
  </si>
  <si>
    <t>$F</t>
  </si>
  <si>
    <t>$R</t>
  </si>
  <si>
    <t>TOTAL 
TTC</t>
  </si>
  <si>
    <t>H</t>
  </si>
  <si>
    <t>HT</t>
  </si>
  <si>
    <t>1er avril</t>
  </si>
  <si>
    <t>10h30-12h30</t>
  </si>
  <si>
    <t>14h45-15h45</t>
  </si>
  <si>
    <t>pour Hub</t>
  </si>
  <si>
    <t>14h30-18h30</t>
  </si>
  <si>
    <t>9h30-10h30</t>
  </si>
  <si>
    <t>Pour Hub</t>
  </si>
  <si>
    <t>14h-18h</t>
  </si>
  <si>
    <t>viator</t>
  </si>
  <si>
    <t>Visite à pied</t>
  </si>
  <si>
    <t>17h-19h</t>
  </si>
  <si>
    <t>Avec Hub</t>
  </si>
  <si>
    <t>Avec JB</t>
  </si>
  <si>
    <t>avec JB</t>
  </si>
  <si>
    <t>Déjà payé Flavie BC</t>
  </si>
  <si>
    <t>14h15-16h15</t>
  </si>
  <si>
    <t>11h30-12h30</t>
  </si>
  <si>
    <t>JT pour groupe R</t>
  </si>
  <si>
    <t>12h30-18h15</t>
  </si>
  <si>
    <t>8h30-16h00</t>
  </si>
  <si>
    <t>12h-14h</t>
  </si>
  <si>
    <t>13h-15h</t>
  </si>
  <si>
    <t>16h-19h</t>
  </si>
  <si>
    <t>12h-16h</t>
  </si>
  <si>
    <t>Tour JB</t>
  </si>
  <si>
    <t>14h15-18h15</t>
  </si>
  <si>
    <t>15h-17h</t>
  </si>
  <si>
    <t>Visite JB</t>
  </si>
  <si>
    <t>bon cadeau</t>
  </si>
  <si>
    <t>Jake</t>
  </si>
  <si>
    <t>11h-12h</t>
  </si>
  <si>
    <t>9h-17j</t>
  </si>
  <si>
    <t>9h-12h30</t>
  </si>
  <si>
    <t>8h30-16h</t>
  </si>
  <si>
    <t>11h-13h</t>
  </si>
  <si>
    <t>12h30-14h30</t>
  </si>
  <si>
    <t>JB</t>
  </si>
  <si>
    <t>8h30-19h</t>
  </si>
  <si>
    <t>WWIIM</t>
  </si>
  <si>
    <t>1er juillet</t>
  </si>
  <si>
    <t>14h-17h</t>
  </si>
  <si>
    <t>13 juilet</t>
  </si>
  <si>
    <t>2 aout</t>
  </si>
  <si>
    <t>10 aout</t>
  </si>
  <si>
    <t>12 aout</t>
  </si>
  <si>
    <t>16 aout</t>
  </si>
  <si>
    <t>13 aout</t>
  </si>
  <si>
    <t>14 aout</t>
  </si>
  <si>
    <t>JT pour tour R</t>
  </si>
  <si>
    <t>CHIFFRE D'AFFAIRES AOUT</t>
  </si>
  <si>
    <t>30 aout</t>
  </si>
  <si>
    <t>DÉPENSES SEPTEMBRE</t>
  </si>
  <si>
    <t>c</t>
  </si>
  <si>
    <t>CHIFFRE D'AFFAIRES OCTOBRE</t>
  </si>
  <si>
    <t>BC Audrey Reichled</t>
  </si>
  <si>
    <t>BC Lea Morel</t>
  </si>
  <si>
    <t>BC Michele Boussier</t>
  </si>
  <si>
    <t>BC Lebled</t>
  </si>
  <si>
    <t>BC</t>
  </si>
  <si>
    <t>Payé en avril</t>
  </si>
  <si>
    <t>2024-1</t>
  </si>
  <si>
    <t>shuttle pays d'auge</t>
  </si>
  <si>
    <t>URSSAF sécurité sociale</t>
  </si>
  <si>
    <t>URSSAF</t>
  </si>
  <si>
    <t>BC 1er avril</t>
  </si>
  <si>
    <t>essence</t>
  </si>
  <si>
    <t>2024-2</t>
  </si>
  <si>
    <t>2024-3</t>
  </si>
  <si>
    <t>2024-4</t>
  </si>
  <si>
    <t>2024-5</t>
  </si>
  <si>
    <t>2024-6</t>
  </si>
  <si>
    <t>2024-7</t>
  </si>
  <si>
    <t>2024-8</t>
  </si>
  <si>
    <t>2024-9</t>
  </si>
  <si>
    <t>6h-20h30</t>
  </si>
  <si>
    <t>BC Rosemarie Tostivint, payé virement le 5 avril</t>
  </si>
  <si>
    <t>BC - 5 avril</t>
  </si>
  <si>
    <t>X</t>
  </si>
  <si>
    <t>Willem</t>
  </si>
  <si>
    <t>tapis van</t>
  </si>
  <si>
    <t>jetons lavages</t>
  </si>
  <si>
    <t>15 aout</t>
  </si>
  <si>
    <t>avril</t>
  </si>
  <si>
    <t>mai</t>
  </si>
  <si>
    <t>juin</t>
  </si>
  <si>
    <t>juillet</t>
  </si>
  <si>
    <t>aout</t>
  </si>
  <si>
    <t>septembre</t>
  </si>
  <si>
    <t>octobre</t>
  </si>
  <si>
    <t>URSSAF novembre (cottisation Thomas)</t>
  </si>
  <si>
    <t>DÉPENSES OCTOBRE</t>
  </si>
  <si>
    <t>Bénéfice</t>
  </si>
  <si>
    <t>novembre</t>
  </si>
  <si>
    <t>decembre</t>
  </si>
  <si>
    <t>janvier</t>
  </si>
  <si>
    <t>fevrier</t>
  </si>
  <si>
    <t>mars</t>
  </si>
  <si>
    <t>Prévision</t>
  </si>
  <si>
    <t>x</t>
  </si>
  <si>
    <t>CHIFFRE D'AFFAIRES AVRIL</t>
  </si>
  <si>
    <t>BC Soury Desge</t>
  </si>
  <si>
    <t>DB</t>
  </si>
  <si>
    <t>Statuts</t>
  </si>
  <si>
    <t>BC - 16 aout</t>
  </si>
  <si>
    <t>SIST Ouets N</t>
  </si>
  <si>
    <t>2024-10</t>
  </si>
  <si>
    <t>2024-11</t>
  </si>
  <si>
    <t>facture n5</t>
  </si>
  <si>
    <t>2024-12</t>
  </si>
  <si>
    <t>Domaine U</t>
  </si>
  <si>
    <t>15h15-18h15</t>
  </si>
  <si>
    <t>BC Marie Dorlys recu 9 avril</t>
  </si>
  <si>
    <t>Mois visite</t>
  </si>
  <si>
    <t>Date visite</t>
  </si>
  <si>
    <t>510 euros mais erreur facture</t>
  </si>
  <si>
    <t>2024-13</t>
  </si>
  <si>
    <t>Avoir facture précédente</t>
  </si>
  <si>
    <t>2024-14</t>
  </si>
  <si>
    <t>Nouvelle facture</t>
  </si>
  <si>
    <t>Téléphone employée</t>
  </si>
  <si>
    <t>5 aout</t>
  </si>
  <si>
    <t>2024-15</t>
  </si>
  <si>
    <t>17h-20h</t>
  </si>
  <si>
    <t>pour JB</t>
  </si>
  <si>
    <t>2024-16</t>
  </si>
  <si>
    <t>2024-17</t>
  </si>
  <si>
    <t>Tenues travail</t>
  </si>
  <si>
    <t>facture envoyee</t>
  </si>
  <si>
    <t>essence remboursement</t>
  </si>
  <si>
    <t>action remboursement</t>
  </si>
  <si>
    <t>Prieur</t>
  </si>
  <si>
    <t>2024-21</t>
  </si>
  <si>
    <t>Payé via zervant le 15 avril</t>
  </si>
  <si>
    <t>2024-20</t>
  </si>
  <si>
    <t>Stripe</t>
  </si>
  <si>
    <t>Essence super U</t>
  </si>
  <si>
    <t>Payé via banque en ligne zervant le 1 2 avril</t>
  </si>
  <si>
    <t>28 vril</t>
  </si>
  <si>
    <t>2024-19</t>
  </si>
  <si>
    <t>2024-22</t>
  </si>
  <si>
    <t>2024-23</t>
  </si>
  <si>
    <t>2024-24</t>
  </si>
  <si>
    <t>2024-25</t>
  </si>
  <si>
    <t>2024-26</t>
  </si>
  <si>
    <t>promo car avec Raphaëlle</t>
  </si>
  <si>
    <t>Googls ads</t>
  </si>
  <si>
    <t xml:space="preserve">JUIN </t>
  </si>
  <si>
    <t>2024-27</t>
  </si>
  <si>
    <t>Mois de visite</t>
  </si>
  <si>
    <t>CA ENCAISSÉ MOIS PAR MOIS</t>
  </si>
  <si>
    <t>CA RÉALISÉ MOIS PAR MOIS</t>
  </si>
  <si>
    <t>SEPT</t>
  </si>
  <si>
    <t>OCT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</si>
</sst>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 * #,##0.00_)\ &quot;€&quot;_ ;_ * \(#,##0.00\)\ &quot;€&quot;_ ;_ * &quot;-&quot;??_)\ &quot;€&quot;_ ;_ @_ "/>
    <numFmt numFmtId="164" formatCode="[$-40C]d\-mmm\-yy;@"/>
    <numFmt numFmtId="165" formatCode="#,##0.00\ &quot;€&quot;"/>
  </numFmts>
  <fonts count="29" x14ac:knownFonts="1">
    <font>
      <sz val="12"/>
      <color theme="1"/>
      <name val="Aptos Narrow"/>
      <family val="2"/>
      <scheme val="minor"/>
    </font>
    <font>
      <sz val="16"/>
      <color theme="1"/>
      <name val="Aptos Narrow"/>
      <family val="2"/>
      <scheme val="minor"/>
    </font>
    <font>
      <sz val="14"/>
      <color theme="0"/>
      <name val="Aptos Narrow"/>
      <family val="2"/>
      <scheme val="minor"/>
    </font>
    <font>
      <sz val="18"/>
      <color theme="0"/>
      <name val="Aptos Narrow"/>
      <family val="2"/>
      <scheme val="minor"/>
    </font>
    <font>
      <sz val="12"/>
      <name val="Arial"/>
      <family val="2"/>
    </font>
    <font>
      <b/>
      <sz val="12"/>
      <color theme="1"/>
      <name val="Aptos Narrow"/>
      <scheme val="minor"/>
    </font>
    <font>
      <i/>
      <sz val="10"/>
      <color theme="2" tint="-0.499984740745262"/>
      <name val="Aptos Narrow"/>
      <scheme val="minor"/>
    </font>
    <font>
      <sz val="18"/>
      <color theme="1"/>
      <name val="Aptos Narrow"/>
      <family val="2"/>
      <scheme val="minor"/>
    </font>
    <font>
      <sz val="18"/>
      <color theme="1"/>
      <name val="Aptos Narrow"/>
      <scheme val="minor"/>
    </font>
    <font>
      <b/>
      <sz val="11"/>
      <color theme="1"/>
      <name val="Aptos Narrow"/>
      <scheme val="minor"/>
    </font>
    <font>
      <b/>
      <sz val="18"/>
      <color theme="1"/>
      <name val="Aptos Narrow"/>
      <scheme val="minor"/>
    </font>
    <font>
      <b/>
      <sz val="16"/>
      <color theme="0"/>
      <name val="Aptos Narrow"/>
      <family val="2"/>
      <scheme val="minor"/>
    </font>
    <font>
      <sz val="14"/>
      <color theme="0"/>
      <name val="Aptos Narrow (Corps)"/>
    </font>
    <font>
      <i/>
      <sz val="14"/>
      <color theme="0"/>
      <name val="Aptos Narrow"/>
      <family val="2"/>
      <scheme val="minor"/>
    </font>
    <font>
      <b/>
      <sz val="14"/>
      <color theme="1"/>
      <name val="Aptos Narrow"/>
      <scheme val="minor"/>
    </font>
    <font>
      <b/>
      <sz val="16"/>
      <color theme="1"/>
      <name val="Aptos Narrow (Corps)"/>
    </font>
    <font>
      <b/>
      <sz val="16"/>
      <color theme="0"/>
      <name val="Aptos Narrow"/>
      <scheme val="minor"/>
    </font>
    <font>
      <b/>
      <sz val="18"/>
      <color theme="1"/>
      <name val="Aptos Narrow"/>
      <family val="2"/>
      <scheme val="minor"/>
    </font>
    <font>
      <b/>
      <sz val="22"/>
      <color theme="0"/>
      <name val="Aptos Narrow"/>
      <scheme val="minor"/>
    </font>
    <font>
      <b/>
      <sz val="22"/>
      <color theme="1"/>
      <name val="Aptos Narrow"/>
      <scheme val="minor"/>
    </font>
    <font>
      <sz val="22"/>
      <color theme="1"/>
      <name val="Aptos Narrow"/>
      <scheme val="minor"/>
    </font>
    <font>
      <b/>
      <i/>
      <sz val="12"/>
      <color theme="1"/>
      <name val="Aptos Narrow"/>
      <scheme val="minor"/>
    </font>
    <font>
      <b/>
      <sz val="18"/>
      <color theme="6" tint="-0.249977111117893"/>
      <name val="Aptos Narrow"/>
      <family val="2"/>
      <scheme val="minor"/>
    </font>
    <font>
      <sz val="22"/>
      <color theme="1"/>
      <name val="ADLaM Display Regular"/>
    </font>
    <font>
      <sz val="12"/>
      <color theme="5" tint="0.79998168889431442"/>
      <name val="Aptos Narrow"/>
      <family val="2"/>
      <scheme val="minor"/>
    </font>
    <font>
      <b/>
      <sz val="12"/>
      <color theme="0"/>
      <name val="Aptos Narrow"/>
      <scheme val="minor"/>
    </font>
    <font>
      <sz val="8"/>
      <name val="Aptos Narrow"/>
      <family val="2"/>
      <scheme val="minor"/>
    </font>
    <font>
      <sz val="12"/>
      <color rgb="FF000000"/>
      <name val="Aptos Narrow"/>
      <family val="2"/>
      <scheme val="minor"/>
    </font>
    <font>
      <b/>
      <sz val="16"/>
      <color theme="1"/>
      <name val="Aptos Narrow"/>
      <scheme val="minor"/>
    </font>
  </fonts>
  <fills count="41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D78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2F9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7E79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89999084444715716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0C769E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theme="8" tint="0.39997558519241921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6">
    <xf numFmtId="0" fontId="0" fillId="0" borderId="0" xfId="0"/>
    <xf numFmtId="0" fontId="0" fillId="0" borderId="1" xfId="0" applyBorder="1"/>
    <xf numFmtId="17" fontId="0" fillId="0" borderId="1" xfId="0" applyNumberFormat="1" applyBorder="1"/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1" xfId="0" applyFill="1" applyBorder="1"/>
    <xf numFmtId="0" fontId="0" fillId="5" borderId="1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164" fontId="0" fillId="4" borderId="1" xfId="0" applyNumberFormat="1" applyFill="1" applyBorder="1" applyAlignment="1">
      <alignment horizontal="center" vertical="center"/>
    </xf>
    <xf numFmtId="16" fontId="0" fillId="4" borderId="1" xfId="0" applyNumberForma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16" fontId="0" fillId="4" borderId="3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10" borderId="1" xfId="0" applyFill="1" applyBorder="1" applyAlignment="1">
      <alignment horizontal="center" vertical="center"/>
    </xf>
    <xf numFmtId="0" fontId="0" fillId="12" borderId="1" xfId="0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16" fontId="0" fillId="0" borderId="1" xfId="0" applyNumberFormat="1" applyBorder="1" applyAlignment="1">
      <alignment horizontal="center"/>
    </xf>
    <xf numFmtId="44" fontId="0" fillId="0" borderId="1" xfId="0" applyNumberFormat="1" applyBorder="1"/>
    <xf numFmtId="44" fontId="0" fillId="4" borderId="1" xfId="0" applyNumberFormat="1" applyFill="1" applyBorder="1"/>
    <xf numFmtId="44" fontId="0" fillId="0" borderId="11" xfId="0" applyNumberFormat="1" applyBorder="1"/>
    <xf numFmtId="0" fontId="1" fillId="3" borderId="0" xfId="0" applyFont="1" applyFill="1" applyAlignment="1">
      <alignment horizontal="center" vertical="center"/>
    </xf>
    <xf numFmtId="0" fontId="0" fillId="16" borderId="0" xfId="0" applyFill="1" applyAlignment="1">
      <alignment horizontal="center" vertical="center"/>
    </xf>
    <xf numFmtId="44" fontId="0" fillId="3" borderId="1" xfId="0" applyNumberFormat="1" applyFill="1" applyBorder="1" applyAlignment="1">
      <alignment horizontal="center"/>
    </xf>
    <xf numFmtId="0" fontId="4" fillId="16" borderId="1" xfId="0" applyFont="1" applyFill="1" applyBorder="1" applyAlignment="1">
      <alignment horizontal="center" vertical="center"/>
    </xf>
    <xf numFmtId="0" fontId="0" fillId="16" borderId="12" xfId="0" applyFill="1" applyBorder="1" applyAlignment="1">
      <alignment horizontal="center" vertical="center"/>
    </xf>
    <xf numFmtId="44" fontId="0" fillId="5" borderId="3" xfId="0" applyNumberFormat="1" applyFill="1" applyBorder="1" applyAlignment="1">
      <alignment horizontal="center" vertical="center"/>
    </xf>
    <xf numFmtId="44" fontId="0" fillId="5" borderId="10" xfId="0" applyNumberFormat="1" applyFill="1" applyBorder="1" applyAlignment="1">
      <alignment horizontal="center" vertical="center"/>
    </xf>
    <xf numFmtId="44" fontId="0" fillId="3" borderId="1" xfId="0" quotePrefix="1" applyNumberFormat="1" applyFill="1" applyBorder="1"/>
    <xf numFmtId="44" fontId="0" fillId="16" borderId="0" xfId="0" applyNumberFormat="1" applyFill="1" applyAlignment="1">
      <alignment horizontal="center" vertical="center"/>
    </xf>
    <xf numFmtId="44" fontId="0" fillId="3" borderId="1" xfId="0" applyNumberFormat="1" applyFill="1" applyBorder="1" applyAlignment="1">
      <alignment horizontal="center" vertical="center"/>
    </xf>
    <xf numFmtId="9" fontId="6" fillId="5" borderId="1" xfId="0" applyNumberFormat="1" applyFont="1" applyFill="1" applyBorder="1" applyAlignment="1">
      <alignment horizontal="center" vertical="center"/>
    </xf>
    <xf numFmtId="165" fontId="9" fillId="21" borderId="1" xfId="0" applyNumberFormat="1" applyFont="1" applyFill="1" applyBorder="1" applyAlignment="1">
      <alignment horizontal="center" vertical="center"/>
    </xf>
    <xf numFmtId="44" fontId="0" fillId="21" borderId="1" xfId="0" applyNumberFormat="1" applyFill="1" applyBorder="1"/>
    <xf numFmtId="0" fontId="0" fillId="5" borderId="2" xfId="0" applyFill="1" applyBorder="1" applyAlignment="1">
      <alignment horizontal="center" vertical="center"/>
    </xf>
    <xf numFmtId="44" fontId="0" fillId="3" borderId="13" xfId="0" quotePrefix="1" applyNumberFormat="1" applyFill="1" applyBorder="1"/>
    <xf numFmtId="0" fontId="5" fillId="21" borderId="1" xfId="0" applyFont="1" applyFill="1" applyBorder="1"/>
    <xf numFmtId="44" fontId="5" fillId="21" borderId="1" xfId="0" applyNumberFormat="1" applyFont="1" applyFill="1" applyBorder="1"/>
    <xf numFmtId="0" fontId="5" fillId="2" borderId="1" xfId="0" applyFont="1" applyFill="1" applyBorder="1"/>
    <xf numFmtId="44" fontId="5" fillId="2" borderId="1" xfId="0" applyNumberFormat="1" applyFont="1" applyFill="1" applyBorder="1"/>
    <xf numFmtId="0" fontId="8" fillId="3" borderId="0" xfId="0" applyFont="1" applyFill="1" applyAlignment="1">
      <alignment horizontal="center" vertical="center"/>
    </xf>
    <xf numFmtId="165" fontId="0" fillId="0" borderId="12" xfId="0" applyNumberFormat="1" applyBorder="1" applyAlignment="1">
      <alignment horizontal="center" vertical="center"/>
    </xf>
    <xf numFmtId="0" fontId="2" fillId="22" borderId="1" xfId="0" applyFont="1" applyFill="1" applyBorder="1" applyAlignment="1">
      <alignment horizontal="center" vertical="center"/>
    </xf>
    <xf numFmtId="44" fontId="12" fillId="22" borderId="13" xfId="0" quotePrefix="1" applyNumberFormat="1" applyFont="1" applyFill="1" applyBorder="1" applyAlignment="1">
      <alignment vertical="center"/>
    </xf>
    <xf numFmtId="0" fontId="2" fillId="22" borderId="12" xfId="0" applyFont="1" applyFill="1" applyBorder="1" applyAlignment="1">
      <alignment horizontal="center" vertical="center"/>
    </xf>
    <xf numFmtId="9" fontId="13" fillId="22" borderId="1" xfId="0" applyNumberFormat="1" applyFont="1" applyFill="1" applyBorder="1" applyAlignment="1">
      <alignment horizontal="center" vertical="center"/>
    </xf>
    <xf numFmtId="0" fontId="14" fillId="24" borderId="1" xfId="0" applyFont="1" applyFill="1" applyBorder="1" applyAlignment="1">
      <alignment horizontal="center" vertical="center"/>
    </xf>
    <xf numFmtId="0" fontId="14" fillId="12" borderId="1" xfId="0" applyFont="1" applyFill="1" applyBorder="1" applyAlignment="1">
      <alignment horizontal="center" vertical="center"/>
    </xf>
    <xf numFmtId="0" fontId="14" fillId="25" borderId="1" xfId="0" applyFont="1" applyFill="1" applyBorder="1" applyAlignment="1">
      <alignment horizontal="center" vertical="center"/>
    </xf>
    <xf numFmtId="44" fontId="0" fillId="3" borderId="1" xfId="0" quotePrefix="1" applyNumberFormat="1" applyFill="1" applyBorder="1" applyAlignment="1">
      <alignment horizontal="center" vertical="center"/>
    </xf>
    <xf numFmtId="164" fontId="16" fillId="26" borderId="1" xfId="0" applyNumberFormat="1" applyFont="1" applyFill="1" applyBorder="1" applyAlignment="1">
      <alignment horizontal="center" vertical="center"/>
    </xf>
    <xf numFmtId="44" fontId="16" fillId="26" borderId="0" xfId="0" applyNumberFormat="1" applyFont="1" applyFill="1" applyAlignment="1">
      <alignment horizontal="center" vertical="center"/>
    </xf>
    <xf numFmtId="0" fontId="16" fillId="26" borderId="0" xfId="0" applyFont="1" applyFill="1" applyAlignment="1">
      <alignment horizontal="center" vertical="center"/>
    </xf>
    <xf numFmtId="0" fontId="11" fillId="26" borderId="1" xfId="0" applyFont="1" applyFill="1" applyBorder="1" applyAlignment="1">
      <alignment horizontal="center" vertical="center"/>
    </xf>
    <xf numFmtId="0" fontId="11" fillId="26" borderId="11" xfId="0" applyFont="1" applyFill="1" applyBorder="1" applyAlignment="1">
      <alignment horizontal="center" vertical="center"/>
    </xf>
    <xf numFmtId="0" fontId="15" fillId="27" borderId="11" xfId="0" applyFont="1" applyFill="1" applyBorder="1" applyAlignment="1">
      <alignment horizontal="center" vertical="center"/>
    </xf>
    <xf numFmtId="44" fontId="11" fillId="28" borderId="11" xfId="0" applyNumberFormat="1" applyFont="1" applyFill="1" applyBorder="1" applyAlignment="1">
      <alignment horizontal="center" vertical="center"/>
    </xf>
    <xf numFmtId="44" fontId="11" fillId="26" borderId="11" xfId="0" quotePrefix="1" applyNumberFormat="1" applyFont="1" applyFill="1" applyBorder="1" applyAlignment="1">
      <alignment horizontal="center" vertical="center"/>
    </xf>
    <xf numFmtId="44" fontId="11" fillId="25" borderId="11" xfId="0" applyNumberFormat="1" applyFont="1" applyFill="1" applyBorder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44" fontId="0" fillId="3" borderId="3" xfId="0" applyNumberFormat="1" applyFill="1" applyBorder="1" applyAlignment="1">
      <alignment horizontal="center" vertical="center"/>
    </xf>
    <xf numFmtId="0" fontId="0" fillId="0" borderId="4" xfId="0" applyBorder="1"/>
    <xf numFmtId="0" fontId="0" fillId="0" borderId="5" xfId="0" applyBorder="1"/>
    <xf numFmtId="0" fontId="0" fillId="0" borderId="5" xfId="0" applyBorder="1" applyAlignment="1">
      <alignment horizontal="center" vertical="center"/>
    </xf>
    <xf numFmtId="0" fontId="0" fillId="0" borderId="6" xfId="0" applyBorder="1"/>
    <xf numFmtId="44" fontId="7" fillId="3" borderId="0" xfId="0" applyNumberFormat="1" applyFont="1" applyFill="1" applyAlignment="1">
      <alignment horizontal="center" vertical="center"/>
    </xf>
    <xf numFmtId="44" fontId="10" fillId="3" borderId="1" xfId="0" applyNumberFormat="1" applyFont="1" applyFill="1" applyBorder="1" applyAlignment="1">
      <alignment horizontal="center" vertical="center"/>
    </xf>
    <xf numFmtId="44" fontId="10" fillId="3" borderId="0" xfId="0" applyNumberFormat="1" applyFont="1" applyFill="1" applyAlignment="1">
      <alignment vertical="center"/>
    </xf>
    <xf numFmtId="44" fontId="0" fillId="5" borderId="1" xfId="0" applyNumberFormat="1" applyFill="1" applyBorder="1" applyAlignment="1">
      <alignment horizontal="center" vertical="center"/>
    </xf>
    <xf numFmtId="44" fontId="19" fillId="21" borderId="17" xfId="0" applyNumberFormat="1" applyFont="1" applyFill="1" applyBorder="1" applyAlignment="1">
      <alignment horizontal="center" vertical="center"/>
    </xf>
    <xf numFmtId="0" fontId="20" fillId="21" borderId="18" xfId="0" applyFont="1" applyFill="1" applyBorder="1" applyAlignment="1">
      <alignment horizontal="center" vertical="center"/>
    </xf>
    <xf numFmtId="2" fontId="19" fillId="21" borderId="19" xfId="0" applyNumberFormat="1" applyFont="1" applyFill="1" applyBorder="1" applyAlignment="1">
      <alignment horizontal="center" vertical="center"/>
    </xf>
    <xf numFmtId="0" fontId="0" fillId="3" borderId="0" xfId="0" quotePrefix="1" applyFill="1"/>
    <xf numFmtId="0" fontId="0" fillId="2" borderId="0" xfId="0" applyFill="1"/>
    <xf numFmtId="0" fontId="0" fillId="30" borderId="1" xfId="0" applyFill="1" applyBorder="1" applyAlignment="1">
      <alignment horizontal="center" vertical="center"/>
    </xf>
    <xf numFmtId="0" fontId="0" fillId="8" borderId="3" xfId="0" applyFill="1" applyBorder="1" applyAlignment="1">
      <alignment horizontal="center" vertical="center"/>
    </xf>
    <xf numFmtId="0" fontId="21" fillId="21" borderId="1" xfId="0" applyFont="1" applyFill="1" applyBorder="1" applyAlignment="1">
      <alignment horizontal="center" vertical="center"/>
    </xf>
    <xf numFmtId="44" fontId="21" fillId="21" borderId="1" xfId="0" applyNumberFormat="1" applyFont="1" applyFill="1" applyBorder="1" applyAlignment="1">
      <alignment horizontal="center" vertical="center"/>
    </xf>
    <xf numFmtId="0" fontId="21" fillId="3" borderId="0" xfId="0" applyFont="1" applyFill="1" applyAlignment="1">
      <alignment horizontal="center" vertical="center"/>
    </xf>
    <xf numFmtId="44" fontId="21" fillId="21" borderId="11" xfId="0" applyNumberFormat="1" applyFont="1" applyFill="1" applyBorder="1" applyAlignment="1">
      <alignment horizontal="center" vertical="center"/>
    </xf>
    <xf numFmtId="0" fontId="21" fillId="21" borderId="20" xfId="0" applyFont="1" applyFill="1" applyBorder="1" applyAlignment="1">
      <alignment horizontal="center" vertical="center"/>
    </xf>
    <xf numFmtId="2" fontId="0" fillId="5" borderId="1" xfId="0" applyNumberFormat="1" applyFill="1" applyBorder="1" applyAlignment="1">
      <alignment horizontal="center" vertical="center"/>
    </xf>
    <xf numFmtId="0" fontId="10" fillId="3" borderId="1" xfId="0" applyFont="1" applyFill="1" applyBorder="1" applyAlignment="1">
      <alignment horizontal="center" vertical="center"/>
    </xf>
    <xf numFmtId="44" fontId="5" fillId="19" borderId="3" xfId="0" applyNumberFormat="1" applyFont="1" applyFill="1" applyBorder="1"/>
    <xf numFmtId="0" fontId="21" fillId="21" borderId="1" xfId="0" applyFont="1" applyFill="1" applyBorder="1"/>
    <xf numFmtId="44" fontId="5" fillId="19" borderId="12" xfId="0" applyNumberFormat="1" applyFont="1" applyFill="1" applyBorder="1"/>
    <xf numFmtId="0" fontId="5" fillId="0" borderId="1" xfId="0" applyFont="1" applyBorder="1" applyAlignment="1">
      <alignment horizontal="center" vertical="center"/>
    </xf>
    <xf numFmtId="44" fontId="21" fillId="21" borderId="1" xfId="0" applyNumberFormat="1" applyFont="1" applyFill="1" applyBorder="1"/>
    <xf numFmtId="0" fontId="5" fillId="14" borderId="1" xfId="0" applyFont="1" applyFill="1" applyBorder="1" applyAlignment="1">
      <alignment vertical="center"/>
    </xf>
    <xf numFmtId="0" fontId="5" fillId="30" borderId="1" xfId="0" applyFont="1" applyFill="1" applyBorder="1" applyAlignment="1">
      <alignment vertical="center"/>
    </xf>
    <xf numFmtId="0" fontId="5" fillId="11" borderId="1" xfId="0" applyFont="1" applyFill="1" applyBorder="1" applyAlignment="1">
      <alignment vertical="center"/>
    </xf>
    <xf numFmtId="0" fontId="5" fillId="15" borderId="1" xfId="0" applyFont="1" applyFill="1" applyBorder="1" applyAlignment="1">
      <alignment vertical="center"/>
    </xf>
    <xf numFmtId="0" fontId="5" fillId="18" borderId="1" xfId="0" applyFont="1" applyFill="1" applyBorder="1" applyAlignment="1">
      <alignment vertical="center"/>
    </xf>
    <xf numFmtId="0" fontId="5" fillId="23" borderId="1" xfId="0" applyFont="1" applyFill="1" applyBorder="1" applyAlignment="1">
      <alignment vertical="center"/>
    </xf>
    <xf numFmtId="0" fontId="5" fillId="13" borderId="1" xfId="0" applyFont="1" applyFill="1" applyBorder="1" applyAlignment="1">
      <alignment vertical="center"/>
    </xf>
    <xf numFmtId="165" fontId="2" fillId="22" borderId="11" xfId="0" applyNumberFormat="1" applyFont="1" applyFill="1" applyBorder="1" applyAlignment="1">
      <alignment horizontal="center" vertical="center"/>
    </xf>
    <xf numFmtId="165" fontId="2" fillId="22" borderId="20" xfId="0" applyNumberFormat="1" applyFont="1" applyFill="1" applyBorder="1" applyAlignment="1">
      <alignment horizontal="center" vertical="center"/>
    </xf>
    <xf numFmtId="0" fontId="5" fillId="31" borderId="1" xfId="0" applyFont="1" applyFill="1" applyBorder="1" applyAlignment="1">
      <alignment vertical="center"/>
    </xf>
    <xf numFmtId="0" fontId="5" fillId="25" borderId="1" xfId="0" applyFont="1" applyFill="1" applyBorder="1" applyAlignment="1">
      <alignment vertical="center"/>
    </xf>
    <xf numFmtId="0" fontId="5" fillId="8" borderId="1" xfId="0" applyFont="1" applyFill="1" applyBorder="1" applyAlignment="1">
      <alignment vertical="center"/>
    </xf>
    <xf numFmtId="44" fontId="5" fillId="4" borderId="2" xfId="0" applyNumberFormat="1" applyFont="1" applyFill="1" applyBorder="1"/>
    <xf numFmtId="44" fontId="18" fillId="29" borderId="22" xfId="0" applyNumberFormat="1" applyFont="1" applyFill="1" applyBorder="1" applyAlignment="1">
      <alignment horizontal="center" vertical="center" wrapText="1"/>
    </xf>
    <xf numFmtId="0" fontId="7" fillId="3" borderId="16" xfId="0" applyFont="1" applyFill="1" applyBorder="1" applyAlignment="1">
      <alignment horizontal="center" vertical="center"/>
    </xf>
    <xf numFmtId="44" fontId="18" fillId="29" borderId="23" xfId="0" applyNumberFormat="1" applyFont="1" applyFill="1" applyBorder="1" applyAlignment="1">
      <alignment vertical="center"/>
    </xf>
    <xf numFmtId="0" fontId="24" fillId="2" borderId="0" xfId="0" applyFont="1" applyFill="1"/>
    <xf numFmtId="0" fontId="24" fillId="2" borderId="21" xfId="0" applyFont="1" applyFill="1" applyBorder="1" applyAlignment="1">
      <alignment horizontal="center"/>
    </xf>
    <xf numFmtId="16" fontId="0" fillId="33" borderId="0" xfId="0" applyNumberForma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25" fillId="6" borderId="1" xfId="0" applyFont="1" applyFill="1" applyBorder="1"/>
    <xf numFmtId="44" fontId="25" fillId="6" borderId="1" xfId="0" applyNumberFormat="1" applyFont="1" applyFill="1" applyBorder="1"/>
    <xf numFmtId="44" fontId="0" fillId="0" borderId="0" xfId="0" applyNumberFormat="1"/>
    <xf numFmtId="0" fontId="24" fillId="31" borderId="0" xfId="0" applyFont="1" applyFill="1" applyAlignment="1">
      <alignment horizontal="center"/>
    </xf>
    <xf numFmtId="164" fontId="0" fillId="2" borderId="1" xfId="0" applyNumberFormat="1" applyFill="1" applyBorder="1" applyAlignment="1">
      <alignment horizontal="center" vertical="center"/>
    </xf>
    <xf numFmtId="16" fontId="0" fillId="34" borderId="1" xfId="0" applyNumberFormat="1" applyFill="1" applyBorder="1" applyAlignment="1">
      <alignment horizontal="center" vertical="center"/>
    </xf>
    <xf numFmtId="44" fontId="0" fillId="2" borderId="1" xfId="0" applyNumberFormat="1" applyFill="1" applyBorder="1" applyAlignment="1">
      <alignment horizontal="center" vertical="center"/>
    </xf>
    <xf numFmtId="44" fontId="0" fillId="2" borderId="1" xfId="0" quotePrefix="1" applyNumberFormat="1" applyFill="1" applyBorder="1" applyAlignment="1">
      <alignment horizontal="center" vertical="center"/>
    </xf>
    <xf numFmtId="44" fontId="0" fillId="16" borderId="1" xfId="0" quotePrefix="1" applyNumberFormat="1" applyFill="1" applyBorder="1" applyAlignment="1">
      <alignment horizontal="center" vertical="center"/>
    </xf>
    <xf numFmtId="44" fontId="0" fillId="12" borderId="1" xfId="0" quotePrefix="1" applyNumberFormat="1" applyFill="1" applyBorder="1" applyAlignment="1">
      <alignment horizontal="center" vertical="center"/>
    </xf>
    <xf numFmtId="0" fontId="0" fillId="16" borderId="1" xfId="0" applyFill="1" applyBorder="1" applyAlignment="1">
      <alignment horizontal="center" vertical="center"/>
    </xf>
    <xf numFmtId="0" fontId="0" fillId="16" borderId="2" xfId="0" applyFill="1" applyBorder="1" applyAlignment="1">
      <alignment horizontal="center" vertical="center"/>
    </xf>
    <xf numFmtId="0" fontId="0" fillId="0" borderId="1" xfId="0" applyBorder="1" applyAlignment="1">
      <alignment horizontal="center" wrapText="1"/>
    </xf>
    <xf numFmtId="0" fontId="5" fillId="0" borderId="1" xfId="0" applyFont="1" applyBorder="1" applyAlignment="1">
      <alignment horizontal="left" vertical="center"/>
    </xf>
    <xf numFmtId="0" fontId="5" fillId="0" borderId="1" xfId="0" applyFont="1" applyBorder="1"/>
    <xf numFmtId="44" fontId="0" fillId="32" borderId="1" xfId="0" quotePrefix="1" applyNumberFormat="1" applyFill="1" applyBorder="1" applyAlignment="1">
      <alignment horizontal="center" vertical="center"/>
    </xf>
    <xf numFmtId="16" fontId="0" fillId="17" borderId="1" xfId="0" applyNumberFormat="1" applyFill="1" applyBorder="1" applyAlignment="1">
      <alignment horizontal="center" vertical="center"/>
    </xf>
    <xf numFmtId="44" fontId="0" fillId="35" borderId="1" xfId="0" quotePrefix="1" applyNumberFormat="1" applyFill="1" applyBorder="1" applyAlignment="1">
      <alignment horizontal="center" vertical="center"/>
    </xf>
    <xf numFmtId="44" fontId="0" fillId="31" borderId="1" xfId="0" quotePrefix="1" applyNumberFormat="1" applyFill="1" applyBorder="1" applyAlignment="1">
      <alignment horizontal="center" vertical="center"/>
    </xf>
    <xf numFmtId="0" fontId="0" fillId="16" borderId="1" xfId="0" applyFill="1" applyBorder="1" applyAlignment="1">
      <alignment horizontal="center"/>
    </xf>
    <xf numFmtId="0" fontId="0" fillId="35" borderId="1" xfId="0" applyFill="1" applyBorder="1" applyAlignment="1">
      <alignment horizontal="center" vertical="center"/>
    </xf>
    <xf numFmtId="44" fontId="10" fillId="32" borderId="0" xfId="0" applyNumberFormat="1" applyFont="1" applyFill="1"/>
    <xf numFmtId="44" fontId="0" fillId="10" borderId="1" xfId="0" quotePrefix="1" applyNumberFormat="1" applyFill="1" applyBorder="1" applyAlignment="1">
      <alignment horizontal="center" vertical="center"/>
    </xf>
    <xf numFmtId="16" fontId="0" fillId="5" borderId="1" xfId="0" applyNumberFormat="1" applyFill="1" applyBorder="1" applyAlignment="1">
      <alignment horizontal="center" vertical="center"/>
    </xf>
    <xf numFmtId="0" fontId="0" fillId="0" borderId="0" xfId="0" applyAlignment="1">
      <alignment wrapText="1"/>
    </xf>
    <xf numFmtId="0" fontId="11" fillId="26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10" fillId="3" borderId="1" xfId="0" applyFont="1" applyFill="1" applyBorder="1" applyAlignment="1">
      <alignment horizontal="center" vertical="center" wrapText="1"/>
    </xf>
    <xf numFmtId="0" fontId="21" fillId="3" borderId="0" xfId="0" applyFont="1" applyFill="1" applyAlignment="1">
      <alignment horizontal="center" vertical="center" wrapText="1"/>
    </xf>
    <xf numFmtId="44" fontId="0" fillId="34" borderId="1" xfId="0" quotePrefix="1" applyNumberFormat="1" applyFill="1" applyBorder="1" applyAlignment="1">
      <alignment horizontal="center" vertical="center"/>
    </xf>
    <xf numFmtId="164" fontId="11" fillId="26" borderId="1" xfId="0" applyNumberFormat="1" applyFont="1" applyFill="1" applyBorder="1" applyAlignment="1">
      <alignment horizontal="center" vertical="center"/>
    </xf>
    <xf numFmtId="164" fontId="0" fillId="5" borderId="1" xfId="0" applyNumberFormat="1" applyFill="1" applyBorder="1" applyAlignment="1">
      <alignment horizontal="center" vertical="center"/>
    </xf>
    <xf numFmtId="16" fontId="0" fillId="5" borderId="3" xfId="0" applyNumberFormat="1" applyFill="1" applyBorder="1" applyAlignment="1">
      <alignment horizontal="center" vertical="center"/>
    </xf>
    <xf numFmtId="0" fontId="11" fillId="31" borderId="11" xfId="0" applyFont="1" applyFill="1" applyBorder="1" applyAlignment="1">
      <alignment horizontal="center" vertical="center"/>
    </xf>
    <xf numFmtId="44" fontId="11" fillId="12" borderId="11" xfId="0" quotePrefix="1" applyNumberFormat="1" applyFont="1" applyFill="1" applyBorder="1" applyAlignment="1">
      <alignment horizontal="center" vertical="center"/>
    </xf>
    <xf numFmtId="44" fontId="11" fillId="36" borderId="11" xfId="0" quotePrefix="1" applyNumberFormat="1" applyFont="1" applyFill="1" applyBorder="1" applyAlignment="1">
      <alignment horizontal="center" vertical="center"/>
    </xf>
    <xf numFmtId="44" fontId="21" fillId="37" borderId="0" xfId="0" applyNumberFormat="1" applyFont="1" applyFill="1"/>
    <xf numFmtId="44" fontId="21" fillId="11" borderId="1" xfId="0" applyNumberFormat="1" applyFont="1" applyFill="1" applyBorder="1"/>
    <xf numFmtId="44" fontId="0" fillId="16" borderId="1" xfId="0" applyNumberFormat="1" applyFill="1" applyBorder="1" applyAlignment="1">
      <alignment horizontal="center" vertical="center"/>
    </xf>
    <xf numFmtId="0" fontId="0" fillId="31" borderId="0" xfId="0" applyFill="1" applyAlignment="1">
      <alignment horizontal="center" vertical="center"/>
    </xf>
    <xf numFmtId="0" fontId="27" fillId="0" borderId="1" xfId="0" applyFont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21" fillId="21" borderId="0" xfId="0" applyFont="1" applyFill="1"/>
    <xf numFmtId="44" fontId="21" fillId="21" borderId="0" xfId="0" applyNumberFormat="1" applyFont="1" applyFill="1"/>
    <xf numFmtId="44" fontId="0" fillId="3" borderId="0" xfId="0" applyNumberFormat="1" applyFill="1" applyAlignment="1">
      <alignment horizontal="center" vertical="center"/>
    </xf>
    <xf numFmtId="44" fontId="0" fillId="16" borderId="3" xfId="0" applyNumberFormat="1" applyFill="1" applyBorder="1" applyAlignment="1">
      <alignment horizontal="center" vertical="center"/>
    </xf>
    <xf numFmtId="44" fontId="0" fillId="3" borderId="11" xfId="0" applyNumberFormat="1" applyFill="1" applyBorder="1" applyAlignment="1">
      <alignment horizontal="center" vertical="center"/>
    </xf>
    <xf numFmtId="0" fontId="27" fillId="38" borderId="1" xfId="0" applyFont="1" applyFill="1" applyBorder="1" applyAlignment="1">
      <alignment horizontal="center"/>
    </xf>
    <xf numFmtId="44" fontId="27" fillId="39" borderId="1" xfId="0" applyNumberFormat="1" applyFont="1" applyFill="1" applyBorder="1" applyAlignment="1">
      <alignment horizontal="center"/>
    </xf>
    <xf numFmtId="0" fontId="27" fillId="35" borderId="1" xfId="0" applyFont="1" applyFill="1" applyBorder="1" applyAlignment="1">
      <alignment horizontal="center"/>
    </xf>
    <xf numFmtId="0" fontId="23" fillId="3" borderId="4" xfId="0" applyFont="1" applyFill="1" applyBorder="1" applyAlignment="1">
      <alignment horizontal="center" vertical="center"/>
    </xf>
    <xf numFmtId="0" fontId="23" fillId="3" borderId="5" xfId="0" applyFont="1" applyFill="1" applyBorder="1" applyAlignment="1">
      <alignment horizontal="center" vertical="center"/>
    </xf>
    <xf numFmtId="0" fontId="23" fillId="3" borderId="6" xfId="0" applyFont="1" applyFill="1" applyBorder="1" applyAlignment="1">
      <alignment horizontal="center" vertical="center"/>
    </xf>
    <xf numFmtId="0" fontId="23" fillId="3" borderId="7" xfId="0" applyFont="1" applyFill="1" applyBorder="1" applyAlignment="1">
      <alignment horizontal="center" vertical="center"/>
    </xf>
    <xf numFmtId="0" fontId="23" fillId="3" borderId="8" xfId="0" applyFont="1" applyFill="1" applyBorder="1" applyAlignment="1">
      <alignment horizontal="center" vertical="center"/>
    </xf>
    <xf numFmtId="0" fontId="23" fillId="3" borderId="9" xfId="0" applyFont="1" applyFill="1" applyBorder="1" applyAlignment="1">
      <alignment horizontal="center" vertical="center"/>
    </xf>
    <xf numFmtId="0" fontId="24" fillId="2" borderId="21" xfId="0" applyFont="1" applyFill="1" applyBorder="1" applyAlignment="1">
      <alignment horizontal="center"/>
    </xf>
    <xf numFmtId="4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20" fillId="3" borderId="4" xfId="0" applyFont="1" applyFill="1" applyBorder="1" applyAlignment="1">
      <alignment horizontal="center" vertical="center"/>
    </xf>
    <xf numFmtId="0" fontId="20" fillId="3" borderId="5" xfId="0" applyFont="1" applyFill="1" applyBorder="1" applyAlignment="1">
      <alignment horizontal="center" vertical="center"/>
    </xf>
    <xf numFmtId="0" fontId="20" fillId="3" borderId="6" xfId="0" applyFont="1" applyFill="1" applyBorder="1" applyAlignment="1">
      <alignment horizontal="center" vertical="center"/>
    </xf>
    <xf numFmtId="0" fontId="20" fillId="3" borderId="7" xfId="0" applyFont="1" applyFill="1" applyBorder="1" applyAlignment="1">
      <alignment horizontal="center" vertical="center"/>
    </xf>
    <xf numFmtId="0" fontId="20" fillId="3" borderId="8" xfId="0" applyFont="1" applyFill="1" applyBorder="1" applyAlignment="1">
      <alignment horizontal="center" vertical="center"/>
    </xf>
    <xf numFmtId="0" fontId="20" fillId="3" borderId="9" xfId="0" applyFont="1" applyFill="1" applyBorder="1" applyAlignment="1">
      <alignment horizontal="center" vertical="center"/>
    </xf>
    <xf numFmtId="44" fontId="3" fillId="7" borderId="14" xfId="0" applyNumberFormat="1" applyFont="1" applyFill="1" applyBorder="1" applyAlignment="1">
      <alignment horizontal="center" vertical="center"/>
    </xf>
    <xf numFmtId="44" fontId="3" fillId="7" borderId="15" xfId="0" applyNumberFormat="1" applyFont="1" applyFill="1" applyBorder="1" applyAlignment="1">
      <alignment horizontal="center" vertical="center"/>
    </xf>
    <xf numFmtId="165" fontId="17" fillId="11" borderId="14" xfId="0" applyNumberFormat="1" applyFont="1" applyFill="1" applyBorder="1" applyAlignment="1">
      <alignment horizontal="center" vertical="center"/>
    </xf>
    <xf numFmtId="165" fontId="17" fillId="11" borderId="15" xfId="0" applyNumberFormat="1" applyFont="1" applyFill="1" applyBorder="1" applyAlignment="1">
      <alignment horizontal="center" vertical="center"/>
    </xf>
    <xf numFmtId="44" fontId="22" fillId="20" borderId="14" xfId="0" applyNumberFormat="1" applyFont="1" applyFill="1" applyBorder="1" applyAlignment="1">
      <alignment horizontal="center" vertical="center"/>
    </xf>
    <xf numFmtId="44" fontId="22" fillId="20" borderId="15" xfId="0" applyNumberFormat="1" applyFont="1" applyFill="1" applyBorder="1" applyAlignment="1">
      <alignment horizontal="center" vertical="center"/>
    </xf>
    <xf numFmtId="44" fontId="5" fillId="4" borderId="0" xfId="0" applyNumberFormat="1" applyFont="1" applyFill="1" applyBorder="1"/>
    <xf numFmtId="44" fontId="5" fillId="19" borderId="0" xfId="0" applyNumberFormat="1" applyFont="1" applyFill="1" applyBorder="1"/>
    <xf numFmtId="0" fontId="0" fillId="40" borderId="1" xfId="0" applyFill="1" applyBorder="1" applyAlignment="1">
      <alignment horizontal="center" vertical="center"/>
    </xf>
    <xf numFmtId="44" fontId="0" fillId="40" borderId="1" xfId="0" applyNumberFormat="1" applyFill="1" applyBorder="1" applyAlignment="1">
      <alignment horizontal="center" vertical="center"/>
    </xf>
    <xf numFmtId="44" fontId="0" fillId="10" borderId="1" xfId="0" applyNumberFormat="1" applyFill="1" applyBorder="1" applyAlignment="1">
      <alignment horizontal="center" vertical="center"/>
    </xf>
    <xf numFmtId="44" fontId="0" fillId="12" borderId="1" xfId="0" applyNumberFormat="1" applyFill="1" applyBorder="1" applyAlignment="1">
      <alignment horizontal="center" vertical="center"/>
    </xf>
    <xf numFmtId="0" fontId="0" fillId="40" borderId="0" xfId="0" applyFill="1"/>
    <xf numFmtId="164" fontId="11" fillId="26" borderId="1" xfId="0" applyNumberFormat="1" applyFont="1" applyFill="1" applyBorder="1" applyAlignment="1">
      <alignment horizontal="center" vertical="center" wrapText="1"/>
    </xf>
    <xf numFmtId="0" fontId="28" fillId="0" borderId="4" xfId="0" applyFont="1" applyBorder="1" applyAlignment="1">
      <alignment horizontal="center" vertical="center"/>
    </xf>
    <xf numFmtId="0" fontId="28" fillId="0" borderId="5" xfId="0" applyFont="1" applyBorder="1" applyAlignment="1">
      <alignment horizontal="center" vertical="center"/>
    </xf>
    <xf numFmtId="0" fontId="28" fillId="0" borderId="6" xfId="0" applyFont="1" applyBorder="1" applyAlignment="1">
      <alignment horizontal="center" vertical="center"/>
    </xf>
    <xf numFmtId="0" fontId="28" fillId="0" borderId="7" xfId="0" applyFont="1" applyBorder="1" applyAlignment="1">
      <alignment horizontal="center" vertical="center"/>
    </xf>
    <xf numFmtId="0" fontId="28" fillId="0" borderId="8" xfId="0" applyFont="1" applyBorder="1" applyAlignment="1">
      <alignment horizontal="center" vertical="center"/>
    </xf>
    <xf numFmtId="0" fontId="28" fillId="0" borderId="9" xfId="0" applyFont="1" applyBorder="1" applyAlignment="1">
      <alignment horizontal="center" vertical="center"/>
    </xf>
  </cellXfs>
  <cellStyles count="1">
    <cellStyle name="Normal" xfId="0" builtinId="0"/>
  </cellStyles>
  <dxfs count="742">
    <dxf>
      <fill>
        <patternFill>
          <bgColor rgb="FFFF9300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rgb="FFFF7E79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  <dxf>
      <fill>
        <patternFill>
          <bgColor rgb="FFFF2F92"/>
        </patternFill>
      </fill>
    </dxf>
    <dxf>
      <fill>
        <patternFill>
          <bgColor rgb="FFFF9300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rgb="FFFF7E79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  <dxf>
      <fill>
        <patternFill>
          <bgColor rgb="FFFF2F92"/>
        </patternFill>
      </fill>
    </dxf>
    <dxf>
      <fill>
        <patternFill>
          <bgColor rgb="FFFF9300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rgb="FFFF7E79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  <dxf>
      <fill>
        <patternFill>
          <bgColor rgb="FFFF2F92"/>
        </patternFill>
      </fill>
    </dxf>
    <dxf>
      <fill>
        <patternFill>
          <bgColor rgb="FFFF9300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rgb="FFFF7E79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  <dxf>
      <fill>
        <patternFill>
          <bgColor rgb="FFFF2F92"/>
        </patternFill>
      </fill>
    </dxf>
    <dxf>
      <fill>
        <patternFill>
          <bgColor rgb="FFFF9300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rgb="FFFF7E79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  <dxf>
      <fill>
        <patternFill>
          <bgColor rgb="FFFF2F92"/>
        </patternFill>
      </fill>
    </dxf>
    <dxf>
      <fill>
        <patternFill>
          <bgColor rgb="FFFF9300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rgb="FFFF7E79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  <dxf>
      <fill>
        <patternFill>
          <bgColor rgb="FFFF2F92"/>
        </patternFill>
      </fill>
    </dxf>
    <dxf>
      <fill>
        <patternFill>
          <bgColor rgb="FFFF9300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rgb="FFFF7E79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  <dxf>
      <fill>
        <patternFill>
          <bgColor rgb="FFFF2F92"/>
        </patternFill>
      </fill>
    </dxf>
    <dxf>
      <fill>
        <patternFill>
          <bgColor rgb="FFFF9300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rgb="FFFF7E79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  <dxf>
      <fill>
        <patternFill>
          <bgColor rgb="FFFF2F92"/>
        </patternFill>
      </fill>
    </dxf>
    <dxf>
      <fill>
        <patternFill>
          <bgColor rgb="FFFF9300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rgb="FFFF7E79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  <dxf>
      <fill>
        <patternFill>
          <bgColor rgb="FFFF2F92"/>
        </patternFill>
      </fill>
    </dxf>
    <dxf>
      <fill>
        <patternFill>
          <bgColor rgb="FFFF9300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rgb="FFFF7E79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  <dxf>
      <fill>
        <patternFill>
          <bgColor rgb="FFFF2F92"/>
        </patternFill>
      </fill>
    </dxf>
    <dxf>
      <fill>
        <patternFill>
          <bgColor rgb="FFFF9300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rgb="FFFF7E79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  <dxf>
      <fill>
        <patternFill>
          <bgColor rgb="FFFF2F92"/>
        </patternFill>
      </fill>
    </dxf>
    <dxf>
      <fill>
        <patternFill>
          <bgColor rgb="FFFF9300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rgb="FFFF7E79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  <dxf>
      <fill>
        <patternFill>
          <bgColor rgb="FFFF2F92"/>
        </patternFill>
      </fill>
    </dxf>
    <dxf>
      <fill>
        <patternFill>
          <bgColor rgb="FFFF9300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rgb="FFFF7E79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  <dxf>
      <fill>
        <patternFill>
          <bgColor rgb="FFFF2F92"/>
        </patternFill>
      </fill>
    </dxf>
    <dxf>
      <fill>
        <patternFill>
          <bgColor rgb="FFFF9300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rgb="FFFF7E79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  <dxf>
      <fill>
        <patternFill>
          <bgColor rgb="FFFF2F92"/>
        </patternFill>
      </fill>
    </dxf>
    <dxf>
      <fill>
        <patternFill>
          <bgColor rgb="FFFF9300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rgb="FFFF7E79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  <dxf>
      <fill>
        <patternFill>
          <bgColor rgb="FFFF2F92"/>
        </patternFill>
      </fill>
    </dxf>
    <dxf>
      <fill>
        <patternFill>
          <bgColor rgb="FFFF9300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rgb="FFFF7E79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  <dxf>
      <fill>
        <patternFill>
          <bgColor rgb="FFFF2F92"/>
        </patternFill>
      </fill>
    </dxf>
    <dxf>
      <fill>
        <patternFill>
          <bgColor rgb="FFFF9300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rgb="FFFF7E79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  <dxf>
      <fill>
        <patternFill>
          <bgColor rgb="FFFF2F92"/>
        </patternFill>
      </fill>
    </dxf>
    <dxf>
      <fill>
        <patternFill>
          <bgColor rgb="FFFF9300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rgb="FFFF7E79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  <dxf>
      <fill>
        <patternFill>
          <bgColor rgb="FFFF2F92"/>
        </patternFill>
      </fill>
    </dxf>
    <dxf>
      <fill>
        <patternFill>
          <bgColor rgb="FFFF9300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rgb="FFFF7E79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  <dxf>
      <fill>
        <patternFill>
          <bgColor rgb="FFFF2F92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0.79998168889431442"/>
        </patternFill>
      </fill>
    </dxf>
    <dxf>
      <fill>
        <patternFill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0.79998168889431442"/>
        </patternFill>
      </fill>
    </dxf>
    <dxf>
      <fill>
        <patternFill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-0.24994659260841701"/>
        </patternFill>
      </fill>
    </dxf>
    <dxf>
      <fill>
        <patternFill>
          <bgColor rgb="FFFF9300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rgb="FFFF7E79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  <dxf>
      <fill>
        <patternFill>
          <bgColor rgb="FFFF2F92"/>
        </patternFill>
      </fill>
    </dxf>
    <dxf>
      <fill>
        <patternFill>
          <bgColor rgb="FFFF9300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rgb="FFFF7E79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  <dxf>
      <fill>
        <patternFill>
          <bgColor rgb="FFFF2F92"/>
        </patternFill>
      </fill>
    </dxf>
    <dxf>
      <fill>
        <patternFill>
          <bgColor rgb="FFFF9300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rgb="FFFF7E79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  <dxf>
      <fill>
        <patternFill>
          <bgColor rgb="FFFF2F92"/>
        </patternFill>
      </fill>
    </dxf>
    <dxf>
      <fill>
        <patternFill>
          <bgColor rgb="FFFF9300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rgb="FFFF7E79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  <dxf>
      <fill>
        <patternFill>
          <bgColor rgb="FFFF2F92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0.79998168889431442"/>
        </patternFill>
      </fill>
    </dxf>
    <dxf>
      <fill>
        <patternFill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0.79998168889431442"/>
        </patternFill>
      </fill>
    </dxf>
    <dxf>
      <fill>
        <patternFill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-0.24994659260841701"/>
        </patternFill>
      </fill>
    </dxf>
    <dxf>
      <fill>
        <patternFill>
          <bgColor rgb="FFFF9300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rgb="FFFF7E79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  <dxf>
      <fill>
        <patternFill>
          <bgColor rgb="FFFF2F92"/>
        </patternFill>
      </fill>
    </dxf>
    <dxf>
      <fill>
        <patternFill>
          <bgColor rgb="FFFF9300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rgb="FFFF7E79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  <dxf>
      <fill>
        <patternFill>
          <bgColor rgb="FFFF2F92"/>
        </patternFill>
      </fill>
    </dxf>
    <dxf>
      <fill>
        <patternFill>
          <bgColor rgb="FFFF9300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rgb="FFFF7E79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  <dxf>
      <fill>
        <patternFill>
          <bgColor rgb="FFFF2F92"/>
        </patternFill>
      </fill>
    </dxf>
    <dxf>
      <fill>
        <patternFill>
          <bgColor rgb="FFFF9300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rgb="FFFF7E79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  <dxf>
      <fill>
        <patternFill>
          <bgColor rgb="FFFF2F92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0.79998168889431442"/>
        </patternFill>
      </fill>
    </dxf>
    <dxf>
      <fill>
        <patternFill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0.79998168889431442"/>
        </patternFill>
      </fill>
    </dxf>
    <dxf>
      <fill>
        <patternFill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-0.24994659260841701"/>
        </patternFill>
      </fill>
    </dxf>
    <dxf>
      <fill>
        <patternFill>
          <bgColor rgb="FFFF9300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rgb="FFFF7E79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  <dxf>
      <fill>
        <patternFill>
          <bgColor rgb="FFFF2F92"/>
        </patternFill>
      </fill>
    </dxf>
    <dxf>
      <fill>
        <patternFill>
          <bgColor rgb="FFFF9300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rgb="FFFF7E79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  <dxf>
      <fill>
        <patternFill>
          <bgColor rgb="FFFF2F92"/>
        </patternFill>
      </fill>
    </dxf>
    <dxf>
      <fill>
        <patternFill>
          <bgColor rgb="FFFF9300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rgb="FFFF7E79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  <dxf>
      <fill>
        <patternFill>
          <bgColor rgb="FFFF2F92"/>
        </patternFill>
      </fill>
    </dxf>
    <dxf>
      <fill>
        <patternFill>
          <bgColor rgb="FFFF9300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rgb="FFFF7E79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  <dxf>
      <fill>
        <patternFill>
          <bgColor rgb="FFFF2F92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0.79998168889431442"/>
        </patternFill>
      </fill>
    </dxf>
    <dxf>
      <fill>
        <patternFill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0.79998168889431442"/>
        </patternFill>
      </fill>
    </dxf>
    <dxf>
      <fill>
        <patternFill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-0.24994659260841701"/>
        </patternFill>
      </fill>
    </dxf>
    <dxf>
      <fill>
        <patternFill>
          <bgColor rgb="FFFF9300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rgb="FFFF7E79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  <dxf>
      <fill>
        <patternFill>
          <bgColor rgb="FFFF2F92"/>
        </patternFill>
      </fill>
    </dxf>
    <dxf>
      <fill>
        <patternFill>
          <bgColor rgb="FFFF9300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rgb="FFFF7E79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  <dxf>
      <fill>
        <patternFill>
          <bgColor rgb="FFFF2F92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0.79998168889431442"/>
        </patternFill>
      </fill>
    </dxf>
    <dxf>
      <fill>
        <patternFill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0.79998168889431442"/>
        </patternFill>
      </fill>
    </dxf>
    <dxf>
      <fill>
        <patternFill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0.79998168889431442"/>
        </patternFill>
      </fill>
    </dxf>
    <dxf>
      <fill>
        <patternFill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-0.24994659260841701"/>
        </patternFill>
      </fill>
    </dxf>
    <dxf>
      <fill>
        <patternFill>
          <bgColor rgb="FFFF9300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rgb="FFFF7E79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  <dxf>
      <fill>
        <patternFill>
          <bgColor rgb="FFFF2F92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0.79998168889431442"/>
        </patternFill>
      </fill>
    </dxf>
    <dxf>
      <fill>
        <patternFill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0.79998168889431442"/>
        </patternFill>
      </fill>
    </dxf>
    <dxf>
      <fill>
        <patternFill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0.79998168889431442"/>
        </patternFill>
      </fill>
    </dxf>
    <dxf>
      <fill>
        <patternFill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-0.24994659260841701"/>
        </patternFill>
      </fill>
    </dxf>
    <dxf>
      <fill>
        <patternFill>
          <bgColor rgb="FFFF9300"/>
        </patternFill>
      </fill>
    </dxf>
    <dxf>
      <fill>
        <patternFill>
          <bgColor theme="8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rgb="FFFF7E79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  <dxf>
      <fill>
        <patternFill>
          <bgColor rgb="FFFF2F92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0.79998168889431442"/>
        </patternFill>
      </fill>
    </dxf>
    <dxf>
      <fill>
        <patternFill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0.79998168889431442"/>
        </patternFill>
      </fill>
    </dxf>
    <dxf>
      <fill>
        <patternFill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0.79998168889431442"/>
        </patternFill>
      </fill>
    </dxf>
    <dxf>
      <fill>
        <patternFill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0.79998168889431442"/>
        </patternFill>
      </fill>
    </dxf>
    <dxf>
      <fill>
        <patternFill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0.79998168889431442"/>
        </patternFill>
      </fill>
    </dxf>
    <dxf>
      <fill>
        <patternFill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0.79998168889431442"/>
        </patternFill>
      </fill>
    </dxf>
    <dxf>
      <fill>
        <patternFill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0.79998168889431442"/>
        </patternFill>
      </fill>
    </dxf>
    <dxf>
      <fill>
        <patternFill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theme="5" tint="0.79998168889431442"/>
        </patternFill>
      </fill>
    </dxf>
    <dxf>
      <fill>
        <patternFill>
          <bgColor rgb="FFFFFF00"/>
        </patternFill>
      </fill>
    </dxf>
    <dxf>
      <fill>
        <patternFill>
          <bgColor theme="6" tint="-0.24994659260841701"/>
        </patternFill>
      </fill>
    </dxf>
    <dxf>
      <fill>
        <patternFill>
          <bgColor theme="4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-0.24994659260841701"/>
        </patternFill>
      </fill>
    </dxf>
    <dxf>
      <numFmt numFmtId="21" formatCode="dd\-mmm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1" formatCode="dd\-mmm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1" formatCode="dd\-mmm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1" formatCode="dd\-mmm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1" formatCode="dd\-mmm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scheme val="minor"/>
      </font>
      <numFmt numFmtId="165" formatCode="#,##0.00\ &quot;€&quot;"/>
      <fill>
        <patternFill patternType="solid">
          <fgColor indexed="64"/>
          <bgColor rgb="FFFFFD78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theme="2" tint="-0.499984740745262"/>
        <name val="Aptos Narrow"/>
        <scheme val="minor"/>
      </font>
      <numFmt numFmtId="13" formatCode="0%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4" formatCode="_ * #,##0.00_)\ &quot;€&quot;_ ;_ * \(#,##0.00\)\ &quot;€&quot;_ ;_ * &quot;-&quot;??_)\ &quot;€&quot;_ ;_ @_ 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rgb="FF000000"/>
        </right>
      </border>
    </dxf>
    <dxf>
      <border outline="0">
        <bottom style="thin">
          <color rgb="FF000000"/>
        </bottom>
      </border>
    </dxf>
    <dxf>
      <font>
        <b val="0"/>
        <strike val="0"/>
        <outline val="0"/>
        <shadow val="0"/>
        <u val="none"/>
        <vertAlign val="baseline"/>
        <sz val="14"/>
        <color theme="0"/>
      </font>
      <fill>
        <patternFill>
          <fgColor indexed="64"/>
          <bgColor theme="4" tint="-0.249977111117893"/>
        </patternFill>
      </fill>
      <alignment vertical="center" textRotation="0" wrapText="0" indent="0" justifyLastLine="0" shrinkToFit="0" readingOrder="0"/>
    </dxf>
    <dxf>
      <numFmt numFmtId="165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scheme val="minor"/>
      </font>
      <numFmt numFmtId="165" formatCode="#,##0.00\ &quot;€&quot;"/>
      <fill>
        <patternFill patternType="solid">
          <fgColor indexed="64"/>
          <bgColor rgb="FFFFFD78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theme="2" tint="-0.499984740745262"/>
        <name val="Aptos Narrow"/>
        <scheme val="minor"/>
      </font>
      <numFmt numFmtId="13" formatCode="0%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4" formatCode="_ * #,##0.00_)\ &quot;€&quot;_ ;_ * \(#,##0.00\)\ &quot;€&quot;_ ;_ * &quot;-&quot;??_)\ &quot;€&quot;_ ;_ @_ 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rgb="FF000000"/>
        </right>
      </border>
    </dxf>
    <dxf>
      <border outline="0">
        <bottom style="thin">
          <color rgb="FF000000"/>
        </bottom>
      </border>
    </dxf>
    <dxf>
      <font>
        <b val="0"/>
        <strike val="0"/>
        <outline val="0"/>
        <shadow val="0"/>
        <u val="none"/>
        <vertAlign val="baseline"/>
        <sz val="14"/>
        <color theme="0"/>
      </font>
      <fill>
        <patternFill>
          <fgColor indexed="64"/>
          <bgColor theme="4" tint="-0.249977111117893"/>
        </patternFill>
      </fill>
      <alignment vertical="center" textRotation="0" wrapText="0" indent="0" justifyLastLine="0" shrinkToFit="0" readingOrder="0"/>
    </dxf>
    <dxf>
      <numFmt numFmtId="165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scheme val="minor"/>
      </font>
      <numFmt numFmtId="165" formatCode="#,##0.00\ &quot;€&quot;"/>
      <fill>
        <patternFill patternType="solid">
          <fgColor indexed="64"/>
          <bgColor rgb="FFFFFD78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theme="2" tint="-0.499984740745262"/>
        <name val="Aptos Narrow"/>
        <scheme val="minor"/>
      </font>
      <numFmt numFmtId="13" formatCode="0%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4" formatCode="_ * #,##0.00_)\ &quot;€&quot;_ ;_ * \(#,##0.00\)\ &quot;€&quot;_ ;_ * &quot;-&quot;??_)\ &quot;€&quot;_ ;_ @_ 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rgb="FF000000"/>
        </right>
      </border>
    </dxf>
    <dxf>
      <border outline="0">
        <bottom style="thin">
          <color rgb="FF000000"/>
        </bottom>
      </border>
    </dxf>
    <dxf>
      <font>
        <b val="0"/>
        <strike val="0"/>
        <outline val="0"/>
        <shadow val="0"/>
        <u val="none"/>
        <vertAlign val="baseline"/>
        <sz val="14"/>
        <color theme="0"/>
      </font>
      <fill>
        <patternFill>
          <fgColor indexed="64"/>
          <bgColor theme="4" tint="-0.249977111117893"/>
        </patternFill>
      </fill>
      <alignment vertical="center" textRotation="0" wrapText="0" indent="0" justifyLastLine="0" shrinkToFit="0" readingOrder="0"/>
    </dxf>
    <dxf>
      <numFmt numFmtId="165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scheme val="minor"/>
      </font>
      <numFmt numFmtId="165" formatCode="#,##0.00\ &quot;€&quot;"/>
      <fill>
        <patternFill patternType="solid">
          <fgColor indexed="64"/>
          <bgColor rgb="FFFFFD78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theme="2" tint="-0.499984740745262"/>
        <name val="Aptos Narrow"/>
        <scheme val="minor"/>
      </font>
      <numFmt numFmtId="13" formatCode="0%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4" formatCode="_ * #,##0.00_)\ &quot;€&quot;_ ;_ * \(#,##0.00\)\ &quot;€&quot;_ ;_ * &quot;-&quot;??_)\ &quot;€&quot;_ ;_ @_ 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rgb="FF000000"/>
        </right>
      </border>
    </dxf>
    <dxf>
      <border outline="0">
        <bottom style="thin">
          <color rgb="FF000000"/>
        </bottom>
      </border>
    </dxf>
    <dxf>
      <font>
        <b val="0"/>
        <strike val="0"/>
        <outline val="0"/>
        <shadow val="0"/>
        <u val="none"/>
        <vertAlign val="baseline"/>
        <sz val="14"/>
        <color theme="0"/>
      </font>
      <fill>
        <patternFill>
          <fgColor indexed="64"/>
          <bgColor theme="4" tint="-0.249977111117893"/>
        </patternFill>
      </fill>
      <alignment vertical="center" textRotation="0" wrapText="0" indent="0" justifyLastLine="0" shrinkToFit="0" readingOrder="0"/>
    </dxf>
    <dxf>
      <numFmt numFmtId="165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scheme val="minor"/>
      </font>
      <numFmt numFmtId="165" formatCode="#,##0.00\ &quot;€&quot;"/>
      <fill>
        <patternFill patternType="solid">
          <fgColor indexed="64"/>
          <bgColor rgb="FFFFFD78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theme="2" tint="-0.499984740745262"/>
        <name val="Aptos Narrow"/>
        <scheme val="minor"/>
      </font>
      <numFmt numFmtId="13" formatCode="0%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4" formatCode="_ * #,##0.00_)\ &quot;€&quot;_ ;_ * \(#,##0.00\)\ &quot;€&quot;_ ;_ * &quot;-&quot;??_)\ &quot;€&quot;_ ;_ @_ 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rgb="FF000000"/>
        </right>
      </border>
    </dxf>
    <dxf>
      <border outline="0">
        <bottom style="thin">
          <color rgb="FF000000"/>
        </bottom>
      </border>
    </dxf>
    <dxf>
      <font>
        <b val="0"/>
        <strike val="0"/>
        <outline val="0"/>
        <shadow val="0"/>
        <u val="none"/>
        <vertAlign val="baseline"/>
        <sz val="14"/>
        <color theme="0"/>
      </font>
      <fill>
        <patternFill>
          <fgColor indexed="64"/>
          <bgColor theme="4" tint="-0.249977111117893"/>
        </patternFill>
      </fill>
      <alignment vertical="center" textRotation="0" wrapText="0" indent="0" justifyLastLine="0" shrinkToFit="0" readingOrder="0"/>
    </dxf>
    <dxf>
      <numFmt numFmtId="165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scheme val="minor"/>
      </font>
      <numFmt numFmtId="165" formatCode="#,##0.00\ &quot;€&quot;"/>
      <fill>
        <patternFill patternType="solid">
          <fgColor indexed="64"/>
          <bgColor rgb="FFFFFD78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theme="2" tint="-0.499984740745262"/>
        <name val="Aptos Narrow"/>
        <scheme val="minor"/>
      </font>
      <numFmt numFmtId="13" formatCode="0%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4" formatCode="_ * #,##0.00_)\ &quot;€&quot;_ ;_ * \(#,##0.00\)\ &quot;€&quot;_ ;_ * &quot;-&quot;??_)\ &quot;€&quot;_ ;_ @_ 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rgb="FF000000"/>
        </right>
      </border>
    </dxf>
    <dxf>
      <border outline="0">
        <bottom style="thin">
          <color rgb="FF000000"/>
        </bottom>
      </border>
    </dxf>
    <dxf>
      <font>
        <b val="0"/>
        <strike val="0"/>
        <outline val="0"/>
        <shadow val="0"/>
        <u val="none"/>
        <vertAlign val="baseline"/>
        <sz val="14"/>
        <color theme="0"/>
      </font>
      <fill>
        <patternFill>
          <fgColor indexed="64"/>
          <bgColor theme="4" tint="-0.249977111117893"/>
        </patternFill>
      </fill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34" formatCode="_ * #,##0.00_)\ &quot;€&quot;_ ;_ * \(#,##0.00\)\ &quot;€&quot;_ ;_ * &quot;-&quot;??_)\ &quot;€&quot;_ ;_ @_ 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4" formatCode="_ * #,##0.00_)\ &quot;€&quot;_ ;_ * \(#,##0.00\)\ &quot;€&quot;_ ;_ * &quot;-&quot;??_)\ &quot;€&quot;_ ;_ @_ 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4" formatCode="_ * #,##0.00_)\ &quot;€&quot;_ ;_ * \(#,##0.00\)\ &quot;€&quot;_ ;_ * &quot;-&quot;??_)\ &quot;€&quot;_ ;_ @_ 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4" formatCode="_ * #,##0.00_)\ &quot;€&quot;_ ;_ * \(#,##0.00\)\ &quot;€&quot;_ ;_ * &quot;-&quot;??_)\ &quot;€&quot;_ ;_ @_ 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4" formatCode="_ * #,##0.00_)\ &quot;€&quot;_ ;_ * \(#,##0.00\)\ &quot;€&quot;_ ;_ * &quot;-&quot;??_)\ &quot;€&quot;_ ;_ @_ 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1" formatCode="dd\-mmm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strike val="0"/>
        <outline val="0"/>
        <shadow val="0"/>
        <u val="none"/>
        <vertAlign val="baseline"/>
        <sz val="16"/>
        <color theme="0"/>
        <name val="Aptos Narrow"/>
        <scheme val="minor"/>
      </font>
      <fill>
        <patternFill>
          <fgColor indexed="64"/>
          <bgColor theme="4" tint="-0.499984740745262"/>
        </patternFill>
      </fill>
      <alignment horizontal="center" vertical="center" textRotation="0" wrapText="0" indent="0" justifyLastLine="0" shrinkToFit="0" readingOrder="0"/>
    </dxf>
    <dxf>
      <numFmt numFmtId="165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scheme val="minor"/>
      </font>
      <numFmt numFmtId="165" formatCode="#,##0.00\ &quot;€&quot;"/>
      <fill>
        <patternFill patternType="solid">
          <fgColor indexed="64"/>
          <bgColor rgb="FFFFFD78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theme="2" tint="-0.499984740745262"/>
        <name val="Aptos Narrow"/>
        <scheme val="minor"/>
      </font>
      <numFmt numFmtId="13" formatCode="0%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4" formatCode="_ * #,##0.00_)\ &quot;€&quot;_ ;_ * \(#,##0.00\)\ &quot;€&quot;_ ;_ * &quot;-&quot;??_)\ &quot;€&quot;_ ;_ @_ 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indexed="64"/>
        </right>
      </border>
    </dxf>
    <dxf>
      <border outline="0"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4"/>
        <color theme="0"/>
      </font>
      <fill>
        <patternFill>
          <fgColor indexed="64"/>
          <bgColor theme="4" tint="-0.249977111117893"/>
        </patternFill>
      </fill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34" formatCode="_ * #,##0.00_)\ &quot;€&quot;_ ;_ * \(#,##0.00\)\ &quot;€&quot;_ ;_ * &quot;-&quot;??_)\ &quot;€&quot;_ ;_ @_ 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4" formatCode="_ * #,##0.00_)\ &quot;€&quot;_ ;_ * \(#,##0.00\)\ &quot;€&quot;_ ;_ * &quot;-&quot;??_)\ &quot;€&quot;_ ;_ @_ 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4" formatCode="_ * #,##0.00_)\ &quot;€&quot;_ ;_ * \(#,##0.00\)\ &quot;€&quot;_ ;_ * &quot;-&quot;??_)\ &quot;€&quot;_ ;_ @_ 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4" formatCode="_ * #,##0.00_)\ &quot;€&quot;_ ;_ * \(#,##0.00\)\ &quot;€&quot;_ ;_ * &quot;-&quot;??_)\ &quot;€&quot;_ ;_ @_ 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4" formatCode="_ * #,##0.00_)\ &quot;€&quot;_ ;_ * \(#,##0.00\)\ &quot;€&quot;_ ;_ * &quot;-&quot;??_)\ &quot;€&quot;_ ;_ @_ 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1" formatCode="dd\-mmm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strike val="0"/>
        <outline val="0"/>
        <shadow val="0"/>
        <u val="none"/>
        <vertAlign val="baseline"/>
        <sz val="16"/>
        <color theme="0"/>
        <name val="Aptos Narrow"/>
        <scheme val="minor"/>
      </font>
      <fill>
        <patternFill>
          <fgColor indexed="64"/>
          <bgColor theme="4" tint="-0.499984740745262"/>
        </patternFill>
      </fill>
      <alignment horizontal="center" vertical="center" textRotation="0" wrapText="0" indent="0" justifyLastLine="0" shrinkToFit="0" readingOrder="0"/>
    </dxf>
    <dxf>
      <numFmt numFmtId="165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scheme val="minor"/>
      </font>
      <numFmt numFmtId="165" formatCode="#,##0.00\ &quot;€&quot;"/>
      <fill>
        <patternFill patternType="solid">
          <fgColor indexed="64"/>
          <bgColor rgb="FFFFFD78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theme="2" tint="-0.499984740745262"/>
        <name val="Aptos Narrow"/>
        <scheme val="minor"/>
      </font>
      <numFmt numFmtId="13" formatCode="0%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4" formatCode="_ * #,##0.00_)\ &quot;€&quot;_ ;_ * \(#,##0.00\)\ &quot;€&quot;_ ;_ * &quot;-&quot;??_)\ &quot;€&quot;_ ;_ @_ 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indexed="64"/>
        </right>
      </border>
    </dxf>
    <dxf>
      <border outline="0"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4"/>
        <color theme="0"/>
      </font>
      <fill>
        <patternFill>
          <fgColor indexed="64"/>
          <bgColor theme="4" tint="-0.249977111117893"/>
        </patternFill>
      </fill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34" formatCode="_ * #,##0.00_)\ &quot;€&quot;_ ;_ * \(#,##0.00\)\ &quot;€&quot;_ ;_ * &quot;-&quot;??_)\ &quot;€&quot;_ ;_ @_ 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4" formatCode="_ * #,##0.00_)\ &quot;€&quot;_ ;_ * \(#,##0.00\)\ &quot;€&quot;_ ;_ * &quot;-&quot;??_)\ &quot;€&quot;_ ;_ @_ 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4" formatCode="_ * #,##0.00_)\ &quot;€&quot;_ ;_ * \(#,##0.00\)\ &quot;€&quot;_ ;_ * &quot;-&quot;??_)\ &quot;€&quot;_ ;_ @_ 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4" formatCode="_ * #,##0.00_)\ &quot;€&quot;_ ;_ * \(#,##0.00\)\ &quot;€&quot;_ ;_ * &quot;-&quot;??_)\ &quot;€&quot;_ ;_ @_ 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4" formatCode="_ * #,##0.00_)\ &quot;€&quot;_ ;_ * \(#,##0.00\)\ &quot;€&quot;_ ;_ * &quot;-&quot;??_)\ &quot;€&quot;_ ;_ @_ 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1" formatCode="dd\-mmm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strike val="0"/>
        <outline val="0"/>
        <shadow val="0"/>
        <u val="none"/>
        <vertAlign val="baseline"/>
        <sz val="16"/>
        <color theme="0"/>
        <name val="Aptos Narrow"/>
        <scheme val="minor"/>
      </font>
      <fill>
        <patternFill>
          <fgColor indexed="64"/>
          <bgColor theme="4" tint="-0.499984740745262"/>
        </patternFill>
      </fill>
      <alignment horizontal="center" vertical="center" textRotation="0" wrapText="0" indent="0" justifyLastLine="0" shrinkToFit="0" readingOrder="0"/>
    </dxf>
    <dxf>
      <numFmt numFmtId="165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scheme val="minor"/>
      </font>
      <numFmt numFmtId="165" formatCode="#,##0.00\ &quot;€&quot;"/>
      <fill>
        <patternFill patternType="solid">
          <fgColor indexed="64"/>
          <bgColor rgb="FFFFFD78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theme="2" tint="-0.499984740745262"/>
        <name val="Aptos Narrow"/>
        <scheme val="minor"/>
      </font>
      <numFmt numFmtId="13" formatCode="0%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4" formatCode="_ * #,##0.00_)\ &quot;€&quot;_ ;_ * \(#,##0.00\)\ &quot;€&quot;_ ;_ * &quot;-&quot;??_)\ &quot;€&quot;_ ;_ @_ 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indexed="64"/>
        </right>
      </border>
    </dxf>
    <dxf>
      <border outline="0"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4"/>
        <color theme="0"/>
      </font>
      <fill>
        <patternFill>
          <fgColor indexed="64"/>
          <bgColor theme="4" tint="-0.249977111117893"/>
        </patternFill>
      </fill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34" formatCode="_ * #,##0.00_)\ &quot;€&quot;_ ;_ * \(#,##0.00\)\ &quot;€&quot;_ ;_ * &quot;-&quot;??_)\ &quot;€&quot;_ ;_ @_ 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4" formatCode="_ * #,##0.00_)\ &quot;€&quot;_ ;_ * \(#,##0.00\)\ &quot;€&quot;_ ;_ * &quot;-&quot;??_)\ &quot;€&quot;_ ;_ @_ 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4" formatCode="_ * #,##0.00_)\ &quot;€&quot;_ ;_ * \(#,##0.00\)\ &quot;€&quot;_ ;_ * &quot;-&quot;??_)\ &quot;€&quot;_ ;_ @_ 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4" formatCode="_ * #,##0.00_)\ &quot;€&quot;_ ;_ * \(#,##0.00\)\ &quot;€&quot;_ ;_ * &quot;-&quot;??_)\ &quot;€&quot;_ ;_ @_ 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4" formatCode="_ * #,##0.00_)\ &quot;€&quot;_ ;_ * \(#,##0.00\)\ &quot;€&quot;_ ;_ * &quot;-&quot;??_)\ &quot;€&quot;_ ;_ @_ 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1" formatCode="dd\-mmm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strike val="0"/>
        <outline val="0"/>
        <shadow val="0"/>
        <u val="none"/>
        <vertAlign val="baseline"/>
        <sz val="16"/>
        <color theme="0"/>
        <name val="Aptos Narrow"/>
        <scheme val="minor"/>
      </font>
      <fill>
        <patternFill>
          <fgColor indexed="64"/>
          <bgColor theme="4" tint="-0.499984740745262"/>
        </patternFill>
      </fill>
      <alignment horizontal="center" vertical="center" textRotation="0" wrapText="0" indent="0" justifyLastLine="0" shrinkToFit="0" readingOrder="0"/>
    </dxf>
    <dxf>
      <numFmt numFmtId="165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scheme val="minor"/>
      </font>
      <numFmt numFmtId="165" formatCode="#,##0.00\ &quot;€&quot;"/>
      <fill>
        <patternFill patternType="solid">
          <fgColor indexed="64"/>
          <bgColor rgb="FFFFFD78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theme="2" tint="-0.499984740745262"/>
        <name val="Aptos Narrow"/>
        <scheme val="minor"/>
      </font>
      <numFmt numFmtId="13" formatCode="0%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4" formatCode="_ * #,##0.00_)\ &quot;€&quot;_ ;_ * \(#,##0.00\)\ &quot;€&quot;_ ;_ * &quot;-&quot;??_)\ &quot;€&quot;_ ;_ @_ 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indexed="64"/>
        </right>
      </border>
    </dxf>
    <dxf>
      <border outline="0"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4"/>
        <color theme="0"/>
      </font>
      <fill>
        <patternFill>
          <fgColor indexed="64"/>
          <bgColor theme="4" tint="-0.249977111117893"/>
        </patternFill>
      </fill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34" formatCode="_ * #,##0.00_)\ &quot;€&quot;_ ;_ * \(#,##0.00\)\ &quot;€&quot;_ ;_ * &quot;-&quot;??_)\ &quot;€&quot;_ ;_ @_ 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4" formatCode="_ * #,##0.00_)\ &quot;€&quot;_ ;_ * \(#,##0.00\)\ &quot;€&quot;_ ;_ * &quot;-&quot;??_)\ &quot;€&quot;_ ;_ @_ 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4" formatCode="_ * #,##0.00_)\ &quot;€&quot;_ ;_ * \(#,##0.00\)\ &quot;€&quot;_ ;_ * &quot;-&quot;??_)\ &quot;€&quot;_ ;_ @_ 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4" formatCode="_ * #,##0.00_)\ &quot;€&quot;_ ;_ * \(#,##0.00\)\ &quot;€&quot;_ ;_ * &quot;-&quot;??_)\ &quot;€&quot;_ ;_ @_ 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4" formatCode="_ * #,##0.00_)\ &quot;€&quot;_ ;_ * \(#,##0.00\)\ &quot;€&quot;_ ;_ * &quot;-&quot;??_)\ &quot;€&quot;_ ;_ @_ 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1" formatCode="dd\-mmm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strike val="0"/>
        <outline val="0"/>
        <shadow val="0"/>
        <u val="none"/>
        <vertAlign val="baseline"/>
        <sz val="16"/>
        <color theme="0"/>
        <name val="Aptos Narrow"/>
        <scheme val="minor"/>
      </font>
      <fill>
        <patternFill>
          <fgColor indexed="64"/>
          <bgColor theme="4" tint="-0.499984740745262"/>
        </patternFill>
      </fill>
      <alignment horizontal="center" vertical="center" textRotation="0" wrapText="0" indent="0" justifyLastLine="0" shrinkToFit="0" readingOrder="0"/>
    </dxf>
    <dxf>
      <numFmt numFmtId="165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scheme val="minor"/>
      </font>
      <numFmt numFmtId="165" formatCode="#,##0.00\ &quot;€&quot;"/>
      <fill>
        <patternFill patternType="solid">
          <fgColor indexed="64"/>
          <bgColor rgb="FFFFFD78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theme="2" tint="-0.499984740745262"/>
        <name val="Aptos Narrow"/>
        <scheme val="minor"/>
      </font>
      <numFmt numFmtId="13" formatCode="0%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34" formatCode="_ * #,##0.00_)\ &quot;€&quot;_ ;_ * \(#,##0.00\)\ &quot;€&quot;_ ;_ * &quot;-&quot;??_)\ &quot;€&quot;_ ;_ @_ 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indexed="64"/>
        </right>
      </border>
    </dxf>
    <dxf>
      <border outline="0"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4"/>
        <color theme="0"/>
      </font>
      <fill>
        <patternFill>
          <fgColor indexed="64"/>
          <bgColor theme="4" tint="-0.249977111117893"/>
        </patternFill>
      </fill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0" formatCode="General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numFmt numFmtId="34" formatCode="_ * #,##0.00_)\ &quot;€&quot;_ ;_ * \(#,##0.00\)\ &quot;€&quot;_ ;_ * &quot;-&quot;??_)\ &quot;€&quot;_ ;_ @_ 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4" formatCode="_ * #,##0.00_)\ &quot;€&quot;_ ;_ * \(#,##0.00\)\ &quot;€&quot;_ ;_ * &quot;-&quot;??_)\ &quot;€&quot;_ ;_ @_ 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4" formatCode="_ * #,##0.00_)\ &quot;€&quot;_ ;_ * \(#,##0.00\)\ &quot;€&quot;_ ;_ * &quot;-&quot;??_)\ &quot;€&quot;_ ;_ @_ 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numFmt numFmtId="34" formatCode="_ * #,##0.00_)\ &quot;€&quot;_ ;_ * \(#,##0.00\)\ &quot;€&quot;_ ;_ * &quot;-&quot;??_)\ &quot;€&quot;_ ;_ @_ 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4" formatCode="_ * #,##0.00_)\ &quot;€&quot;_ ;_ * \(#,##0.00\)\ &quot;€&quot;_ ;_ * &quot;-&quot;??_)\ &quot;€&quot;_ ;_ @_ 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4" formatCode="_ * #,##0.00_)\ &quot;€&quot;_ ;_ * \(#,##0.00\)\ &quot;€&quot;_ ;_ * &quot;-&quot;??_)\ &quot;€&quot;_ ;_ @_ 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1" formatCode="dd\-mmm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1" formatCode="dd\-mmm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strike val="0"/>
        <outline val="0"/>
        <shadow val="0"/>
        <u val="none"/>
        <vertAlign val="baseline"/>
        <sz val="16"/>
        <color theme="0"/>
        <name val="Aptos Narrow"/>
        <scheme val="minor"/>
      </font>
      <fill>
        <patternFill>
          <fgColor indexed="64"/>
          <bgColor theme="4" tint="-0.499984740745262"/>
        </patternFill>
      </fill>
      <alignment horizontal="center" vertical="center" textRotation="0" wrapText="0" indent="0" justifyLastLine="0" shrinkToFit="0" readingOrder="0"/>
    </dxf>
    <dxf>
      <numFmt numFmtId="165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scheme val="minor"/>
      </font>
      <numFmt numFmtId="165" formatCode="#,##0.00\ &quot;€&quot;"/>
      <fill>
        <patternFill patternType="solid">
          <fgColor indexed="64"/>
          <bgColor rgb="FFFFFD78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theme="2" tint="-0.499984740745262"/>
        <name val="Aptos Narrow"/>
        <scheme val="minor"/>
      </font>
      <numFmt numFmtId="13" formatCode="0%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34" formatCode="_ * #,##0.00_)\ &quot;€&quot;_ ;_ * \(#,##0.00\)\ &quot;€&quot;_ ;_ * &quot;-&quot;??_)\ &quot;€&quot;_ ;_ @_ 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indexed="64"/>
        </right>
      </border>
    </dxf>
    <dxf>
      <border outline="0"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4"/>
        <color theme="0"/>
      </font>
      <fill>
        <patternFill>
          <fgColor indexed="64"/>
          <bgColor theme="4" tint="-0.249977111117893"/>
        </patternFill>
      </fill>
      <alignment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numFmt numFmtId="34" formatCode="_ * #,##0.00_)\ &quot;€&quot;_ ;_ * \(#,##0.00\)\ &quot;€&quot;_ ;_ * &quot;-&quot;??_)\ &quot;€&quot;_ ;_ @_ 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4" formatCode="_ * #,##0.00_)\ &quot;€&quot;_ ;_ * \(#,##0.00\)\ &quot;€&quot;_ ;_ * &quot;-&quot;??_)\ &quot;€&quot;_ ;_ @_ 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4" formatCode="_ * #,##0.00_)\ &quot;€&quot;_ ;_ * \(#,##0.00\)\ &quot;€&quot;_ ;_ * &quot;-&quot;??_)\ &quot;€&quot;_ ;_ @_ 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numFmt numFmtId="34" formatCode="_ * #,##0.00_)\ &quot;€&quot;_ ;_ * \(#,##0.00\)\ &quot;€&quot;_ ;_ * &quot;-&quot;??_)\ &quot;€&quot;_ ;_ @_ 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4" formatCode="_ * #,##0.00_)\ &quot;€&quot;_ ;_ * \(#,##0.00\)\ &quot;€&quot;_ ;_ * &quot;-&quot;??_)\ &quot;€&quot;_ ;_ @_ 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4" formatCode="_ * #,##0.00_)\ &quot;€&quot;_ ;_ * \(#,##0.00\)\ &quot;€&quot;_ ;_ * &quot;-&quot;??_)\ &quot;€&quot;_ ;_ @_ 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[$-40C]d\-mmm\-yy;@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1" formatCode="dd\-mmm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strike val="0"/>
        <outline val="0"/>
        <shadow val="0"/>
        <u val="none"/>
        <vertAlign val="baseline"/>
        <sz val="16"/>
        <color theme="0"/>
        <name val="Aptos Narrow"/>
        <scheme val="minor"/>
      </font>
      <fill>
        <patternFill>
          <fgColor indexed="64"/>
          <bgColor theme="4" tint="-0.499984740745262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F2F92"/>
      <color rgb="FFFF9300"/>
      <color rgb="FFFF7E79"/>
      <color rgb="FFFFFD78"/>
      <color rgb="FFC8D05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microsoft.com/office/2017/06/relationships/rdRichValueStructure" Target="richData/rdrichvaluestructure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microsoft.com/office/2017/06/relationships/rdRichValue" Target="richData/rdrichvalue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eetMetadata" Target="metadata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haredStrings" Target="sharedStrings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tyles" Target="styles.xml"/><Relationship Id="rId27" Type="http://schemas.microsoft.com/office/2017/06/relationships/rdRichValueTypes" Target="richData/rdRichValueTypes.xml"/></Relationships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78</v>
    <v>8</v>
    <v>56</v>
    <v>5</v>
  </rv>
</rvData>
</file>

<file path=xl/richData/rdrichvaluestructure.xml><?xml version="1.0" encoding="utf-8"?>
<rvStructures xmlns="http://schemas.microsoft.com/office/spreadsheetml/2017/richdata" count="1">
  <s t="_error">
    <k n="colOffset" t="i"/>
    <k n="errorType" t="i"/>
    <k n="rwOffset" t="i"/>
    <k n="subType" t="i"/>
  </s>
</rvStructure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B4AE7E90-0371-1545-9AA8-F50B270FA243}" name="Tableau5" displayName="Tableau5" ref="B9:Q79" totalsRowShown="0" headerRowDxfId="741">
  <autoFilter ref="B9:Q79" xr:uid="{B4AE7E90-0371-1545-9AA8-F50B270FA243}"/>
  <tableColumns count="16">
    <tableColumn id="1" xr3:uid="{1D658F3A-B8AD-1F48-A147-921B3EBDFA96}" name="Date visite" dataDxfId="740"/>
    <tableColumn id="16" xr3:uid="{92BB2FA3-3DEF-E542-B6D0-C736C1F469B0}" name="Mois visite" dataDxfId="739">
      <calculatedColumnFormula array="1">+C10:CC10:#REF!</calculatedColumnFormula>
    </tableColumn>
    <tableColumn id="2" xr3:uid="{B01891E7-1FC9-6542-B156-D6343D706B97}" name="Heures" dataDxfId="738"/>
    <tableColumn id="3" xr3:uid="{323FFED2-1A44-9A47-B509-B73499DECA22}" name="Devis" dataDxfId="737"/>
    <tableColumn id="4" xr3:uid="{17819FC5-0635-2545-9C7F-E73372B75ACE}" name="Factures" dataDxfId="736"/>
    <tableColumn id="8" xr3:uid="{81D092DB-6A8E-4F44-BA7C-4C033E702CEE}" name="DB" dataDxfId="735"/>
    <tableColumn id="5" xr3:uid="{5D6CD1B8-0E5C-474E-AE01-671DA0B82F46}" name="H" dataDxfId="734"/>
    <tableColumn id="6" xr3:uid="{C71E94FA-3C1E-324A-92A4-D446A7138772}" name="$T" dataDxfId="733"/>
    <tableColumn id="7" xr3:uid="{0EA47FA9-E312-1740-A92E-5A60E4D246BB}" name="Thomas" dataDxfId="732"/>
    <tableColumn id="9" xr3:uid="{710B3947-F52A-0C46-84D3-94331F2D2275}" name="$F" dataDxfId="731"/>
    <tableColumn id="10" xr3:uid="{F111739D-7B16-D849-B64D-31C98136B447}" name="Flavie" dataDxfId="730"/>
    <tableColumn id="11" xr3:uid="{FF5BBFFE-CB8C-AB47-9A6E-7601D3EEE1BA}" name="Colonne11" dataDxfId="729"/>
    <tableColumn id="12" xr3:uid="{184DB237-DDF8-7D4E-92B2-21C502664E7D}" name="$R" dataDxfId="728"/>
    <tableColumn id="13" xr3:uid="{1FA39861-FA79-DF42-A2A0-D11C7394BD88}" name="Raphaëlle" dataDxfId="727"/>
    <tableColumn id="14" xr3:uid="{AB511149-EACA-4B40-A9F8-10C5FF112D7F}" name="Colonne14" dataDxfId="726"/>
    <tableColumn id="15" xr3:uid="{13BBA0B0-9BA6-9045-B50F-BC9B5B5405D6}" name="Informations" dataDxfId="725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1CDB82F-DBE7-D247-BA61-F8DCAD8A0998}" name="Tableau3" displayName="Tableau3" ref="B7:J37" totalsRowShown="0" headerRowDxfId="724" headerRowBorderDxfId="723" tableBorderDxfId="722">
  <autoFilter ref="B7:J37" xr:uid="{11CDB82F-DBE7-D247-BA61-F8DCAD8A0998}"/>
  <tableColumns count="9">
    <tableColumn id="1" xr3:uid="{B8630EEB-F22D-B847-9681-D38605FC789C}" name="Date" dataDxfId="721"/>
    <tableColumn id="2" xr3:uid="{CBB0BDBD-8F48-D945-AA8E-2BCAFCCDBA4C}" name="N Facture" dataDxfId="720"/>
    <tableColumn id="3" xr3:uid="{29FF2991-93D4-034D-9497-326686CA0133}" name="Information" dataDxfId="719"/>
    <tableColumn id="4" xr3:uid="{23D941FE-C77D-C442-B5F5-57DACAAA1649}" name="Mode de dépense" dataDxfId="718"/>
    <tableColumn id="5" xr3:uid="{A1558ECF-0550-C848-B018-60AB87EB4D37}" name="Charge TTC" dataDxfId="717"/>
    <tableColumn id="6" xr3:uid="{633C259B-6F3C-6A47-B92F-6CBF8D6B8E4C}" name="Colonne6" dataDxfId="716"/>
    <tableColumn id="7" xr3:uid="{B107DFD7-6B74-E146-A7D9-EEA42FA566EB}" name="TVA" dataDxfId="715"/>
    <tableColumn id="8" xr3:uid="{AE2C718C-83CA-E241-B52D-A57C1A848A2F}" name="Charge HT" dataDxfId="714"/>
    <tableColumn id="9" xr3:uid="{A1CF7DA9-E338-5C4F-A23A-961185DA99A8}" name="Récup" dataDxfId="713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C65CAA2-12B1-D340-99B2-185D9818B307}" name="Tableau55" displayName="Tableau55" ref="B9:Q57" totalsRowShown="0" headerRowDxfId="712">
  <autoFilter ref="B9:Q57" xr:uid="{EC65CAA2-12B1-D340-99B2-185D9818B307}"/>
  <tableColumns count="16">
    <tableColumn id="1" xr3:uid="{D12B8A1F-53A3-1E4F-887A-A49A58C02F84}" name="Date" dataDxfId="711"/>
    <tableColumn id="8" xr3:uid="{C133BA51-9390-EF4F-973F-CC94DBC119D0}" name="Mois visite" dataDxfId="710"/>
    <tableColumn id="2" xr3:uid="{0A24FFEC-151D-AB42-B835-3184B19AF472}" name="Heures" dataDxfId="709"/>
    <tableColumn id="3" xr3:uid="{DF67F329-FEA9-C442-BE78-D9C42E28F4BD}" name="Devis" dataDxfId="708"/>
    <tableColumn id="4" xr3:uid="{3A471FB4-7088-A74B-92A7-15D4D9F9D75A}" name="Factures" dataDxfId="707"/>
    <tableColumn id="16" xr3:uid="{ADFEA6BF-EF5E-D042-956D-CF354EF5140D}" name="DB" dataDxfId="706"/>
    <tableColumn id="5" xr3:uid="{1673A412-45D4-4B4B-9410-05C1AC878A08}" name="H" dataDxfId="705"/>
    <tableColumn id="6" xr3:uid="{44462A16-45DF-0A46-9EBB-8BEEEEF85BB0}" name="$T" dataDxfId="704"/>
    <tableColumn id="7" xr3:uid="{E4C7AE89-A8D6-7442-A911-7F132665C4AC}" name="Thomas" dataDxfId="703"/>
    <tableColumn id="9" xr3:uid="{6502C42E-FE5A-F045-A378-9E1D0E3EEBD2}" name="$F" dataDxfId="702"/>
    <tableColumn id="10" xr3:uid="{43AA9D12-1715-924F-B386-7D62A15A1361}" name="Flavie" dataDxfId="701"/>
    <tableColumn id="11" xr3:uid="{DFDBC8AC-6E30-1647-8F93-89183971B9EB}" name="Colonne11" dataDxfId="700">
      <calculatedColumnFormula array="1">couleur+NOW()-NOW()</calculatedColumnFormula>
    </tableColumn>
    <tableColumn id="12" xr3:uid="{45E5F0A5-BE76-A04D-AC4A-4E51BEA5D6AC}" name="$R" dataDxfId="699"/>
    <tableColumn id="13" xr3:uid="{740DA801-E14A-254A-99C3-D0EA7D574FCB}" name="Raphaëlle" dataDxfId="698"/>
    <tableColumn id="14" xr3:uid="{F39B9D73-2B3B-0A40-BCE5-3B9AD00F2784}" name="Colonne14" dataDxfId="697">
      <calculatedColumnFormula array="1">couleur+NOW()-NOW()</calculatedColumnFormula>
    </tableColumn>
    <tableColumn id="15" xr3:uid="{DD82C9B4-CF35-B94B-A329-E02FF4292C6E}" name="Informations" dataDxfId="696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D18B870-FD07-BD46-AB36-FDCB2930608E}" name="Tableau33" displayName="Tableau33" ref="B7:J38" totalsRowShown="0" headerRowDxfId="695" headerRowBorderDxfId="694" tableBorderDxfId="693">
  <autoFilter ref="B7:J38" xr:uid="{9D18B870-FD07-BD46-AB36-FDCB2930608E}"/>
  <tableColumns count="9">
    <tableColumn id="1" xr3:uid="{22DD5309-4645-FC43-9201-5AE9899C7101}" name="Date" dataDxfId="692"/>
    <tableColumn id="2" xr3:uid="{2F1E9614-3D5C-4544-B94E-A5EE2252AFB4}" name="N Facture" dataDxfId="691"/>
    <tableColumn id="3" xr3:uid="{75DFD8AB-7F5D-1747-BA52-847EFE3D7B83}" name="Information" dataDxfId="690"/>
    <tableColumn id="4" xr3:uid="{60A6003D-71AB-E141-857E-873AF90546CD}" name="Mode de dépense" dataDxfId="689"/>
    <tableColumn id="5" xr3:uid="{ADA4B378-D088-774D-BC72-0F64ACB0A8F5}" name="Charge TTC" dataDxfId="688"/>
    <tableColumn id="6" xr3:uid="{82932044-0A42-EA47-9653-3347C3197E35}" name="Colonne6" dataDxfId="687"/>
    <tableColumn id="7" xr3:uid="{A84519AD-0916-EA45-8A80-B5A7790A913E}" name="TVA" dataDxfId="686"/>
    <tableColumn id="8" xr3:uid="{6F81BB16-EDD6-634A-85CE-242789DD30FA}" name="Charge HT" dataDxfId="685"/>
    <tableColumn id="9" xr3:uid="{09CC55E7-C207-0B4B-AD46-F0C361DBF609}" name="Récup" dataDxfId="684">
      <calculatedColumnFormula>F8-I8</calculatedColumnFormula>
    </tableColumn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45E5FB4-FD50-E842-9535-1FA954230CA6}" name="Tableau557" displayName="Tableau557" ref="B8:N61" totalsRowShown="0" headerRowDxfId="683">
  <autoFilter ref="B8:N61" xr:uid="{045E5FB4-FD50-E842-9535-1FA954230CA6}"/>
  <tableColumns count="13">
    <tableColumn id="1" xr3:uid="{6E8F1168-B74A-9846-9CB8-E34996B64252}" name="Date" dataDxfId="682"/>
    <tableColumn id="8" xr3:uid="{43734E8A-275F-0A4C-A1C5-91A20A2787A4}" name="Mois de visite" dataDxfId="508"/>
    <tableColumn id="2" xr3:uid="{DFBDD0D1-ABE6-A543-95A3-253BF76988D8}" name="Heures" dataDxfId="681"/>
    <tableColumn id="3" xr3:uid="{98D5E939-FFB5-2A4D-992F-9265022866F0}" name="Devis" dataDxfId="680"/>
    <tableColumn id="4" xr3:uid="{017B9452-88E4-B84E-AA98-F47D12780A9E}" name="Factures" dataDxfId="679"/>
    <tableColumn id="5" xr3:uid="{BB066B75-5578-5D47-BF8D-E5D08F4EE835}" name="H" dataDxfId="678"/>
    <tableColumn id="6" xr3:uid="{5377DFC8-203D-644A-B620-6C24872C6784}" name="$T" dataDxfId="677"/>
    <tableColumn id="7" xr3:uid="{B25BE658-7D8B-524B-B4A0-CC2EC76D23BA}" name="Thomas" dataDxfId="676"/>
    <tableColumn id="9" xr3:uid="{A761AF1E-5DF4-A94B-B90C-91933BB35077}" name="$F" dataDxfId="675"/>
    <tableColumn id="10" xr3:uid="{9D60EB80-9D8B-2B41-82DB-3A9E1DE7A50E}" name="Flavie" dataDxfId="674"/>
    <tableColumn id="12" xr3:uid="{2FCE4338-2278-7F49-8BC0-FA1AB3FE7812}" name="$R" dataDxfId="673"/>
    <tableColumn id="13" xr3:uid="{BFB79ACD-FE47-6A4A-BEEE-3C75984C701A}" name="Raphaëlle" dataDxfId="672"/>
    <tableColumn id="15" xr3:uid="{B3DD890E-215D-974A-A8BE-FC3524FC6679}" name="Informations" dataDxfId="671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56F0E4BC-C3DA-1446-B3E3-3EAC485C4AC0}" name="Tableau338" displayName="Tableau338" ref="B7:I35" totalsRowShown="0" headerRowDxfId="670" headerRowBorderDxfId="669" tableBorderDxfId="668">
  <autoFilter ref="B7:I35" xr:uid="{56F0E4BC-C3DA-1446-B3E3-3EAC485C4AC0}"/>
  <tableColumns count="8">
    <tableColumn id="1" xr3:uid="{EB476406-588C-974E-B270-7A1B22C3C344}" name="Date" dataDxfId="667"/>
    <tableColumn id="2" xr3:uid="{C243FF9C-8718-6240-BA12-141C68FEEE72}" name="N Facture" dataDxfId="666"/>
    <tableColumn id="3" xr3:uid="{3BE827E6-A304-AF47-A838-9D94849745BB}" name="Information" dataDxfId="665"/>
    <tableColumn id="4" xr3:uid="{AB811C27-54F2-0641-9107-F0B63B303956}" name="Mode de dépense" dataDxfId="664"/>
    <tableColumn id="5" xr3:uid="{7E6F446C-38E0-D74F-BAA1-D05C91BB809A}" name="Charge TTC" dataDxfId="663"/>
    <tableColumn id="7" xr3:uid="{C4DB96B3-EC78-FB45-9CB9-4DE474817030}" name="TVA" dataDxfId="662"/>
    <tableColumn id="8" xr3:uid="{36AE62F5-CA61-FA47-AAED-D35BC6C4AD2B}" name="Charge HT" dataDxfId="661"/>
    <tableColumn id="9" xr3:uid="{E045CEAE-7AF5-8B48-9823-01300589857E}" name="Récup" dataDxfId="660">
      <calculatedColumnFormula>F8-H8</calculatedColumnFormula>
    </tableColumn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DF08AA53-1A0A-1245-A071-329D23F45D11}" name="Tableau5579" displayName="Tableau5579" ref="B8:N65" totalsRowShown="0" headerRowDxfId="659">
  <autoFilter ref="B8:N65" xr:uid="{DF08AA53-1A0A-1245-A071-329D23F45D11}"/>
  <tableColumns count="13">
    <tableColumn id="1" xr3:uid="{45EF7D72-0196-3444-9112-02A90EC0D34A}" name="Date" dataDxfId="658"/>
    <tableColumn id="8" xr3:uid="{AB024E42-10A1-4442-BB39-1D4891692861}" name="Mois de visite" dataDxfId="507"/>
    <tableColumn id="2" xr3:uid="{19834923-8D79-5441-8BCA-BA567323E9B5}" name="Heures" dataDxfId="657"/>
    <tableColumn id="3" xr3:uid="{AB88EBA7-E3CC-8D4D-8DBF-87A0D3EC1508}" name="Devis" dataDxfId="656"/>
    <tableColumn id="4" xr3:uid="{0FA3FF63-95ED-D142-A045-D0E37519088F}" name="Factures" dataDxfId="655"/>
    <tableColumn id="5" xr3:uid="{6DD63DCC-9278-CE49-9E38-EC8833342CA3}" name="H" dataDxfId="654"/>
    <tableColumn id="6" xr3:uid="{47F3E56C-6956-3B41-AC63-03E6B6D08778}" name="$T" dataDxfId="653"/>
    <tableColumn id="7" xr3:uid="{9954883F-7A8A-7B49-BB1A-806EF25B7568}" name="Thomas" dataDxfId="652"/>
    <tableColumn id="9" xr3:uid="{5B9AB7AD-8E07-FE4A-A044-512E44500B6C}" name="$F" dataDxfId="651"/>
    <tableColumn id="10" xr3:uid="{9F44CAB5-66BF-4C44-A5DD-5BEE71493DE5}" name="Flavie" dataDxfId="650"/>
    <tableColumn id="12" xr3:uid="{DB2D3901-296A-1E47-BD3E-0243C2DF734D}" name="$R" dataDxfId="649"/>
    <tableColumn id="13" xr3:uid="{4DC52664-78C5-CC48-89E4-C05D0BD6D582}" name="Raphaëlle" dataDxfId="648"/>
    <tableColumn id="15" xr3:uid="{D35EE977-A686-5247-BB49-4FEFB27028BC}" name="Informations" dataDxfId="647"/>
  </tableColumns>
  <tableStyleInfo name="TableStyleLight9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D35424BF-E5AD-7A47-863C-53E8C3500DCD}" name="Tableau33810" displayName="Tableau33810" ref="B7:I37" totalsRowShown="0" headerRowDxfId="646" headerRowBorderDxfId="645" tableBorderDxfId="644">
  <autoFilter ref="B7:I37" xr:uid="{D35424BF-E5AD-7A47-863C-53E8C3500DCD}"/>
  <tableColumns count="8">
    <tableColumn id="1" xr3:uid="{91B2FB24-D6E6-D143-AD55-4596563777F9}" name="Date" dataDxfId="643"/>
    <tableColumn id="2" xr3:uid="{420185EF-110A-FC43-A7A8-D0559B83F5C3}" name="N Facture" dataDxfId="642"/>
    <tableColumn id="3" xr3:uid="{E5CBDBEC-19C8-624B-9BD0-D2637BEE4B88}" name="Information" dataDxfId="641"/>
    <tableColumn id="4" xr3:uid="{4F81698D-E2B0-8843-AE5B-60CE1AA696E2}" name="Mode de dépense" dataDxfId="640"/>
    <tableColumn id="5" xr3:uid="{7215529E-05A8-3B48-B6E0-3CC80E3F9CAB}" name="Charge TTC" dataDxfId="639"/>
    <tableColumn id="7" xr3:uid="{CFD6827C-C5D5-864A-8F12-6391F04C77C8}" name="TVA" dataDxfId="638"/>
    <tableColumn id="8" xr3:uid="{55049CB9-7105-8948-A73C-12764B04F64A}" name="Charge HT" dataDxfId="637"/>
    <tableColumn id="9" xr3:uid="{09EE06E9-86C2-FD4C-B052-4CF6A40F04D3}" name="Récup" dataDxfId="636">
      <calculatedColumnFormula>F8-H8</calculatedColumnFormula>
    </tableColumn>
  </tableColumns>
  <tableStyleInfo name="TableStyleLight9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3E4C8323-EB16-924F-9FFE-963EBA9E07D1}" name="Tableau557911" displayName="Tableau557911" ref="B8:N63" totalsRowShown="0" headerRowDxfId="635">
  <autoFilter ref="B8:N63" xr:uid="{3E4C8323-EB16-924F-9FFE-963EBA9E07D1}"/>
  <tableColumns count="13">
    <tableColumn id="1" xr3:uid="{E4171727-3B04-A54A-A620-EFFCFDEC3BFC}" name="Date" dataDxfId="634"/>
    <tableColumn id="8" xr3:uid="{839AC13E-1888-D04C-8F8D-BC302C43935F}" name="Mois de visite" dataDxfId="506"/>
    <tableColumn id="2" xr3:uid="{1AC4FB48-9DD4-1B42-A9FB-EADA0024DF80}" name="Heures" dataDxfId="633"/>
    <tableColumn id="3" xr3:uid="{E5AE4018-FABB-A64A-BF06-4DA3724F8EB8}" name="Devis" dataDxfId="632"/>
    <tableColumn id="4" xr3:uid="{211A81D7-88A5-C043-8D46-02660F3D5FE4}" name="Factures" dataDxfId="631"/>
    <tableColumn id="5" xr3:uid="{BBCCCF3B-258E-134B-B98C-85A7A2078EAC}" name="H" dataDxfId="630"/>
    <tableColumn id="6" xr3:uid="{3D412CD3-FFB2-1849-A02C-AA9F2CC97D03}" name="$T" dataDxfId="629"/>
    <tableColumn id="7" xr3:uid="{4B419D90-99C2-9D44-B861-743B50E9BD38}" name="Thomas" dataDxfId="628"/>
    <tableColumn id="9" xr3:uid="{EF781819-318B-A04D-8637-0BEDD299487F}" name="$F" dataDxfId="627"/>
    <tableColumn id="10" xr3:uid="{BF007E2A-E686-6648-AE7B-F40806064978}" name="Flavie" dataDxfId="626"/>
    <tableColumn id="12" xr3:uid="{C9760A95-38F1-9D4F-8819-132F6F802FF4}" name="$R" dataDxfId="625"/>
    <tableColumn id="13" xr3:uid="{7EA6D5AB-5776-5E45-9294-148DE5EC676F}" name="Raphaëlle" dataDxfId="624"/>
    <tableColumn id="15" xr3:uid="{581B3CB6-A1C4-C440-B5B8-43E09E46269E}" name="Informations" dataDxfId="623"/>
  </tableColumns>
  <tableStyleInfo name="TableStyleLight9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A56B7CEC-5625-BA4A-B269-B5E01AC4C49C}" name="Tableau3381012" displayName="Tableau3381012" ref="B7:I37" totalsRowShown="0" headerRowDxfId="622" headerRowBorderDxfId="621" tableBorderDxfId="620">
  <autoFilter ref="B7:I37" xr:uid="{A56B7CEC-5625-BA4A-B269-B5E01AC4C49C}"/>
  <tableColumns count="8">
    <tableColumn id="1" xr3:uid="{19A00E25-4C73-C046-98BD-0C1201D4F964}" name="Date" dataDxfId="619"/>
    <tableColumn id="2" xr3:uid="{5102EDFB-2CAB-4140-A45D-E22FD1107E75}" name="N Facture" dataDxfId="618"/>
    <tableColumn id="3" xr3:uid="{7D33CC30-F2DD-C64A-B614-DC19FB0EFB98}" name="Information" dataDxfId="617"/>
    <tableColumn id="4" xr3:uid="{EE710922-B106-B542-ACFC-D61C6E156837}" name="Mode de dépense" dataDxfId="616"/>
    <tableColumn id="5" xr3:uid="{C8BDA979-A2AB-3541-A74B-4BAE5A0243E2}" name="Charge TTC" dataDxfId="615"/>
    <tableColumn id="7" xr3:uid="{EC618224-A70D-5E49-8D04-D7A40D2C9D74}" name="TVA" dataDxfId="614"/>
    <tableColumn id="8" xr3:uid="{E686891E-0DB8-9B4E-A598-EB7A731BB595}" name="Charge HT" dataDxfId="613"/>
    <tableColumn id="9" xr3:uid="{6E7E149C-1A92-3A40-A922-139CF71D4F00}" name="Récup" dataDxfId="612">
      <calculatedColumnFormula>F8-H8</calculatedColumnFormula>
    </tableColumn>
  </tableColumns>
  <tableStyleInfo name="TableStyleLight9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8B69A93F-2A3E-D940-806F-4E1D3B9F669C}" name="Tableau55791113" displayName="Tableau55791113" ref="B8:N57" totalsRowShown="0" headerRowDxfId="611">
  <autoFilter ref="B8:N57" xr:uid="{8B69A93F-2A3E-D940-806F-4E1D3B9F669C}"/>
  <tableColumns count="13">
    <tableColumn id="1" xr3:uid="{B0B6C671-11CF-634D-86C9-C7DF15E79484}" name="Date" dataDxfId="610"/>
    <tableColumn id="8" xr3:uid="{C2F88B89-5771-074C-BAF0-334DEBFDCBF6}" name="Mois de visite" dataDxfId="505"/>
    <tableColumn id="2" xr3:uid="{34A4979D-7B06-2F4B-B844-DFA57D02E3C8}" name="Heures" dataDxfId="609"/>
    <tableColumn id="3" xr3:uid="{85150001-2AE8-3A44-A75B-D2D4DF506B57}" name="Devis" dataDxfId="608"/>
    <tableColumn id="4" xr3:uid="{6BE34998-797A-7E45-B45C-B7FAAE8336D4}" name="Factures" dataDxfId="607"/>
    <tableColumn id="5" xr3:uid="{6EDDD51C-498C-D846-91C8-6E51987AE57F}" name="H" dataDxfId="606"/>
    <tableColumn id="6" xr3:uid="{9805E11C-4187-214B-95C7-7187BB5580F0}" name="$T" dataDxfId="605"/>
    <tableColumn id="7" xr3:uid="{E9D6B1B5-312A-5A4D-9B15-667D5DF12FDC}" name="Thomas" dataDxfId="604"/>
    <tableColumn id="9" xr3:uid="{1CDB676D-7D2C-6745-B153-A8BC1B6C65C1}" name="$F" dataDxfId="603"/>
    <tableColumn id="10" xr3:uid="{AC6B5732-9757-F646-854D-284266AF6A57}" name="Flavie" dataDxfId="602"/>
    <tableColumn id="12" xr3:uid="{66E60EEE-E0EC-F946-9909-CA3E26219C24}" name="$R" dataDxfId="601"/>
    <tableColumn id="13" xr3:uid="{9B6D11B1-DE40-8F4E-9D0D-1DB73AE91962}" name="Raphaëlle" dataDxfId="600"/>
    <tableColumn id="15" xr3:uid="{11D43B54-CCA7-D745-90F0-91B6F739CB16}" name="Informations" dataDxfId="599"/>
  </tableColumns>
  <tableStyleInfo name="TableStyleLight9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DB0DEF02-3FDB-9748-AC2E-C06EB6E36A8A}" name="Tableau338101214" displayName="Tableau338101214" ref="B6:I36" totalsRowShown="0" headerRowDxfId="598" headerRowBorderDxfId="597" tableBorderDxfId="596">
  <autoFilter ref="B6:I36" xr:uid="{DB0DEF02-3FDB-9748-AC2E-C06EB6E36A8A}"/>
  <tableColumns count="8">
    <tableColumn id="1" xr3:uid="{A80E1618-DE9E-704E-966B-15781A24F503}" name="Date" dataDxfId="595"/>
    <tableColumn id="2" xr3:uid="{323D26BB-D3F9-8F43-BC3D-34CEA7DB5B25}" name="N Facture" dataDxfId="594"/>
    <tableColumn id="3" xr3:uid="{F0285027-DA59-5542-A2D3-CEE2E0F4C7D8}" name="Information" dataDxfId="593"/>
    <tableColumn id="4" xr3:uid="{A7179318-509E-3941-A251-F50E023DAF47}" name="Mode de dépense" dataDxfId="592"/>
    <tableColumn id="5" xr3:uid="{C62A5FB8-4B9B-CB49-9F7F-041CD5254F03}" name="Charge TTC" dataDxfId="591"/>
    <tableColumn id="7" xr3:uid="{D61AF922-451E-7F4A-A924-AA5A9B4A43E1}" name="TVA" dataDxfId="590"/>
    <tableColumn id="8" xr3:uid="{FFA97BEA-C53D-B245-B7AB-FA930731BB01}" name="Charge HT" dataDxfId="589"/>
    <tableColumn id="9" xr3:uid="{6AB3078C-604C-A145-9E96-BA4A92DCC9EC}" name="Récup" dataDxfId="588">
      <calculatedColumnFormula>F7-H7</calculatedColumnFormula>
    </tableColumn>
  </tableColumns>
  <tableStyleInfo name="TableStyleLight9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28955A06-5643-3E49-A024-B1C3402A5F37}" name="Tableau5579111315" displayName="Tableau5579111315" ref="B8:N57" totalsRowShown="0" headerRowDxfId="587">
  <autoFilter ref="B8:N57" xr:uid="{28955A06-5643-3E49-A024-B1C3402A5F37}"/>
  <tableColumns count="13">
    <tableColumn id="1" xr3:uid="{F3899A66-9AA1-7D46-A8D3-80430259E363}" name="Date" dataDxfId="586"/>
    <tableColumn id="8" xr3:uid="{389D4D4C-3BEB-D548-888D-02829EDA13CA}" name="Mois de visite" dataDxfId="504"/>
    <tableColumn id="2" xr3:uid="{1B9BC6D1-2548-E044-A8B1-EE31A12713AE}" name="Heures" dataDxfId="585"/>
    <tableColumn id="3" xr3:uid="{AE119B60-534D-F649-831E-2615F77B31E9}" name="Devis" dataDxfId="584"/>
    <tableColumn id="4" xr3:uid="{970AE0AB-A463-5E4F-AB1B-A3A1A9872130}" name="Factures" dataDxfId="583"/>
    <tableColumn id="5" xr3:uid="{A1EDEE63-4BEF-154B-863F-A0EFBFFD78A7}" name="H" dataDxfId="582"/>
    <tableColumn id="6" xr3:uid="{9536108F-60B5-954A-BA45-55685F71AB03}" name="$T" dataDxfId="581"/>
    <tableColumn id="7" xr3:uid="{A70FB132-4419-E540-9C3A-1687C348F896}" name="Thomas" dataDxfId="580"/>
    <tableColumn id="9" xr3:uid="{65506D55-26B1-1F47-887D-93938805D6C4}" name="$F" dataDxfId="579"/>
    <tableColumn id="10" xr3:uid="{D47F6495-BFD4-9F4F-B003-A8C021103D22}" name="Flavie" dataDxfId="578"/>
    <tableColumn id="12" xr3:uid="{8E1A1E52-59BC-8149-A301-0E4141642796}" name="$R" dataDxfId="577"/>
    <tableColumn id="13" xr3:uid="{33922C36-841D-2B42-8B4C-3AA84818C02B}" name="Raphaëlle" dataDxfId="576"/>
    <tableColumn id="15" xr3:uid="{0C177B96-C180-4747-A2F9-B8D386038A31}" name="Informations" dataDxfId="575"/>
  </tableColumns>
  <tableStyleInfo name="TableStyleLight9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A45C4EA8-9B14-5748-BBE5-5A348940CF8C}" name="Tableau33810121416" displayName="Tableau33810121416" ref="B6:I36" totalsRowShown="0" headerRowDxfId="574" headerRowBorderDxfId="573" tableBorderDxfId="572">
  <autoFilter ref="B6:I36" xr:uid="{DB0DEF02-3FDB-9748-AC2E-C06EB6E36A8A}"/>
  <tableColumns count="8">
    <tableColumn id="1" xr3:uid="{1A2CC460-CAAB-1B42-9AEC-9CAD6FFFDF24}" name="Date" dataDxfId="571"/>
    <tableColumn id="2" xr3:uid="{A709A97F-99AC-6940-AB4C-6153D2FBA3F1}" name="N Facture" dataDxfId="570"/>
    <tableColumn id="3" xr3:uid="{8090323C-02C1-1B43-B688-080C350C7BB5}" name="Information" dataDxfId="569"/>
    <tableColumn id="4" xr3:uid="{11B69259-586F-C543-85DC-BE006692483E}" name="Mode de dépense" dataDxfId="568"/>
    <tableColumn id="5" xr3:uid="{5A7D44C4-1806-4141-9814-0FDDDD49DDCD}" name="Charge TTC" dataDxfId="567"/>
    <tableColumn id="7" xr3:uid="{D8888A0D-8870-BB40-A5DF-5EA8DE212E6B}" name="TVA" dataDxfId="566"/>
    <tableColumn id="8" xr3:uid="{3E08CC16-64AA-9D44-95A4-97509BE17852}" name="Charge HT" dataDxfId="565"/>
    <tableColumn id="9" xr3:uid="{0CF4AAAA-DF22-6A4E-9D23-0AE35C1F9E30}" name="Récup" dataDxfId="564">
      <calculatedColumnFormula>F7-H7</calculatedColumnFormula>
    </tableColumn>
  </tableColumns>
  <tableStyleInfo name="TableStyleLight9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E0B79EAB-DF55-5C4D-A8DF-F9E2133A4064}" name="Tableau3381012141617" displayName="Tableau3381012141617" ref="B6:I36" totalsRowShown="0" headerRowDxfId="563" headerRowBorderDxfId="562" tableBorderDxfId="561">
  <autoFilter ref="B6:I36" xr:uid="{DB0DEF02-3FDB-9748-AC2E-C06EB6E36A8A}"/>
  <tableColumns count="8">
    <tableColumn id="1" xr3:uid="{270129BE-860F-4C47-A589-C85D392BB7B5}" name="Date" dataDxfId="560"/>
    <tableColumn id="2" xr3:uid="{BD3F235E-5FA7-D84F-8108-0CB9494E3D0E}" name="N Facture" dataDxfId="559"/>
    <tableColumn id="3" xr3:uid="{4B548E3E-8852-A641-9581-BE3C4079BFC1}" name="Information" dataDxfId="558"/>
    <tableColumn id="4" xr3:uid="{9F201897-9FD8-814C-A39D-993FECFC907C}" name="Mode de dépense" dataDxfId="557"/>
    <tableColumn id="5" xr3:uid="{5BB0549A-3425-B44C-8A6C-D8C0BECECF72}" name="Charge TTC" dataDxfId="556"/>
    <tableColumn id="7" xr3:uid="{70203ABA-E377-144B-A7AD-ECEB8DF4F983}" name="TVA" dataDxfId="555"/>
    <tableColumn id="8" xr3:uid="{04BA86A4-0503-BA48-8235-E4258CA70827}" name="Charge HT" dataDxfId="554"/>
    <tableColumn id="9" xr3:uid="{A8EC609F-6776-1045-8C4F-1FF185030BBA}" name="Récup" dataDxfId="553">
      <calculatedColumnFormula>F7-H7</calculatedColumnFormula>
    </tableColumn>
  </tableColumns>
  <tableStyleInfo name="TableStyleLight9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52A8AB37-9916-424F-B93C-7D31B761F893}" name="Tableau338101214161718" displayName="Tableau338101214161718" ref="B6:I36" totalsRowShown="0" headerRowDxfId="552" headerRowBorderDxfId="551" tableBorderDxfId="550">
  <autoFilter ref="B6:I36" xr:uid="{DB0DEF02-3FDB-9748-AC2E-C06EB6E36A8A}"/>
  <tableColumns count="8">
    <tableColumn id="1" xr3:uid="{5766290F-D8A3-6D48-9919-B4081D018A80}" name="Date" dataDxfId="549"/>
    <tableColumn id="2" xr3:uid="{9457BEFD-9543-6045-A05A-97AF1790E7C7}" name="N Facture" dataDxfId="548"/>
    <tableColumn id="3" xr3:uid="{B35EFE9F-F7F5-F640-9DBB-1D5BF9539B36}" name="Information" dataDxfId="547"/>
    <tableColumn id="4" xr3:uid="{3746EBE3-27BF-0642-8A69-A3A4B28A14B6}" name="Mode de dépense" dataDxfId="546"/>
    <tableColumn id="5" xr3:uid="{94E29425-3F51-5D4D-B408-83A4B7A46C91}" name="Charge TTC" dataDxfId="545"/>
    <tableColumn id="7" xr3:uid="{E612A664-CB55-3649-A10F-FB6B0F5E5D49}" name="TVA" dataDxfId="544"/>
    <tableColumn id="8" xr3:uid="{643C54B5-050F-CD4B-83CF-C6D4533673DC}" name="Charge HT" dataDxfId="543"/>
    <tableColumn id="9" xr3:uid="{B3A35EB6-0E48-8547-BE8B-5EB425B19D20}" name="Récup" dataDxfId="542">
      <calculatedColumnFormula>F7-H7</calculatedColumnFormula>
    </tableColumn>
  </tableColumns>
  <tableStyleInfo name="TableStyleLight9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61F2823A-7322-974F-BE51-D8FD5F45D399}" name="Tableau33810121416171819" displayName="Tableau33810121416171819" ref="B6:I36" totalsRowShown="0" headerRowDxfId="541" headerRowBorderDxfId="540" tableBorderDxfId="539">
  <autoFilter ref="B6:I36" xr:uid="{DB0DEF02-3FDB-9748-AC2E-C06EB6E36A8A}"/>
  <tableColumns count="8">
    <tableColumn id="1" xr3:uid="{8373758E-D018-014E-BA1B-D6587122900D}" name="Date" dataDxfId="538"/>
    <tableColumn id="2" xr3:uid="{C190C127-8BED-3A4D-BAF5-8EDBF3F8AB2E}" name="N Facture" dataDxfId="537"/>
    <tableColumn id="3" xr3:uid="{D2A3080D-95B5-2749-BD0E-0C805455B978}" name="Information" dataDxfId="536"/>
    <tableColumn id="4" xr3:uid="{0626D841-5B39-A74B-A99F-1649BB18D974}" name="Mode de dépense" dataDxfId="535"/>
    <tableColumn id="5" xr3:uid="{55A200B9-3AF0-6F43-A2E5-F40551084331}" name="Charge TTC" dataDxfId="534"/>
    <tableColumn id="7" xr3:uid="{700C15D4-861D-DB46-9DA2-3D2901B40C2F}" name="TVA" dataDxfId="533"/>
    <tableColumn id="8" xr3:uid="{5FB1FE08-7D57-0449-85C8-A584C2F1730C}" name="Charge HT" dataDxfId="532"/>
    <tableColumn id="9" xr3:uid="{4797D76B-36DA-7140-942D-EF8948D5877C}" name="Récup" dataDxfId="531">
      <calculatedColumnFormula>F7-H7</calculatedColumnFormula>
    </tableColumn>
  </tableColumns>
  <tableStyleInfo name="TableStyleLight9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94485D9F-4130-BC46-88F0-02EDBA90499B}" name="Tableau3381012141617181920" displayName="Tableau3381012141617181920" ref="B6:I36" totalsRowShown="0" headerRowDxfId="530" headerRowBorderDxfId="529" tableBorderDxfId="528">
  <autoFilter ref="B6:I36" xr:uid="{DB0DEF02-3FDB-9748-AC2E-C06EB6E36A8A}"/>
  <tableColumns count="8">
    <tableColumn id="1" xr3:uid="{23B23891-3B79-B045-99E6-52C5FFCCE851}" name="Date" dataDxfId="527"/>
    <tableColumn id="2" xr3:uid="{B79259E8-DD04-5740-B4A1-01428A45E030}" name="N Facture" dataDxfId="526"/>
    <tableColumn id="3" xr3:uid="{9CC5805B-2239-B24D-9E4A-0663793DB227}" name="Information" dataDxfId="525"/>
    <tableColumn id="4" xr3:uid="{3490BC80-66AA-EE4D-AF27-72331538FD35}" name="Mode de dépense" dataDxfId="524"/>
    <tableColumn id="5" xr3:uid="{9C3BE09C-4937-3D4B-8673-C948D9D9294D}" name="Charge TTC" dataDxfId="523"/>
    <tableColumn id="7" xr3:uid="{050EBC9C-6D55-8D49-AB79-6D7C96AA5BC2}" name="TVA" dataDxfId="522"/>
    <tableColumn id="8" xr3:uid="{C71BBAAE-DB82-5C44-A127-485AAA3FC679}" name="Charge HT" dataDxfId="521"/>
    <tableColumn id="9" xr3:uid="{21AF92D1-726A-124B-964A-F8B82FCE9A8D}" name="Récup" dataDxfId="520">
      <calculatedColumnFormula>F7-H7</calculatedColumnFormula>
    </tableColumn>
  </tableColumns>
  <tableStyleInfo name="TableStyleLight9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E7C41A76-7FBC-5449-92D1-EA27C04D09EC}" name="Tableau338101214161718192021" displayName="Tableau338101214161718192021" ref="B6:I36" totalsRowShown="0" headerRowDxfId="519" headerRowBorderDxfId="518" tableBorderDxfId="517">
  <autoFilter ref="B6:I36" xr:uid="{DB0DEF02-3FDB-9748-AC2E-C06EB6E36A8A}"/>
  <tableColumns count="8">
    <tableColumn id="1" xr3:uid="{701BF497-ABB1-3240-8434-064BBFF7EAD1}" name="Date" dataDxfId="516"/>
    <tableColumn id="2" xr3:uid="{C75BD16B-79AB-304C-8689-13A72D0500ED}" name="N Facture" dataDxfId="515"/>
    <tableColumn id="3" xr3:uid="{B60828C0-3968-3A48-AA43-53759AC29EE7}" name="Information" dataDxfId="514"/>
    <tableColumn id="4" xr3:uid="{1B282251-4E09-1941-8A35-0977A878B618}" name="Mode de dépense" dataDxfId="513"/>
    <tableColumn id="5" xr3:uid="{BBF6DE4E-0B92-F54A-8686-F91ECB656627}" name="Charge TTC" dataDxfId="512"/>
    <tableColumn id="7" xr3:uid="{FADDE51D-EDCB-E045-8F26-42AC52B5AEE7}" name="TVA" dataDxfId="511"/>
    <tableColumn id="8" xr3:uid="{E7AA56E2-0F43-8947-9493-BCDE17C96A27}" name="Charge HT" dataDxfId="510"/>
    <tableColumn id="9" xr3:uid="{20C2BA1E-231B-F848-AA64-CE11D933E0E8}" name="Récup" dataDxfId="509">
      <calculatedColumnFormula>F7-H7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2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5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6.xm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7.xm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8.xml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N38"/>
  <sheetViews>
    <sheetView topLeftCell="A5" zoomScale="108" workbookViewId="0">
      <selection activeCell="C26" sqref="C26"/>
    </sheetView>
  </sheetViews>
  <sheetFormatPr baseColWidth="10" defaultRowHeight="16" x14ac:dyDescent="0.2"/>
  <cols>
    <col min="3" max="3" width="14" customWidth="1"/>
    <col min="4" max="4" width="13.83203125" customWidth="1"/>
    <col min="5" max="5" width="14.6640625" customWidth="1"/>
    <col min="6" max="6" width="15.5" customWidth="1"/>
    <col min="7" max="7" width="12.83203125" customWidth="1"/>
    <col min="8" max="8" width="15" customWidth="1"/>
    <col min="9" max="9" width="13" customWidth="1"/>
    <col min="10" max="10" width="13.83203125" customWidth="1"/>
    <col min="11" max="11" width="14.83203125" customWidth="1"/>
    <col min="12" max="12" width="21.6640625" customWidth="1"/>
  </cols>
  <sheetData>
    <row r="1" spans="2:14" x14ac:dyDescent="0.2">
      <c r="E1" s="190" t="s">
        <v>239</v>
      </c>
      <c r="F1" s="191"/>
      <c r="G1" s="191"/>
      <c r="H1" s="192"/>
    </row>
    <row r="2" spans="2:14" ht="17" thickBot="1" x14ac:dyDescent="0.25">
      <c r="E2" s="193"/>
      <c r="F2" s="194"/>
      <c r="G2" s="194"/>
      <c r="H2" s="195"/>
    </row>
    <row r="4" spans="2:14" x14ac:dyDescent="0.2">
      <c r="C4" s="1" t="s">
        <v>21</v>
      </c>
      <c r="D4" s="1" t="s">
        <v>22</v>
      </c>
      <c r="E4" s="1" t="s">
        <v>23</v>
      </c>
      <c r="F4" s="110" t="s">
        <v>19</v>
      </c>
      <c r="G4" s="38" t="s">
        <v>20</v>
      </c>
      <c r="H4" s="1" t="s">
        <v>6</v>
      </c>
      <c r="I4" s="1" t="s">
        <v>73</v>
      </c>
      <c r="J4" s="38" t="s">
        <v>63</v>
      </c>
      <c r="K4" s="40" t="s">
        <v>24</v>
      </c>
      <c r="L4" t="s">
        <v>181</v>
      </c>
      <c r="M4" t="s">
        <v>187</v>
      </c>
    </row>
    <row r="5" spans="2:14" x14ac:dyDescent="0.2">
      <c r="B5" s="1" t="s">
        <v>18</v>
      </c>
      <c r="C5" s="20">
        <f>'AVRIL CA'!J78</f>
        <v>8264.84</v>
      </c>
      <c r="D5" s="20">
        <f>'AVRIL CA'!L78</f>
        <v>3720.84</v>
      </c>
      <c r="E5" s="20">
        <f>'AVRIL CA'!O78</f>
        <v>4100</v>
      </c>
      <c r="F5" s="111">
        <f>C5+D5+E5</f>
        <v>16085.68</v>
      </c>
      <c r="G5" s="39">
        <f>F5/(1)</f>
        <v>16085.68</v>
      </c>
      <c r="H5" s="20">
        <f>'AVRIL D'!F5</f>
        <v>5609.81</v>
      </c>
      <c r="I5" s="20">
        <f>'AVRIL D'!J5</f>
        <v>0</v>
      </c>
      <c r="J5" s="39">
        <f>H5-I5</f>
        <v>5609.81</v>
      </c>
      <c r="K5" s="41">
        <f>G5-H5</f>
        <v>10475.869999999999</v>
      </c>
      <c r="M5" t="s">
        <v>172</v>
      </c>
      <c r="N5">
        <v>12000</v>
      </c>
    </row>
    <row r="6" spans="2:14" x14ac:dyDescent="0.2">
      <c r="B6" s="1" t="s">
        <v>25</v>
      </c>
      <c r="C6" s="20">
        <f>'MAI CA'!J57</f>
        <v>5478.99</v>
      </c>
      <c r="D6" s="20">
        <f>'MAI CA'!L57</f>
        <v>1893.8400000000001</v>
      </c>
      <c r="E6" s="20">
        <f>'MAI CA'!O57</f>
        <v>865</v>
      </c>
      <c r="F6" s="111">
        <f>C6+D6+E6</f>
        <v>8237.83</v>
      </c>
      <c r="G6" s="39">
        <f>F6/(1)</f>
        <v>8237.83</v>
      </c>
      <c r="H6" s="20">
        <f>'MAI D'!F5</f>
        <v>6434.5599999999995</v>
      </c>
      <c r="I6" s="20"/>
      <c r="J6" s="39"/>
      <c r="K6" s="41">
        <f t="shared" ref="K6:K16" si="0">G6-H6</f>
        <v>1803.2700000000004</v>
      </c>
      <c r="M6" t="s">
        <v>173</v>
      </c>
      <c r="N6">
        <v>15000</v>
      </c>
    </row>
    <row r="7" spans="2:14" x14ac:dyDescent="0.2">
      <c r="B7" s="1" t="s">
        <v>26</v>
      </c>
      <c r="C7" s="20">
        <f>'JUIN CA'!I61</f>
        <v>5917.9</v>
      </c>
      <c r="D7" s="20">
        <f>'JUIN CA'!K61</f>
        <v>1472.88</v>
      </c>
      <c r="E7" s="20">
        <f>'JUIN CA'!M61</f>
        <v>2952.5</v>
      </c>
      <c r="F7" s="111">
        <f>C7+D7+E7</f>
        <v>10343.279999999999</v>
      </c>
      <c r="G7" s="39">
        <f>F7/(1.2)</f>
        <v>8619.4</v>
      </c>
      <c r="H7" s="20">
        <f>'JUIN D'!F5</f>
        <v>9031.56</v>
      </c>
      <c r="I7" s="20"/>
      <c r="J7" s="39"/>
      <c r="K7" s="41">
        <f t="shared" si="0"/>
        <v>-412.15999999999985</v>
      </c>
      <c r="M7" t="s">
        <v>174</v>
      </c>
      <c r="N7">
        <v>20000</v>
      </c>
    </row>
    <row r="8" spans="2:14" x14ac:dyDescent="0.2">
      <c r="B8" s="1" t="s">
        <v>27</v>
      </c>
      <c r="C8" s="20">
        <f>'JUILLET CA'!I65</f>
        <v>7516.68</v>
      </c>
      <c r="D8" s="20">
        <f>'JUILLET CA'!K65</f>
        <v>3856.02</v>
      </c>
      <c r="E8" s="20">
        <f>'JUILLET CA'!M65</f>
        <v>2858.02</v>
      </c>
      <c r="F8" s="111">
        <f t="shared" ref="F8:F16" si="1">C8+D8+E8</f>
        <v>14230.720000000001</v>
      </c>
      <c r="G8" s="39">
        <f>F8/(1.2)</f>
        <v>11858.933333333334</v>
      </c>
      <c r="H8" s="20">
        <f>'JUILLET D'!F5</f>
        <v>11037.56</v>
      </c>
      <c r="I8" s="20"/>
      <c r="J8" s="39"/>
      <c r="K8" s="41">
        <f t="shared" si="0"/>
        <v>821.37333333333481</v>
      </c>
      <c r="M8" t="s">
        <v>175</v>
      </c>
      <c r="N8">
        <v>27000</v>
      </c>
    </row>
    <row r="9" spans="2:14" x14ac:dyDescent="0.2">
      <c r="B9" s="1" t="s">
        <v>28</v>
      </c>
      <c r="C9" s="20">
        <f>'AOUT CA'!I57</f>
        <v>1204.68</v>
      </c>
      <c r="D9" s="20">
        <f>'AOUT CA'!K57</f>
        <v>913.34</v>
      </c>
      <c r="E9" s="20">
        <f>'AOUT CA'!M57</f>
        <v>300</v>
      </c>
      <c r="F9" s="111">
        <f>C9+D9+E9</f>
        <v>2418.02</v>
      </c>
      <c r="G9" s="39">
        <f t="shared" ref="G9:G10" si="2">F9/(1.2)</f>
        <v>2015.0166666666667</v>
      </c>
      <c r="H9" s="20">
        <f>'AOUT D'!F5</f>
        <v>8667.56</v>
      </c>
      <c r="I9" s="20"/>
      <c r="J9" s="39"/>
      <c r="K9" s="41">
        <f t="shared" si="0"/>
        <v>-6652.5433333333331</v>
      </c>
      <c r="M9" t="s">
        <v>176</v>
      </c>
      <c r="N9">
        <v>27000</v>
      </c>
    </row>
    <row r="10" spans="2:14" x14ac:dyDescent="0.2">
      <c r="B10" s="1" t="s">
        <v>29</v>
      </c>
      <c r="C10" s="20">
        <f>'SEPT CA'!I57</f>
        <v>833.47</v>
      </c>
      <c r="D10" s="20">
        <f>'SEPT CA'!K57</f>
        <v>100</v>
      </c>
      <c r="E10" s="112">
        <f>'SEPT CA'!M57</f>
        <v>934</v>
      </c>
      <c r="F10" s="111">
        <f>C10+D10+E10</f>
        <v>1867.47</v>
      </c>
      <c r="G10" s="39">
        <f t="shared" si="2"/>
        <v>1556.2250000000001</v>
      </c>
      <c r="H10" s="20">
        <f>'SEPT D'!F4</f>
        <v>6981.5599999999995</v>
      </c>
      <c r="I10" s="20"/>
      <c r="J10" s="39"/>
      <c r="K10" s="41">
        <f t="shared" si="0"/>
        <v>-5425.3349999999991</v>
      </c>
      <c r="M10" t="s">
        <v>177</v>
      </c>
      <c r="N10">
        <v>10000</v>
      </c>
    </row>
    <row r="11" spans="2:14" x14ac:dyDescent="0.2">
      <c r="B11" s="1" t="s">
        <v>30</v>
      </c>
      <c r="C11" s="20">
        <f>'OCT CA'!I57</f>
        <v>1411</v>
      </c>
      <c r="D11" s="20">
        <f>'OCT CA'!K57</f>
        <v>400</v>
      </c>
      <c r="E11" s="112">
        <f>'OCT CA'!M56</f>
        <v>958.02</v>
      </c>
      <c r="F11" s="111">
        <f>C11+D11+E10</f>
        <v>2745</v>
      </c>
      <c r="G11" s="39">
        <f t="shared" ref="G11:G16" si="3">F11/(1.2)</f>
        <v>2287.5</v>
      </c>
      <c r="H11" s="20">
        <f>'OCT D'!F4</f>
        <v>7701.5599999999995</v>
      </c>
      <c r="I11" s="20"/>
      <c r="J11" s="39"/>
      <c r="K11" s="41">
        <f t="shared" si="0"/>
        <v>-5414.0599999999995</v>
      </c>
      <c r="M11" t="s">
        <v>178</v>
      </c>
      <c r="N11">
        <v>5000</v>
      </c>
    </row>
    <row r="12" spans="2:14" x14ac:dyDescent="0.2">
      <c r="B12" s="1" t="s">
        <v>31</v>
      </c>
      <c r="C12" s="20">
        <f>'AOUT CA'!I64</f>
        <v>0</v>
      </c>
      <c r="D12" s="20"/>
      <c r="E12" s="20"/>
      <c r="F12" s="111">
        <f t="shared" si="1"/>
        <v>0</v>
      </c>
      <c r="G12" s="39">
        <f t="shared" si="3"/>
        <v>0</v>
      </c>
      <c r="H12" s="20">
        <f>'NOV D'!F4</f>
        <v>6381.5599999999995</v>
      </c>
      <c r="I12" s="20"/>
      <c r="J12" s="39"/>
      <c r="K12" s="41">
        <f t="shared" si="0"/>
        <v>-6381.5599999999995</v>
      </c>
      <c r="M12" t="s">
        <v>182</v>
      </c>
      <c r="N12" t="s">
        <v>188</v>
      </c>
    </row>
    <row r="13" spans="2:14" x14ac:dyDescent="0.2">
      <c r="B13" s="1" t="s">
        <v>32</v>
      </c>
      <c r="C13" s="20">
        <f>'AOUT CA'!I65</f>
        <v>0</v>
      </c>
      <c r="D13" s="20"/>
      <c r="E13" s="20"/>
      <c r="F13" s="111">
        <f t="shared" si="1"/>
        <v>0</v>
      </c>
      <c r="G13" s="39">
        <f t="shared" si="3"/>
        <v>0</v>
      </c>
      <c r="H13" s="20">
        <f>'DEC D'!F4</f>
        <v>4681.5599999999995</v>
      </c>
      <c r="I13" s="20"/>
      <c r="J13" s="39"/>
      <c r="K13" s="41">
        <f t="shared" si="0"/>
        <v>-4681.5599999999995</v>
      </c>
      <c r="M13" t="s">
        <v>183</v>
      </c>
      <c r="N13" t="s">
        <v>188</v>
      </c>
    </row>
    <row r="14" spans="2:14" x14ac:dyDescent="0.2">
      <c r="B14" s="2" t="s">
        <v>33</v>
      </c>
      <c r="C14" s="20">
        <f>'AOUT CA'!I66</f>
        <v>0</v>
      </c>
      <c r="D14" s="20"/>
      <c r="E14" s="20"/>
      <c r="F14" s="111">
        <f t="shared" si="1"/>
        <v>0</v>
      </c>
      <c r="G14" s="39">
        <f t="shared" si="3"/>
        <v>0</v>
      </c>
      <c r="H14" s="20">
        <f>'JANV D'!F4</f>
        <v>5401.5599999999995</v>
      </c>
      <c r="I14" s="20"/>
      <c r="J14" s="39"/>
      <c r="K14" s="41">
        <f t="shared" si="0"/>
        <v>-5401.5599999999995</v>
      </c>
      <c r="M14" t="s">
        <v>184</v>
      </c>
      <c r="N14" t="s">
        <v>188</v>
      </c>
    </row>
    <row r="15" spans="2:14" x14ac:dyDescent="0.2">
      <c r="B15" s="1" t="s">
        <v>34</v>
      </c>
      <c r="C15" s="20">
        <f>'AOUT CA'!I67</f>
        <v>0</v>
      </c>
      <c r="D15" s="20"/>
      <c r="E15" s="20"/>
      <c r="F15" s="111">
        <f t="shared" si="1"/>
        <v>0</v>
      </c>
      <c r="G15" s="39">
        <f t="shared" si="3"/>
        <v>0</v>
      </c>
      <c r="H15" s="20">
        <f>'FEV D'!F4</f>
        <v>4681.5599999999995</v>
      </c>
      <c r="I15" s="20"/>
      <c r="J15" s="39"/>
      <c r="K15" s="41">
        <f t="shared" si="0"/>
        <v>-4681.5599999999995</v>
      </c>
      <c r="M15" t="s">
        <v>185</v>
      </c>
      <c r="N15">
        <v>2000</v>
      </c>
    </row>
    <row r="16" spans="2:14" x14ac:dyDescent="0.2">
      <c r="B16" s="1" t="s">
        <v>35</v>
      </c>
      <c r="C16" s="20">
        <f>'AOUT CA'!I68</f>
        <v>0</v>
      </c>
      <c r="D16" s="20"/>
      <c r="E16" s="20"/>
      <c r="F16" s="111">
        <f t="shared" si="1"/>
        <v>0</v>
      </c>
      <c r="G16" s="39">
        <f t="shared" si="3"/>
        <v>0</v>
      </c>
      <c r="H16" s="20">
        <f>'MARS D'!F4</f>
        <v>4681.5599999999995</v>
      </c>
      <c r="I16" s="20"/>
      <c r="J16" s="39"/>
      <c r="K16" s="41">
        <f t="shared" si="0"/>
        <v>-4681.5599999999995</v>
      </c>
      <c r="M16" t="s">
        <v>186</v>
      </c>
      <c r="N16">
        <v>4000</v>
      </c>
    </row>
    <row r="17" spans="2:14" ht="24" x14ac:dyDescent="0.3">
      <c r="B17" s="8" t="s">
        <v>37</v>
      </c>
      <c r="C17" s="21">
        <f t="shared" ref="C17:K17" si="4">SUM(C5:C16)</f>
        <v>30627.56</v>
      </c>
      <c r="D17" s="21">
        <f t="shared" si="4"/>
        <v>12356.92</v>
      </c>
      <c r="E17" s="21">
        <f t="shared" si="4"/>
        <v>12967.54</v>
      </c>
      <c r="F17" s="111">
        <f t="shared" si="4"/>
        <v>55928</v>
      </c>
      <c r="G17" s="39">
        <f t="shared" si="4"/>
        <v>50660.585000000006</v>
      </c>
      <c r="H17" s="21">
        <f>SUM(H5:H16)</f>
        <v>81291.969999999987</v>
      </c>
      <c r="I17" s="21"/>
      <c r="J17" s="39"/>
      <c r="K17" s="41">
        <f t="shared" si="4"/>
        <v>-30631.384999999995</v>
      </c>
      <c r="L17" s="131">
        <f>(G17-H17)+I17</f>
        <v>-30631.38499999998</v>
      </c>
      <c r="N17">
        <f>SUM(N5:N16)</f>
        <v>122000</v>
      </c>
    </row>
    <row r="21" spans="2:14" ht="17" thickBot="1" x14ac:dyDescent="0.25"/>
    <row r="22" spans="2:14" x14ac:dyDescent="0.2">
      <c r="E22" s="190" t="s">
        <v>240</v>
      </c>
      <c r="F22" s="191"/>
      <c r="G22" s="191"/>
      <c r="H22" s="192"/>
    </row>
    <row r="23" spans="2:14" ht="17" thickBot="1" x14ac:dyDescent="0.25">
      <c r="E23" s="193"/>
      <c r="F23" s="194"/>
      <c r="G23" s="194"/>
      <c r="H23" s="195"/>
    </row>
    <row r="25" spans="2:14" x14ac:dyDescent="0.2">
      <c r="C25" s="1" t="s">
        <v>21</v>
      </c>
      <c r="D25" s="1" t="s">
        <v>22</v>
      </c>
      <c r="E25" s="1" t="s">
        <v>23</v>
      </c>
      <c r="F25" s="110" t="s">
        <v>19</v>
      </c>
    </row>
    <row r="26" spans="2:14" x14ac:dyDescent="0.2">
      <c r="B26" s="1" t="s">
        <v>18</v>
      </c>
      <c r="C26" s="20">
        <f>'AVRIL CA'!J99</f>
        <v>0</v>
      </c>
      <c r="D26" s="20">
        <f>'AVRIL CA'!L99</f>
        <v>0</v>
      </c>
      <c r="E26" s="20">
        <f>'AVRIL CA'!O99</f>
        <v>0</v>
      </c>
      <c r="F26" s="111">
        <f>C26+D26+E26</f>
        <v>0</v>
      </c>
    </row>
    <row r="27" spans="2:14" x14ac:dyDescent="0.2">
      <c r="B27" s="1" t="s">
        <v>25</v>
      </c>
      <c r="C27" s="20">
        <f>'MAI CA'!J78</f>
        <v>0</v>
      </c>
      <c r="D27" s="20">
        <f>'MAI CA'!L78</f>
        <v>0</v>
      </c>
      <c r="E27" s="20">
        <f>'MAI CA'!O78</f>
        <v>0</v>
      </c>
      <c r="F27" s="111">
        <f>C27+D27+E27</f>
        <v>0</v>
      </c>
    </row>
    <row r="28" spans="2:14" x14ac:dyDescent="0.2">
      <c r="B28" s="1" t="s">
        <v>26</v>
      </c>
      <c r="C28" s="20">
        <f>'JUIN CA'!I82</f>
        <v>0</v>
      </c>
      <c r="D28" s="20">
        <f>'JUIN CA'!K82</f>
        <v>0</v>
      </c>
      <c r="E28" s="20">
        <f>'JUIN CA'!M82</f>
        <v>0</v>
      </c>
      <c r="F28" s="111">
        <f>C28+D28+E28</f>
        <v>0</v>
      </c>
    </row>
    <row r="29" spans="2:14" x14ac:dyDescent="0.2">
      <c r="B29" s="1" t="s">
        <v>27</v>
      </c>
      <c r="C29" s="20">
        <f>'JUILLET CA'!I86</f>
        <v>0</v>
      </c>
      <c r="D29" s="20">
        <f>'JUILLET CA'!K86</f>
        <v>0</v>
      </c>
      <c r="E29" s="20">
        <f>'JUILLET CA'!M86</f>
        <v>0</v>
      </c>
      <c r="F29" s="111">
        <f t="shared" ref="F29:F37" si="5">C29+D29+E29</f>
        <v>0</v>
      </c>
    </row>
    <row r="30" spans="2:14" x14ac:dyDescent="0.2">
      <c r="B30" s="1" t="s">
        <v>28</v>
      </c>
      <c r="C30" s="20">
        <f>'AOUT CA'!I82</f>
        <v>0</v>
      </c>
      <c r="D30" s="20">
        <f>'AOUT CA'!K82</f>
        <v>0</v>
      </c>
      <c r="E30" s="20">
        <f>'AOUT CA'!M82</f>
        <v>0</v>
      </c>
      <c r="F30" s="111">
        <f>C30+D30+E30</f>
        <v>0</v>
      </c>
    </row>
    <row r="31" spans="2:14" x14ac:dyDescent="0.2">
      <c r="B31" s="1" t="s">
        <v>29</v>
      </c>
      <c r="C31" s="20">
        <f>'SEPT CA'!I78</f>
        <v>0</v>
      </c>
      <c r="D31" s="20">
        <f>'SEPT CA'!K78</f>
        <v>0</v>
      </c>
      <c r="E31" s="112">
        <f>'SEPT CA'!M78</f>
        <v>0</v>
      </c>
      <c r="F31" s="111">
        <f>C31+D31+E31</f>
        <v>0</v>
      </c>
    </row>
    <row r="32" spans="2:14" x14ac:dyDescent="0.2">
      <c r="B32" s="1" t="s">
        <v>30</v>
      </c>
      <c r="C32" s="20">
        <f>'OCT CA'!I78</f>
        <v>0</v>
      </c>
      <c r="D32" s="20">
        <f>'OCT CA'!K78</f>
        <v>0</v>
      </c>
      <c r="E32" s="112">
        <f>'OCT CA'!M77</f>
        <v>0</v>
      </c>
      <c r="F32" s="111">
        <f>C32+D32+E31</f>
        <v>0</v>
      </c>
    </row>
    <row r="33" spans="2:6" x14ac:dyDescent="0.2">
      <c r="B33" s="1" t="s">
        <v>31</v>
      </c>
      <c r="C33" s="20">
        <f>'AOUT CA'!I85</f>
        <v>0</v>
      </c>
      <c r="D33" s="20"/>
      <c r="E33" s="20"/>
      <c r="F33" s="111">
        <f t="shared" ref="F33:F38" si="6">C33+D33+E33</f>
        <v>0</v>
      </c>
    </row>
    <row r="34" spans="2:6" x14ac:dyDescent="0.2">
      <c r="B34" s="1" t="s">
        <v>32</v>
      </c>
      <c r="C34" s="20">
        <f>'AOUT CA'!I86</f>
        <v>0</v>
      </c>
      <c r="D34" s="20"/>
      <c r="E34" s="20"/>
      <c r="F34" s="111">
        <f t="shared" si="6"/>
        <v>0</v>
      </c>
    </row>
    <row r="35" spans="2:6" x14ac:dyDescent="0.2">
      <c r="B35" s="2" t="s">
        <v>33</v>
      </c>
      <c r="C35" s="20">
        <f>'AOUT CA'!I87</f>
        <v>0</v>
      </c>
      <c r="D35" s="20"/>
      <c r="E35" s="20"/>
      <c r="F35" s="111">
        <f t="shared" si="6"/>
        <v>0</v>
      </c>
    </row>
    <row r="36" spans="2:6" x14ac:dyDescent="0.2">
      <c r="B36" s="1" t="s">
        <v>34</v>
      </c>
      <c r="C36" s="20">
        <f>'AOUT CA'!I88</f>
        <v>0</v>
      </c>
      <c r="D36" s="20"/>
      <c r="E36" s="20"/>
      <c r="F36" s="111">
        <f t="shared" si="6"/>
        <v>0</v>
      </c>
    </row>
    <row r="37" spans="2:6" x14ac:dyDescent="0.2">
      <c r="B37" s="1" t="s">
        <v>35</v>
      </c>
      <c r="C37" s="20">
        <f>'AOUT CA'!I89</f>
        <v>0</v>
      </c>
      <c r="D37" s="20"/>
      <c r="E37" s="20"/>
      <c r="F37" s="111">
        <f t="shared" si="6"/>
        <v>0</v>
      </c>
    </row>
    <row r="38" spans="2:6" x14ac:dyDescent="0.2">
      <c r="B38" s="8" t="s">
        <v>37</v>
      </c>
      <c r="C38" s="21">
        <f t="shared" ref="C38:F38" si="7">SUM(C26:C37)</f>
        <v>0</v>
      </c>
      <c r="D38" s="21">
        <f t="shared" si="7"/>
        <v>0</v>
      </c>
      <c r="E38" s="21">
        <f t="shared" si="7"/>
        <v>0</v>
      </c>
      <c r="F38" s="111">
        <f t="shared" si="7"/>
        <v>0</v>
      </c>
    </row>
  </sheetData>
  <mergeCells count="2">
    <mergeCell ref="E1:H2"/>
    <mergeCell ref="E22:H2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theme="5" tint="0.79998168889431442"/>
  </sheetPr>
  <dimension ref="A1:X87"/>
  <sheetViews>
    <sheetView tabSelected="1" topLeftCell="B5" zoomScale="75" zoomScaleNormal="85" workbookViewId="0">
      <selection activeCell="T10" sqref="T10"/>
    </sheetView>
  </sheetViews>
  <sheetFormatPr baseColWidth="10" defaultRowHeight="16" x14ac:dyDescent="0.2"/>
  <cols>
    <col min="1" max="1" width="4.33203125" customWidth="1"/>
    <col min="2" max="3" width="13.5" customWidth="1"/>
    <col min="4" max="4" width="14.33203125" customWidth="1"/>
    <col min="5" max="5" width="12" customWidth="1"/>
    <col min="6" max="6" width="13.5" customWidth="1"/>
    <col min="7" max="7" width="8.1640625" customWidth="1"/>
    <col min="8" max="8" width="5.5" customWidth="1"/>
    <col min="9" max="9" width="8.83203125" style="7" customWidth="1"/>
    <col min="10" max="10" width="23.33203125" style="7" customWidth="1"/>
    <col min="11" max="11" width="7.5" style="7" customWidth="1"/>
    <col min="12" max="12" width="16.6640625" style="7" customWidth="1"/>
    <col min="13" max="13" width="1.1640625" style="7" hidden="1" customWidth="1"/>
    <col min="14" max="14" width="8.6640625" style="7" customWidth="1"/>
    <col min="15" max="15" width="16.6640625" customWidth="1"/>
    <col min="16" max="16" width="4" hidden="1" customWidth="1"/>
    <col min="17" max="17" width="23.33203125" style="134" customWidth="1"/>
    <col min="18" max="18" width="3.83203125" customWidth="1"/>
    <col min="20" max="21" width="14.1640625" customWidth="1"/>
    <col min="22" max="22" width="13" customWidth="1"/>
    <col min="23" max="23" width="13.6640625" customWidth="1"/>
    <col min="24" max="24" width="13" customWidth="1"/>
  </cols>
  <sheetData>
    <row r="1" spans="1:24" ht="17" thickBot="1" x14ac:dyDescent="0.25">
      <c r="F1" s="63"/>
      <c r="G1" s="64"/>
      <c r="H1" s="64"/>
      <c r="I1" s="65"/>
      <c r="J1" s="65"/>
      <c r="K1" s="65"/>
      <c r="L1" s="65"/>
      <c r="M1" s="65"/>
      <c r="N1" s="65"/>
      <c r="O1" s="66"/>
    </row>
    <row r="2" spans="1:24" ht="38" customHeight="1" x14ac:dyDescent="0.2">
      <c r="F2" s="161" t="s">
        <v>189</v>
      </c>
      <c r="G2" s="162"/>
      <c r="H2" s="162"/>
      <c r="I2" s="162"/>
      <c r="J2" s="162"/>
      <c r="K2" s="162"/>
      <c r="L2" s="162"/>
      <c r="M2" s="162"/>
      <c r="N2" s="162"/>
      <c r="O2" s="163"/>
      <c r="P2" s="23"/>
    </row>
    <row r="3" spans="1:24" ht="23" thickBot="1" x14ac:dyDescent="0.25">
      <c r="F3" s="164"/>
      <c r="G3" s="165"/>
      <c r="H3" s="165"/>
      <c r="I3" s="165"/>
      <c r="J3" s="165"/>
      <c r="K3" s="165"/>
      <c r="L3" s="165"/>
      <c r="M3" s="165"/>
      <c r="N3" s="165"/>
      <c r="O3" s="166"/>
      <c r="P3" s="23"/>
    </row>
    <row r="4" spans="1:24" ht="25" thickBot="1" x14ac:dyDescent="0.25">
      <c r="F4" s="61"/>
      <c r="G4" s="61"/>
      <c r="H4" s="61"/>
      <c r="I4" s="61"/>
      <c r="J4" s="61"/>
      <c r="K4" s="61"/>
      <c r="L4" s="61"/>
      <c r="M4" s="61"/>
      <c r="N4" s="61"/>
      <c r="O4" s="61"/>
      <c r="P4" s="23"/>
    </row>
    <row r="5" spans="1:24" ht="60" x14ac:dyDescent="0.2">
      <c r="F5" s="61"/>
      <c r="G5" s="61"/>
      <c r="H5" s="61"/>
      <c r="I5" s="61"/>
      <c r="J5" s="103" t="s">
        <v>87</v>
      </c>
      <c r="K5" s="61"/>
      <c r="L5" s="71" t="s">
        <v>66</v>
      </c>
      <c r="M5" s="61"/>
      <c r="N5" s="61"/>
      <c r="O5" s="61"/>
      <c r="P5" s="23"/>
    </row>
    <row r="6" spans="1:24" ht="29" hidden="1" customHeight="1" x14ac:dyDescent="0.2">
      <c r="F6" s="61"/>
      <c r="G6" s="61"/>
      <c r="H6" s="61"/>
      <c r="I6" s="61"/>
      <c r="J6" s="104"/>
      <c r="K6" s="61"/>
      <c r="L6" s="72"/>
      <c r="M6" s="61"/>
      <c r="N6" s="61"/>
      <c r="O6" s="61"/>
      <c r="P6" s="23"/>
    </row>
    <row r="7" spans="1:24" ht="78" customHeight="1" thickBot="1" x14ac:dyDescent="0.25">
      <c r="C7" t="s">
        <v>142</v>
      </c>
      <c r="H7" s="67"/>
      <c r="J7" s="105">
        <f>SUM(J78:O78)</f>
        <v>16085.68</v>
      </c>
      <c r="K7" s="69"/>
      <c r="L7" s="73">
        <f>J79+L79+O79</f>
        <v>16085.68</v>
      </c>
      <c r="P7" s="68">
        <f>J7</f>
        <v>16085.68</v>
      </c>
    </row>
    <row r="8" spans="1:24" ht="25" customHeight="1" x14ac:dyDescent="0.2">
      <c r="F8" s="61"/>
      <c r="G8" s="61"/>
      <c r="H8" s="61"/>
      <c r="I8" s="61"/>
      <c r="J8" s="61"/>
      <c r="K8" s="61"/>
      <c r="L8" s="61"/>
      <c r="M8" s="61"/>
      <c r="N8" s="61"/>
      <c r="O8" s="61"/>
      <c r="P8" s="23"/>
    </row>
    <row r="9" spans="1:24" ht="70" customHeight="1" x14ac:dyDescent="0.2">
      <c r="B9" s="141" t="s">
        <v>203</v>
      </c>
      <c r="C9" s="141" t="s">
        <v>202</v>
      </c>
      <c r="D9" s="55" t="s">
        <v>1</v>
      </c>
      <c r="E9" s="55" t="s">
        <v>82</v>
      </c>
      <c r="F9" s="56" t="s">
        <v>83</v>
      </c>
      <c r="G9" s="56" t="s">
        <v>191</v>
      </c>
      <c r="H9" s="56" t="s">
        <v>88</v>
      </c>
      <c r="I9" s="57" t="s">
        <v>84</v>
      </c>
      <c r="J9" s="144" t="s">
        <v>2</v>
      </c>
      <c r="K9" s="58" t="s">
        <v>85</v>
      </c>
      <c r="L9" s="145" t="s">
        <v>3</v>
      </c>
      <c r="M9" s="53" t="s">
        <v>80</v>
      </c>
      <c r="N9" s="60" t="s">
        <v>86</v>
      </c>
      <c r="O9" s="146" t="s">
        <v>4</v>
      </c>
      <c r="P9" s="54" t="s">
        <v>81</v>
      </c>
      <c r="Q9" s="135" t="s">
        <v>5</v>
      </c>
      <c r="S9" s="74" t="s">
        <v>59</v>
      </c>
      <c r="T9" s="48" t="s">
        <v>53</v>
      </c>
      <c r="U9" s="49" t="s">
        <v>54</v>
      </c>
      <c r="V9" s="50" t="s">
        <v>55</v>
      </c>
      <c r="W9" s="88" t="s">
        <v>37</v>
      </c>
      <c r="X9" s="78" t="s">
        <v>89</v>
      </c>
    </row>
    <row r="10" spans="1:24" x14ac:dyDescent="0.2">
      <c r="A10" s="167"/>
      <c r="B10" s="114">
        <v>45354</v>
      </c>
      <c r="C10" s="142" t="s">
        <v>18</v>
      </c>
      <c r="D10" s="9"/>
      <c r="E10" s="9" t="s">
        <v>98</v>
      </c>
      <c r="F10" s="9" t="s">
        <v>237</v>
      </c>
      <c r="G10" s="9"/>
      <c r="H10" s="3">
        <v>2</v>
      </c>
      <c r="I10" s="3" t="s">
        <v>46</v>
      </c>
      <c r="J10" s="116">
        <v>147</v>
      </c>
      <c r="K10" s="3"/>
      <c r="L10" s="51" t="s">
        <v>59</v>
      </c>
      <c r="M10" s="31" cm="1">
        <f t="array" aca="1" ref="M10" ca="1">couleur+NOW()-NOW()</f>
        <v>2</v>
      </c>
      <c r="N10" s="3"/>
      <c r="O10" s="30" t="s">
        <v>59</v>
      </c>
      <c r="P10" s="24" cm="1">
        <f t="array" aca="1" ref="P10" ca="1">couleur+NOW()-NOW()</f>
        <v>2</v>
      </c>
      <c r="Q10" s="136"/>
      <c r="S10" s="16" t="s">
        <v>43</v>
      </c>
      <c r="T10" s="22">
        <f>SUMIF(Tableau5[$T],S10,Tableau5[Thomas])</f>
        <v>1055</v>
      </c>
      <c r="U10" s="22">
        <f>SUMIF(Tableau5[$F],S10,Tableau5[Flavie])</f>
        <v>300</v>
      </c>
      <c r="V10" s="22">
        <f>SUMIF(Tableau5[$R],S10,Tableau5[Raphaëlle])</f>
        <v>0</v>
      </c>
      <c r="W10" s="87">
        <f t="shared" ref="W10:W16" si="0">SUM(T10:V10)</f>
        <v>1355</v>
      </c>
      <c r="X10" s="79">
        <f t="shared" ref="X10:X16" si="1">(T10+U10+V10)/1</f>
        <v>1355</v>
      </c>
    </row>
    <row r="11" spans="1:24" x14ac:dyDescent="0.2">
      <c r="A11" s="167"/>
      <c r="B11" s="114">
        <v>45364</v>
      </c>
      <c r="C11" s="142" t="s">
        <v>18</v>
      </c>
      <c r="D11" s="9"/>
      <c r="E11" s="9" t="s">
        <v>98</v>
      </c>
      <c r="F11" s="9" t="s">
        <v>237</v>
      </c>
      <c r="G11" s="109"/>
      <c r="H11" s="7">
        <v>2</v>
      </c>
      <c r="I11" s="7" t="s">
        <v>46</v>
      </c>
      <c r="J11" s="116">
        <v>147</v>
      </c>
      <c r="L11" s="51" t="s">
        <v>59</v>
      </c>
      <c r="M11" s="31" cm="1">
        <f t="array" aca="1" ref="M11" ca="1">couleur+NOW()-NOW()</f>
        <v>2</v>
      </c>
      <c r="O11" s="51" t="s">
        <v>59</v>
      </c>
      <c r="P11" s="24" cm="1">
        <f t="array" aca="1" ref="P11" ca="1">couleur+NOW()-NOW()</f>
        <v>2</v>
      </c>
      <c r="Q11" s="136"/>
      <c r="S11" s="17" t="s">
        <v>44</v>
      </c>
      <c r="T11" s="22">
        <f>SUMIF(Tableau5[$T],S11,Tableau5[Thomas])</f>
        <v>750</v>
      </c>
      <c r="U11" s="22">
        <f>SUMIF(Tableau5[$F],S11,Tableau5[Flavie])</f>
        <v>650</v>
      </c>
      <c r="V11" s="22">
        <f>SUMIF(Tableau5[$R],S11,Tableau5[Raphaëlle])</f>
        <v>0</v>
      </c>
      <c r="W11" s="87">
        <f t="shared" si="0"/>
        <v>1400</v>
      </c>
      <c r="X11" s="79">
        <f t="shared" si="1"/>
        <v>1400</v>
      </c>
    </row>
    <row r="12" spans="1:24" x14ac:dyDescent="0.2">
      <c r="A12" s="167"/>
      <c r="B12" s="114">
        <v>45368</v>
      </c>
      <c r="C12" s="142" t="s">
        <v>18</v>
      </c>
      <c r="D12" s="9"/>
      <c r="E12" s="9" t="s">
        <v>98</v>
      </c>
      <c r="F12" s="9" t="s">
        <v>237</v>
      </c>
      <c r="G12" s="9"/>
      <c r="H12" s="3">
        <v>2</v>
      </c>
      <c r="I12" s="3" t="s">
        <v>46</v>
      </c>
      <c r="J12" s="117">
        <v>147</v>
      </c>
      <c r="K12" s="3"/>
      <c r="L12" s="51" t="s">
        <v>59</v>
      </c>
      <c r="M12" s="31" cm="1">
        <f t="array" aca="1" ref="M12" ca="1">couleur+NOW()-NOW()</f>
        <v>2</v>
      </c>
      <c r="N12" s="3"/>
      <c r="O12" s="32"/>
      <c r="P12" s="24" cm="1">
        <f t="array" aca="1" ref="P12" ca="1">couleur+NOW()-NOW()</f>
        <v>2</v>
      </c>
      <c r="Q12" s="136"/>
      <c r="S12" s="18" t="s">
        <v>45</v>
      </c>
      <c r="T12" s="22">
        <f>SUMIF(Tableau5[$T],S12,Tableau5[Thomas])</f>
        <v>610</v>
      </c>
      <c r="U12" s="22">
        <f>SUMIF(Tableau5[$F],S12,Tableau5[Flavie])</f>
        <v>0</v>
      </c>
      <c r="V12" s="22">
        <f>SUMIF(Tableau5[$R],S12,Tableau5[Raphaëlle])</f>
        <v>1255</v>
      </c>
      <c r="W12" s="87">
        <f t="shared" si="0"/>
        <v>1865</v>
      </c>
      <c r="X12" s="79">
        <f t="shared" si="1"/>
        <v>1865</v>
      </c>
    </row>
    <row r="13" spans="1:24" x14ac:dyDescent="0.2">
      <c r="A13" s="167"/>
      <c r="B13" s="114">
        <v>45369</v>
      </c>
      <c r="C13" s="142" t="s">
        <v>18</v>
      </c>
      <c r="D13" s="9" t="s">
        <v>9</v>
      </c>
      <c r="E13" s="9" t="s">
        <v>98</v>
      </c>
      <c r="F13" s="9" t="s">
        <v>237</v>
      </c>
      <c r="G13" s="9"/>
      <c r="H13" s="3">
        <v>2</v>
      </c>
      <c r="I13" s="3"/>
      <c r="J13" s="32"/>
      <c r="K13" s="3" t="s">
        <v>46</v>
      </c>
      <c r="L13" s="117">
        <v>147</v>
      </c>
      <c r="M13" s="31"/>
      <c r="N13" s="3"/>
      <c r="O13" s="32"/>
      <c r="P13" s="24"/>
      <c r="Q13" s="136"/>
      <c r="S13" s="184" t="s">
        <v>224</v>
      </c>
      <c r="T13" s="22">
        <f>SUMIF(Tableau5[$T],S13,Tableau5[Thomas])</f>
        <v>0</v>
      </c>
      <c r="U13" s="22">
        <f>SUMIF(Tableau5[$F],S13,Tableau5[Flavie])</f>
        <v>0</v>
      </c>
      <c r="V13" s="22">
        <f>SUMIF(Tableau5[$R],S13,Tableau5[Raphaëlle])</f>
        <v>3485</v>
      </c>
      <c r="W13" s="87">
        <f t="shared" si="0"/>
        <v>3485</v>
      </c>
      <c r="X13" s="79">
        <f t="shared" si="1"/>
        <v>3485</v>
      </c>
    </row>
    <row r="14" spans="1:24" x14ac:dyDescent="0.2">
      <c r="A14" s="167"/>
      <c r="B14" s="114">
        <v>45379</v>
      </c>
      <c r="C14" s="142" t="s">
        <v>18</v>
      </c>
      <c r="D14" s="9" t="s">
        <v>12</v>
      </c>
      <c r="E14" s="9" t="s">
        <v>61</v>
      </c>
      <c r="F14" s="9"/>
      <c r="G14" s="9"/>
      <c r="H14" s="3">
        <v>2</v>
      </c>
      <c r="I14" s="3" t="s">
        <v>61</v>
      </c>
      <c r="J14" s="118">
        <v>153.84</v>
      </c>
      <c r="K14" s="3" t="s">
        <v>61</v>
      </c>
      <c r="L14" s="118">
        <v>153.84</v>
      </c>
      <c r="M14" s="31"/>
      <c r="N14" s="3"/>
      <c r="O14" s="32"/>
      <c r="P14" s="24"/>
      <c r="Q14" s="136"/>
      <c r="S14" s="4" t="s">
        <v>46</v>
      </c>
      <c r="T14" s="22">
        <f>SUMIF(Tableau5[$T],S14,Tableau5[Thomas])</f>
        <v>441</v>
      </c>
      <c r="U14" s="22">
        <f>SUMIF(Tableau5[$F],S14,Tableau5[Flavie])</f>
        <v>147</v>
      </c>
      <c r="V14" s="22">
        <f>SUMIF(Tableau5[$R],S14,Tableau5[Raphaëlle])</f>
        <v>0</v>
      </c>
      <c r="W14" s="87">
        <f t="shared" si="0"/>
        <v>588</v>
      </c>
      <c r="X14" s="79">
        <f t="shared" si="1"/>
        <v>588</v>
      </c>
    </row>
    <row r="15" spans="1:24" ht="17" x14ac:dyDescent="0.2">
      <c r="A15" s="167"/>
      <c r="B15" s="115" t="s">
        <v>148</v>
      </c>
      <c r="C15" s="133"/>
      <c r="D15" s="9"/>
      <c r="E15" s="9">
        <v>14272</v>
      </c>
      <c r="F15" s="9" t="s">
        <v>157</v>
      </c>
      <c r="G15" s="9"/>
      <c r="H15" s="3">
        <v>2</v>
      </c>
      <c r="I15" s="3" t="s">
        <v>45</v>
      </c>
      <c r="J15" s="140">
        <v>170</v>
      </c>
      <c r="K15" s="32"/>
      <c r="L15" s="51"/>
      <c r="M15" s="31"/>
      <c r="N15" s="32"/>
      <c r="O15" s="32"/>
      <c r="P15" s="24"/>
      <c r="Q15" s="137" t="s">
        <v>144</v>
      </c>
      <c r="S15" s="76" t="s">
        <v>56</v>
      </c>
      <c r="T15" s="22">
        <f>SUMIF(Tableau5[$T],S15,Tableau5[Thomas])</f>
        <v>0</v>
      </c>
      <c r="U15" s="22">
        <f>SUMIF(Tableau5[$F],S15,Tableau5[Flavie])</f>
        <v>0</v>
      </c>
      <c r="V15" s="22">
        <f>SUMIF(Tableau5[$R],S15,Tableau5[Raphaëlle])</f>
        <v>0</v>
      </c>
      <c r="W15" s="87">
        <f t="shared" si="0"/>
        <v>0</v>
      </c>
      <c r="X15" s="79">
        <f t="shared" si="1"/>
        <v>0</v>
      </c>
    </row>
    <row r="16" spans="1:24" ht="17" x14ac:dyDescent="0.2">
      <c r="A16" s="113"/>
      <c r="B16" s="115" t="s">
        <v>148</v>
      </c>
      <c r="C16" s="133"/>
      <c r="D16" s="9"/>
      <c r="E16" s="9">
        <v>14273</v>
      </c>
      <c r="F16" s="9" t="s">
        <v>156</v>
      </c>
      <c r="G16" s="9"/>
      <c r="H16" s="3">
        <v>2</v>
      </c>
      <c r="I16" s="3"/>
      <c r="J16" s="51">
        <v>170</v>
      </c>
      <c r="K16" s="32"/>
      <c r="L16" s="51"/>
      <c r="M16" s="31"/>
      <c r="N16" s="32"/>
      <c r="O16" s="32"/>
      <c r="P16" s="24"/>
      <c r="Q16" s="137" t="s">
        <v>145</v>
      </c>
      <c r="S16" s="26" t="s">
        <v>61</v>
      </c>
      <c r="T16" s="22">
        <f>SUMIF(Tableau5[$T],S16,Tableau5[Thomas])</f>
        <v>153.84</v>
      </c>
      <c r="U16" s="22">
        <f>SUMIF(Tableau5[$F],S16,Tableau5[Flavie])</f>
        <v>153.84</v>
      </c>
      <c r="V16" s="22">
        <f>SUMIF(Tableau5[$R],S16,Tableau5[Raphaëlle])</f>
        <v>0</v>
      </c>
      <c r="W16" s="87">
        <f t="shared" si="0"/>
        <v>307.68</v>
      </c>
      <c r="X16" s="79">
        <f t="shared" si="1"/>
        <v>307.68</v>
      </c>
    </row>
    <row r="17" spans="1:23" ht="34" x14ac:dyDescent="0.2">
      <c r="A17" s="113"/>
      <c r="B17" s="115" t="s">
        <v>193</v>
      </c>
      <c r="C17" s="133"/>
      <c r="D17" s="9"/>
      <c r="E17" s="9">
        <v>14274</v>
      </c>
      <c r="F17" s="9" t="s">
        <v>150</v>
      </c>
      <c r="G17" s="9"/>
      <c r="H17" s="3">
        <v>2</v>
      </c>
      <c r="I17" s="3" t="s">
        <v>45</v>
      </c>
      <c r="J17" s="128">
        <v>170</v>
      </c>
      <c r="K17" s="32"/>
      <c r="L17" s="51"/>
      <c r="M17" s="31"/>
      <c r="N17" s="32"/>
      <c r="O17" s="32"/>
      <c r="P17" s="24"/>
      <c r="Q17" s="137" t="s">
        <v>201</v>
      </c>
      <c r="T17" s="102">
        <f>SUM(T10:T16)</f>
        <v>3009.84</v>
      </c>
      <c r="U17" s="85">
        <f>SUM(U10:U16)</f>
        <v>1250.8399999999999</v>
      </c>
      <c r="V17" s="85">
        <f>SUM(V10:V16)</f>
        <v>4740</v>
      </c>
      <c r="W17" s="147">
        <f>T17+U17+V17</f>
        <v>9000.68</v>
      </c>
    </row>
    <row r="18" spans="1:23" ht="17" x14ac:dyDescent="0.2">
      <c r="A18" s="113"/>
      <c r="B18" s="115" t="s">
        <v>148</v>
      </c>
      <c r="C18" s="133"/>
      <c r="D18" s="9"/>
      <c r="E18" s="9">
        <v>14275</v>
      </c>
      <c r="F18" s="9" t="s">
        <v>159</v>
      </c>
      <c r="G18" s="9"/>
      <c r="H18" s="3">
        <v>7</v>
      </c>
      <c r="I18" s="3"/>
      <c r="J18" s="32"/>
      <c r="K18" s="32"/>
      <c r="L18" s="51"/>
      <c r="M18" s="31"/>
      <c r="N18" s="32" t="s">
        <v>45</v>
      </c>
      <c r="O18" s="140">
        <v>640</v>
      </c>
      <c r="P18" s="24"/>
      <c r="Q18" s="137" t="s">
        <v>146</v>
      </c>
      <c r="S18" s="86" t="s">
        <v>89</v>
      </c>
      <c r="T18" s="89">
        <f>(T10+T11+T12+T14+T15+T16)/1</f>
        <v>3009.84</v>
      </c>
      <c r="U18" s="89">
        <f>(U10+U11+U12+U14+U15+U16)/1</f>
        <v>1250.8399999999999</v>
      </c>
      <c r="V18" s="89">
        <f>(V10+V11+V12+V14+V15+V16)/1</f>
        <v>1255</v>
      </c>
      <c r="W18" s="148">
        <f>T18+U18+V18</f>
        <v>5515.68</v>
      </c>
    </row>
    <row r="19" spans="1:23" ht="34" x14ac:dyDescent="0.2">
      <c r="A19" s="113"/>
      <c r="B19" s="115" t="s">
        <v>166</v>
      </c>
      <c r="C19" s="133"/>
      <c r="D19" s="9"/>
      <c r="E19" s="9">
        <v>14276</v>
      </c>
      <c r="F19" s="9" t="s">
        <v>158</v>
      </c>
      <c r="G19" s="9"/>
      <c r="H19" s="3">
        <v>2</v>
      </c>
      <c r="I19" s="3" t="s">
        <v>45</v>
      </c>
      <c r="J19" s="128">
        <v>170</v>
      </c>
      <c r="K19" s="32"/>
      <c r="L19" s="51"/>
      <c r="M19" s="31"/>
      <c r="N19" s="32"/>
      <c r="O19" s="32"/>
      <c r="P19" s="24"/>
      <c r="Q19" s="137" t="s">
        <v>165</v>
      </c>
    </row>
    <row r="20" spans="1:23" ht="17" x14ac:dyDescent="0.2">
      <c r="A20" s="113"/>
      <c r="B20" s="126" t="s">
        <v>154</v>
      </c>
      <c r="C20" s="133"/>
      <c r="D20" s="9"/>
      <c r="E20" s="9"/>
      <c r="F20" s="9" t="s">
        <v>160</v>
      </c>
      <c r="G20" s="133">
        <v>45390</v>
      </c>
      <c r="H20" s="17">
        <v>2</v>
      </c>
      <c r="I20" s="3" t="s">
        <v>43</v>
      </c>
      <c r="J20" s="132">
        <v>170</v>
      </c>
      <c r="K20" s="32"/>
      <c r="L20" s="51"/>
      <c r="M20" s="31"/>
      <c r="N20" s="32"/>
      <c r="O20" s="32"/>
      <c r="P20" s="24"/>
      <c r="Q20" s="137" t="s">
        <v>190</v>
      </c>
    </row>
    <row r="21" spans="1:23" ht="17" x14ac:dyDescent="0.2">
      <c r="A21" s="113"/>
      <c r="B21" s="11">
        <v>45383</v>
      </c>
      <c r="C21" s="142" t="s">
        <v>18</v>
      </c>
      <c r="D21" s="9" t="s">
        <v>16</v>
      </c>
      <c r="E21" s="9" t="s">
        <v>93</v>
      </c>
      <c r="F21" s="9"/>
      <c r="G21" s="133">
        <v>45390</v>
      </c>
      <c r="H21" s="17">
        <v>2</v>
      </c>
      <c r="I21" s="3" t="s">
        <v>44</v>
      </c>
      <c r="J21" s="119">
        <v>100</v>
      </c>
      <c r="K21" s="3"/>
      <c r="L21" s="51"/>
      <c r="M21" s="31"/>
      <c r="N21" s="3"/>
      <c r="O21" s="32"/>
      <c r="P21" s="24"/>
      <c r="Q21" s="136" t="s">
        <v>64</v>
      </c>
    </row>
    <row r="22" spans="1:23" x14ac:dyDescent="0.2">
      <c r="B22" s="12">
        <v>45384</v>
      </c>
      <c r="C22" s="142" t="s">
        <v>18</v>
      </c>
      <c r="D22" s="9" t="s">
        <v>7</v>
      </c>
      <c r="E22" s="120">
        <v>14229</v>
      </c>
      <c r="F22" s="9" t="s">
        <v>161</v>
      </c>
      <c r="G22" s="133">
        <v>45390</v>
      </c>
      <c r="H22" s="17">
        <v>1</v>
      </c>
      <c r="I22" s="3" t="s">
        <v>44</v>
      </c>
      <c r="J22" s="125">
        <v>90</v>
      </c>
      <c r="K22" s="3" t="s">
        <v>44</v>
      </c>
      <c r="L22" s="125">
        <v>90</v>
      </c>
      <c r="M22" s="31" cm="1">
        <f t="array" aca="1" ref="M22" ca="1">couleur+NOW()-NOW()</f>
        <v>35</v>
      </c>
      <c r="N22" s="3"/>
      <c r="O22" s="32"/>
      <c r="P22" s="24" cm="1">
        <f t="array" aca="1" ref="P22" ca="1">couleur+NOW()-NOW()</f>
        <v>2</v>
      </c>
      <c r="Q22" s="136"/>
    </row>
    <row r="23" spans="1:23" x14ac:dyDescent="0.2">
      <c r="B23" s="12">
        <v>45384</v>
      </c>
      <c r="C23" s="142" t="s">
        <v>18</v>
      </c>
      <c r="D23" s="9" t="s">
        <v>91</v>
      </c>
      <c r="E23" s="120">
        <v>14277</v>
      </c>
      <c r="F23" s="9" t="s">
        <v>162</v>
      </c>
      <c r="G23" s="133">
        <v>45390</v>
      </c>
      <c r="H23" s="17">
        <v>2</v>
      </c>
      <c r="I23" s="3" t="s">
        <v>44</v>
      </c>
      <c r="J23" s="125">
        <v>170</v>
      </c>
      <c r="K23" s="32"/>
      <c r="L23" s="51"/>
      <c r="M23" s="31"/>
      <c r="N23" s="32"/>
      <c r="O23" s="32"/>
      <c r="P23" s="24"/>
      <c r="Q23" s="137"/>
    </row>
    <row r="24" spans="1:23" x14ac:dyDescent="0.2">
      <c r="B24" s="12">
        <v>45384</v>
      </c>
      <c r="C24" s="142" t="s">
        <v>18</v>
      </c>
      <c r="D24" s="9" t="s">
        <v>8</v>
      </c>
      <c r="E24" s="9" t="s">
        <v>93</v>
      </c>
      <c r="F24" s="9"/>
      <c r="G24" s="133">
        <v>45390</v>
      </c>
      <c r="H24" s="17">
        <v>1</v>
      </c>
      <c r="I24" s="3" t="s">
        <v>44</v>
      </c>
      <c r="J24" s="125">
        <v>50</v>
      </c>
      <c r="K24" s="3"/>
      <c r="L24" s="51" t="s">
        <v>59</v>
      </c>
      <c r="M24" s="31" cm="1">
        <f t="array" aca="1" ref="M24" ca="1">couleur+NOW()-NOW()</f>
        <v>2</v>
      </c>
      <c r="N24" s="3"/>
      <c r="O24" s="32"/>
      <c r="P24" s="24" cm="1">
        <f t="array" aca="1" ref="P24" ca="1">couleur+NOW()-NOW()</f>
        <v>2</v>
      </c>
      <c r="Q24" s="136"/>
    </row>
    <row r="25" spans="1:23" ht="17" x14ac:dyDescent="0.2">
      <c r="B25" s="12">
        <v>45386</v>
      </c>
      <c r="C25" s="142" t="s">
        <v>18</v>
      </c>
      <c r="D25" s="9" t="s">
        <v>9</v>
      </c>
      <c r="E25" s="9" t="s">
        <v>93</v>
      </c>
      <c r="F25" s="9"/>
      <c r="G25" s="133"/>
      <c r="H25" s="3">
        <v>2</v>
      </c>
      <c r="I25" s="130" t="s">
        <v>45</v>
      </c>
      <c r="J25" s="127">
        <v>100</v>
      </c>
      <c r="K25" s="3"/>
      <c r="L25" s="51" t="s">
        <v>59</v>
      </c>
      <c r="M25" s="31" cm="1">
        <f t="array" aca="1" ref="M25" ca="1">couleur+NOW()-NOW()</f>
        <v>2</v>
      </c>
      <c r="N25" s="3"/>
      <c r="O25" s="32"/>
      <c r="P25" s="24" cm="1">
        <f t="array" aca="1" ref="P25" ca="1">couleur+NOW()-NOW()</f>
        <v>2</v>
      </c>
      <c r="Q25" s="136" t="s">
        <v>64</v>
      </c>
    </row>
    <row r="26" spans="1:23" x14ac:dyDescent="0.2">
      <c r="B26" s="12">
        <v>45386</v>
      </c>
      <c r="C26" s="142" t="s">
        <v>18</v>
      </c>
      <c r="D26" s="9" t="s">
        <v>10</v>
      </c>
      <c r="E26" s="120">
        <v>14278</v>
      </c>
      <c r="F26" s="9" t="s">
        <v>163</v>
      </c>
      <c r="G26" s="133">
        <v>45390</v>
      </c>
      <c r="H26" s="17">
        <v>4</v>
      </c>
      <c r="I26" s="3"/>
      <c r="J26" s="51"/>
      <c r="K26" s="32" t="s">
        <v>44</v>
      </c>
      <c r="L26" s="119">
        <v>300</v>
      </c>
      <c r="M26" s="31"/>
      <c r="N26" s="32"/>
      <c r="O26" s="32"/>
      <c r="P26" s="24"/>
      <c r="Q26" s="137"/>
    </row>
    <row r="27" spans="1:23" x14ac:dyDescent="0.2">
      <c r="B27" s="12">
        <v>45388</v>
      </c>
      <c r="C27" s="142" t="s">
        <v>18</v>
      </c>
      <c r="D27" s="9" t="s">
        <v>11</v>
      </c>
      <c r="E27" s="120">
        <v>14230</v>
      </c>
      <c r="F27" s="9" t="s">
        <v>196</v>
      </c>
      <c r="G27" s="133">
        <v>45390</v>
      </c>
      <c r="H27" s="17">
        <v>2</v>
      </c>
      <c r="I27" s="3" t="s">
        <v>43</v>
      </c>
      <c r="J27" s="132">
        <v>150</v>
      </c>
      <c r="K27" s="16" t="s">
        <v>43</v>
      </c>
      <c r="L27" s="132">
        <v>150</v>
      </c>
      <c r="M27" s="31" cm="1">
        <f t="array" aca="1" ref="M27" ca="1">couleur+NOW()-NOW()</f>
        <v>50</v>
      </c>
      <c r="N27" s="3"/>
      <c r="O27" s="32"/>
      <c r="P27" s="24" cm="1">
        <f t="array" aca="1" ref="P27" ca="1">couleur+NOW()-NOW()</f>
        <v>2</v>
      </c>
      <c r="Q27" s="136"/>
    </row>
    <row r="28" spans="1:23" ht="17" x14ac:dyDescent="0.2">
      <c r="B28" s="12">
        <v>45388</v>
      </c>
      <c r="C28" s="142" t="s">
        <v>18</v>
      </c>
      <c r="D28" s="9" t="s">
        <v>111</v>
      </c>
      <c r="E28" s="9" t="s">
        <v>93</v>
      </c>
      <c r="F28" s="9"/>
      <c r="G28" s="133">
        <v>45390</v>
      </c>
      <c r="H28" s="17">
        <v>2</v>
      </c>
      <c r="I28" s="3" t="s">
        <v>44</v>
      </c>
      <c r="J28" s="119">
        <v>100</v>
      </c>
      <c r="K28" s="3"/>
      <c r="L28" s="51"/>
      <c r="M28" s="31"/>
      <c r="N28" s="3"/>
      <c r="O28" s="32"/>
      <c r="P28" s="24"/>
      <c r="Q28" s="136" t="s">
        <v>64</v>
      </c>
    </row>
    <row r="29" spans="1:23" ht="34" x14ac:dyDescent="0.2">
      <c r="B29" s="12">
        <v>45391</v>
      </c>
      <c r="C29" s="142" t="s">
        <v>18</v>
      </c>
      <c r="D29" s="9" t="s">
        <v>12</v>
      </c>
      <c r="E29" s="120">
        <v>14220</v>
      </c>
      <c r="F29" s="9" t="s">
        <v>195</v>
      </c>
      <c r="G29" s="133"/>
      <c r="H29" s="3"/>
      <c r="I29" s="3"/>
      <c r="J29" s="51"/>
      <c r="K29" s="3"/>
      <c r="L29" s="51" t="s">
        <v>59</v>
      </c>
      <c r="M29" s="31" cm="1">
        <f t="array" aca="1" ref="M29" ca="1">couleur+NOW()-NOW()</f>
        <v>2</v>
      </c>
      <c r="N29" s="3"/>
      <c r="O29" s="32"/>
      <c r="P29" s="24" cm="1">
        <f t="array" aca="1" ref="P29" ca="1">couleur+NOW()-NOW()</f>
        <v>2</v>
      </c>
      <c r="Q29" s="136" t="s">
        <v>204</v>
      </c>
    </row>
    <row r="30" spans="1:23" ht="17" x14ac:dyDescent="0.2">
      <c r="B30" s="12">
        <v>45391</v>
      </c>
      <c r="C30" s="11" t="s">
        <v>18</v>
      </c>
      <c r="D30" s="9"/>
      <c r="E30" s="120">
        <v>14220</v>
      </c>
      <c r="F30" s="9" t="s">
        <v>205</v>
      </c>
      <c r="G30" s="143"/>
      <c r="H30" s="3"/>
      <c r="I30" s="3"/>
      <c r="J30" s="51"/>
      <c r="K30" s="32"/>
      <c r="L30" s="51"/>
      <c r="M30" s="31"/>
      <c r="N30" s="32"/>
      <c r="O30" s="32"/>
      <c r="P30" s="24"/>
      <c r="Q30" s="137" t="s">
        <v>206</v>
      </c>
    </row>
    <row r="31" spans="1:23" ht="17" x14ac:dyDescent="0.2">
      <c r="B31" s="12"/>
      <c r="C31" s="11" t="s">
        <v>18</v>
      </c>
      <c r="D31" s="9"/>
      <c r="E31" s="120">
        <v>14220</v>
      </c>
      <c r="F31" s="9" t="s">
        <v>207</v>
      </c>
      <c r="G31" s="143"/>
      <c r="H31" s="3">
        <v>2</v>
      </c>
      <c r="I31" s="3"/>
      <c r="J31" s="51">
        <v>510</v>
      </c>
      <c r="K31" s="32"/>
      <c r="L31" s="51"/>
      <c r="M31" s="31"/>
      <c r="N31" s="32"/>
      <c r="O31" s="32"/>
      <c r="P31" s="24"/>
      <c r="Q31" s="137" t="s">
        <v>208</v>
      </c>
    </row>
    <row r="32" spans="1:23" x14ac:dyDescent="0.2">
      <c r="B32" s="12">
        <v>45391</v>
      </c>
      <c r="C32" s="142" t="s">
        <v>18</v>
      </c>
      <c r="D32" s="9" t="s">
        <v>92</v>
      </c>
      <c r="E32" s="120">
        <v>14280</v>
      </c>
      <c r="F32" s="9" t="s">
        <v>198</v>
      </c>
      <c r="G32" s="143">
        <v>45391</v>
      </c>
      <c r="H32" s="3">
        <v>1</v>
      </c>
      <c r="I32" s="3" t="s">
        <v>44</v>
      </c>
      <c r="J32" s="119">
        <v>90</v>
      </c>
      <c r="K32" s="32" t="s">
        <v>44</v>
      </c>
      <c r="L32" s="119">
        <v>90</v>
      </c>
      <c r="M32" s="31"/>
      <c r="N32" s="32"/>
      <c r="O32" s="32"/>
      <c r="P32" s="24"/>
      <c r="Q32" s="137"/>
    </row>
    <row r="33" spans="2:17" x14ac:dyDescent="0.2">
      <c r="B33" s="12">
        <v>45391</v>
      </c>
      <c r="C33" s="133" t="s">
        <v>18</v>
      </c>
      <c r="D33" s="9" t="s">
        <v>200</v>
      </c>
      <c r="E33" s="9" t="s">
        <v>93</v>
      </c>
      <c r="F33" s="9"/>
      <c r="G33" s="143"/>
      <c r="H33" s="3">
        <v>2</v>
      </c>
      <c r="I33" s="3"/>
      <c r="J33" s="127">
        <v>100</v>
      </c>
      <c r="K33" s="32"/>
      <c r="L33" s="51"/>
      <c r="M33" s="31"/>
      <c r="N33" s="32"/>
      <c r="O33" s="32"/>
      <c r="P33" s="24"/>
      <c r="Q33" s="137"/>
    </row>
    <row r="34" spans="2:17" x14ac:dyDescent="0.2">
      <c r="B34" s="12">
        <v>45393</v>
      </c>
      <c r="C34" s="133" t="s">
        <v>18</v>
      </c>
      <c r="D34" s="9" t="s">
        <v>12</v>
      </c>
      <c r="E34" s="120">
        <v>14231</v>
      </c>
      <c r="F34" s="9" t="s">
        <v>229</v>
      </c>
      <c r="G34" s="143">
        <v>45391</v>
      </c>
      <c r="H34" s="3">
        <v>2</v>
      </c>
      <c r="I34" s="3" t="s">
        <v>44</v>
      </c>
      <c r="J34" s="119">
        <v>150</v>
      </c>
      <c r="K34" s="3"/>
      <c r="L34" s="51"/>
      <c r="M34" s="31"/>
      <c r="N34" s="3"/>
      <c r="O34" s="32"/>
      <c r="P34" s="24"/>
      <c r="Q34" s="136"/>
    </row>
    <row r="35" spans="2:17" x14ac:dyDescent="0.2">
      <c r="B35" s="12">
        <v>45397</v>
      </c>
      <c r="C35" s="133" t="s">
        <v>18</v>
      </c>
      <c r="D35" s="9" t="s">
        <v>38</v>
      </c>
      <c r="E35" s="120">
        <v>14279</v>
      </c>
      <c r="F35" s="9" t="s">
        <v>230</v>
      </c>
      <c r="G35" s="9"/>
      <c r="H35" s="3">
        <v>7</v>
      </c>
      <c r="I35" s="3" t="s">
        <v>43</v>
      </c>
      <c r="J35" s="132">
        <v>565</v>
      </c>
      <c r="K35" s="32"/>
      <c r="L35" s="51"/>
      <c r="M35" s="31"/>
      <c r="N35" s="32"/>
      <c r="O35" s="32"/>
      <c r="P35" s="24"/>
      <c r="Q35" s="137"/>
    </row>
    <row r="36" spans="2:17" x14ac:dyDescent="0.2">
      <c r="B36" s="12">
        <v>45397</v>
      </c>
      <c r="C36" s="133" t="s">
        <v>18</v>
      </c>
      <c r="D36" s="9" t="s">
        <v>12</v>
      </c>
      <c r="E36" s="120">
        <v>14232</v>
      </c>
      <c r="F36" s="9" t="s">
        <v>231</v>
      </c>
      <c r="G36" s="9"/>
      <c r="H36" s="3">
        <v>2</v>
      </c>
      <c r="I36" s="3"/>
      <c r="J36" s="32"/>
      <c r="K36" s="3" t="s">
        <v>43</v>
      </c>
      <c r="L36" s="132">
        <v>150</v>
      </c>
      <c r="M36" s="31" cm="1">
        <f t="array" aca="1" ref="M36" ca="1">couleur+NOW()-NOW()</f>
        <v>50</v>
      </c>
      <c r="N36" s="3"/>
      <c r="O36" s="32"/>
      <c r="P36" s="24" cm="1">
        <f t="array" aca="1" ref="P36" ca="1">couleur+NOW()-NOW()</f>
        <v>2</v>
      </c>
      <c r="Q36" s="136"/>
    </row>
    <row r="37" spans="2:17" x14ac:dyDescent="0.2">
      <c r="B37" s="12">
        <v>45398</v>
      </c>
      <c r="C37" s="133" t="s">
        <v>18</v>
      </c>
      <c r="D37" s="9" t="s">
        <v>12</v>
      </c>
      <c r="E37" s="120">
        <v>14281</v>
      </c>
      <c r="F37" s="9" t="s">
        <v>232</v>
      </c>
      <c r="G37" s="9"/>
      <c r="H37" s="3">
        <v>2</v>
      </c>
      <c r="I37" s="3" t="s">
        <v>43</v>
      </c>
      <c r="J37" s="186">
        <v>170</v>
      </c>
      <c r="K37" s="32"/>
      <c r="L37" s="51"/>
      <c r="M37" s="31"/>
      <c r="N37" s="32"/>
      <c r="O37" s="32"/>
      <c r="P37" s="24"/>
      <c r="Q37" s="137"/>
    </row>
    <row r="38" spans="2:17" x14ac:dyDescent="0.2">
      <c r="B38" s="12">
        <v>45398</v>
      </c>
      <c r="C38" s="133" t="s">
        <v>18</v>
      </c>
      <c r="D38" s="9" t="s">
        <v>12</v>
      </c>
      <c r="E38" s="120">
        <v>14282</v>
      </c>
      <c r="F38" s="9" t="s">
        <v>233</v>
      </c>
      <c r="G38" s="9"/>
      <c r="H38" s="3">
        <v>2</v>
      </c>
      <c r="I38" s="3"/>
      <c r="J38" s="32"/>
      <c r="K38" s="3" t="s">
        <v>44</v>
      </c>
      <c r="L38" s="187">
        <v>170</v>
      </c>
      <c r="M38" s="31"/>
      <c r="N38" s="32"/>
      <c r="O38" s="32"/>
      <c r="P38" s="24"/>
      <c r="Q38" s="137"/>
    </row>
    <row r="39" spans="2:17" x14ac:dyDescent="0.2">
      <c r="B39" s="12">
        <v>45399</v>
      </c>
      <c r="C39" s="133" t="s">
        <v>18</v>
      </c>
      <c r="D39" s="9" t="s">
        <v>12</v>
      </c>
      <c r="E39" s="120">
        <v>14289</v>
      </c>
      <c r="F39" s="9"/>
      <c r="G39" s="10"/>
      <c r="H39" s="3">
        <v>2</v>
      </c>
      <c r="I39" s="3"/>
      <c r="J39" s="32"/>
      <c r="K39" s="32"/>
      <c r="L39" s="32">
        <v>170</v>
      </c>
      <c r="M39" s="31"/>
      <c r="N39" s="32"/>
      <c r="O39" s="32"/>
      <c r="P39" s="24"/>
      <c r="Q39" s="137"/>
    </row>
    <row r="40" spans="2:17" ht="17" x14ac:dyDescent="0.2">
      <c r="B40" s="12">
        <v>45399</v>
      </c>
      <c r="C40" s="133" t="s">
        <v>18</v>
      </c>
      <c r="D40" s="9" t="s">
        <v>15</v>
      </c>
      <c r="E40" s="120">
        <v>14283</v>
      </c>
      <c r="F40" s="9"/>
      <c r="G40" s="9"/>
      <c r="H40" s="3">
        <v>2</v>
      </c>
      <c r="I40" s="3"/>
      <c r="J40" s="32">
        <v>145</v>
      </c>
      <c r="K40" s="32"/>
      <c r="L40" s="51"/>
      <c r="M40" s="31"/>
      <c r="N40" s="32"/>
      <c r="O40" s="32"/>
      <c r="P40" s="24"/>
      <c r="Q40" s="137" t="s">
        <v>234</v>
      </c>
    </row>
    <row r="41" spans="2:17" x14ac:dyDescent="0.2">
      <c r="B41" s="12">
        <v>45400</v>
      </c>
      <c r="C41" s="133" t="s">
        <v>18</v>
      </c>
      <c r="D41" s="9" t="s">
        <v>12</v>
      </c>
      <c r="E41" s="120">
        <v>14233</v>
      </c>
      <c r="F41" s="9"/>
      <c r="G41" s="9"/>
      <c r="H41" s="3">
        <v>2</v>
      </c>
      <c r="I41" s="3"/>
      <c r="J41" s="51" t="s">
        <v>59</v>
      </c>
      <c r="K41" s="3"/>
      <c r="L41" s="51">
        <v>170</v>
      </c>
      <c r="M41" s="31" cm="1">
        <f t="array" aca="1" ref="M41" ca="1">couleur+NOW()-NOW()</f>
        <v>2</v>
      </c>
      <c r="N41" s="3"/>
      <c r="O41" s="32"/>
      <c r="P41" s="24" cm="1">
        <f t="array" aca="1" ref="P41" ca="1">couleur+NOW()-NOW()</f>
        <v>2</v>
      </c>
      <c r="Q41" s="136"/>
    </row>
    <row r="42" spans="2:17" x14ac:dyDescent="0.2">
      <c r="B42" s="12">
        <v>45400</v>
      </c>
      <c r="C42" s="133" t="s">
        <v>18</v>
      </c>
      <c r="D42" s="9" t="s">
        <v>11</v>
      </c>
      <c r="E42" s="120">
        <v>14234</v>
      </c>
      <c r="F42" s="9"/>
      <c r="G42" s="9"/>
      <c r="H42" s="3">
        <v>2</v>
      </c>
      <c r="I42" s="3"/>
      <c r="J42" s="51">
        <v>150</v>
      </c>
      <c r="K42" s="3"/>
      <c r="L42" s="51" t="s">
        <v>59</v>
      </c>
      <c r="M42" s="31" cm="1">
        <f t="array" aca="1" ref="M42" ca="1">couleur+NOW()-NOW()</f>
        <v>2</v>
      </c>
      <c r="N42" s="3"/>
      <c r="O42" s="32"/>
      <c r="P42" s="24" cm="1">
        <f t="array" aca="1" ref="P42" ca="1">couleur+NOW()-NOW()</f>
        <v>2</v>
      </c>
      <c r="Q42" s="136"/>
    </row>
    <row r="43" spans="2:17" x14ac:dyDescent="0.2">
      <c r="B43" s="12">
        <v>45400</v>
      </c>
      <c r="C43" s="133" t="s">
        <v>18</v>
      </c>
      <c r="D43" s="9" t="s">
        <v>15</v>
      </c>
      <c r="E43" s="120">
        <v>14302</v>
      </c>
      <c r="F43" s="9"/>
      <c r="G43" s="10"/>
      <c r="H43" s="3">
        <v>2</v>
      </c>
      <c r="I43" s="3"/>
      <c r="J43" s="51"/>
      <c r="K43" s="32"/>
      <c r="L43" s="51">
        <v>170</v>
      </c>
      <c r="M43" s="31"/>
      <c r="N43" s="32"/>
      <c r="O43" s="32"/>
      <c r="P43" s="24"/>
      <c r="Q43" s="137"/>
    </row>
    <row r="44" spans="2:17" x14ac:dyDescent="0.2">
      <c r="B44" s="12">
        <v>45400</v>
      </c>
      <c r="C44" s="133" t="s">
        <v>18</v>
      </c>
      <c r="D44" s="9" t="s">
        <v>14</v>
      </c>
      <c r="E44" s="120">
        <v>14234</v>
      </c>
      <c r="F44" s="9"/>
      <c r="G44" s="9"/>
      <c r="H44" s="3">
        <v>4</v>
      </c>
      <c r="I44" s="3"/>
      <c r="J44" s="51">
        <v>300</v>
      </c>
      <c r="K44" s="3"/>
      <c r="L44" s="51" t="s">
        <v>59</v>
      </c>
      <c r="M44" s="31" cm="1">
        <f t="array" aca="1" ref="M44" ca="1">couleur+NOW()-NOW()</f>
        <v>2</v>
      </c>
      <c r="N44" s="3"/>
      <c r="O44" s="32"/>
      <c r="P44" s="24" cm="1">
        <f t="array" aca="1" ref="P44" ca="1">couleur+NOW()-NOW()</f>
        <v>2</v>
      </c>
      <c r="Q44" s="136"/>
    </row>
    <row r="45" spans="2:17" x14ac:dyDescent="0.2">
      <c r="B45" s="12">
        <v>45401</v>
      </c>
      <c r="C45" s="133" t="s">
        <v>18</v>
      </c>
      <c r="D45" s="9" t="s">
        <v>58</v>
      </c>
      <c r="E45" s="120">
        <v>14235</v>
      </c>
      <c r="F45" s="9"/>
      <c r="G45" s="9"/>
      <c r="H45" s="3">
        <v>4</v>
      </c>
      <c r="I45" s="3"/>
      <c r="J45" s="51">
        <v>300</v>
      </c>
      <c r="K45" s="3"/>
      <c r="L45" s="51"/>
      <c r="M45" s="31"/>
      <c r="N45" s="3"/>
      <c r="O45" s="32"/>
      <c r="P45" s="24"/>
      <c r="Q45" s="136"/>
    </row>
    <row r="46" spans="2:17" x14ac:dyDescent="0.2">
      <c r="B46" s="12">
        <v>45402</v>
      </c>
      <c r="C46" s="133" t="s">
        <v>18</v>
      </c>
      <c r="D46" s="9" t="s">
        <v>58</v>
      </c>
      <c r="E46" s="120">
        <v>14236</v>
      </c>
      <c r="F46" s="9"/>
      <c r="G46" s="9"/>
      <c r="H46" s="3">
        <v>4</v>
      </c>
      <c r="I46" s="3"/>
      <c r="J46" s="51" t="s">
        <v>59</v>
      </c>
      <c r="K46" s="3"/>
      <c r="L46" s="51">
        <v>300</v>
      </c>
      <c r="M46" s="31" cm="1">
        <f t="array" aca="1" ref="M46" ca="1">couleur+NOW()-NOW()</f>
        <v>2</v>
      </c>
      <c r="N46" s="3"/>
      <c r="O46" s="32"/>
      <c r="P46" s="24" cm="1">
        <f t="array" aca="1" ref="P46" ca="1">couleur+NOW()-NOW()</f>
        <v>2</v>
      </c>
      <c r="Q46" s="136"/>
    </row>
    <row r="47" spans="2:17" x14ac:dyDescent="0.2">
      <c r="B47" s="12">
        <v>45402</v>
      </c>
      <c r="C47" s="133" t="s">
        <v>18</v>
      </c>
      <c r="D47" s="9" t="s">
        <v>57</v>
      </c>
      <c r="E47" s="9">
        <v>14237</v>
      </c>
      <c r="F47" s="9"/>
      <c r="G47" s="9"/>
      <c r="H47" s="3">
        <v>2</v>
      </c>
      <c r="I47" s="3"/>
      <c r="J47" s="51" t="s">
        <v>59</v>
      </c>
      <c r="K47" s="3"/>
      <c r="L47" s="51">
        <v>170</v>
      </c>
      <c r="M47" s="31" cm="1">
        <f t="array" aca="1" ref="M47" ca="1">couleur+NOW()-NOW()</f>
        <v>2</v>
      </c>
      <c r="N47" s="3"/>
      <c r="O47" s="32"/>
      <c r="P47" s="24" cm="1">
        <f t="array" aca="1" ref="P47" ca="1">couleur+NOW()-NOW()</f>
        <v>2</v>
      </c>
      <c r="Q47" s="136"/>
    </row>
    <row r="48" spans="2:17" x14ac:dyDescent="0.2">
      <c r="B48" s="12">
        <v>45403</v>
      </c>
      <c r="C48" s="133" t="s">
        <v>18</v>
      </c>
      <c r="D48" s="9" t="s">
        <v>12</v>
      </c>
      <c r="E48" s="120">
        <v>14290</v>
      </c>
      <c r="F48" s="9"/>
      <c r="G48" s="10"/>
      <c r="H48" s="3">
        <v>2</v>
      </c>
      <c r="I48" s="3"/>
      <c r="J48" s="51"/>
      <c r="K48" s="32"/>
      <c r="L48" s="51">
        <v>170</v>
      </c>
      <c r="M48" s="31"/>
      <c r="N48" s="32"/>
      <c r="O48" s="32"/>
      <c r="P48" s="24"/>
      <c r="Q48" s="137"/>
    </row>
    <row r="49" spans="2:17" x14ac:dyDescent="0.2">
      <c r="B49" s="12">
        <v>45403</v>
      </c>
      <c r="C49" s="133" t="s">
        <v>18</v>
      </c>
      <c r="D49" s="9" t="s">
        <v>15</v>
      </c>
      <c r="E49" s="9">
        <v>14237</v>
      </c>
      <c r="F49" s="9"/>
      <c r="G49" s="9"/>
      <c r="H49" s="3">
        <v>2</v>
      </c>
      <c r="I49" s="3"/>
      <c r="J49" s="51" t="s">
        <v>59</v>
      </c>
      <c r="K49" s="3"/>
      <c r="L49" s="51">
        <v>340</v>
      </c>
      <c r="M49" s="31" cm="1">
        <f t="array" aca="1" ref="M49" ca="1">couleur+NOW()-NOW()</f>
        <v>2</v>
      </c>
      <c r="N49" s="3"/>
      <c r="O49" s="32"/>
      <c r="P49" s="24" cm="1">
        <f t="array" aca="1" ref="P49" ca="1">couleur+NOW()-NOW()</f>
        <v>2</v>
      </c>
      <c r="Q49" s="136"/>
    </row>
    <row r="50" spans="2:17" x14ac:dyDescent="0.2">
      <c r="B50" s="12">
        <v>45404</v>
      </c>
      <c r="C50" s="133" t="s">
        <v>18</v>
      </c>
      <c r="D50" s="9" t="s">
        <v>38</v>
      </c>
      <c r="E50" s="120">
        <v>14238</v>
      </c>
      <c r="F50" s="9"/>
      <c r="G50" s="9"/>
      <c r="H50" s="3">
        <v>7</v>
      </c>
      <c r="I50" s="3"/>
      <c r="J50" s="51">
        <v>565</v>
      </c>
      <c r="K50" s="3"/>
      <c r="L50" s="51"/>
      <c r="M50" s="31"/>
      <c r="N50" s="3"/>
      <c r="O50" s="32"/>
      <c r="P50" s="24"/>
      <c r="Q50" s="136"/>
    </row>
    <row r="51" spans="2:17" x14ac:dyDescent="0.2">
      <c r="B51" s="12">
        <v>45404</v>
      </c>
      <c r="C51" s="133" t="s">
        <v>18</v>
      </c>
      <c r="D51" s="9" t="s">
        <v>12</v>
      </c>
      <c r="E51" s="9" t="s">
        <v>93</v>
      </c>
      <c r="F51" s="9"/>
      <c r="G51" s="9"/>
      <c r="H51" s="3"/>
      <c r="I51" s="3"/>
      <c r="J51" s="51"/>
      <c r="K51" s="32"/>
      <c r="L51" s="51"/>
      <c r="M51" s="31"/>
      <c r="N51" s="32"/>
      <c r="O51" s="32"/>
      <c r="P51" s="24"/>
      <c r="Q51" s="137"/>
    </row>
    <row r="52" spans="2:17" ht="17" x14ac:dyDescent="0.2">
      <c r="B52" s="12">
        <v>45405</v>
      </c>
      <c r="C52" s="133" t="s">
        <v>18</v>
      </c>
      <c r="D52" s="9" t="s">
        <v>12</v>
      </c>
      <c r="E52" s="9" t="s">
        <v>93</v>
      </c>
      <c r="F52" s="9"/>
      <c r="G52" s="9"/>
      <c r="H52" s="3">
        <v>2</v>
      </c>
      <c r="I52" s="3"/>
      <c r="J52" s="51">
        <v>100</v>
      </c>
      <c r="K52" s="3"/>
      <c r="L52" s="51" t="s">
        <v>59</v>
      </c>
      <c r="M52" s="31" cm="1">
        <f t="array" aca="1" ref="M52" ca="1">couleur+NOW()-NOW()</f>
        <v>2</v>
      </c>
      <c r="N52" s="3"/>
      <c r="O52" s="32"/>
      <c r="P52" s="24" cm="1">
        <f t="array" aca="1" ref="P52" ca="1">couleur+NOW()-NOW()</f>
        <v>2</v>
      </c>
      <c r="Q52" s="136" t="s">
        <v>64</v>
      </c>
    </row>
    <row r="53" spans="2:17" x14ac:dyDescent="0.2">
      <c r="B53" s="12">
        <v>45405</v>
      </c>
      <c r="C53" s="133" t="s">
        <v>18</v>
      </c>
      <c r="D53" s="9" t="s">
        <v>16</v>
      </c>
      <c r="E53" s="9" t="s">
        <v>167</v>
      </c>
      <c r="F53" s="9"/>
      <c r="G53" s="9"/>
      <c r="H53" s="3">
        <v>2</v>
      </c>
      <c r="I53" s="3"/>
      <c r="J53" s="51"/>
      <c r="K53" s="32"/>
      <c r="L53" s="51">
        <v>0</v>
      </c>
      <c r="M53" s="31"/>
      <c r="N53" s="32"/>
      <c r="O53" s="32"/>
      <c r="P53" s="24"/>
      <c r="Q53" s="137"/>
    </row>
    <row r="54" spans="2:17" x14ac:dyDescent="0.2">
      <c r="B54" s="12">
        <v>45405</v>
      </c>
      <c r="C54" s="133" t="s">
        <v>18</v>
      </c>
      <c r="D54" s="9" t="s">
        <v>94</v>
      </c>
      <c r="E54" s="120">
        <v>14284</v>
      </c>
      <c r="F54" s="9"/>
      <c r="G54" s="9"/>
      <c r="H54" s="3">
        <v>4</v>
      </c>
      <c r="I54" s="3"/>
      <c r="J54" s="51">
        <v>300</v>
      </c>
      <c r="K54" s="32"/>
      <c r="L54" s="51"/>
      <c r="M54" s="31"/>
      <c r="N54" s="32"/>
      <c r="O54" s="32"/>
      <c r="P54" s="24"/>
      <c r="Q54" s="137"/>
    </row>
    <row r="55" spans="2:17" x14ac:dyDescent="0.2">
      <c r="B55" s="12">
        <v>45406</v>
      </c>
      <c r="C55" s="133" t="s">
        <v>18</v>
      </c>
      <c r="D55" s="9" t="s">
        <v>15</v>
      </c>
      <c r="E55" s="9">
        <v>14240</v>
      </c>
      <c r="F55" s="9"/>
      <c r="G55" s="9"/>
      <c r="H55" s="3">
        <v>2</v>
      </c>
      <c r="I55" s="3"/>
      <c r="J55" s="51">
        <v>170</v>
      </c>
      <c r="K55" s="3"/>
      <c r="L55" s="51">
        <v>170</v>
      </c>
      <c r="M55" s="31" cm="1">
        <f t="array" aca="1" ref="M55" ca="1">couleur+NOW()-NOW()</f>
        <v>2</v>
      </c>
      <c r="N55" s="3"/>
      <c r="O55" s="32"/>
      <c r="P55" s="24" cm="1">
        <f t="array" aca="1" ref="P55" ca="1">couleur+NOW()-NOW()</f>
        <v>2</v>
      </c>
      <c r="Q55" s="136"/>
    </row>
    <row r="56" spans="2:17" ht="17" x14ac:dyDescent="0.2">
      <c r="B56" s="12">
        <v>45407</v>
      </c>
      <c r="C56" s="133" t="s">
        <v>18</v>
      </c>
      <c r="D56" s="9" t="s">
        <v>9</v>
      </c>
      <c r="E56" s="120">
        <v>14285</v>
      </c>
      <c r="F56" s="9"/>
      <c r="G56" s="9"/>
      <c r="H56" s="3">
        <v>2</v>
      </c>
      <c r="I56" s="3"/>
      <c r="J56" s="51">
        <v>170</v>
      </c>
      <c r="K56" s="3"/>
      <c r="L56" s="51">
        <v>170</v>
      </c>
      <c r="M56" s="31"/>
      <c r="N56" s="3"/>
      <c r="O56" s="32"/>
      <c r="P56" s="24"/>
      <c r="Q56" s="136" t="s">
        <v>65</v>
      </c>
    </row>
    <row r="57" spans="2:17" x14ac:dyDescent="0.2">
      <c r="B57" s="12">
        <v>45408</v>
      </c>
      <c r="C57" s="133" t="s">
        <v>18</v>
      </c>
      <c r="D57" s="9" t="s">
        <v>16</v>
      </c>
      <c r="E57" s="120">
        <v>14242</v>
      </c>
      <c r="F57" s="9"/>
      <c r="G57" s="9"/>
      <c r="H57" s="3">
        <v>2</v>
      </c>
      <c r="I57" s="3"/>
      <c r="J57" s="51">
        <v>680</v>
      </c>
      <c r="K57" s="3"/>
      <c r="L57" s="51" t="s">
        <v>59</v>
      </c>
      <c r="M57" s="31" cm="1">
        <f t="array" aca="1" ref="M57" ca="1">couleur+NOW()-NOW()</f>
        <v>2</v>
      </c>
      <c r="N57" s="3"/>
      <c r="O57" s="32"/>
      <c r="P57" s="24" cm="1">
        <f t="array" aca="1" ref="P57" ca="1">couleur+NOW()-NOW()</f>
        <v>2</v>
      </c>
      <c r="Q57" s="136"/>
    </row>
    <row r="58" spans="2:17" x14ac:dyDescent="0.2">
      <c r="B58" s="12">
        <v>45409</v>
      </c>
      <c r="C58" s="133" t="s">
        <v>18</v>
      </c>
      <c r="D58" s="9" t="s">
        <v>15</v>
      </c>
      <c r="E58" s="9" t="s">
        <v>167</v>
      </c>
      <c r="F58" s="9"/>
      <c r="G58" s="9"/>
      <c r="H58" s="3">
        <v>2</v>
      </c>
      <c r="I58" s="3"/>
      <c r="J58" s="51"/>
      <c r="K58" s="32"/>
      <c r="L58" s="51">
        <v>0</v>
      </c>
      <c r="M58" s="31"/>
      <c r="N58" s="32"/>
      <c r="O58" s="32"/>
      <c r="P58" s="24"/>
      <c r="Q58" s="137"/>
    </row>
    <row r="59" spans="2:17" x14ac:dyDescent="0.2">
      <c r="B59" s="13"/>
      <c r="C59" s="9"/>
      <c r="D59" s="9" t="s">
        <v>16</v>
      </c>
      <c r="E59" s="120">
        <v>14243</v>
      </c>
      <c r="F59" s="9"/>
      <c r="G59" s="9"/>
      <c r="H59" s="3">
        <v>2</v>
      </c>
      <c r="I59" s="3"/>
      <c r="J59" s="51">
        <v>150</v>
      </c>
      <c r="K59" s="3"/>
      <c r="L59" s="51" t="s">
        <v>59</v>
      </c>
      <c r="M59" s="31" cm="1">
        <f t="array" aca="1" ref="M59" ca="1">couleur+NOW()-NOW()</f>
        <v>2</v>
      </c>
      <c r="N59" s="3"/>
      <c r="O59" s="32"/>
      <c r="P59" s="24" cm="1">
        <f t="array" aca="1" ref="P59" ca="1">couleur+NOW()-NOW()</f>
        <v>2</v>
      </c>
      <c r="Q59" s="136"/>
    </row>
    <row r="60" spans="2:17" ht="17" x14ac:dyDescent="0.2">
      <c r="B60" s="13"/>
      <c r="C60" s="9"/>
      <c r="D60" s="9" t="s">
        <v>17</v>
      </c>
      <c r="E60" s="9">
        <v>14271</v>
      </c>
      <c r="F60" s="9"/>
      <c r="G60" s="9"/>
      <c r="H60" s="3">
        <v>2</v>
      </c>
      <c r="I60" s="3"/>
      <c r="J60" s="51" t="s">
        <v>59</v>
      </c>
      <c r="K60" s="3"/>
      <c r="L60" s="51">
        <v>150</v>
      </c>
      <c r="M60" s="31" cm="1">
        <f t="array" aca="1" ref="M60" ca="1">couleur+NOW()-NOW()</f>
        <v>2</v>
      </c>
      <c r="N60" s="3"/>
      <c r="O60" s="32"/>
      <c r="P60" s="24" cm="1">
        <f t="array" aca="1" ref="P60" ca="1">couleur+NOW()-NOW()</f>
        <v>2</v>
      </c>
      <c r="Q60" s="136" t="s">
        <v>147</v>
      </c>
    </row>
    <row r="61" spans="2:17" x14ac:dyDescent="0.2">
      <c r="B61" s="12">
        <v>45409</v>
      </c>
      <c r="C61" s="133"/>
      <c r="D61" s="9" t="s">
        <v>57</v>
      </c>
      <c r="E61" s="120">
        <v>14286</v>
      </c>
      <c r="F61" s="9"/>
      <c r="G61" s="9"/>
      <c r="H61" s="3">
        <v>2</v>
      </c>
      <c r="I61" s="3"/>
      <c r="J61" s="51">
        <v>170</v>
      </c>
      <c r="K61" s="32"/>
      <c r="L61" s="51"/>
      <c r="M61" s="31"/>
      <c r="N61" s="32"/>
      <c r="O61" s="32"/>
      <c r="P61" s="24"/>
      <c r="Q61" s="137"/>
    </row>
    <row r="62" spans="2:17" x14ac:dyDescent="0.2">
      <c r="B62" s="12" t="s">
        <v>227</v>
      </c>
      <c r="C62" s="11"/>
      <c r="D62" s="9" t="s">
        <v>15</v>
      </c>
      <c r="E62" s="9"/>
      <c r="F62" s="9"/>
      <c r="G62" s="10"/>
      <c r="H62" s="3">
        <v>2</v>
      </c>
      <c r="I62" s="3"/>
      <c r="J62" s="51"/>
      <c r="K62" s="32"/>
      <c r="L62" s="51">
        <v>170</v>
      </c>
      <c r="M62" s="31"/>
      <c r="N62" s="32"/>
      <c r="O62" s="32"/>
      <c r="P62" s="24"/>
      <c r="Q62" s="137"/>
    </row>
    <row r="63" spans="2:17" x14ac:dyDescent="0.2">
      <c r="B63" s="12">
        <v>45410</v>
      </c>
      <c r="C63" s="133"/>
      <c r="D63" s="9" t="s">
        <v>38</v>
      </c>
      <c r="E63" s="120">
        <v>14287</v>
      </c>
      <c r="F63" s="9"/>
      <c r="G63" s="9"/>
      <c r="H63" s="3">
        <v>7</v>
      </c>
      <c r="I63" s="3"/>
      <c r="J63" s="51">
        <v>565</v>
      </c>
      <c r="K63" s="3"/>
      <c r="L63" s="51" t="s">
        <v>59</v>
      </c>
      <c r="M63" s="31" cm="1">
        <f t="array" aca="1" ref="M63" ca="1">couleur+NOW()-NOW()</f>
        <v>2</v>
      </c>
      <c r="N63" s="3"/>
      <c r="O63" s="32"/>
      <c r="P63" s="24" cm="1">
        <f t="array" aca="1" ref="P63" ca="1">couleur+NOW()-NOW()</f>
        <v>2</v>
      </c>
      <c r="Q63" s="136"/>
    </row>
    <row r="64" spans="2:17" x14ac:dyDescent="0.2">
      <c r="B64" s="12">
        <v>45411</v>
      </c>
      <c r="C64" s="133"/>
      <c r="D64" s="9" t="s">
        <v>95</v>
      </c>
      <c r="E64" s="9" t="s">
        <v>96</v>
      </c>
      <c r="F64" s="9"/>
      <c r="G64" s="9"/>
      <c r="H64" s="3">
        <v>1</v>
      </c>
      <c r="I64" s="3"/>
      <c r="J64" s="51">
        <v>50</v>
      </c>
      <c r="K64" s="32"/>
      <c r="L64" s="51"/>
      <c r="M64" s="31"/>
      <c r="N64" s="32"/>
      <c r="O64" s="32"/>
      <c r="P64" s="24"/>
      <c r="Q64" s="137"/>
    </row>
    <row r="65" spans="1:17" x14ac:dyDescent="0.2">
      <c r="B65" s="14">
        <v>45411</v>
      </c>
      <c r="C65" s="143"/>
      <c r="D65" s="10" t="s">
        <v>16</v>
      </c>
      <c r="E65" s="121">
        <v>14244</v>
      </c>
      <c r="F65" s="36"/>
      <c r="G65" s="36"/>
      <c r="H65" s="6">
        <v>2</v>
      </c>
      <c r="I65" s="6"/>
      <c r="J65" s="51">
        <v>170</v>
      </c>
      <c r="K65" s="6"/>
      <c r="L65" s="51" t="s">
        <v>59</v>
      </c>
      <c r="M65" s="31" cm="1">
        <f t="array" aca="1" ref="M65" ca="1">couleur+NOW()-NOW()</f>
        <v>2</v>
      </c>
      <c r="N65" s="6"/>
      <c r="O65" s="32"/>
      <c r="P65" s="24" cm="1">
        <f t="array" aca="1" ref="P65" ca="1">couleur+NOW()-NOW()</f>
        <v>2</v>
      </c>
      <c r="Q65" s="137"/>
    </row>
    <row r="66" spans="1:17" ht="17" x14ac:dyDescent="0.2">
      <c r="B66" s="12">
        <v>45411</v>
      </c>
      <c r="C66" s="11"/>
      <c r="D66" s="9" t="s">
        <v>212</v>
      </c>
      <c r="E66" s="9"/>
      <c r="F66" s="9"/>
      <c r="G66" s="10"/>
      <c r="H66" s="3">
        <v>3</v>
      </c>
      <c r="I66" s="3"/>
      <c r="J66" s="51"/>
      <c r="K66" s="32"/>
      <c r="L66" s="51">
        <v>150</v>
      </c>
      <c r="M66" s="31"/>
      <c r="N66" s="32"/>
      <c r="O66" s="32"/>
      <c r="P66" s="24"/>
      <c r="Q66" s="137" t="s">
        <v>213</v>
      </c>
    </row>
    <row r="67" spans="1:17" x14ac:dyDescent="0.2">
      <c r="B67" s="14">
        <v>45412</v>
      </c>
      <c r="C67" s="143"/>
      <c r="D67" s="10" t="s">
        <v>12</v>
      </c>
      <c r="E67" s="121">
        <v>14245</v>
      </c>
      <c r="F67" s="36"/>
      <c r="G67" s="36"/>
      <c r="H67" s="6">
        <v>2</v>
      </c>
      <c r="I67" s="6"/>
      <c r="J67" s="51">
        <v>150</v>
      </c>
      <c r="K67" s="6"/>
      <c r="L67" s="51" t="s">
        <v>59</v>
      </c>
      <c r="M67" s="31" cm="1">
        <f t="array" aca="1" ref="M67" ca="1">couleur+NOW()-NOW()</f>
        <v>2</v>
      </c>
      <c r="N67" s="6"/>
      <c r="O67" s="32"/>
      <c r="P67" s="24" cm="1">
        <f t="array" aca="1" ref="P67" ca="1">couleur+NOW()-NOW()</f>
        <v>2</v>
      </c>
      <c r="Q67" s="137"/>
    </row>
    <row r="68" spans="1:17" x14ac:dyDescent="0.2">
      <c r="B68" s="12">
        <v>45412</v>
      </c>
      <c r="C68" s="133"/>
      <c r="D68" s="9" t="s">
        <v>15</v>
      </c>
      <c r="E68" s="120">
        <v>14296</v>
      </c>
      <c r="F68" s="9"/>
      <c r="G68" s="10"/>
      <c r="H68" s="3">
        <v>2</v>
      </c>
      <c r="I68" s="3"/>
      <c r="J68" s="51">
        <v>170</v>
      </c>
      <c r="K68" s="32"/>
      <c r="L68" s="51">
        <v>170</v>
      </c>
      <c r="M68" s="31"/>
      <c r="N68" s="32"/>
      <c r="O68" s="32"/>
      <c r="P68" s="24"/>
      <c r="Q68" s="137"/>
    </row>
    <row r="69" spans="1:17" x14ac:dyDescent="0.2">
      <c r="B69" s="12">
        <v>45412</v>
      </c>
      <c r="C69" s="133"/>
      <c r="D69" s="9" t="s">
        <v>16</v>
      </c>
      <c r="E69" s="120">
        <v>14291</v>
      </c>
      <c r="F69" s="9"/>
      <c r="G69" s="9"/>
      <c r="H69" s="3">
        <v>2</v>
      </c>
      <c r="I69" s="3"/>
      <c r="J69" s="51">
        <v>170</v>
      </c>
      <c r="K69" s="3"/>
      <c r="L69" s="51" t="s">
        <v>59</v>
      </c>
      <c r="M69" s="31" cm="1">
        <f t="array" aca="1" ref="M69" ca="1">couleur+NOW()-NOW()</f>
        <v>2</v>
      </c>
      <c r="N69" s="3"/>
      <c r="O69" s="32"/>
      <c r="P69" s="24" cm="1">
        <f t="array" aca="1" ref="P69" ca="1">couleur+NOW()-NOW()</f>
        <v>2</v>
      </c>
      <c r="Q69" s="136"/>
    </row>
    <row r="70" spans="1:17" x14ac:dyDescent="0.2">
      <c r="B70" s="12"/>
      <c r="C70" s="133"/>
      <c r="D70" s="9"/>
      <c r="E70" s="9"/>
      <c r="F70" s="9"/>
      <c r="G70" s="9"/>
      <c r="H70" s="3"/>
      <c r="I70" s="3"/>
      <c r="J70" s="51" t="s">
        <v>59</v>
      </c>
      <c r="K70" s="3"/>
      <c r="L70" s="51" t="s">
        <v>59</v>
      </c>
      <c r="M70" s="31" cm="1">
        <f t="array" aca="1" ref="M70" ca="1">couleur+NOW()-NOW()</f>
        <v>2</v>
      </c>
      <c r="N70" s="3"/>
      <c r="O70" s="32"/>
      <c r="P70" s="24" cm="1">
        <f t="array" aca="1" ref="P70" ca="1">couleur+NOW()-NOW()</f>
        <v>2</v>
      </c>
      <c r="Q70" s="137"/>
    </row>
    <row r="71" spans="1:17" ht="34" x14ac:dyDescent="0.2">
      <c r="B71" s="12">
        <v>45422</v>
      </c>
      <c r="C71" s="133" t="s">
        <v>25</v>
      </c>
      <c r="D71" s="9" t="s">
        <v>38</v>
      </c>
      <c r="E71" s="120">
        <v>14294</v>
      </c>
      <c r="F71" s="9" t="s">
        <v>211</v>
      </c>
      <c r="G71" s="143">
        <v>45394</v>
      </c>
      <c r="H71" s="10">
        <v>7</v>
      </c>
      <c r="I71" s="51"/>
      <c r="J71" s="32"/>
      <c r="K71" s="51"/>
      <c r="L71" s="32"/>
      <c r="M71" s="149" t="s">
        <v>45</v>
      </c>
      <c r="N71" s="3" t="s">
        <v>45</v>
      </c>
      <c r="O71" s="150">
        <v>615</v>
      </c>
      <c r="Q71" s="134" t="s">
        <v>226</v>
      </c>
    </row>
    <row r="72" spans="1:17" x14ac:dyDescent="0.2">
      <c r="A72" s="75"/>
      <c r="B72" s="12">
        <v>45429</v>
      </c>
      <c r="C72" s="12" t="s">
        <v>25</v>
      </c>
      <c r="D72" s="9" t="s">
        <v>38</v>
      </c>
      <c r="E72" s="120">
        <v>14249</v>
      </c>
      <c r="F72" s="9" t="s">
        <v>223</v>
      </c>
      <c r="G72" s="133">
        <v>45397</v>
      </c>
      <c r="H72" s="3">
        <v>7</v>
      </c>
      <c r="I72" s="3"/>
      <c r="J72" s="32"/>
      <c r="K72" s="3"/>
      <c r="L72" s="51"/>
      <c r="M72" s="31" cm="1">
        <f t="array" aca="1" ref="M72" ca="1">couleur+NOW()-NOW()</f>
        <v>2</v>
      </c>
      <c r="N72" s="3" t="s">
        <v>224</v>
      </c>
      <c r="O72" s="185">
        <v>615</v>
      </c>
      <c r="P72" s="24" cm="1">
        <f t="array" aca="1" ref="P72" ca="1">couleur+NOW()-NOW()</f>
        <v>18</v>
      </c>
      <c r="Q72" t="s">
        <v>222</v>
      </c>
    </row>
    <row r="73" spans="1:17" x14ac:dyDescent="0.2">
      <c r="A73" s="75"/>
      <c r="B73" s="12">
        <v>45431</v>
      </c>
      <c r="C73" s="12" t="s">
        <v>25</v>
      </c>
      <c r="D73" s="9" t="s">
        <v>38</v>
      </c>
      <c r="E73" s="120">
        <v>14295</v>
      </c>
      <c r="F73" s="9" t="s">
        <v>214</v>
      </c>
      <c r="G73" s="133">
        <v>45397</v>
      </c>
      <c r="H73" s="3">
        <v>7</v>
      </c>
      <c r="I73" s="3"/>
      <c r="J73" s="32"/>
      <c r="K73" s="32"/>
      <c r="L73" s="51"/>
      <c r="M73" s="31" cm="1">
        <f t="array" aca="1" ref="M73" ca="1">couleur+NOW()-NOW()</f>
        <v>2</v>
      </c>
      <c r="N73" s="3" t="s">
        <v>224</v>
      </c>
      <c r="O73" s="185">
        <v>565</v>
      </c>
      <c r="P73" s="24" cm="1">
        <f t="array" aca="1" ref="P73" ca="1">couleur+NOW()-NOW()</f>
        <v>18</v>
      </c>
      <c r="Q73" s="10" t="s">
        <v>217</v>
      </c>
    </row>
    <row r="74" spans="1:17" x14ac:dyDescent="0.2">
      <c r="A74" s="75"/>
      <c r="B74" s="12">
        <v>45433</v>
      </c>
      <c r="C74" s="12" t="s">
        <v>25</v>
      </c>
      <c r="D74" s="9" t="s">
        <v>38</v>
      </c>
      <c r="E74" s="120">
        <v>14295</v>
      </c>
      <c r="F74" s="9" t="s">
        <v>214</v>
      </c>
      <c r="G74" s="133">
        <v>45397</v>
      </c>
      <c r="H74" s="3">
        <v>7</v>
      </c>
      <c r="I74" s="3"/>
      <c r="J74" s="51"/>
      <c r="K74" s="32"/>
      <c r="L74" s="51"/>
      <c r="M74" s="31" cm="1">
        <f t="array" aca="1" ref="M74" ca="1">couleur+NOW()-NOW()</f>
        <v>2</v>
      </c>
      <c r="N74" s="3" t="s">
        <v>224</v>
      </c>
      <c r="O74" s="185">
        <v>565</v>
      </c>
      <c r="P74" s="24" cm="1">
        <f t="array" aca="1" ref="P74" ca="1">couleur+NOW()-NOW()</f>
        <v>18</v>
      </c>
      <c r="Q74" s="10" t="s">
        <v>217</v>
      </c>
    </row>
    <row r="75" spans="1:17" x14ac:dyDescent="0.2">
      <c r="A75" s="75"/>
      <c r="B75" s="12">
        <v>45432</v>
      </c>
      <c r="C75" s="12" t="s">
        <v>25</v>
      </c>
      <c r="D75" s="9" t="s">
        <v>38</v>
      </c>
      <c r="E75" s="120">
        <v>14298</v>
      </c>
      <c r="F75" s="9" t="s">
        <v>221</v>
      </c>
      <c r="G75" s="133">
        <v>45397</v>
      </c>
      <c r="H75" s="3">
        <v>7</v>
      </c>
      <c r="I75" s="3"/>
      <c r="J75" s="32"/>
      <c r="K75" s="32"/>
      <c r="L75" s="51"/>
      <c r="M75" s="31" cm="1">
        <f t="array" aca="1" ref="M75" ca="1">couleur+NOW()-NOW()</f>
        <v>2</v>
      </c>
      <c r="N75" s="3" t="s">
        <v>224</v>
      </c>
      <c r="O75" s="185">
        <v>690</v>
      </c>
      <c r="P75" s="24" cm="1">
        <f t="array" aca="1" ref="P75" ca="1">couleur+NOW()-NOW()</f>
        <v>18</v>
      </c>
      <c r="Q75" t="s">
        <v>222</v>
      </c>
    </row>
    <row r="76" spans="1:17" x14ac:dyDescent="0.2">
      <c r="A76" s="75"/>
      <c r="B76" s="12">
        <v>45436</v>
      </c>
      <c r="C76" s="12" t="s">
        <v>25</v>
      </c>
      <c r="D76" s="9" t="s">
        <v>38</v>
      </c>
      <c r="E76" s="120">
        <v>14252</v>
      </c>
      <c r="F76" s="9" t="s">
        <v>228</v>
      </c>
      <c r="G76" s="133">
        <v>45397</v>
      </c>
      <c r="H76" s="3">
        <v>4</v>
      </c>
      <c r="I76" s="3"/>
      <c r="J76" s="51"/>
      <c r="K76" s="3"/>
      <c r="L76" s="51"/>
      <c r="M76" s="31" cm="1">
        <f t="array" aca="1" ref="M76" ca="1">couleur+NOW()-NOW()</f>
        <v>2</v>
      </c>
      <c r="N76" s="3" t="s">
        <v>224</v>
      </c>
      <c r="O76" s="185">
        <v>650</v>
      </c>
      <c r="P76" s="24" cm="1">
        <f t="array" aca="1" ref="P76" ca="1">couleur+NOW()-NOW()</f>
        <v>18</v>
      </c>
      <c r="Q76" s="9" t="s">
        <v>151</v>
      </c>
    </row>
    <row r="77" spans="1:17" x14ac:dyDescent="0.2">
      <c r="A77" s="75"/>
      <c r="B77" s="12">
        <v>45451</v>
      </c>
      <c r="C77" s="12" t="s">
        <v>236</v>
      </c>
      <c r="D77" s="9" t="s">
        <v>97</v>
      </c>
      <c r="E77" s="9">
        <v>14288</v>
      </c>
      <c r="F77" s="9" t="s">
        <v>215</v>
      </c>
      <c r="G77" s="143">
        <v>45398</v>
      </c>
      <c r="H77" s="3"/>
      <c r="I77" s="51"/>
      <c r="J77" s="32"/>
      <c r="K77" s="51"/>
      <c r="L77" s="32"/>
      <c r="M77" s="149">
        <v>400</v>
      </c>
      <c r="N77" s="32" t="s">
        <v>224</v>
      </c>
      <c r="O77" s="188">
        <v>400</v>
      </c>
      <c r="Q77"/>
    </row>
    <row r="78" spans="1:17" ht="24" x14ac:dyDescent="0.2">
      <c r="B78" s="77" t="s">
        <v>37</v>
      </c>
      <c r="C78" s="77" t="e" cm="1" vm="1">
        <f t="array" aca="1" ref="C78" ca="1">+C79:CC79:C135</f>
        <v>#VALUE!</v>
      </c>
      <c r="D78" s="10"/>
      <c r="E78" s="10"/>
      <c r="F78" s="10"/>
      <c r="G78" s="10"/>
      <c r="H78" s="10">
        <f>SUM(H22:H67)</f>
        <v>108</v>
      </c>
      <c r="I78" s="10"/>
      <c r="J78" s="28">
        <f>SUM(J10:J77)</f>
        <v>8264.84</v>
      </c>
      <c r="K78" s="28"/>
      <c r="L78" s="28">
        <f>SUM(L10:L77)</f>
        <v>3720.84</v>
      </c>
      <c r="M78" s="29"/>
      <c r="N78" s="29"/>
      <c r="O78" s="70">
        <f>SUM(O22:O77)</f>
        <v>4100</v>
      </c>
      <c r="P78" s="83"/>
      <c r="Q78" s="138"/>
    </row>
    <row r="79" spans="1:17" x14ac:dyDescent="0.2">
      <c r="B79" s="78" t="s">
        <v>89</v>
      </c>
      <c r="C79" s="78" t="e" cm="1" vm="1">
        <f t="array" aca="1" ref="C79" ca="1">+C80:CC80:C136</f>
        <v>#VALUE!</v>
      </c>
      <c r="D79" s="78"/>
      <c r="E79" s="78"/>
      <c r="F79" s="78"/>
      <c r="G79" s="78"/>
      <c r="H79" s="78"/>
      <c r="I79" s="78"/>
      <c r="J79" s="79">
        <f>J78</f>
        <v>8264.84</v>
      </c>
      <c r="K79" s="79"/>
      <c r="L79" s="79">
        <f>L78</f>
        <v>3720.84</v>
      </c>
      <c r="M79" s="79"/>
      <c r="N79" s="79"/>
      <c r="O79" s="81">
        <f>O78</f>
        <v>4100</v>
      </c>
      <c r="P79" s="82"/>
      <c r="Q79" s="139"/>
    </row>
    <row r="80" spans="1:17" ht="20" customHeight="1" x14ac:dyDescent="0.2"/>
    <row r="84" spans="4:5" x14ac:dyDescent="0.2">
      <c r="D84" s="7"/>
      <c r="E84" s="7"/>
    </row>
    <row r="85" spans="4:5" x14ac:dyDescent="0.2">
      <c r="D85" s="7"/>
      <c r="E85" s="7"/>
    </row>
    <row r="86" spans="4:5" x14ac:dyDescent="0.2">
      <c r="D86" s="7"/>
      <c r="E86" s="7"/>
    </row>
    <row r="87" spans="4:5" x14ac:dyDescent="0.2">
      <c r="D87" s="7"/>
      <c r="E87" s="7"/>
    </row>
  </sheetData>
  <dataConsolidate/>
  <mergeCells count="2">
    <mergeCell ref="F2:O3"/>
    <mergeCell ref="A10:A15"/>
  </mergeCells>
  <phoneticPr fontId="26" type="noConversion"/>
  <conditionalFormatting sqref="I39:I70 N10:N71 I10:I37 K10:K70">
    <cfRule type="containsText" dxfId="503" priority="64" operator="containsText" text="CB">
      <formula>NOT(ISERROR(SEARCH("CB",I10)))</formula>
    </cfRule>
    <cfRule type="containsText" dxfId="502" priority="65" operator="containsText" text="Espèces">
      <formula>NOT(ISERROR(SEARCH("Espèces",I10)))</formula>
    </cfRule>
    <cfRule type="containsText" dxfId="501" priority="66" operator="containsText" text="Virement">
      <formula>NOT(ISERROR(SEARCH("Virement",I10)))</formula>
    </cfRule>
    <cfRule type="containsText" dxfId="500" priority="68" operator="containsText" text="Chèque">
      <formula>NOT(ISERROR(SEARCH("Chèque",I10)))</formula>
    </cfRule>
    <cfRule type="containsText" dxfId="499" priority="69" operator="containsText" text="GYG">
      <formula>NOT(ISERROR(SEARCH("GYG",I10)))</formula>
    </cfRule>
    <cfRule type="containsText" dxfId="498" priority="70" operator="containsText" text="Viator">
      <formula>NOT(ISERROR(SEARCH("Viator",I10)))</formula>
    </cfRule>
  </conditionalFormatting>
  <conditionalFormatting sqref="I39:I70 N10:N71 I10:I37 K10:K70">
    <cfRule type="containsText" dxfId="497" priority="67" operator="containsText" text="Chèque">
      <formula>NOT(ISERROR(SEARCH("Chèque",I10)))</formula>
    </cfRule>
  </conditionalFormatting>
  <conditionalFormatting sqref="M71 J71">
    <cfRule type="containsText" dxfId="496" priority="43" operator="containsText" text="CB">
      <formula>NOT(ISERROR(SEARCH("CB",J71)))</formula>
    </cfRule>
    <cfRule type="containsText" dxfId="495" priority="44" operator="containsText" text="Espèces">
      <formula>NOT(ISERROR(SEARCH("Espèces",J71)))</formula>
    </cfRule>
    <cfRule type="containsText" dxfId="494" priority="45" operator="containsText" text="Virement">
      <formula>NOT(ISERROR(SEARCH("Virement",J71)))</formula>
    </cfRule>
    <cfRule type="containsText" dxfId="493" priority="47" operator="containsText" text="Chèque">
      <formula>NOT(ISERROR(SEARCH("Chèque",J71)))</formula>
    </cfRule>
    <cfRule type="containsText" dxfId="492" priority="48" operator="containsText" text="GYG">
      <formula>NOT(ISERROR(SEARCH("GYG",J71)))</formula>
    </cfRule>
    <cfRule type="containsText" dxfId="491" priority="49" operator="containsText" text="Viator">
      <formula>NOT(ISERROR(SEARCH("Viator",J71)))</formula>
    </cfRule>
  </conditionalFormatting>
  <conditionalFormatting sqref="M71 J71">
    <cfRule type="containsText" dxfId="490" priority="46" operator="containsText" text="Chèque">
      <formula>NOT(ISERROR(SEARCH("Chèque",J71)))</formula>
    </cfRule>
  </conditionalFormatting>
  <conditionalFormatting sqref="I72 K72 N72:N76">
    <cfRule type="containsText" dxfId="489" priority="36" operator="containsText" text="CB">
      <formula>NOT(ISERROR(SEARCH("CB",I72)))</formula>
    </cfRule>
    <cfRule type="containsText" dxfId="488" priority="37" operator="containsText" text="Espèces">
      <formula>NOT(ISERROR(SEARCH("Espèces",I72)))</formula>
    </cfRule>
    <cfRule type="containsText" dxfId="487" priority="38" operator="containsText" text="Virement">
      <formula>NOT(ISERROR(SEARCH("Virement",I72)))</formula>
    </cfRule>
    <cfRule type="containsText" dxfId="486" priority="40" operator="containsText" text="Chèque">
      <formula>NOT(ISERROR(SEARCH("Chèque",I72)))</formula>
    </cfRule>
    <cfRule type="containsText" dxfId="485" priority="41" operator="containsText" text="GYG">
      <formula>NOT(ISERROR(SEARCH("GYG",I72)))</formula>
    </cfRule>
    <cfRule type="containsText" dxfId="484" priority="42" operator="containsText" text="Viator">
      <formula>NOT(ISERROR(SEARCH("Viator",I72)))</formula>
    </cfRule>
  </conditionalFormatting>
  <conditionalFormatting sqref="I72 K72 N72:N76">
    <cfRule type="containsText" dxfId="483" priority="39" operator="containsText" text="Chèque">
      <formula>NOT(ISERROR(SEARCH("Chèque",I72)))</formula>
    </cfRule>
  </conditionalFormatting>
  <conditionalFormatting sqref="K75 I75">
    <cfRule type="containsText" dxfId="482" priority="29" operator="containsText" text="CB">
      <formula>NOT(ISERROR(SEARCH("CB",I75)))</formula>
    </cfRule>
    <cfRule type="containsText" dxfId="481" priority="30" operator="containsText" text="Espèces">
      <formula>NOT(ISERROR(SEARCH("Espèces",I75)))</formula>
    </cfRule>
    <cfRule type="containsText" dxfId="480" priority="31" operator="containsText" text="Virement">
      <formula>NOT(ISERROR(SEARCH("Virement",I75)))</formula>
    </cfRule>
    <cfRule type="containsText" dxfId="479" priority="33" operator="containsText" text="Chèque">
      <formula>NOT(ISERROR(SEARCH("Chèque",I75)))</formula>
    </cfRule>
    <cfRule type="containsText" dxfId="478" priority="34" operator="containsText" text="GYG">
      <formula>NOT(ISERROR(SEARCH("GYG",I75)))</formula>
    </cfRule>
    <cfRule type="containsText" dxfId="477" priority="35" operator="containsText" text="Viator">
      <formula>NOT(ISERROR(SEARCH("Viator",I75)))</formula>
    </cfRule>
  </conditionalFormatting>
  <conditionalFormatting sqref="K75 I75">
    <cfRule type="containsText" dxfId="476" priority="32" operator="containsText" text="Chèque">
      <formula>NOT(ISERROR(SEARCH("Chèque",I75)))</formula>
    </cfRule>
  </conditionalFormatting>
  <conditionalFormatting sqref="I76 K76">
    <cfRule type="containsText" dxfId="475" priority="22" operator="containsText" text="CB">
      <formula>NOT(ISERROR(SEARCH("CB",I76)))</formula>
    </cfRule>
    <cfRule type="containsText" dxfId="474" priority="23" operator="containsText" text="Espèces">
      <formula>NOT(ISERROR(SEARCH("Espèces",I76)))</formula>
    </cfRule>
    <cfRule type="containsText" dxfId="473" priority="24" operator="containsText" text="Virement">
      <formula>NOT(ISERROR(SEARCH("Virement",I76)))</formula>
    </cfRule>
    <cfRule type="containsText" dxfId="472" priority="26" operator="containsText" text="Chèque">
      <formula>NOT(ISERROR(SEARCH("Chèque",I76)))</formula>
    </cfRule>
    <cfRule type="containsText" dxfId="471" priority="27" operator="containsText" text="GYG">
      <formula>NOT(ISERROR(SEARCH("GYG",I76)))</formula>
    </cfRule>
    <cfRule type="containsText" dxfId="470" priority="28" operator="containsText" text="Viator">
      <formula>NOT(ISERROR(SEARCH("Viator",I76)))</formula>
    </cfRule>
  </conditionalFormatting>
  <conditionalFormatting sqref="I76 K76">
    <cfRule type="containsText" dxfId="469" priority="25" operator="containsText" text="Chèque">
      <formula>NOT(ISERROR(SEARCH("Chèque",I76)))</formula>
    </cfRule>
  </conditionalFormatting>
  <conditionalFormatting sqref="I74 K74">
    <cfRule type="containsText" dxfId="468" priority="15" operator="containsText" text="CB">
      <formula>NOT(ISERROR(SEARCH("CB",I74)))</formula>
    </cfRule>
    <cfRule type="containsText" dxfId="467" priority="16" operator="containsText" text="Espèces">
      <formula>NOT(ISERROR(SEARCH("Espèces",I74)))</formula>
    </cfRule>
    <cfRule type="containsText" dxfId="466" priority="17" operator="containsText" text="Virement">
      <formula>NOT(ISERROR(SEARCH("Virement",I74)))</formula>
    </cfRule>
    <cfRule type="containsText" dxfId="465" priority="19" operator="containsText" text="Chèque">
      <formula>NOT(ISERROR(SEARCH("Chèque",I74)))</formula>
    </cfRule>
    <cfRule type="containsText" dxfId="464" priority="20" operator="containsText" text="GYG">
      <formula>NOT(ISERROR(SEARCH("GYG",I74)))</formula>
    </cfRule>
    <cfRule type="containsText" dxfId="463" priority="21" operator="containsText" text="Viator">
      <formula>NOT(ISERROR(SEARCH("Viator",I74)))</formula>
    </cfRule>
  </conditionalFormatting>
  <conditionalFormatting sqref="I74 K74">
    <cfRule type="containsText" dxfId="462" priority="18" operator="containsText" text="Chèque">
      <formula>NOT(ISERROR(SEARCH("Chèque",I74)))</formula>
    </cfRule>
  </conditionalFormatting>
  <conditionalFormatting sqref="K73 I73">
    <cfRule type="containsText" dxfId="461" priority="8" operator="containsText" text="CB">
      <formula>NOT(ISERROR(SEARCH("CB",I73)))</formula>
    </cfRule>
    <cfRule type="containsText" dxfId="460" priority="9" operator="containsText" text="Espèces">
      <formula>NOT(ISERROR(SEARCH("Espèces",I73)))</formula>
    </cfRule>
    <cfRule type="containsText" dxfId="459" priority="10" operator="containsText" text="Virement">
      <formula>NOT(ISERROR(SEARCH("Virement",I73)))</formula>
    </cfRule>
    <cfRule type="containsText" dxfId="458" priority="12" operator="containsText" text="Chèque">
      <formula>NOT(ISERROR(SEARCH("Chèque",I73)))</formula>
    </cfRule>
    <cfRule type="containsText" dxfId="457" priority="13" operator="containsText" text="GYG">
      <formula>NOT(ISERROR(SEARCH("GYG",I73)))</formula>
    </cfRule>
    <cfRule type="containsText" dxfId="456" priority="14" operator="containsText" text="Viator">
      <formula>NOT(ISERROR(SEARCH("Viator",I73)))</formula>
    </cfRule>
  </conditionalFormatting>
  <conditionalFormatting sqref="K73 I73">
    <cfRule type="containsText" dxfId="455" priority="11" operator="containsText" text="Chèque">
      <formula>NOT(ISERROR(SEARCH("Chèque",I73)))</formula>
    </cfRule>
  </conditionalFormatting>
  <conditionalFormatting sqref="L77 H77 J77">
    <cfRule type="containsText" dxfId="454" priority="1" operator="containsText" text="CB">
      <formula>NOT(ISERROR(SEARCH("CB",H77)))</formula>
    </cfRule>
    <cfRule type="containsText" dxfId="453" priority="2" operator="containsText" text="Espèces">
      <formula>NOT(ISERROR(SEARCH("Espèces",H77)))</formula>
    </cfRule>
    <cfRule type="containsText" dxfId="452" priority="3" operator="containsText" text="Virement">
      <formula>NOT(ISERROR(SEARCH("Virement",H77)))</formula>
    </cfRule>
    <cfRule type="containsText" dxfId="451" priority="5" operator="containsText" text="Chèque">
      <formula>NOT(ISERROR(SEARCH("Chèque",H77)))</formula>
    </cfRule>
    <cfRule type="containsText" dxfId="450" priority="6" operator="containsText" text="GYG">
      <formula>NOT(ISERROR(SEARCH("GYG",H77)))</formula>
    </cfRule>
    <cfRule type="containsText" dxfId="449" priority="7" operator="containsText" text="Viator">
      <formula>NOT(ISERROR(SEARCH("Viator",H77)))</formula>
    </cfRule>
  </conditionalFormatting>
  <conditionalFormatting sqref="L77 H77 J77">
    <cfRule type="containsText" dxfId="448" priority="4" operator="containsText" text="Chèque">
      <formula>NOT(ISERROR(SEARCH("Chèque",H77)))</formula>
    </cfRule>
  </conditionalFormatting>
  <dataValidations count="10">
    <dataValidation type="list" allowBlank="1" showInputMessage="1" showErrorMessage="1" sqref="O388:O1048576 L388:L1048576 O80:O82 L80:L82" xr:uid="{00000000-0002-0000-0100-000000000000}">
      <formula1>"90, 100, 147, 150, 200, 300, 340, 565, 600"</formula1>
    </dataValidation>
    <dataValidation type="list" allowBlank="1" showInputMessage="1" showErrorMessage="1" sqref="D388:E1048576 E1:E3 D1:D8 D79:E82" xr:uid="{00000000-0002-0000-0100-000001000000}">
      <formula1>"9h-11h, 9h-13h, 9h-17h, 9h30-11h30, 10h-12h, 11h30-13h30, 13h-17h, 14h-16h, 14h-18h, 16h30-18h30, "</formula1>
    </dataValidation>
    <dataValidation type="list" allowBlank="1" showInputMessage="1" showErrorMessage="1" promptTitle="Durée de la visite à sélectionne" sqref="H388:I1048576 I79:I82 H10 H78:H82 H12:H76" xr:uid="{00000000-0002-0000-0100-000003000000}">
      <formula1>"1,2,3,4,5,6,7,8,9,10"</formula1>
    </dataValidation>
    <dataValidation allowBlank="1" showInputMessage="1" showErrorMessage="1" promptTitle="Durée de la visite à sélectionne" sqref="I78 G77" xr:uid="{A2373E69-C215-5548-A17A-F3FC1F0F2DA7}"/>
    <dataValidation type="list" allowBlank="1" showInputMessage="1" sqref="L13:L21" xr:uid="{00000000-0002-0000-0100-000007000000}">
      <formula1>Couleurs1</formula1>
    </dataValidation>
    <dataValidation type="date" allowBlank="1" showInputMessage="1" showErrorMessage="1" sqref="R9:R71 P71 R73:R77" xr:uid="{00000000-0002-0000-0100-000002000000}">
      <formula1>45352</formula1>
      <formula2>45412</formula2>
    </dataValidation>
    <dataValidation type="list" allowBlank="1" showInputMessage="1" showErrorMessage="1" promptTitle="Durée de la visite à sélectionne" sqref="I39:I70 J71 M71 H77 L77 K72:K76 J77 I72:I76 K10:K70 I10:I37" xr:uid="{14A1847C-1FFF-0D42-9E6B-DB905BFC9763}">
      <formula1>"Chèque, Espèces, Virement, Viator, CB, GYG"</formula1>
    </dataValidation>
    <dataValidation type="list" allowBlank="1" showInputMessage="1" showErrorMessage="1" sqref="C72:C77" xr:uid="{98327213-320A-BA49-AD86-2C4517833F24}">
      <formula1>"AVRIL, MAI, JUIN , JUILLET, AOUT, SEPT, OCT, NOV, DEC, JANV, FEV, MARS"</formula1>
    </dataValidation>
    <dataValidation type="list" allowBlank="1" showInputMessage="1" showErrorMessage="1" promptTitle="Durée de la visite à sélectionne" sqref="N78:N1048576 N1:N76" xr:uid="{F8E7CB56-C891-1F44-8F2E-FF0075101C8B}">
      <formula1>"Chèque, Espèces, Virement, Viator, CB, GYG, Stripe"</formula1>
    </dataValidation>
    <dataValidation type="list" allowBlank="1" showInputMessage="1" showErrorMessage="1" sqref="C10:C71" xr:uid="{C5C77D09-5C4D-9848-936F-FA49D75EC096}">
      <formula1>"AVRIL, MAI, JUIN, JUILLET, AOUT, SEPT, OCT, DEC, JANV, FEV, MARS"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ED104C-98B9-D849-9204-F30D1E16C516}">
  <sheetPr codeName="Feuil3">
    <tabColor theme="5" tint="0.79998168889431442"/>
  </sheetPr>
  <dimension ref="B1:N38"/>
  <sheetViews>
    <sheetView topLeftCell="A2" zoomScale="66" workbookViewId="0">
      <selection activeCell="B11" sqref="B11"/>
    </sheetView>
  </sheetViews>
  <sheetFormatPr baseColWidth="10" defaultRowHeight="16" x14ac:dyDescent="0.2"/>
  <cols>
    <col min="1" max="1" width="7.33203125" customWidth="1"/>
    <col min="2" max="2" width="13.83203125" customWidth="1"/>
    <col min="3" max="3" width="13.6640625" customWidth="1"/>
    <col min="4" max="4" width="18.33203125" customWidth="1"/>
    <col min="5" max="5" width="19.33203125" customWidth="1"/>
    <col min="6" max="6" width="17.6640625" customWidth="1"/>
    <col min="7" max="7" width="3.5" hidden="1" customWidth="1"/>
    <col min="8" max="8" width="6.6640625" customWidth="1"/>
    <col min="9" max="9" width="15.83203125" customWidth="1"/>
    <col min="10" max="10" width="15.1640625" customWidth="1"/>
    <col min="11" max="11" width="4.6640625" customWidth="1"/>
    <col min="12" max="12" width="14.5" customWidth="1"/>
    <col min="13" max="13" width="13.33203125" customWidth="1"/>
  </cols>
  <sheetData>
    <row r="1" spans="2:14" ht="17" thickBot="1" x14ac:dyDescent="0.25"/>
    <row r="2" spans="2:14" ht="27" customHeight="1" x14ac:dyDescent="0.2">
      <c r="B2" s="170" t="s">
        <v>41</v>
      </c>
      <c r="C2" s="171"/>
      <c r="D2" s="171"/>
      <c r="E2" s="171"/>
      <c r="F2" s="171"/>
      <c r="G2" s="171"/>
      <c r="H2" s="171"/>
      <c r="I2" s="171"/>
      <c r="J2" s="172"/>
    </row>
    <row r="3" spans="2:14" ht="32" customHeight="1" thickBot="1" x14ac:dyDescent="0.25">
      <c r="B3" s="173"/>
      <c r="C3" s="174"/>
      <c r="D3" s="174"/>
      <c r="E3" s="174"/>
      <c r="F3" s="174"/>
      <c r="G3" s="174"/>
      <c r="H3" s="174"/>
      <c r="I3" s="174"/>
      <c r="J3" s="175"/>
    </row>
    <row r="4" spans="2:14" ht="25" thickBot="1" x14ac:dyDescent="0.25">
      <c r="B4" s="42"/>
      <c r="C4" s="42"/>
      <c r="D4" s="42"/>
      <c r="E4" s="42"/>
      <c r="F4" s="42"/>
      <c r="G4" s="42"/>
      <c r="H4" s="42"/>
      <c r="I4" s="42"/>
      <c r="J4" s="42"/>
    </row>
    <row r="5" spans="2:14" ht="24" x14ac:dyDescent="0.2">
      <c r="B5" s="42"/>
      <c r="C5" s="42"/>
      <c r="D5" s="42"/>
      <c r="E5" s="42"/>
      <c r="F5" s="176">
        <f>SUM(F8:F37)</f>
        <v>5609.81</v>
      </c>
      <c r="G5" s="42"/>
      <c r="H5" s="42"/>
      <c r="I5" s="178">
        <f>SUM(I8:I37)</f>
        <v>5609.81</v>
      </c>
      <c r="J5" s="180">
        <f>SUM(J8:J37)</f>
        <v>0</v>
      </c>
    </row>
    <row r="6" spans="2:14" ht="25" thickBot="1" x14ac:dyDescent="0.25">
      <c r="B6" s="42"/>
      <c r="C6" s="42"/>
      <c r="D6" s="42"/>
      <c r="E6" s="42"/>
      <c r="F6" s="177"/>
      <c r="G6" s="42"/>
      <c r="H6" s="42"/>
      <c r="I6" s="179"/>
      <c r="J6" s="181"/>
    </row>
    <row r="7" spans="2:14" ht="24" customHeight="1" x14ac:dyDescent="0.2">
      <c r="B7" s="44" t="s">
        <v>0</v>
      </c>
      <c r="C7" s="44" t="s">
        <v>42</v>
      </c>
      <c r="D7" s="44" t="s">
        <v>39</v>
      </c>
      <c r="E7" s="44" t="s">
        <v>76</v>
      </c>
      <c r="F7" s="45" t="s">
        <v>77</v>
      </c>
      <c r="G7" s="46" t="s">
        <v>74</v>
      </c>
      <c r="H7" s="47" t="s">
        <v>62</v>
      </c>
      <c r="I7" s="97" t="s">
        <v>78</v>
      </c>
      <c r="J7" s="98" t="s">
        <v>75</v>
      </c>
      <c r="K7" s="7"/>
    </row>
    <row r="8" spans="2:14" x14ac:dyDescent="0.2">
      <c r="B8" s="15">
        <v>15</v>
      </c>
      <c r="C8" s="15"/>
      <c r="D8" s="15" t="s">
        <v>67</v>
      </c>
      <c r="E8" s="15" t="s">
        <v>72</v>
      </c>
      <c r="F8" s="37">
        <v>544.29</v>
      </c>
      <c r="G8" s="27" cm="1">
        <f t="array" ref="G8">couleur</f>
        <v>2</v>
      </c>
      <c r="H8" s="33">
        <v>0</v>
      </c>
      <c r="I8" s="34">
        <f>F8/(1+H8)</f>
        <v>544.29</v>
      </c>
      <c r="J8" s="43">
        <f t="shared" ref="J8:J37" si="0">F8-I8</f>
        <v>0</v>
      </c>
      <c r="K8" s="7"/>
      <c r="L8" s="96" t="s">
        <v>36</v>
      </c>
      <c r="M8" s="20">
        <f>SUMIF(Tableau3[Mode de dépense],L8,Tableau3[Charge TTC])</f>
        <v>0</v>
      </c>
      <c r="N8" s="35">
        <f>M8</f>
        <v>0</v>
      </c>
    </row>
    <row r="9" spans="2:14" x14ac:dyDescent="0.2">
      <c r="B9" s="15">
        <v>16</v>
      </c>
      <c r="C9" s="15"/>
      <c r="D9" s="15" t="s">
        <v>68</v>
      </c>
      <c r="E9" s="15" t="s">
        <v>72</v>
      </c>
      <c r="F9" s="37">
        <v>459.26</v>
      </c>
      <c r="G9" s="27" cm="1">
        <f t="array" ref="G9">couleur</f>
        <v>49</v>
      </c>
      <c r="H9" s="33">
        <v>0</v>
      </c>
      <c r="I9" s="34">
        <f t="shared" ref="I9:I16" si="1">F9/(1+H9)</f>
        <v>459.26</v>
      </c>
      <c r="J9" s="43">
        <f t="shared" si="0"/>
        <v>0</v>
      </c>
      <c r="K9" s="7"/>
      <c r="L9" s="90" t="s">
        <v>47</v>
      </c>
      <c r="M9" s="20">
        <f>SUMIF(Tableau3[Mode de dépense],L9,Tableau3[Charge TTC])</f>
        <v>234.62</v>
      </c>
      <c r="N9" s="35">
        <f>M9/1.2</f>
        <v>195.51666666666668</v>
      </c>
    </row>
    <row r="10" spans="2:14" x14ac:dyDescent="0.2">
      <c r="B10" s="15"/>
      <c r="C10" s="15"/>
      <c r="D10" s="15" t="s">
        <v>69</v>
      </c>
      <c r="E10" s="15" t="s">
        <v>71</v>
      </c>
      <c r="F10" s="30">
        <v>24.8</v>
      </c>
      <c r="G10" s="27" cm="1">
        <f t="array" ref="G10">couleur</f>
        <v>15</v>
      </c>
      <c r="H10" s="33">
        <v>0</v>
      </c>
      <c r="I10" s="34">
        <f t="shared" si="1"/>
        <v>24.8</v>
      </c>
      <c r="J10" s="43">
        <f t="shared" si="0"/>
        <v>0</v>
      </c>
      <c r="K10" s="7"/>
      <c r="L10" s="91" t="s">
        <v>71</v>
      </c>
      <c r="M10" s="20">
        <f>SUMIF(Tableau3[Mode de dépense],L10,Tableau3[Charge TTC])</f>
        <v>3521.64</v>
      </c>
      <c r="N10" s="35"/>
    </row>
    <row r="11" spans="2:14" x14ac:dyDescent="0.2">
      <c r="B11" s="15"/>
      <c r="C11" s="15"/>
      <c r="D11" s="15" t="s">
        <v>70</v>
      </c>
      <c r="E11" s="15" t="s">
        <v>71</v>
      </c>
      <c r="F11" s="30">
        <v>20.51</v>
      </c>
      <c r="G11" s="27"/>
      <c r="H11" s="33">
        <v>0</v>
      </c>
      <c r="I11" s="34">
        <f t="shared" si="1"/>
        <v>20.51</v>
      </c>
      <c r="J11" s="43">
        <f t="shared" si="0"/>
        <v>0</v>
      </c>
      <c r="K11" s="7"/>
      <c r="L11" s="99" t="s">
        <v>48</v>
      </c>
      <c r="M11" s="20">
        <f>SUMIF(Tableau3[Mode de dépense],L11,Tableau3[Charge TTC])</f>
        <v>0</v>
      </c>
      <c r="N11" s="35">
        <f>M11/1.2</f>
        <v>0</v>
      </c>
    </row>
    <row r="12" spans="2:14" x14ac:dyDescent="0.2">
      <c r="B12" s="15"/>
      <c r="C12" s="15"/>
      <c r="D12" s="15" t="s">
        <v>70</v>
      </c>
      <c r="E12" s="15" t="s">
        <v>71</v>
      </c>
      <c r="F12" s="25">
        <v>19.989999999999998</v>
      </c>
      <c r="G12" s="27" cm="1">
        <f t="array" ref="G12">couleur</f>
        <v>15</v>
      </c>
      <c r="H12" s="33">
        <v>0</v>
      </c>
      <c r="I12" s="34">
        <f t="shared" si="1"/>
        <v>19.989999999999998</v>
      </c>
      <c r="J12" s="43">
        <f t="shared" si="0"/>
        <v>0</v>
      </c>
      <c r="K12" s="7"/>
      <c r="L12" s="100" t="s">
        <v>49</v>
      </c>
      <c r="M12" s="20">
        <f>SUMIF(Tableau3[Mode de dépense],L12,Tableau3[Charge TTC])</f>
        <v>500</v>
      </c>
      <c r="N12" s="35">
        <f>M12/1.2</f>
        <v>416.66666666666669</v>
      </c>
    </row>
    <row r="13" spans="2:14" x14ac:dyDescent="0.2">
      <c r="B13" s="19">
        <v>45391</v>
      </c>
      <c r="C13" s="15" t="s">
        <v>197</v>
      </c>
      <c r="D13" s="15" t="s">
        <v>13</v>
      </c>
      <c r="E13" s="15" t="s">
        <v>52</v>
      </c>
      <c r="F13" s="25">
        <v>100</v>
      </c>
      <c r="G13" s="27" cm="1">
        <f t="array" ref="G13">couleur</f>
        <v>15</v>
      </c>
      <c r="H13" s="33">
        <v>0</v>
      </c>
      <c r="I13" s="34">
        <f t="shared" si="1"/>
        <v>100</v>
      </c>
      <c r="J13" s="43">
        <f t="shared" si="0"/>
        <v>0</v>
      </c>
      <c r="K13" s="7"/>
      <c r="L13" s="101" t="s">
        <v>50</v>
      </c>
      <c r="M13" s="20">
        <f>SUMIF(Tableau3[Mode de dépense],L13,Tableau3[Charge TTC])</f>
        <v>0</v>
      </c>
      <c r="N13" s="35">
        <f>M13/1.2</f>
        <v>0</v>
      </c>
    </row>
    <row r="14" spans="2:14" x14ac:dyDescent="0.2">
      <c r="B14" s="15"/>
      <c r="C14" s="15"/>
      <c r="D14" s="15" t="s">
        <v>79</v>
      </c>
      <c r="E14" s="15" t="s">
        <v>71</v>
      </c>
      <c r="F14" s="25">
        <v>10</v>
      </c>
      <c r="G14" s="27" cm="1">
        <f t="array" ref="G14">couleur</f>
        <v>15</v>
      </c>
      <c r="H14" s="33">
        <v>0</v>
      </c>
      <c r="I14" s="34">
        <f t="shared" si="1"/>
        <v>10</v>
      </c>
      <c r="J14" s="43">
        <f t="shared" si="0"/>
        <v>0</v>
      </c>
      <c r="K14" s="7"/>
      <c r="L14" s="92" t="s">
        <v>52</v>
      </c>
      <c r="M14" s="20">
        <f>SUMIF(Tableau3[Mode de dépense],L14,Tableau3[Charge TTC])</f>
        <v>350</v>
      </c>
      <c r="N14" s="35">
        <f>M14</f>
        <v>350</v>
      </c>
    </row>
    <row r="15" spans="2:14" x14ac:dyDescent="0.2">
      <c r="B15" s="19">
        <v>45386</v>
      </c>
      <c r="C15" s="15"/>
      <c r="D15" s="129" t="s">
        <v>155</v>
      </c>
      <c r="E15" s="15" t="s">
        <v>47</v>
      </c>
      <c r="F15" s="25">
        <v>45.55</v>
      </c>
      <c r="G15" s="27" cm="1">
        <f t="array" ref="G15">couleur</f>
        <v>15</v>
      </c>
      <c r="H15" s="33">
        <v>0</v>
      </c>
      <c r="I15" s="34">
        <f t="shared" si="1"/>
        <v>45.55</v>
      </c>
      <c r="J15" s="43">
        <f t="shared" si="0"/>
        <v>0</v>
      </c>
      <c r="K15" s="7"/>
      <c r="L15" s="93" t="s">
        <v>51</v>
      </c>
      <c r="M15" s="20">
        <f>SUMIF(Tableau3[Mode de dépense],L15,Tableau3[Charge TTC])</f>
        <v>0</v>
      </c>
      <c r="N15" s="35">
        <f>M15/1.2</f>
        <v>0</v>
      </c>
    </row>
    <row r="16" spans="2:14" x14ac:dyDescent="0.2">
      <c r="B16" s="19">
        <v>45386</v>
      </c>
      <c r="C16" s="15"/>
      <c r="D16" s="129" t="s">
        <v>155</v>
      </c>
      <c r="E16" s="15" t="s">
        <v>47</v>
      </c>
      <c r="F16" s="25">
        <v>47.61</v>
      </c>
      <c r="G16" s="27" cm="1">
        <f t="array" ref="G16">couleur</f>
        <v>15</v>
      </c>
      <c r="H16" s="33">
        <v>0</v>
      </c>
      <c r="I16" s="34">
        <f t="shared" si="1"/>
        <v>47.61</v>
      </c>
      <c r="J16" s="43">
        <f t="shared" si="0"/>
        <v>0</v>
      </c>
      <c r="K16" s="7"/>
      <c r="L16" s="94" t="s">
        <v>60</v>
      </c>
      <c r="M16" s="20">
        <f>SUMIF(Tableau3[Mode de dépense],L16,Tableau3[Charge TTC])</f>
        <v>0</v>
      </c>
      <c r="N16" s="35">
        <f>M16/1.2</f>
        <v>0</v>
      </c>
    </row>
    <row r="17" spans="2:14" x14ac:dyDescent="0.2">
      <c r="B17" s="19">
        <v>45386</v>
      </c>
      <c r="C17" s="15"/>
      <c r="D17" s="129" t="s">
        <v>169</v>
      </c>
      <c r="E17" s="15" t="s">
        <v>71</v>
      </c>
      <c r="F17" s="25">
        <v>358.07</v>
      </c>
      <c r="G17" s="27" cm="1">
        <f t="array" ref="G17">couleur</f>
        <v>15</v>
      </c>
      <c r="H17" s="33">
        <v>0</v>
      </c>
      <c r="I17" s="34">
        <f t="shared" ref="I17:I37" si="2">F17/((1+H17))</f>
        <v>358.07</v>
      </c>
      <c r="J17" s="43">
        <f t="shared" si="0"/>
        <v>0</v>
      </c>
      <c r="K17" s="7"/>
      <c r="L17" s="95" t="s">
        <v>72</v>
      </c>
      <c r="M17" s="20">
        <f>SUMIF(Tableau3[Mode de dépense],L17,Tableau3[Charge TTC])</f>
        <v>1003.55</v>
      </c>
      <c r="N17" s="35">
        <f>M17/1.2</f>
        <v>836.29166666666663</v>
      </c>
    </row>
    <row r="18" spans="2:14" x14ac:dyDescent="0.2">
      <c r="B18" s="19">
        <v>45391</v>
      </c>
      <c r="C18" s="15"/>
      <c r="D18" s="15" t="s">
        <v>13</v>
      </c>
      <c r="E18" s="15" t="s">
        <v>52</v>
      </c>
      <c r="F18" s="25">
        <v>50</v>
      </c>
      <c r="G18" s="27" cm="1">
        <f t="array" ref="G18">couleur</f>
        <v>15</v>
      </c>
      <c r="H18" s="33">
        <v>0</v>
      </c>
      <c r="I18" s="34">
        <f t="shared" si="2"/>
        <v>50</v>
      </c>
      <c r="J18" s="43">
        <f t="shared" si="0"/>
        <v>0</v>
      </c>
      <c r="K18" s="7"/>
    </row>
    <row r="19" spans="2:14" x14ac:dyDescent="0.2">
      <c r="B19" s="15"/>
      <c r="C19" s="15"/>
      <c r="D19" s="129" t="s">
        <v>170</v>
      </c>
      <c r="E19" s="15" t="s">
        <v>71</v>
      </c>
      <c r="F19" s="25">
        <v>10</v>
      </c>
      <c r="G19" s="27" cm="1">
        <f t="array" ref="G19">couleur</f>
        <v>15</v>
      </c>
      <c r="H19" s="33">
        <v>0</v>
      </c>
      <c r="I19" s="34">
        <f t="shared" si="2"/>
        <v>10</v>
      </c>
      <c r="J19" s="43">
        <f t="shared" si="0"/>
        <v>0</v>
      </c>
      <c r="K19" s="7"/>
    </row>
    <row r="20" spans="2:14" x14ac:dyDescent="0.2">
      <c r="B20" s="15"/>
      <c r="C20" s="15"/>
      <c r="D20" s="15" t="s">
        <v>192</v>
      </c>
      <c r="E20" s="15" t="s">
        <v>71</v>
      </c>
      <c r="F20" s="25">
        <v>1650</v>
      </c>
      <c r="G20" s="27" cm="1">
        <f t="array" ref="G20">couleur</f>
        <v>15</v>
      </c>
      <c r="H20" s="33">
        <v>0</v>
      </c>
      <c r="I20" s="34">
        <f t="shared" si="2"/>
        <v>1650</v>
      </c>
      <c r="J20" s="43">
        <f t="shared" si="0"/>
        <v>0</v>
      </c>
      <c r="K20" s="7"/>
    </row>
    <row r="21" spans="2:14" x14ac:dyDescent="0.2">
      <c r="B21" s="15"/>
      <c r="C21" s="15"/>
      <c r="D21" s="15" t="s">
        <v>194</v>
      </c>
      <c r="E21" s="15" t="s">
        <v>71</v>
      </c>
      <c r="F21" s="25">
        <v>109.66</v>
      </c>
      <c r="G21" s="27" cm="1">
        <f t="array" ref="G21">couleur</f>
        <v>15</v>
      </c>
      <c r="H21" s="33">
        <v>0</v>
      </c>
      <c r="I21" s="34">
        <f t="shared" si="2"/>
        <v>109.66</v>
      </c>
      <c r="J21" s="43">
        <f t="shared" si="0"/>
        <v>0</v>
      </c>
      <c r="K21" s="7"/>
    </row>
    <row r="22" spans="2:14" x14ac:dyDescent="0.2">
      <c r="B22" s="19">
        <v>45391</v>
      </c>
      <c r="C22" s="15"/>
      <c r="D22" s="15" t="s">
        <v>155</v>
      </c>
      <c r="E22" s="15" t="s">
        <v>47</v>
      </c>
      <c r="F22" s="25">
        <v>58.02</v>
      </c>
      <c r="G22" s="27" cm="1">
        <f t="array" ref="G22">couleur</f>
        <v>15</v>
      </c>
      <c r="H22" s="33">
        <v>0</v>
      </c>
      <c r="I22" s="34">
        <f t="shared" si="2"/>
        <v>58.02</v>
      </c>
      <c r="J22" s="43">
        <f t="shared" si="0"/>
        <v>0</v>
      </c>
      <c r="K22" s="7"/>
    </row>
    <row r="23" spans="2:14" x14ac:dyDescent="0.2">
      <c r="B23" s="19">
        <v>45391</v>
      </c>
      <c r="C23" s="15"/>
      <c r="D23" s="15" t="s">
        <v>155</v>
      </c>
      <c r="E23" s="15" t="s">
        <v>47</v>
      </c>
      <c r="F23" s="25">
        <v>19.8</v>
      </c>
      <c r="G23" s="27" cm="1">
        <f t="array" ref="G23">couleur</f>
        <v>15</v>
      </c>
      <c r="H23" s="33">
        <v>0</v>
      </c>
      <c r="I23" s="34">
        <f t="shared" si="2"/>
        <v>19.8</v>
      </c>
      <c r="J23" s="43">
        <f t="shared" si="0"/>
        <v>0</v>
      </c>
      <c r="K23" s="7"/>
    </row>
    <row r="24" spans="2:14" x14ac:dyDescent="0.2">
      <c r="B24" s="19">
        <v>45392</v>
      </c>
      <c r="C24" s="15"/>
      <c r="D24" s="15" t="s">
        <v>209</v>
      </c>
      <c r="E24" s="15" t="s">
        <v>71</v>
      </c>
      <c r="F24" s="25">
        <v>420.69</v>
      </c>
      <c r="G24" s="27" cm="1">
        <f t="array" ref="G24">couleur</f>
        <v>15</v>
      </c>
      <c r="H24" s="33">
        <v>0</v>
      </c>
      <c r="I24" s="34">
        <f t="shared" si="2"/>
        <v>420.69</v>
      </c>
      <c r="J24" s="43">
        <f t="shared" si="0"/>
        <v>0</v>
      </c>
      <c r="K24" s="7"/>
    </row>
    <row r="25" spans="2:14" x14ac:dyDescent="0.2">
      <c r="B25" s="19">
        <v>45393</v>
      </c>
      <c r="C25" s="15"/>
      <c r="D25" s="15" t="s">
        <v>216</v>
      </c>
      <c r="E25" s="15" t="s">
        <v>71</v>
      </c>
      <c r="F25" s="25">
        <v>110.71</v>
      </c>
      <c r="G25" s="27" cm="1">
        <f t="array" ref="G25">couleur</f>
        <v>15</v>
      </c>
      <c r="H25" s="33">
        <v>0</v>
      </c>
      <c r="I25" s="34">
        <f t="shared" si="2"/>
        <v>110.71</v>
      </c>
      <c r="J25" s="43">
        <f t="shared" si="0"/>
        <v>0</v>
      </c>
      <c r="K25" s="7"/>
    </row>
    <row r="26" spans="2:14" x14ac:dyDescent="0.2">
      <c r="B26" s="19">
        <v>45396</v>
      </c>
      <c r="C26" s="15"/>
      <c r="D26" s="15" t="s">
        <v>218</v>
      </c>
      <c r="E26" s="15" t="s">
        <v>71</v>
      </c>
      <c r="F26" s="25">
        <v>52.87</v>
      </c>
      <c r="G26" s="27" cm="1">
        <f t="array" ref="G26">couleur</f>
        <v>15</v>
      </c>
      <c r="H26" s="33">
        <v>0</v>
      </c>
      <c r="I26" s="34">
        <f t="shared" si="2"/>
        <v>52.87</v>
      </c>
      <c r="J26" s="43">
        <f t="shared" si="0"/>
        <v>0</v>
      </c>
      <c r="K26" s="7"/>
    </row>
    <row r="27" spans="2:14" x14ac:dyDescent="0.2">
      <c r="B27" s="15"/>
      <c r="C27" s="15"/>
      <c r="D27" s="15" t="s">
        <v>219</v>
      </c>
      <c r="E27" s="15" t="s">
        <v>71</v>
      </c>
      <c r="F27" s="25">
        <v>14.34</v>
      </c>
      <c r="G27" s="27" cm="1">
        <f t="array" ref="G27">couleur</f>
        <v>15</v>
      </c>
      <c r="H27" s="33">
        <v>0</v>
      </c>
      <c r="I27" s="34">
        <f t="shared" si="2"/>
        <v>14.34</v>
      </c>
      <c r="J27" s="43">
        <f t="shared" si="0"/>
        <v>0</v>
      </c>
      <c r="K27" s="7"/>
    </row>
    <row r="28" spans="2:14" x14ac:dyDescent="0.2">
      <c r="B28" s="15"/>
      <c r="C28" s="15"/>
      <c r="D28" s="160" t="s">
        <v>220</v>
      </c>
      <c r="E28" s="158" t="s">
        <v>71</v>
      </c>
      <c r="F28" s="159">
        <v>720</v>
      </c>
      <c r="G28" s="27" cm="1">
        <f t="array" ref="G28">couleur</f>
        <v>15</v>
      </c>
      <c r="H28" s="33">
        <v>0</v>
      </c>
      <c r="I28" s="34">
        <f t="shared" si="2"/>
        <v>720</v>
      </c>
      <c r="J28" s="43">
        <f t="shared" si="0"/>
        <v>0</v>
      </c>
      <c r="K28" s="7"/>
    </row>
    <row r="29" spans="2:14" x14ac:dyDescent="0.2">
      <c r="B29" s="19">
        <v>45398</v>
      </c>
      <c r="C29" s="15"/>
      <c r="D29" s="15" t="s">
        <v>225</v>
      </c>
      <c r="E29" s="15" t="s">
        <v>47</v>
      </c>
      <c r="F29" s="25">
        <v>63.64</v>
      </c>
      <c r="G29" s="27" cm="1">
        <f t="array" ref="G29">couleur</f>
        <v>15</v>
      </c>
      <c r="H29" s="33">
        <v>0</v>
      </c>
      <c r="I29" s="34">
        <f t="shared" si="2"/>
        <v>63.64</v>
      </c>
      <c r="J29" s="43">
        <f t="shared" si="0"/>
        <v>0</v>
      </c>
      <c r="K29" s="7"/>
    </row>
    <row r="30" spans="2:14" x14ac:dyDescent="0.2">
      <c r="B30" s="19">
        <v>45398</v>
      </c>
      <c r="C30" s="15"/>
      <c r="D30" s="15" t="s">
        <v>235</v>
      </c>
      <c r="E30" s="15" t="s">
        <v>49</v>
      </c>
      <c r="F30" s="25">
        <v>500</v>
      </c>
      <c r="G30" s="27" cm="1">
        <f t="array" ref="G30">couleur</f>
        <v>15</v>
      </c>
      <c r="H30" s="33">
        <v>0</v>
      </c>
      <c r="I30" s="34">
        <f t="shared" si="2"/>
        <v>500</v>
      </c>
      <c r="J30" s="43">
        <f t="shared" si="0"/>
        <v>0</v>
      </c>
      <c r="K30" s="7"/>
    </row>
    <row r="31" spans="2:14" x14ac:dyDescent="0.2">
      <c r="B31" s="15"/>
      <c r="C31" s="15"/>
      <c r="D31" s="15"/>
      <c r="E31" s="15"/>
      <c r="F31" s="25"/>
      <c r="G31" s="27" cm="1">
        <f t="array" ref="G31">couleur</f>
        <v>15</v>
      </c>
      <c r="H31" s="33">
        <v>0</v>
      </c>
      <c r="I31" s="34">
        <f t="shared" si="2"/>
        <v>0</v>
      </c>
      <c r="J31" s="43">
        <f t="shared" si="0"/>
        <v>0</v>
      </c>
      <c r="K31" s="7"/>
    </row>
    <row r="32" spans="2:14" x14ac:dyDescent="0.2">
      <c r="B32" s="15"/>
      <c r="C32" s="15"/>
      <c r="D32" s="15"/>
      <c r="E32" s="15"/>
      <c r="F32" s="25"/>
      <c r="G32" s="27" cm="1">
        <f t="array" ref="G32">couleur</f>
        <v>15</v>
      </c>
      <c r="H32" s="33">
        <v>0</v>
      </c>
      <c r="I32" s="34">
        <f t="shared" si="2"/>
        <v>0</v>
      </c>
      <c r="J32" s="43">
        <f t="shared" si="0"/>
        <v>0</v>
      </c>
      <c r="K32" s="7"/>
    </row>
    <row r="33" spans="2:11" x14ac:dyDescent="0.2">
      <c r="B33" s="15"/>
      <c r="C33" s="15"/>
      <c r="D33" s="15"/>
      <c r="E33" s="15"/>
      <c r="F33" s="25"/>
      <c r="G33" s="27" cm="1">
        <f t="array" ref="G33">couleur</f>
        <v>15</v>
      </c>
      <c r="H33" s="33">
        <v>0</v>
      </c>
      <c r="I33" s="34">
        <f t="shared" si="2"/>
        <v>0</v>
      </c>
      <c r="J33" s="43">
        <f t="shared" si="0"/>
        <v>0</v>
      </c>
      <c r="K33" s="7"/>
    </row>
    <row r="34" spans="2:11" x14ac:dyDescent="0.2">
      <c r="B34" s="19">
        <v>45408</v>
      </c>
      <c r="C34" s="15"/>
      <c r="D34" s="15" t="s">
        <v>126</v>
      </c>
      <c r="E34" s="15" t="s">
        <v>52</v>
      </c>
      <c r="F34" s="25">
        <v>100</v>
      </c>
      <c r="G34" s="27" cm="1">
        <f t="array" ref="G34">couleur</f>
        <v>15</v>
      </c>
      <c r="H34" s="33">
        <v>0</v>
      </c>
      <c r="I34" s="34">
        <f t="shared" si="2"/>
        <v>100</v>
      </c>
      <c r="J34" s="43">
        <f t="shared" si="0"/>
        <v>0</v>
      </c>
      <c r="K34" s="7"/>
    </row>
    <row r="35" spans="2:11" x14ac:dyDescent="0.2">
      <c r="B35" s="19">
        <v>45408</v>
      </c>
      <c r="C35" s="15"/>
      <c r="D35" s="15" t="s">
        <v>168</v>
      </c>
      <c r="E35" s="15" t="s">
        <v>52</v>
      </c>
      <c r="F35" s="25">
        <v>100</v>
      </c>
      <c r="G35" s="27" cm="1">
        <f t="array" ref="G35">couleur</f>
        <v>15</v>
      </c>
      <c r="H35" s="33">
        <v>0</v>
      </c>
      <c r="I35" s="34">
        <f t="shared" si="2"/>
        <v>100</v>
      </c>
      <c r="J35" s="43">
        <f t="shared" si="0"/>
        <v>0</v>
      </c>
      <c r="K35" s="7"/>
    </row>
    <row r="36" spans="2:11" x14ac:dyDescent="0.2">
      <c r="B36" s="15"/>
      <c r="C36" s="15"/>
      <c r="D36" s="15"/>
      <c r="E36" s="15"/>
      <c r="F36" s="25"/>
      <c r="G36" s="27" cm="1">
        <f t="array" ref="G36">couleur</f>
        <v>15</v>
      </c>
      <c r="H36" s="33">
        <v>0</v>
      </c>
      <c r="I36" s="34">
        <f t="shared" si="2"/>
        <v>0</v>
      </c>
      <c r="J36" s="43">
        <f t="shared" si="0"/>
        <v>0</v>
      </c>
    </row>
    <row r="37" spans="2:11" x14ac:dyDescent="0.2">
      <c r="B37" s="15"/>
      <c r="C37" s="15"/>
      <c r="D37" s="15"/>
      <c r="E37" s="15"/>
      <c r="F37" s="25"/>
      <c r="G37" s="27" cm="1">
        <f t="array" ref="G37">couleur</f>
        <v>15</v>
      </c>
      <c r="H37" s="33">
        <v>0</v>
      </c>
      <c r="I37" s="34">
        <f t="shared" si="2"/>
        <v>0</v>
      </c>
      <c r="J37" s="43">
        <f t="shared" si="0"/>
        <v>0</v>
      </c>
    </row>
    <row r="38" spans="2:11" x14ac:dyDescent="0.2">
      <c r="H38" s="168"/>
      <c r="I38" s="168"/>
      <c r="J38" s="169"/>
    </row>
  </sheetData>
  <mergeCells count="5">
    <mergeCell ref="H38:J38"/>
    <mergeCell ref="B2:J3"/>
    <mergeCell ref="F5:F6"/>
    <mergeCell ref="I5:I6"/>
    <mergeCell ref="J5:J6"/>
  </mergeCells>
  <conditionalFormatting sqref="E8:E27 E29:E37">
    <cfRule type="containsText" dxfId="447" priority="1" operator="containsText" text="Emprunt/Crédit">
      <formula>NOT(ISERROR(SEARCH("Emprunt/Crédit",E8)))</formula>
    </cfRule>
    <cfRule type="containsText" dxfId="446" priority="2" operator="containsText" text="Garage">
      <formula>NOT(ISERROR(SEARCH("Garage",E8)))</formula>
    </cfRule>
    <cfRule type="containsText" dxfId="445" priority="4" operator="containsText" text="Visite JB Hub">
      <formula>NOT(ISERROR(SEARCH("Visite JB Hub",E8)))</formula>
    </cfRule>
    <cfRule type="containsText" dxfId="444" priority="5" operator="containsText" text="Repas">
      <formula>NOT(ISERROR(SEARCH("Repas",E8)))</formula>
    </cfRule>
    <cfRule type="containsText" dxfId="443" priority="6" operator="containsText" text="Communication">
      <formula>NOT(ISERROR(SEARCH("Communication",E8)))</formula>
    </cfRule>
    <cfRule type="containsText" dxfId="442" priority="7" operator="containsText" text="Jeep">
      <formula>NOT(ISERROR(SEARCH("Jeep",E8)))</formula>
    </cfRule>
    <cfRule type="containsText" dxfId="441" priority="8" operator="containsText" text="Structure">
      <formula>NOT(ISERROR(SEARCH("Structure",E8)))</formula>
    </cfRule>
    <cfRule type="containsText" dxfId="440" priority="9" operator="containsText" text="Essence">
      <formula>NOT(ISERROR(SEARCH("Essence",E8)))</formula>
    </cfRule>
    <cfRule type="containsText" dxfId="439" priority="10" operator="containsText" text="Salaire">
      <formula>NOT(ISERROR(SEARCH("Salaire",E8)))</formula>
    </cfRule>
  </conditionalFormatting>
  <conditionalFormatting sqref="E8:E27 E29:E38">
    <cfRule type="containsText" dxfId="438" priority="3" operator="containsText" text="Assurance">
      <formula>NOT(ISERROR(SEARCH("Assurance",E8)))</formula>
    </cfRule>
  </conditionalFormatting>
  <dataValidations count="3">
    <dataValidation allowBlank="1" showInputMessage="1" sqref="F8:F27 F29:F37" xr:uid="{00000000-0002-0000-0100-000006000000}"/>
    <dataValidation type="list" allowBlank="1" showInputMessage="1" showErrorMessage="1" sqref="E8:E27 E29:E37" xr:uid="{2C7D6686-9486-814A-A556-3EC64FECB836}">
      <formula1>"Salaire, Essence, Structure, Jeep, Communication, Repas, Visite JB Hub, Assurance, Garage, Emprunt/Crédit, Bureau"</formula1>
    </dataValidation>
    <dataValidation type="list" allowBlank="1" showInputMessage="1" showErrorMessage="1" sqref="H8:H37" xr:uid="{421D08F5-9FF6-ED43-8781-56DF044039AD}">
      <formula1>"0%, 20%"</formula1>
    </dataValidation>
  </dataValidation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068E15-EC9C-A940-B81A-4F1BA6B181BE}">
  <sheetPr>
    <tabColor rgb="FF92D050"/>
  </sheetPr>
  <dimension ref="A1:X57"/>
  <sheetViews>
    <sheetView topLeftCell="A7" zoomScale="85" zoomScaleNormal="133" workbookViewId="0">
      <selection activeCell="C10" sqref="C10:C55"/>
    </sheetView>
  </sheetViews>
  <sheetFormatPr baseColWidth="10" defaultRowHeight="16" x14ac:dyDescent="0.2"/>
  <cols>
    <col min="1" max="1" width="4.33203125" customWidth="1"/>
    <col min="2" max="3" width="13.5" customWidth="1"/>
    <col min="4" max="4" width="14.33203125" customWidth="1"/>
    <col min="5" max="5" width="12" customWidth="1"/>
    <col min="6" max="6" width="13.5" customWidth="1"/>
    <col min="7" max="7" width="6.1640625" customWidth="1"/>
    <col min="8" max="8" width="5.5" customWidth="1"/>
    <col min="9" max="9" width="8.83203125" style="7" customWidth="1"/>
    <col min="10" max="10" width="25" style="7" customWidth="1"/>
    <col min="11" max="11" width="7.5" style="7" customWidth="1"/>
    <col min="12" max="12" width="16.6640625" style="7" customWidth="1"/>
    <col min="13" max="13" width="1.1640625" style="7" hidden="1" customWidth="1"/>
    <col min="14" max="14" width="8.6640625" style="7" customWidth="1"/>
    <col min="15" max="15" width="16.6640625" customWidth="1"/>
    <col min="16" max="16" width="4" hidden="1" customWidth="1"/>
    <col min="17" max="17" width="21.5" customWidth="1"/>
    <col min="18" max="18" width="3.83203125" customWidth="1"/>
    <col min="20" max="21" width="14.1640625" customWidth="1"/>
    <col min="22" max="22" width="13" customWidth="1"/>
    <col min="23" max="23" width="13.6640625" customWidth="1"/>
    <col min="24" max="24" width="13" customWidth="1"/>
  </cols>
  <sheetData>
    <row r="1" spans="1:24" ht="17" thickBot="1" x14ac:dyDescent="0.25">
      <c r="F1" s="63"/>
      <c r="G1" s="64"/>
      <c r="H1" s="64"/>
      <c r="I1" s="65"/>
      <c r="J1" s="65"/>
      <c r="K1" s="65"/>
      <c r="L1" s="65"/>
      <c r="M1" s="65"/>
      <c r="N1" s="65"/>
      <c r="O1" s="66"/>
    </row>
    <row r="2" spans="1:24" ht="22" x14ac:dyDescent="0.2">
      <c r="F2" s="161" t="s">
        <v>40</v>
      </c>
      <c r="G2" s="162"/>
      <c r="H2" s="162"/>
      <c r="I2" s="162"/>
      <c r="J2" s="162"/>
      <c r="K2" s="162"/>
      <c r="L2" s="162"/>
      <c r="M2" s="162"/>
      <c r="N2" s="162"/>
      <c r="O2" s="163"/>
      <c r="P2" s="23"/>
    </row>
    <row r="3" spans="1:24" ht="23" thickBot="1" x14ac:dyDescent="0.25">
      <c r="F3" s="164"/>
      <c r="G3" s="165"/>
      <c r="H3" s="165"/>
      <c r="I3" s="165"/>
      <c r="J3" s="165"/>
      <c r="K3" s="165"/>
      <c r="L3" s="165"/>
      <c r="M3" s="165"/>
      <c r="N3" s="165"/>
      <c r="O3" s="166"/>
      <c r="P3" s="23"/>
    </row>
    <row r="4" spans="1:24" ht="25" thickBot="1" x14ac:dyDescent="0.25">
      <c r="F4" s="61"/>
      <c r="G4" s="61"/>
      <c r="H4" s="61"/>
      <c r="I4" s="61"/>
      <c r="J4" s="61"/>
      <c r="K4" s="61"/>
      <c r="L4" s="61"/>
      <c r="M4" s="61"/>
      <c r="N4" s="61"/>
      <c r="O4" s="61"/>
      <c r="P4" s="23"/>
    </row>
    <row r="5" spans="1:24" ht="60" x14ac:dyDescent="0.2">
      <c r="F5" s="61"/>
      <c r="G5" s="61"/>
      <c r="H5" s="61"/>
      <c r="I5" s="61"/>
      <c r="J5" s="103" t="s">
        <v>87</v>
      </c>
      <c r="K5" s="61"/>
      <c r="L5" s="71" t="s">
        <v>66</v>
      </c>
      <c r="M5" s="61"/>
      <c r="N5" s="61"/>
      <c r="O5" s="61"/>
      <c r="P5" s="23"/>
    </row>
    <row r="6" spans="1:24" ht="29" x14ac:dyDescent="0.2">
      <c r="F6" s="61"/>
      <c r="G6" s="61"/>
      <c r="H6" s="61"/>
      <c r="I6" s="61"/>
      <c r="J6" s="104"/>
      <c r="K6" s="61"/>
      <c r="L6" s="72"/>
      <c r="M6" s="61"/>
      <c r="N6" s="61"/>
      <c r="O6" s="61"/>
      <c r="P6" s="23"/>
    </row>
    <row r="7" spans="1:24" ht="30" thickBot="1" x14ac:dyDescent="0.25">
      <c r="H7" s="67"/>
      <c r="J7" s="105">
        <f ca="1">SUM(J56:O56)</f>
        <v>8239.83</v>
      </c>
      <c r="K7" s="69"/>
      <c r="L7" s="73">
        <f>J57+L57+O57</f>
        <v>8237.83</v>
      </c>
      <c r="P7" s="68">
        <f ca="1">J7</f>
        <v>8239.83</v>
      </c>
    </row>
    <row r="8" spans="1:24" ht="24" x14ac:dyDescent="0.2">
      <c r="F8" s="61"/>
      <c r="G8" s="61"/>
      <c r="H8" s="61"/>
      <c r="I8" s="61"/>
      <c r="J8" s="61"/>
      <c r="K8" s="61"/>
      <c r="L8" s="61"/>
      <c r="M8" s="61"/>
      <c r="N8" s="61"/>
      <c r="O8" s="61"/>
      <c r="P8" s="23"/>
    </row>
    <row r="9" spans="1:24" ht="22" x14ac:dyDescent="0.2">
      <c r="B9" s="52" t="s">
        <v>0</v>
      </c>
      <c r="C9" s="141" t="s">
        <v>202</v>
      </c>
      <c r="D9" s="55" t="s">
        <v>1</v>
      </c>
      <c r="E9" s="55" t="s">
        <v>82</v>
      </c>
      <c r="F9" s="56" t="s">
        <v>83</v>
      </c>
      <c r="G9" s="56" t="s">
        <v>191</v>
      </c>
      <c r="H9" s="56" t="s">
        <v>88</v>
      </c>
      <c r="I9" s="57" t="s">
        <v>84</v>
      </c>
      <c r="J9" s="56" t="s">
        <v>2</v>
      </c>
      <c r="K9" s="58" t="s">
        <v>85</v>
      </c>
      <c r="L9" s="59" t="s">
        <v>3</v>
      </c>
      <c r="M9" s="53" t="s">
        <v>80</v>
      </c>
      <c r="N9" s="60" t="s">
        <v>86</v>
      </c>
      <c r="O9" s="59" t="s">
        <v>4</v>
      </c>
      <c r="P9" s="54" t="s">
        <v>81</v>
      </c>
      <c r="Q9" s="55" t="s">
        <v>5</v>
      </c>
      <c r="S9" s="74" t="s">
        <v>59</v>
      </c>
      <c r="T9" s="48" t="s">
        <v>53</v>
      </c>
      <c r="U9" s="49" t="s">
        <v>54</v>
      </c>
      <c r="V9" s="50" t="s">
        <v>55</v>
      </c>
      <c r="W9" s="88" t="s">
        <v>37</v>
      </c>
      <c r="X9" s="78" t="s">
        <v>89</v>
      </c>
    </row>
    <row r="10" spans="1:24" x14ac:dyDescent="0.2">
      <c r="A10" s="167"/>
      <c r="B10" s="11" t="s">
        <v>90</v>
      </c>
      <c r="C10" s="11" t="s">
        <v>18</v>
      </c>
      <c r="D10" s="9" t="s">
        <v>58</v>
      </c>
      <c r="E10" s="9" t="s">
        <v>98</v>
      </c>
      <c r="F10" s="9"/>
      <c r="G10" s="9"/>
      <c r="H10" s="3">
        <v>4</v>
      </c>
      <c r="I10" s="3" t="s">
        <v>46</v>
      </c>
      <c r="J10" s="32">
        <v>295.75</v>
      </c>
      <c r="K10" s="3"/>
      <c r="L10" s="51"/>
      <c r="M10" s="31" cm="1">
        <f t="array" aca="1" ref="M10" ca="1">couleur+NOW()-NOW()</f>
        <v>2</v>
      </c>
      <c r="N10" s="3"/>
      <c r="O10" s="30"/>
      <c r="P10" s="24" cm="1">
        <f t="array" aca="1" ref="P10" ca="1">couleur+NOW()-NOW()</f>
        <v>2</v>
      </c>
      <c r="Q10" s="9"/>
      <c r="S10" s="16" t="s">
        <v>43</v>
      </c>
      <c r="T10" s="22">
        <f>SUMIF(Tableau55[$T],S10,Tableau55[Thomas])</f>
        <v>0</v>
      </c>
      <c r="U10" s="22">
        <f>SUMIF(Tableau55[$F],S10,Tableau55[Flavie])</f>
        <v>0</v>
      </c>
      <c r="V10" s="22">
        <f>SUMIF(Tableau55[$R],S10,Tableau55[Raphaëlle])</f>
        <v>0</v>
      </c>
      <c r="W10" s="87">
        <f t="shared" ref="W10:W15" si="0">SUM(T10:V10)</f>
        <v>0</v>
      </c>
      <c r="X10" s="79">
        <f t="shared" ref="X10:X15" si="1">(T10+U10+V10)/1</f>
        <v>0</v>
      </c>
    </row>
    <row r="11" spans="1:24" x14ac:dyDescent="0.2">
      <c r="A11" s="167"/>
      <c r="B11" s="11" t="s">
        <v>90</v>
      </c>
      <c r="C11" s="11" t="s">
        <v>18</v>
      </c>
      <c r="D11" s="9" t="s">
        <v>15</v>
      </c>
      <c r="E11" s="9" t="s">
        <v>61</v>
      </c>
      <c r="F11" s="9"/>
      <c r="G11" s="109"/>
      <c r="H11" s="7">
        <v>2</v>
      </c>
      <c r="J11" s="32"/>
      <c r="K11" s="7" t="s">
        <v>61</v>
      </c>
      <c r="L11" s="51">
        <v>153.84</v>
      </c>
      <c r="M11" s="31" cm="1">
        <f t="array" aca="1" ref="M11" ca="1">couleur+NOW()-NOW()</f>
        <v>2</v>
      </c>
      <c r="O11" s="51"/>
      <c r="P11" s="24" cm="1">
        <f t="array" aca="1" ref="P11" ca="1">couleur+NOW()-NOW()</f>
        <v>2</v>
      </c>
      <c r="Q11" s="9"/>
      <c r="S11" s="17" t="s">
        <v>44</v>
      </c>
      <c r="T11" s="22">
        <f>SUMIF(Tableau55[$T],S11,Tableau55[Thomas])</f>
        <v>0</v>
      </c>
      <c r="U11" s="22">
        <f>SUMIF(Tableau55[$F],S11,Tableau55[Flavie])</f>
        <v>0</v>
      </c>
      <c r="V11" s="22">
        <f>SUMIF(Tableau55[$R],S11,Tableau55[Raphaëlle])</f>
        <v>0</v>
      </c>
      <c r="W11" s="87">
        <f t="shared" si="0"/>
        <v>0</v>
      </c>
      <c r="X11" s="79">
        <f t="shared" si="1"/>
        <v>0</v>
      </c>
    </row>
    <row r="12" spans="1:24" x14ac:dyDescent="0.2">
      <c r="A12" s="167"/>
      <c r="B12" s="11">
        <v>45387</v>
      </c>
      <c r="C12" s="11" t="s">
        <v>18</v>
      </c>
      <c r="D12" s="9" t="s">
        <v>10</v>
      </c>
      <c r="E12" s="9" t="s">
        <v>98</v>
      </c>
      <c r="F12" s="9"/>
      <c r="G12" s="9"/>
      <c r="H12" s="3">
        <v>4</v>
      </c>
      <c r="I12" s="3" t="s">
        <v>46</v>
      </c>
      <c r="J12" s="51">
        <v>302.39999999999998</v>
      </c>
      <c r="K12" s="3"/>
      <c r="L12" s="51"/>
      <c r="M12" s="31" cm="1">
        <f t="array" aca="1" ref="M12" ca="1">couleur+NOW()-NOW()</f>
        <v>2</v>
      </c>
      <c r="N12" s="3"/>
      <c r="O12" s="32"/>
      <c r="P12" s="24" cm="1">
        <f t="array" aca="1" ref="P12" ca="1">couleur+NOW()-NOW()</f>
        <v>2</v>
      </c>
      <c r="Q12" s="9"/>
      <c r="S12" s="18" t="s">
        <v>45</v>
      </c>
      <c r="T12" s="22">
        <f>SUMIF(Tableau55[$T],S12,Tableau55[Thomas])</f>
        <v>0</v>
      </c>
      <c r="U12" s="22">
        <f>SUMIF(Tableau55[$F],S12,Tableau55[Flavie])</f>
        <v>0</v>
      </c>
      <c r="V12" s="22">
        <f>SUMIF(Tableau55[$R],S12,Tableau55[Raphaëlle])</f>
        <v>0</v>
      </c>
      <c r="W12" s="87">
        <f t="shared" si="0"/>
        <v>0</v>
      </c>
      <c r="X12" s="79">
        <f t="shared" si="1"/>
        <v>0</v>
      </c>
    </row>
    <row r="13" spans="1:24" x14ac:dyDescent="0.2">
      <c r="A13" s="167"/>
      <c r="B13" s="11">
        <v>45391</v>
      </c>
      <c r="C13" s="11" t="s">
        <v>18</v>
      </c>
      <c r="D13" s="9" t="s">
        <v>15</v>
      </c>
      <c r="E13" s="9" t="s">
        <v>98</v>
      </c>
      <c r="F13" s="9"/>
      <c r="G13" s="9"/>
      <c r="H13" s="3">
        <v>2</v>
      </c>
      <c r="I13" s="3" t="s">
        <v>46</v>
      </c>
      <c r="J13" s="32">
        <v>160</v>
      </c>
      <c r="K13" s="3"/>
      <c r="L13" s="51"/>
      <c r="M13" s="31" cm="1">
        <f t="array" aca="1" ref="M13" ca="1">couleur+NOW()-NOW()</f>
        <v>40</v>
      </c>
      <c r="N13" s="3"/>
      <c r="O13" s="32"/>
      <c r="P13" s="24" cm="1">
        <f t="array" aca="1" ref="P13" ca="1">couleur+NOW()-NOW()</f>
        <v>2</v>
      </c>
      <c r="Q13" s="9"/>
      <c r="S13" s="4" t="s">
        <v>46</v>
      </c>
      <c r="T13" s="22">
        <f>SUMIF(Tableau55[$T],S13,Tableau55[Thomas])</f>
        <v>905.15</v>
      </c>
      <c r="U13" s="22">
        <f>SUMIF(Tableau55[$F],S13,Tableau55[Flavie])</f>
        <v>0</v>
      </c>
      <c r="V13" s="22">
        <f>SUMIF(Tableau55[$R],S13,Tableau55[Raphaëlle])</f>
        <v>0</v>
      </c>
      <c r="W13" s="87">
        <f t="shared" si="0"/>
        <v>905.15</v>
      </c>
      <c r="X13" s="79">
        <f t="shared" si="1"/>
        <v>905.15</v>
      </c>
    </row>
    <row r="14" spans="1:24" x14ac:dyDescent="0.2">
      <c r="A14" s="167"/>
      <c r="B14" s="12"/>
      <c r="C14" s="12"/>
      <c r="D14" s="9"/>
      <c r="E14" s="9"/>
      <c r="F14" s="9"/>
      <c r="G14" s="9"/>
      <c r="H14" s="3"/>
      <c r="I14" s="3"/>
      <c r="J14" s="32"/>
      <c r="K14" s="32"/>
      <c r="L14" s="51"/>
      <c r="M14" s="31" cm="1">
        <f t="array" aca="1" ref="M14" ca="1">couleur+NOW()-NOW()</f>
        <v>6</v>
      </c>
      <c r="N14" s="32"/>
      <c r="O14" s="32"/>
      <c r="P14" s="24" cm="1">
        <f t="array" aca="1" ref="P14" ca="1">couleur+NOW()-NOW()</f>
        <v>2</v>
      </c>
      <c r="Q14" s="10"/>
      <c r="S14" s="76" t="s">
        <v>56</v>
      </c>
      <c r="T14" s="22">
        <f>SUMIF(Tableau55[$T],S14,Tableau55[Thomas])</f>
        <v>0</v>
      </c>
      <c r="U14" s="22">
        <f>SUMIF(Tableau55[$F],S14,Tableau55[Flavie])</f>
        <v>0</v>
      </c>
      <c r="V14" s="22">
        <f>SUMIF(Tableau55[$R],S14,Tableau55[Raphaëlle])</f>
        <v>0</v>
      </c>
      <c r="W14" s="87">
        <f t="shared" si="0"/>
        <v>0</v>
      </c>
      <c r="X14" s="79">
        <f t="shared" si="1"/>
        <v>0</v>
      </c>
    </row>
    <row r="15" spans="1:24" x14ac:dyDescent="0.2">
      <c r="A15" s="167"/>
      <c r="B15" s="11"/>
      <c r="C15" s="11"/>
      <c r="D15" s="9"/>
      <c r="E15" s="9"/>
      <c r="F15" s="9"/>
      <c r="G15" s="9"/>
      <c r="H15" s="3"/>
      <c r="I15" s="3"/>
      <c r="J15" s="51"/>
      <c r="K15" s="3"/>
      <c r="L15" s="51"/>
      <c r="M15" s="31" cm="1">
        <f t="array" aca="1" ref="M15" ca="1">couleur+NOW()-NOW()</f>
        <v>2</v>
      </c>
      <c r="N15" s="3"/>
      <c r="O15" s="32"/>
      <c r="P15" s="24" cm="1">
        <f t="array" aca="1" ref="P15" ca="1">couleur+NOW()-NOW()</f>
        <v>2</v>
      </c>
      <c r="Q15" s="9"/>
      <c r="S15" s="26" t="s">
        <v>61</v>
      </c>
      <c r="T15" s="22">
        <f>SUMIF(Tableau55[$T],S15,Tableau55[Thomas])</f>
        <v>303.84000000000003</v>
      </c>
      <c r="U15" s="22">
        <f>SUMIF(Tableau55[$F],S15,Tableau55[Flavie])</f>
        <v>303.84000000000003</v>
      </c>
      <c r="V15" s="22">
        <f>SUMIF(Tableau55[$R],S15,Tableau55[Raphaëlle])</f>
        <v>0</v>
      </c>
      <c r="W15" s="87">
        <f t="shared" si="0"/>
        <v>607.68000000000006</v>
      </c>
      <c r="X15" s="79">
        <f t="shared" si="1"/>
        <v>607.68000000000006</v>
      </c>
    </row>
    <row r="16" spans="1:24" x14ac:dyDescent="0.2">
      <c r="A16" s="75"/>
      <c r="B16" s="11"/>
      <c r="C16" s="11"/>
      <c r="D16" s="9"/>
      <c r="E16" s="9"/>
      <c r="F16" s="9"/>
      <c r="G16" s="9"/>
      <c r="H16" s="3"/>
      <c r="I16" s="3"/>
      <c r="J16" s="51"/>
      <c r="K16" s="3"/>
      <c r="L16" s="51"/>
      <c r="M16" s="31" cm="1">
        <f t="array" aca="1" ref="M16" ca="1">couleur+NOW()-NOW()</f>
        <v>2</v>
      </c>
      <c r="N16" s="3"/>
      <c r="O16" s="32"/>
      <c r="P16" s="24" cm="1">
        <f t="array" aca="1" ref="P16" ca="1">couleur+NOW()-NOW()</f>
        <v>2</v>
      </c>
      <c r="Q16" s="9"/>
    </row>
    <row r="17" spans="1:17" x14ac:dyDescent="0.2">
      <c r="A17" s="75"/>
      <c r="B17" s="12">
        <v>45405</v>
      </c>
      <c r="C17" s="12" t="s">
        <v>18</v>
      </c>
      <c r="D17" s="9" t="s">
        <v>15</v>
      </c>
      <c r="E17" s="9" t="s">
        <v>61</v>
      </c>
      <c r="F17" s="9"/>
      <c r="G17" s="9"/>
      <c r="H17" s="3">
        <v>2</v>
      </c>
      <c r="I17" s="3" t="s">
        <v>61</v>
      </c>
      <c r="J17" s="51">
        <v>150</v>
      </c>
      <c r="K17" s="3" t="s">
        <v>61</v>
      </c>
      <c r="L17" s="51">
        <v>150</v>
      </c>
      <c r="M17" s="31" cm="1">
        <f t="array" aca="1" ref="M17" ca="1">couleur+NOW()-NOW()</f>
        <v>2</v>
      </c>
      <c r="N17" s="3"/>
      <c r="O17" s="32"/>
      <c r="P17" s="24" cm="1">
        <f t="array" aca="1" ref="P17" ca="1">couleur+NOW()-NOW()</f>
        <v>2</v>
      </c>
      <c r="Q17" s="3"/>
    </row>
    <row r="18" spans="1:17" x14ac:dyDescent="0.2">
      <c r="A18" s="75"/>
      <c r="B18" s="12">
        <v>45406</v>
      </c>
      <c r="C18" s="12" t="s">
        <v>18</v>
      </c>
      <c r="D18" s="9" t="s">
        <v>16</v>
      </c>
      <c r="E18" s="9" t="s">
        <v>61</v>
      </c>
      <c r="F18" s="9"/>
      <c r="G18" s="9"/>
      <c r="H18" s="3">
        <v>2</v>
      </c>
      <c r="I18" s="3" t="s">
        <v>61</v>
      </c>
      <c r="J18" s="51">
        <v>153.84</v>
      </c>
      <c r="K18" s="32"/>
      <c r="L18" s="51"/>
      <c r="M18" s="31"/>
      <c r="N18" s="32"/>
      <c r="O18" s="32"/>
      <c r="P18" s="24"/>
      <c r="Q18" s="5"/>
    </row>
    <row r="19" spans="1:17" x14ac:dyDescent="0.2">
      <c r="A19" s="75"/>
      <c r="B19" s="12">
        <v>45409</v>
      </c>
      <c r="C19" s="12" t="s">
        <v>18</v>
      </c>
      <c r="D19" s="9" t="s">
        <v>12</v>
      </c>
      <c r="E19" s="9"/>
      <c r="F19" s="9"/>
      <c r="G19" s="9"/>
      <c r="H19" s="3">
        <v>2</v>
      </c>
      <c r="I19" s="3" t="s">
        <v>46</v>
      </c>
      <c r="J19" s="51">
        <v>147</v>
      </c>
      <c r="K19" s="3"/>
      <c r="L19" s="51"/>
      <c r="M19" s="31" cm="1">
        <f t="array" aca="1" ref="M19" ca="1">couleur+NOW()-NOW()</f>
        <v>2</v>
      </c>
      <c r="N19" s="3"/>
      <c r="O19" s="32"/>
      <c r="P19" s="24" cm="1">
        <f t="array" aca="1" ref="P19" ca="1">couleur+NOW()-NOW()</f>
        <v>2</v>
      </c>
      <c r="Q19" s="9"/>
    </row>
    <row r="20" spans="1:17" x14ac:dyDescent="0.2">
      <c r="B20" s="12">
        <v>45416</v>
      </c>
      <c r="C20" s="12" t="s">
        <v>25</v>
      </c>
      <c r="D20" s="9" t="s">
        <v>100</v>
      </c>
      <c r="E20" s="9" t="s">
        <v>101</v>
      </c>
      <c r="F20" s="9"/>
      <c r="G20" s="9"/>
      <c r="H20" s="3">
        <v>2</v>
      </c>
      <c r="I20" s="3"/>
      <c r="J20" s="51">
        <v>100</v>
      </c>
      <c r="K20" s="3"/>
      <c r="L20" s="51"/>
      <c r="M20" s="31" cm="1">
        <f t="array" aca="1" ref="M20" ca="1">couleur+NOW()-NOW()</f>
        <v>2</v>
      </c>
      <c r="N20" s="3"/>
      <c r="O20" s="32"/>
      <c r="P20" s="24" cm="1">
        <f t="array" aca="1" ref="P20" ca="1">couleur+NOW()-NOW()</f>
        <v>2</v>
      </c>
      <c r="Q20" s="9" t="s">
        <v>99</v>
      </c>
    </row>
    <row r="21" spans="1:17" x14ac:dyDescent="0.2">
      <c r="B21" s="12">
        <v>45417</v>
      </c>
      <c r="C21" s="12" t="s">
        <v>25</v>
      </c>
      <c r="D21" s="9" t="s">
        <v>12</v>
      </c>
      <c r="E21" s="120">
        <v>14246</v>
      </c>
      <c r="F21" s="9"/>
      <c r="G21" s="9"/>
      <c r="H21" s="3">
        <v>2</v>
      </c>
      <c r="I21" s="3"/>
      <c r="J21" s="51">
        <v>170</v>
      </c>
      <c r="K21" s="3"/>
      <c r="L21" s="51"/>
      <c r="M21" s="31" cm="1">
        <f t="array" aca="1" ref="M21" ca="1">couleur+NOW()-NOW()</f>
        <v>2</v>
      </c>
      <c r="N21" s="3"/>
      <c r="O21" s="32"/>
      <c r="P21" s="24" cm="1">
        <f t="array" aca="1" ref="P21" ca="1">couleur+NOW()-NOW()</f>
        <v>2</v>
      </c>
      <c r="Q21" s="9"/>
    </row>
    <row r="22" spans="1:17" x14ac:dyDescent="0.2">
      <c r="B22" s="12">
        <v>45417</v>
      </c>
      <c r="C22" s="12" t="s">
        <v>25</v>
      </c>
      <c r="D22" s="9" t="s">
        <v>106</v>
      </c>
      <c r="E22" s="120">
        <v>14292</v>
      </c>
      <c r="F22" s="9"/>
      <c r="G22" s="9"/>
      <c r="H22" s="3">
        <v>1</v>
      </c>
      <c r="I22" s="3"/>
      <c r="J22" s="51">
        <v>90</v>
      </c>
      <c r="K22" s="32"/>
      <c r="L22" s="51"/>
      <c r="M22" s="31" cm="1">
        <f t="array" aca="1" ref="M22" ca="1">couleur+NOW()-NOW()</f>
        <v>35</v>
      </c>
      <c r="N22" s="32"/>
      <c r="O22" s="32"/>
      <c r="P22" s="24" cm="1">
        <f t="array" aca="1" ref="P22" ca="1">couleur+NOW()-NOW()</f>
        <v>2</v>
      </c>
      <c r="Q22" s="10"/>
    </row>
    <row r="23" spans="1:17" x14ac:dyDescent="0.2">
      <c r="B23" s="12">
        <v>45420</v>
      </c>
      <c r="C23" s="12" t="s">
        <v>25</v>
      </c>
      <c r="D23" s="9" t="s">
        <v>16</v>
      </c>
      <c r="E23" s="120">
        <v>14247</v>
      </c>
      <c r="F23" s="9"/>
      <c r="G23" s="9"/>
      <c r="H23" s="3">
        <v>2</v>
      </c>
      <c r="I23" s="3"/>
      <c r="J23" s="32">
        <v>150</v>
      </c>
      <c r="K23" s="3"/>
      <c r="L23" s="51"/>
      <c r="M23" s="31" cm="1">
        <f t="array" aca="1" ref="M23" ca="1">couleur+NOW()-NOW()</f>
        <v>2</v>
      </c>
      <c r="N23" s="3"/>
      <c r="O23" s="32"/>
      <c r="P23" s="24" cm="1">
        <f t="array" aca="1" ref="P23" ca="1">couleur+NOW()-NOW()</f>
        <v>2</v>
      </c>
      <c r="Q23" s="9"/>
    </row>
    <row r="24" spans="1:17" x14ac:dyDescent="0.2">
      <c r="B24" s="12">
        <v>45421</v>
      </c>
      <c r="C24" s="12" t="s">
        <v>25</v>
      </c>
      <c r="D24" s="9" t="s">
        <v>9</v>
      </c>
      <c r="E24" s="9" t="s">
        <v>102</v>
      </c>
      <c r="F24" s="9"/>
      <c r="G24" s="9"/>
      <c r="H24" s="3">
        <v>2</v>
      </c>
      <c r="I24" s="3"/>
      <c r="J24" s="51">
        <v>100</v>
      </c>
      <c r="K24" s="3"/>
      <c r="L24" s="51">
        <v>100</v>
      </c>
      <c r="M24" s="31" cm="1">
        <f t="array" aca="1" ref="M24" ca="1">couleur+NOW()-NOW()</f>
        <v>2</v>
      </c>
      <c r="N24" s="3"/>
      <c r="O24" s="32"/>
      <c r="P24" s="24" cm="1">
        <f t="array" aca="1" ref="P24" ca="1">couleur+NOW()-NOW()</f>
        <v>2</v>
      </c>
      <c r="Q24" s="9" t="s">
        <v>103</v>
      </c>
    </row>
    <row r="25" spans="1:17" x14ac:dyDescent="0.2">
      <c r="B25" s="12">
        <v>45421</v>
      </c>
      <c r="C25" s="12" t="s">
        <v>25</v>
      </c>
      <c r="D25" s="9" t="s">
        <v>14</v>
      </c>
      <c r="E25" s="120">
        <v>14293</v>
      </c>
      <c r="F25" s="9"/>
      <c r="G25" s="9"/>
      <c r="H25" s="3">
        <v>4</v>
      </c>
      <c r="I25" s="3"/>
      <c r="J25" s="51">
        <v>300</v>
      </c>
      <c r="K25" s="32"/>
      <c r="L25" s="51"/>
      <c r="M25" s="31" cm="1">
        <f t="array" aca="1" ref="M25" ca="1">couleur+NOW()-NOW()</f>
        <v>2</v>
      </c>
      <c r="N25" s="32"/>
      <c r="O25" s="32"/>
      <c r="P25" s="24" cm="1">
        <f t="array" aca="1" ref="P25" ca="1">couleur+NOW()-NOW()</f>
        <v>2</v>
      </c>
      <c r="Q25" s="10"/>
    </row>
    <row r="26" spans="1:17" x14ac:dyDescent="0.2">
      <c r="B26" s="12">
        <v>45423</v>
      </c>
      <c r="C26" s="12" t="s">
        <v>25</v>
      </c>
      <c r="D26" s="9" t="s">
        <v>58</v>
      </c>
      <c r="E26" s="120">
        <v>14297</v>
      </c>
      <c r="F26" s="9"/>
      <c r="G26" s="9"/>
      <c r="H26" s="3">
        <v>4</v>
      </c>
      <c r="I26" s="3"/>
      <c r="J26" s="51">
        <v>600</v>
      </c>
      <c r="K26" s="32"/>
      <c r="L26" s="51">
        <v>600</v>
      </c>
      <c r="M26" s="31" cm="1">
        <f t="array" aca="1" ref="M26" ca="1">couleur+NOW()-NOW()</f>
        <v>35</v>
      </c>
      <c r="N26" s="32"/>
      <c r="O26" s="32"/>
      <c r="P26" s="24" cm="1">
        <f t="array" aca="1" ref="P26" ca="1">couleur+NOW()-NOW()</f>
        <v>2</v>
      </c>
      <c r="Q26" s="10"/>
    </row>
    <row r="27" spans="1:17" x14ac:dyDescent="0.2">
      <c r="B27" s="12">
        <v>45424</v>
      </c>
      <c r="C27" s="12" t="s">
        <v>25</v>
      </c>
      <c r="D27" s="9" t="s">
        <v>16</v>
      </c>
      <c r="E27" s="9" t="s">
        <v>167</v>
      </c>
      <c r="F27" s="9"/>
      <c r="G27" s="9"/>
      <c r="H27" s="3">
        <v>2</v>
      </c>
      <c r="I27" s="3"/>
      <c r="J27" s="51"/>
      <c r="K27" s="32"/>
      <c r="L27" s="51">
        <v>0</v>
      </c>
      <c r="M27" s="31" cm="1">
        <f t="array" aca="1" ref="M27" ca="1">couleur+NOW()-NOW()</f>
        <v>50</v>
      </c>
      <c r="N27" s="32"/>
      <c r="O27" s="32"/>
      <c r="P27" s="24" cm="1">
        <f t="array" aca="1" ref="P27" ca="1">couleur+NOW()-NOW()</f>
        <v>2</v>
      </c>
      <c r="Q27" s="10" t="s">
        <v>104</v>
      </c>
    </row>
    <row r="28" spans="1:17" x14ac:dyDescent="0.2">
      <c r="B28" s="12">
        <v>45431</v>
      </c>
      <c r="C28" s="12" t="s">
        <v>25</v>
      </c>
      <c r="D28" s="9" t="s">
        <v>105</v>
      </c>
      <c r="E28" s="120">
        <v>14261</v>
      </c>
      <c r="F28" s="9"/>
      <c r="G28" s="9"/>
      <c r="H28" s="3">
        <v>2</v>
      </c>
      <c r="I28" s="3"/>
      <c r="J28" s="32">
        <v>150</v>
      </c>
      <c r="K28" s="32"/>
      <c r="L28" s="51"/>
      <c r="M28" s="31" cm="1">
        <f t="array" aca="1" ref="M28" ca="1">couleur+NOW()-NOW()</f>
        <v>2</v>
      </c>
      <c r="N28" s="32"/>
      <c r="O28" s="32"/>
      <c r="P28" s="24" cm="1">
        <f t="array" aca="1" ref="P28" ca="1">couleur+NOW()-NOW()</f>
        <v>2</v>
      </c>
      <c r="Q28" s="10"/>
    </row>
    <row r="29" spans="1:17" x14ac:dyDescent="0.2">
      <c r="B29" s="12">
        <v>45432</v>
      </c>
      <c r="C29" s="12" t="s">
        <v>25</v>
      </c>
      <c r="D29" s="9" t="s">
        <v>106</v>
      </c>
      <c r="E29" s="120">
        <v>14298</v>
      </c>
      <c r="F29" s="9"/>
      <c r="G29" s="9"/>
      <c r="H29" s="3">
        <v>1</v>
      </c>
      <c r="I29" s="3"/>
      <c r="J29" s="51">
        <v>0</v>
      </c>
      <c r="K29" s="3"/>
      <c r="L29" s="51"/>
      <c r="M29" s="31" cm="1">
        <f t="array" aca="1" ref="M29" ca="1">couleur+NOW()-NOW()</f>
        <v>2</v>
      </c>
      <c r="N29" s="3"/>
      <c r="O29" s="32"/>
      <c r="P29" s="24" cm="1">
        <f t="array" aca="1" ref="P29" ca="1">couleur+NOW()-NOW()</f>
        <v>2</v>
      </c>
      <c r="Q29" s="9" t="s">
        <v>107</v>
      </c>
    </row>
    <row r="30" spans="1:17" x14ac:dyDescent="0.2">
      <c r="B30" s="12">
        <v>45432</v>
      </c>
      <c r="C30" s="12" t="s">
        <v>25</v>
      </c>
      <c r="D30" s="9" t="s">
        <v>17</v>
      </c>
      <c r="E30" s="120">
        <v>14250</v>
      </c>
      <c r="F30" s="9"/>
      <c r="G30" s="9"/>
      <c r="H30" s="3">
        <v>2</v>
      </c>
      <c r="I30" s="3"/>
      <c r="J30" s="51">
        <v>170</v>
      </c>
      <c r="K30" s="3"/>
      <c r="L30" s="51"/>
      <c r="M30" s="31" cm="1">
        <f t="array" aca="1" ref="M30" ca="1">couleur+NOW()-NOW()</f>
        <v>2</v>
      </c>
      <c r="N30" s="3"/>
      <c r="O30" s="32"/>
      <c r="P30" s="24" cm="1">
        <f t="array" aca="1" ref="P30" ca="1">couleur+NOW()-NOW()</f>
        <v>2</v>
      </c>
      <c r="Q30" s="9"/>
    </row>
    <row r="31" spans="1:17" x14ac:dyDescent="0.2">
      <c r="B31" s="12">
        <v>45433</v>
      </c>
      <c r="C31" s="12" t="s">
        <v>25</v>
      </c>
      <c r="D31" s="9" t="s">
        <v>108</v>
      </c>
      <c r="E31" s="120">
        <v>14251</v>
      </c>
      <c r="F31" s="9"/>
      <c r="G31" s="9"/>
      <c r="H31" s="3">
        <v>4</v>
      </c>
      <c r="I31" s="3"/>
      <c r="J31" s="51">
        <v>400</v>
      </c>
      <c r="K31" s="3"/>
      <c r="L31" s="51">
        <v>300</v>
      </c>
      <c r="M31" s="31" cm="1">
        <f t="array" aca="1" ref="M31" ca="1">couleur+NOW()-NOW()</f>
        <v>2</v>
      </c>
      <c r="N31" s="3"/>
      <c r="O31" s="32"/>
      <c r="P31" s="24" cm="1">
        <f t="array" aca="1" ref="P31" ca="1">couleur+NOW()-NOW()</f>
        <v>2</v>
      </c>
      <c r="Q31" s="9"/>
    </row>
    <row r="32" spans="1:17" x14ac:dyDescent="0.2">
      <c r="B32" s="12">
        <v>45434</v>
      </c>
      <c r="C32" s="12" t="s">
        <v>25</v>
      </c>
      <c r="D32" s="9" t="s">
        <v>109</v>
      </c>
      <c r="E32" s="120">
        <v>14251</v>
      </c>
      <c r="F32" s="9"/>
      <c r="G32" s="9"/>
      <c r="H32" s="3"/>
      <c r="I32" s="3"/>
      <c r="J32" s="51"/>
      <c r="K32" s="3"/>
      <c r="L32" s="51"/>
      <c r="M32" s="31" cm="1">
        <f t="array" aca="1" ref="M32" ca="1">couleur+NOW()-NOW()</f>
        <v>35</v>
      </c>
      <c r="N32" s="3"/>
      <c r="O32" s="32">
        <v>300</v>
      </c>
      <c r="P32" s="24" cm="1">
        <f t="array" aca="1" ref="P32" ca="1">couleur+NOW()-NOW()</f>
        <v>2</v>
      </c>
      <c r="Q32" s="9"/>
    </row>
    <row r="33" spans="2:17" x14ac:dyDescent="0.2">
      <c r="B33" s="12">
        <v>45434</v>
      </c>
      <c r="C33" s="12" t="s">
        <v>25</v>
      </c>
      <c r="D33" s="9" t="s">
        <v>110</v>
      </c>
      <c r="E33" s="9" t="s">
        <v>101</v>
      </c>
      <c r="F33" s="9"/>
      <c r="G33" s="9"/>
      <c r="H33" s="3">
        <v>2</v>
      </c>
      <c r="I33" s="3"/>
      <c r="J33" s="51">
        <v>100</v>
      </c>
      <c r="K33" s="3"/>
      <c r="L33" s="51"/>
      <c r="M33" s="31" cm="1">
        <f t="array" aca="1" ref="M33" ca="1">couleur+NOW()-NOW()</f>
        <v>2</v>
      </c>
      <c r="N33" s="3"/>
      <c r="O33" s="32"/>
      <c r="P33" s="24" cm="1">
        <f t="array" aca="1" ref="P33" ca="1">couleur+NOW()-NOW()</f>
        <v>2</v>
      </c>
      <c r="Q33" s="9"/>
    </row>
    <row r="34" spans="2:17" x14ac:dyDescent="0.2">
      <c r="B34" s="12">
        <v>45435</v>
      </c>
      <c r="C34" s="12" t="s">
        <v>25</v>
      </c>
      <c r="D34" s="9" t="s">
        <v>58</v>
      </c>
      <c r="E34" s="120">
        <v>14299</v>
      </c>
      <c r="F34" s="9"/>
      <c r="G34" s="9"/>
      <c r="H34" s="3">
        <v>4</v>
      </c>
      <c r="I34" s="3"/>
      <c r="J34" s="51">
        <v>300</v>
      </c>
      <c r="K34" s="32"/>
      <c r="L34" s="51"/>
      <c r="M34" s="31" cm="1">
        <f t="array" aca="1" ref="M34" ca="1">couleur+NOW()-NOW()</f>
        <v>2</v>
      </c>
      <c r="N34" s="32"/>
      <c r="O34" s="32"/>
      <c r="P34" s="24" cm="1">
        <f t="array" aca="1" ref="P34" ca="1">couleur+NOW()-NOW()</f>
        <v>2</v>
      </c>
      <c r="Q34" s="10"/>
    </row>
    <row r="35" spans="2:17" x14ac:dyDescent="0.2">
      <c r="B35" s="12">
        <v>45438</v>
      </c>
      <c r="C35" s="12" t="s">
        <v>25</v>
      </c>
      <c r="D35" s="9" t="s">
        <v>12</v>
      </c>
      <c r="E35" s="120">
        <v>14254</v>
      </c>
      <c r="F35" s="9"/>
      <c r="G35" s="9"/>
      <c r="H35" s="3">
        <v>2</v>
      </c>
      <c r="I35" s="3"/>
      <c r="J35" s="51">
        <v>170</v>
      </c>
      <c r="K35" s="3"/>
      <c r="L35" s="51">
        <v>170</v>
      </c>
      <c r="M35" s="31" cm="1">
        <f t="array" aca="1" ref="M35" ca="1">couleur+NOW()-NOW()</f>
        <v>2</v>
      </c>
      <c r="N35" s="3"/>
      <c r="O35" s="32"/>
      <c r="P35" s="24" cm="1">
        <f t="array" aca="1" ref="P35" ca="1">couleur+NOW()-NOW()</f>
        <v>2</v>
      </c>
      <c r="Q35" s="5"/>
    </row>
    <row r="36" spans="2:17" x14ac:dyDescent="0.2">
      <c r="B36" s="12">
        <v>45438</v>
      </c>
      <c r="C36" s="12" t="s">
        <v>25</v>
      </c>
      <c r="D36" s="9" t="s">
        <v>106</v>
      </c>
      <c r="E36" s="120">
        <v>14255</v>
      </c>
      <c r="F36" s="9"/>
      <c r="G36" s="9"/>
      <c r="H36" s="3">
        <v>1</v>
      </c>
      <c r="I36" s="3"/>
      <c r="J36" s="51">
        <v>90</v>
      </c>
      <c r="K36" s="32"/>
      <c r="L36" s="51"/>
      <c r="M36" s="31" cm="1">
        <f t="array" aca="1" ref="M36" ca="1">couleur+NOW()-NOW()</f>
        <v>50</v>
      </c>
      <c r="N36" s="32"/>
      <c r="O36" s="32"/>
      <c r="P36" s="24" cm="1">
        <f t="array" aca="1" ref="P36" ca="1">couleur+NOW()-NOW()</f>
        <v>2</v>
      </c>
      <c r="Q36" s="10"/>
    </row>
    <row r="37" spans="2:17" x14ac:dyDescent="0.2">
      <c r="B37" s="12">
        <v>45438</v>
      </c>
      <c r="C37" s="12" t="s">
        <v>25</v>
      </c>
      <c r="D37" s="9" t="s">
        <v>111</v>
      </c>
      <c r="E37" s="9" t="s">
        <v>96</v>
      </c>
      <c r="F37" s="9"/>
      <c r="G37" s="9"/>
      <c r="H37" s="3">
        <v>2</v>
      </c>
      <c r="I37" s="3"/>
      <c r="J37" s="51">
        <v>100</v>
      </c>
      <c r="K37" s="3"/>
      <c r="L37" s="51">
        <v>100</v>
      </c>
      <c r="M37" s="31" cm="1">
        <f t="array" aca="1" ref="M37" ca="1">couleur+NOW()-NOW()</f>
        <v>2</v>
      </c>
      <c r="N37" s="3"/>
      <c r="O37" s="32"/>
      <c r="P37" s="24" cm="1">
        <f t="array" aca="1" ref="P37" ca="1">couleur+NOW()-NOW()</f>
        <v>2</v>
      </c>
      <c r="Q37" s="9"/>
    </row>
    <row r="38" spans="2:17" x14ac:dyDescent="0.2">
      <c r="B38" s="12">
        <v>45439</v>
      </c>
      <c r="C38" s="12" t="s">
        <v>25</v>
      </c>
      <c r="D38" s="9" t="s">
        <v>112</v>
      </c>
      <c r="E38" s="9" t="s">
        <v>101</v>
      </c>
      <c r="F38" s="9"/>
      <c r="G38" s="9"/>
      <c r="H38" s="3">
        <v>3</v>
      </c>
      <c r="I38" s="3"/>
      <c r="J38" s="51">
        <v>150</v>
      </c>
      <c r="K38" s="3"/>
      <c r="L38" s="51"/>
      <c r="M38" s="31" cm="1">
        <f t="array" aca="1" ref="M38" ca="1">couleur+NOW()-NOW()</f>
        <v>35</v>
      </c>
      <c r="N38" s="3"/>
      <c r="O38" s="32"/>
      <c r="P38" s="24" cm="1">
        <f t="array" aca="1" ref="P38" ca="1">couleur+NOW()-NOW()</f>
        <v>2</v>
      </c>
      <c r="Q38" s="9"/>
    </row>
    <row r="39" spans="2:17" x14ac:dyDescent="0.2">
      <c r="B39" s="12">
        <v>45440</v>
      </c>
      <c r="C39" s="12" t="s">
        <v>25</v>
      </c>
      <c r="D39" s="9" t="s">
        <v>12</v>
      </c>
      <c r="E39" s="120">
        <v>14258</v>
      </c>
      <c r="F39" s="9"/>
      <c r="G39" s="9"/>
      <c r="H39" s="3">
        <v>2</v>
      </c>
      <c r="I39" s="3"/>
      <c r="J39" s="51">
        <v>150</v>
      </c>
      <c r="K39" s="32"/>
      <c r="L39" s="51">
        <v>150</v>
      </c>
      <c r="M39" s="31" cm="1">
        <f t="array" aca="1" ref="M39" ca="1">couleur+NOW()-NOW()</f>
        <v>2</v>
      </c>
      <c r="N39" s="32"/>
      <c r="O39" s="32"/>
      <c r="P39" s="24" cm="1">
        <f t="array" aca="1" ref="P39" ca="1">couleur+NOW()-NOW()</f>
        <v>2</v>
      </c>
      <c r="Q39" s="10"/>
    </row>
    <row r="40" spans="2:17" x14ac:dyDescent="0.2">
      <c r="B40" s="12">
        <v>45440</v>
      </c>
      <c r="C40" s="12" t="s">
        <v>25</v>
      </c>
      <c r="D40" s="9" t="s">
        <v>113</v>
      </c>
      <c r="E40" s="120">
        <v>14256</v>
      </c>
      <c r="F40" s="9"/>
      <c r="G40" s="9"/>
      <c r="H40" s="3">
        <v>4</v>
      </c>
      <c r="I40" s="3"/>
      <c r="J40" s="51">
        <v>300</v>
      </c>
      <c r="K40" s="32"/>
      <c r="L40" s="51"/>
      <c r="M40" s="31" cm="1">
        <f t="array" aca="1" ref="M40" ca="1">couleur+NOW()-NOW()</f>
        <v>2</v>
      </c>
      <c r="N40" s="32"/>
      <c r="O40" s="32"/>
      <c r="P40" s="24" cm="1">
        <f t="array" aca="1" ref="P40" ca="1">couleur+NOW()-NOW()</f>
        <v>2</v>
      </c>
      <c r="Q40" s="10"/>
    </row>
    <row r="41" spans="2:17" x14ac:dyDescent="0.2">
      <c r="B41" s="12">
        <v>45441</v>
      </c>
      <c r="C41" s="12" t="s">
        <v>25</v>
      </c>
      <c r="D41" s="9" t="s">
        <v>38</v>
      </c>
      <c r="E41" s="120">
        <v>14257</v>
      </c>
      <c r="F41" s="9"/>
      <c r="G41" s="9"/>
      <c r="H41" s="3">
        <v>7</v>
      </c>
      <c r="I41" s="3"/>
      <c r="J41" s="51"/>
      <c r="K41" s="3"/>
      <c r="L41" s="51"/>
      <c r="M41" s="31" cm="1">
        <f t="array" aca="1" ref="M41" ca="1">couleur+NOW()-NOW()</f>
        <v>2</v>
      </c>
      <c r="N41" s="3"/>
      <c r="O41" s="32">
        <v>565</v>
      </c>
      <c r="P41" s="24" cm="1">
        <f t="array" aca="1" ref="P41" ca="1">couleur+NOW()-NOW()</f>
        <v>2</v>
      </c>
      <c r="Q41" s="9"/>
    </row>
    <row r="42" spans="2:17" x14ac:dyDescent="0.2">
      <c r="B42" s="12">
        <v>45442</v>
      </c>
      <c r="C42" s="12" t="s">
        <v>25</v>
      </c>
      <c r="D42" s="9" t="s">
        <v>12</v>
      </c>
      <c r="E42" s="9">
        <v>14260</v>
      </c>
      <c r="F42" s="9"/>
      <c r="G42" s="9"/>
      <c r="H42" s="3">
        <v>2</v>
      </c>
      <c r="I42" s="3"/>
      <c r="J42" s="51">
        <v>510</v>
      </c>
      <c r="K42" s="3"/>
      <c r="L42" s="51"/>
      <c r="M42" s="31" cm="1">
        <f t="array" aca="1" ref="M42" ca="1">couleur+NOW()-NOW()</f>
        <v>2</v>
      </c>
      <c r="N42" s="3"/>
      <c r="O42" s="32"/>
      <c r="P42" s="24" cm="1">
        <f t="array" aca="1" ref="P42" ca="1">couleur+NOW()-NOW()</f>
        <v>2</v>
      </c>
      <c r="Q42" s="9"/>
    </row>
    <row r="43" spans="2:17" x14ac:dyDescent="0.2">
      <c r="B43" s="12">
        <v>45442</v>
      </c>
      <c r="C43" s="12" t="s">
        <v>25</v>
      </c>
      <c r="D43" s="9" t="s">
        <v>15</v>
      </c>
      <c r="E43" s="120">
        <v>14300</v>
      </c>
      <c r="F43" s="9"/>
      <c r="G43" s="9"/>
      <c r="H43" s="3">
        <v>2</v>
      </c>
      <c r="I43" s="3"/>
      <c r="J43" s="51">
        <v>170</v>
      </c>
      <c r="K43" s="3"/>
      <c r="L43" s="51">
        <v>170</v>
      </c>
      <c r="M43" s="31" cm="1">
        <f t="array" aca="1" ref="M43" ca="1">couleur+NOW()-NOW()</f>
        <v>2</v>
      </c>
      <c r="N43" s="3"/>
      <c r="O43" s="32"/>
      <c r="P43" s="24" cm="1">
        <f t="array" aca="1" ref="P43" ca="1">couleur+NOW()-NOW()</f>
        <v>2</v>
      </c>
      <c r="Q43" s="9"/>
    </row>
    <row r="44" spans="2:17" x14ac:dyDescent="0.2">
      <c r="B44" s="12"/>
      <c r="C44" s="12"/>
      <c r="D44" s="9"/>
      <c r="E44" s="9"/>
      <c r="F44" s="9"/>
      <c r="G44" s="9"/>
      <c r="H44" s="3"/>
      <c r="I44" s="3"/>
      <c r="J44" s="51"/>
      <c r="K44" s="32"/>
      <c r="L44" s="51"/>
      <c r="M44" s="31" cm="1">
        <f t="array" aca="1" ref="M44" ca="1">couleur+NOW()-NOW()</f>
        <v>2</v>
      </c>
      <c r="N44" s="32"/>
      <c r="O44" s="32"/>
      <c r="P44" s="24" cm="1">
        <f t="array" aca="1" ref="P44" ca="1">couleur+NOW()-NOW()</f>
        <v>2</v>
      </c>
      <c r="Q44" s="10"/>
    </row>
    <row r="45" spans="2:17" x14ac:dyDescent="0.2">
      <c r="B45" s="13"/>
      <c r="C45" s="13"/>
      <c r="D45" s="9"/>
      <c r="E45" s="9"/>
      <c r="F45" s="9"/>
      <c r="G45" s="9"/>
      <c r="H45" s="3"/>
      <c r="I45" s="3"/>
      <c r="J45" s="51"/>
      <c r="K45" s="3"/>
      <c r="L45" s="51"/>
      <c r="M45" s="31" cm="1">
        <f t="array" aca="1" ref="M45" ca="1">couleur+NOW()-NOW()</f>
        <v>2</v>
      </c>
      <c r="N45" s="3"/>
      <c r="O45" s="32"/>
      <c r="P45" s="24" cm="1">
        <f t="array" aca="1" ref="P45" ca="1">couleur+NOW()-NOW()</f>
        <v>2</v>
      </c>
      <c r="Q45" s="9"/>
    </row>
    <row r="46" spans="2:17" x14ac:dyDescent="0.2">
      <c r="B46" s="13"/>
      <c r="C46" s="13"/>
      <c r="D46" s="9"/>
      <c r="E46" s="9"/>
      <c r="F46" s="9"/>
      <c r="G46" s="9"/>
      <c r="H46" s="3"/>
      <c r="I46" s="3"/>
      <c r="J46" s="51"/>
      <c r="K46" s="3"/>
      <c r="L46" s="51"/>
      <c r="M46" s="31" cm="1">
        <f t="array" aca="1" ref="M46" ca="1">couleur+NOW()-NOW()</f>
        <v>2</v>
      </c>
      <c r="N46" s="3"/>
      <c r="O46" s="32"/>
      <c r="P46" s="24" cm="1">
        <f t="array" aca="1" ref="P46" ca="1">couleur+NOW()-NOW()</f>
        <v>2</v>
      </c>
      <c r="Q46" s="9"/>
    </row>
    <row r="47" spans="2:17" x14ac:dyDescent="0.2">
      <c r="B47" s="12"/>
      <c r="C47" s="12"/>
      <c r="D47" s="9"/>
      <c r="E47" s="9"/>
      <c r="F47" s="9"/>
      <c r="G47" s="9"/>
      <c r="H47" s="3"/>
      <c r="I47" s="3"/>
      <c r="J47" s="51"/>
      <c r="K47" s="32"/>
      <c r="L47" s="51"/>
      <c r="M47" s="31" cm="1">
        <f t="array" aca="1" ref="M47" ca="1">couleur+NOW()-NOW()</f>
        <v>2</v>
      </c>
      <c r="N47" s="32"/>
      <c r="O47" s="32"/>
      <c r="P47" s="24" cm="1">
        <f t="array" aca="1" ref="P47" ca="1">couleur+NOW()-NOW()</f>
        <v>2</v>
      </c>
      <c r="Q47" s="10"/>
    </row>
    <row r="48" spans="2:17" x14ac:dyDescent="0.2">
      <c r="B48" s="12"/>
      <c r="C48" s="12"/>
      <c r="D48" s="9"/>
      <c r="E48" s="9"/>
      <c r="F48" s="9"/>
      <c r="G48" s="9"/>
      <c r="H48" s="3"/>
      <c r="I48" s="3"/>
      <c r="J48" s="51"/>
      <c r="K48" s="3"/>
      <c r="L48" s="51"/>
      <c r="M48" s="31" cm="1">
        <f t="array" aca="1" ref="M48" ca="1">couleur+NOW()-NOW()</f>
        <v>2</v>
      </c>
      <c r="N48" s="3"/>
      <c r="O48" s="32"/>
      <c r="P48" s="24" cm="1">
        <f t="array" aca="1" ref="P48" ca="1">couleur+NOW()-NOW()</f>
        <v>2</v>
      </c>
      <c r="Q48" s="9"/>
    </row>
    <row r="49" spans="2:17" x14ac:dyDescent="0.2">
      <c r="B49" s="12"/>
      <c r="C49" s="12"/>
      <c r="D49" s="9"/>
      <c r="E49" s="9"/>
      <c r="F49" s="9"/>
      <c r="G49" s="9"/>
      <c r="H49" s="3"/>
      <c r="I49" s="3"/>
      <c r="J49" s="51"/>
      <c r="K49" s="32"/>
      <c r="L49" s="51"/>
      <c r="M49" s="31" cm="1">
        <f t="array" aca="1" ref="M49" ca="1">couleur+NOW()-NOW()</f>
        <v>2</v>
      </c>
      <c r="N49" s="32"/>
      <c r="O49" s="32"/>
      <c r="P49" s="24" cm="1">
        <f t="array" aca="1" ref="P49" ca="1">couleur+NOW()-NOW()</f>
        <v>2</v>
      </c>
      <c r="Q49" s="10"/>
    </row>
    <row r="50" spans="2:17" x14ac:dyDescent="0.2">
      <c r="B50" s="12"/>
      <c r="C50" s="12"/>
      <c r="D50" s="9"/>
      <c r="E50" s="9"/>
      <c r="F50" s="9"/>
      <c r="G50" s="9"/>
      <c r="H50" s="3"/>
      <c r="I50" s="3"/>
      <c r="J50" s="32"/>
      <c r="K50" s="32"/>
      <c r="L50" s="51"/>
      <c r="M50" s="31" cm="1">
        <f t="array" aca="1" ref="M50" ca="1">couleur+NOW()-NOW()</f>
        <v>2</v>
      </c>
      <c r="N50" s="32"/>
      <c r="O50" s="32"/>
      <c r="P50" s="24" cm="1">
        <f t="array" aca="1" ref="P50" ca="1">couleur+NOW()-NOW()</f>
        <v>2</v>
      </c>
      <c r="Q50" s="10"/>
    </row>
    <row r="51" spans="2:17" x14ac:dyDescent="0.2">
      <c r="B51" s="14"/>
      <c r="C51" s="14"/>
      <c r="D51" s="10"/>
      <c r="E51" s="36"/>
      <c r="F51" s="36"/>
      <c r="G51" s="36"/>
      <c r="H51" s="6"/>
      <c r="I51" s="6"/>
      <c r="J51" s="51"/>
      <c r="K51" s="6"/>
      <c r="L51" s="51"/>
      <c r="M51" s="31" cm="1">
        <f t="array" aca="1" ref="M51" ca="1">couleur+NOW()-NOW()</f>
        <v>2</v>
      </c>
      <c r="N51" s="6"/>
      <c r="O51" s="32"/>
      <c r="P51" s="24" cm="1">
        <f t="array" aca="1" ref="P51" ca="1">couleur+NOW()-NOW()</f>
        <v>2</v>
      </c>
      <c r="Q51" s="10"/>
    </row>
    <row r="52" spans="2:17" x14ac:dyDescent="0.2">
      <c r="B52" s="14"/>
      <c r="C52" s="14"/>
      <c r="D52" s="10"/>
      <c r="E52" s="36"/>
      <c r="F52" s="36"/>
      <c r="G52" s="36"/>
      <c r="H52" s="6"/>
      <c r="I52" s="6"/>
      <c r="J52" s="51"/>
      <c r="K52" s="6"/>
      <c r="L52" s="51"/>
      <c r="M52" s="31" cm="1">
        <f t="array" aca="1" ref="M52" ca="1">couleur+NOW()-NOW()</f>
        <v>2</v>
      </c>
      <c r="N52" s="6"/>
      <c r="O52" s="32"/>
      <c r="P52" s="24" cm="1">
        <f t="array" aca="1" ref="P52" ca="1">couleur+NOW()-NOW()</f>
        <v>2</v>
      </c>
      <c r="Q52" s="10"/>
    </row>
    <row r="53" spans="2:17" x14ac:dyDescent="0.2">
      <c r="B53" s="12"/>
      <c r="C53" s="12"/>
      <c r="D53" s="9"/>
      <c r="E53" s="9"/>
      <c r="F53" s="9"/>
      <c r="G53" s="9"/>
      <c r="H53" s="3"/>
      <c r="I53" s="3"/>
      <c r="J53" s="51"/>
      <c r="K53" s="3"/>
      <c r="L53" s="51"/>
      <c r="M53" s="31" cm="1">
        <f t="array" aca="1" ref="M53" ca="1">couleur+NOW()-NOW()</f>
        <v>2</v>
      </c>
      <c r="N53" s="3"/>
      <c r="O53" s="32"/>
      <c r="P53" s="24" cm="1">
        <f t="array" aca="1" ref="P53" ca="1">couleur+NOW()-NOW()</f>
        <v>2</v>
      </c>
      <c r="Q53" s="9"/>
    </row>
    <row r="54" spans="2:17" x14ac:dyDescent="0.2">
      <c r="B54" s="12"/>
      <c r="C54" s="12"/>
      <c r="D54" s="9"/>
      <c r="E54" s="9"/>
      <c r="F54" s="9"/>
      <c r="G54" s="9"/>
      <c r="H54" s="3"/>
      <c r="I54" s="3"/>
      <c r="J54" s="51"/>
      <c r="K54" s="3"/>
      <c r="L54" s="51"/>
      <c r="M54" s="31" cm="1">
        <f t="array" aca="1" ref="M54" ca="1">couleur+NOW()-NOW()</f>
        <v>2</v>
      </c>
      <c r="N54" s="3"/>
      <c r="O54" s="32"/>
      <c r="P54" s="24" cm="1">
        <f t="array" aca="1" ref="P54" ca="1">couleur+NOW()-NOW()</f>
        <v>2</v>
      </c>
      <c r="Q54" s="10"/>
    </row>
    <row r="55" spans="2:17" x14ac:dyDescent="0.2">
      <c r="B55" s="12"/>
      <c r="C55" s="12"/>
      <c r="D55" s="9"/>
      <c r="E55" s="9"/>
      <c r="F55" s="9"/>
      <c r="G55" s="9"/>
      <c r="H55" s="3"/>
      <c r="I55" s="3"/>
      <c r="J55" s="51"/>
      <c r="K55" s="3"/>
      <c r="L55" s="51"/>
      <c r="M55" s="31" cm="1">
        <f t="array" aca="1" ref="M55" ca="1">couleur+NOW()-NOW()</f>
        <v>2</v>
      </c>
      <c r="N55" s="3"/>
      <c r="O55" s="62"/>
      <c r="P55" s="24" cm="1">
        <f t="array" aca="1" ref="P55" ca="1">couleur+NOW()-NOW()</f>
        <v>2</v>
      </c>
      <c r="Q55" s="10"/>
    </row>
    <row r="56" spans="2:17" ht="24" x14ac:dyDescent="0.2">
      <c r="B56" s="77" t="s">
        <v>37</v>
      </c>
      <c r="C56" s="152"/>
      <c r="D56" s="10"/>
      <c r="E56" s="10"/>
      <c r="F56" s="10"/>
      <c r="G56" s="10"/>
      <c r="H56" s="10">
        <f>SUM(H17:H52)</f>
        <v>65</v>
      </c>
      <c r="I56" s="10"/>
      <c r="J56" s="28">
        <f>SUM(J10:J52)</f>
        <v>5478.99</v>
      </c>
      <c r="K56" s="28"/>
      <c r="L56" s="28">
        <f>SUM(L10:L52)</f>
        <v>1893.8400000000001</v>
      </c>
      <c r="M56" s="29" cm="1">
        <f t="array" aca="1" ref="M56" ca="1">couleur+NOW()-NOW()</f>
        <v>2</v>
      </c>
      <c r="N56" s="29"/>
      <c r="O56" s="70">
        <f>SUM(O17:O53)</f>
        <v>865</v>
      </c>
      <c r="P56" s="83" cm="1">
        <f t="array" aca="1" ref="P56" ca="1">couleur+NOW()-NOW()</f>
        <v>2</v>
      </c>
      <c r="Q56" s="84"/>
    </row>
    <row r="57" spans="2:17" x14ac:dyDescent="0.2">
      <c r="B57" s="78" t="s">
        <v>89</v>
      </c>
      <c r="C57" s="78"/>
      <c r="D57" s="78"/>
      <c r="E57" s="78"/>
      <c r="F57" s="78"/>
      <c r="G57" s="78"/>
      <c r="H57" s="78"/>
      <c r="I57" s="78"/>
      <c r="J57" s="79">
        <f>J56</f>
        <v>5478.99</v>
      </c>
      <c r="K57" s="79"/>
      <c r="L57" s="79">
        <f>L56</f>
        <v>1893.8400000000001</v>
      </c>
      <c r="M57" s="79" cm="1">
        <f t="array" aca="1" ref="M57" ca="1">couleur+NOW()-NOW()</f>
        <v>2</v>
      </c>
      <c r="N57" s="79"/>
      <c r="O57" s="81">
        <f>O56</f>
        <v>865</v>
      </c>
      <c r="P57" s="82" cm="1">
        <f t="array" aca="1" ref="P57" ca="1">couleur+NOW()-NOW()</f>
        <v>2</v>
      </c>
      <c r="Q57" s="80"/>
    </row>
  </sheetData>
  <mergeCells count="2">
    <mergeCell ref="F2:O3"/>
    <mergeCell ref="A10:A15"/>
  </mergeCells>
  <conditionalFormatting sqref="I10:I16 K10:K16 N10:N16 N19:N55 K19:K55 I19:I55">
    <cfRule type="containsText" dxfId="437" priority="29" operator="containsText" text="CB">
      <formula>NOT(ISERROR(SEARCH("CB",I10)))</formula>
    </cfRule>
    <cfRule type="containsText" dxfId="436" priority="30" operator="containsText" text="Espèces">
      <formula>NOT(ISERROR(SEARCH("Espèces",I10)))</formula>
    </cfRule>
    <cfRule type="containsText" dxfId="435" priority="31" operator="containsText" text="Virement">
      <formula>NOT(ISERROR(SEARCH("Virement",I10)))</formula>
    </cfRule>
    <cfRule type="containsText" dxfId="434" priority="33" operator="containsText" text="Chèque">
      <formula>NOT(ISERROR(SEARCH("Chèque",I10)))</formula>
    </cfRule>
    <cfRule type="containsText" dxfId="433" priority="34" operator="containsText" text="GYG">
      <formula>NOT(ISERROR(SEARCH("GYG",I10)))</formula>
    </cfRule>
    <cfRule type="containsText" dxfId="432" priority="35" operator="containsText" text="Viator">
      <formula>NOT(ISERROR(SEARCH("Viator",I10)))</formula>
    </cfRule>
  </conditionalFormatting>
  <conditionalFormatting sqref="I10:I16 K10:K16 N10:N16 N19:N54 K19:K54 I19:I54">
    <cfRule type="containsText" dxfId="431" priority="32" operator="containsText" text="Chèque">
      <formula>NOT(ISERROR(SEARCH("Chèque",I10)))</formula>
    </cfRule>
  </conditionalFormatting>
  <conditionalFormatting sqref="I17 K17 N17">
    <cfRule type="containsText" dxfId="430" priority="8" operator="containsText" text="CB">
      <formula>NOT(ISERROR(SEARCH("CB",I17)))</formula>
    </cfRule>
    <cfRule type="containsText" dxfId="429" priority="9" operator="containsText" text="Espèces">
      <formula>NOT(ISERROR(SEARCH("Espèces",I17)))</formula>
    </cfRule>
    <cfRule type="containsText" dxfId="428" priority="10" operator="containsText" text="Virement">
      <formula>NOT(ISERROR(SEARCH("Virement",I17)))</formula>
    </cfRule>
    <cfRule type="containsText" dxfId="427" priority="12" operator="containsText" text="Chèque">
      <formula>NOT(ISERROR(SEARCH("Chèque",I17)))</formula>
    </cfRule>
    <cfRule type="containsText" dxfId="426" priority="13" operator="containsText" text="GYG">
      <formula>NOT(ISERROR(SEARCH("GYG",I17)))</formula>
    </cfRule>
    <cfRule type="containsText" dxfId="425" priority="14" operator="containsText" text="Viator">
      <formula>NOT(ISERROR(SEARCH("Viator",I17)))</formula>
    </cfRule>
  </conditionalFormatting>
  <conditionalFormatting sqref="I17 K17 N17">
    <cfRule type="containsText" dxfId="424" priority="11" operator="containsText" text="Chèque">
      <formula>NOT(ISERROR(SEARCH("Chèque",I17)))</formula>
    </cfRule>
  </conditionalFormatting>
  <conditionalFormatting sqref="N18 K18 I18">
    <cfRule type="containsText" dxfId="423" priority="1" operator="containsText" text="CB">
      <formula>NOT(ISERROR(SEARCH("CB",I18)))</formula>
    </cfRule>
    <cfRule type="containsText" dxfId="422" priority="2" operator="containsText" text="Espèces">
      <formula>NOT(ISERROR(SEARCH("Espèces",I18)))</formula>
    </cfRule>
    <cfRule type="containsText" dxfId="421" priority="3" operator="containsText" text="Virement">
      <formula>NOT(ISERROR(SEARCH("Virement",I18)))</formula>
    </cfRule>
    <cfRule type="containsText" dxfId="420" priority="5" operator="containsText" text="Chèque">
      <formula>NOT(ISERROR(SEARCH("Chèque",I18)))</formula>
    </cfRule>
    <cfRule type="containsText" dxfId="419" priority="6" operator="containsText" text="GYG">
      <formula>NOT(ISERROR(SEARCH("GYG",I18)))</formula>
    </cfRule>
    <cfRule type="containsText" dxfId="418" priority="7" operator="containsText" text="Viator">
      <formula>NOT(ISERROR(SEARCH("Viator",I18)))</formula>
    </cfRule>
  </conditionalFormatting>
  <conditionalFormatting sqref="N18 K18 I18">
    <cfRule type="containsText" dxfId="417" priority="4" operator="containsText" text="Chèque">
      <formula>NOT(ISERROR(SEARCH("Chèque",I18)))</formula>
    </cfRule>
  </conditionalFormatting>
  <dataValidations count="8">
    <dataValidation type="list" allowBlank="1" showInputMessage="1" showErrorMessage="1" promptTitle="Durée de la visite à sélectionne" sqref="H355:I1048576 I57 H10 H12:H14 H16:H57" xr:uid="{7DD783FF-89E5-5F40-929C-64651D00C961}">
      <formula1>"1,2,3,4,5,6,7,8,9,10"</formula1>
    </dataValidation>
    <dataValidation type="date" allowBlank="1" showInputMessage="1" showErrorMessage="1" sqref="B355:C1048576 B2:C8 B56 R9:R54" xr:uid="{DD99F40B-DD40-F541-B9D4-5F93924C59F4}">
      <formula1>45352</formula1>
      <formula2>45412</formula2>
    </dataValidation>
    <dataValidation type="list" allowBlank="1" showInputMessage="1" showErrorMessage="1" sqref="D355:E1048576 E1:E3 D1:D8 D57:E57" xr:uid="{09FF0EC6-80C5-F94E-8B2E-9A825F0445CD}">
      <formula1>"9h-11h, 9h-13h, 9h-17h, 9h30-11h30, 10h-12h, 11h30-13h30, 13h-17h, 14h-16h, 14h-18h, 16h30-18h30, "</formula1>
    </dataValidation>
    <dataValidation type="list" allowBlank="1" showInputMessage="1" showErrorMessage="1" sqref="O355:O1048576 L355:L1048576" xr:uid="{CAD3B05D-F5B3-9A4A-9D3F-B5365CD12467}">
      <formula1>"90, 100, 147, 150, 200, 300, 340, 565, 600"</formula1>
    </dataValidation>
    <dataValidation allowBlank="1" showInputMessage="1" showErrorMessage="1" promptTitle="Durée de la visite à sélectionne" sqref="I56" xr:uid="{FEE91FFA-40D8-D34C-8754-E0CAF56DF4CA}"/>
    <dataValidation type="list" allowBlank="1" showInputMessage="1" sqref="L13:L15" xr:uid="{5C52E3DA-3FA1-9849-91E0-15350D7D65D7}">
      <formula1>Couleurs1</formula1>
    </dataValidation>
    <dataValidation type="list" allowBlank="1" showInputMessage="1" showErrorMessage="1" promptTitle="Durée de la visite à sélectionne" sqref="I10:I55 K10:K55 N10:N55" xr:uid="{F034752A-FBB7-454F-8A86-03D93785C8A4}">
      <formula1>"Chèque, Espèces, Virement, Viator, CB, GYG"</formula1>
    </dataValidation>
    <dataValidation type="list" allowBlank="1" showInputMessage="1" showErrorMessage="1" sqref="C10:C56" xr:uid="{98327213-320A-BA49-AD86-2C4517833F24}">
      <formula1>"AVRIL, MAI, JUIN , JUILLET, AOUT, SEPT, OCT, NOV, DEC, JANV, FEV, MARS"</formula1>
    </dataValidation>
  </dataValidation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70CDE2-EE9F-454A-ACC0-EE31EAC950C9}">
  <sheetPr>
    <tabColor rgb="FF92D050"/>
  </sheetPr>
  <dimension ref="B1:N38"/>
  <sheetViews>
    <sheetView topLeftCell="A4" workbookViewId="0">
      <selection activeCell="D19" sqref="D19:F19"/>
    </sheetView>
  </sheetViews>
  <sheetFormatPr baseColWidth="10" defaultRowHeight="16" x14ac:dyDescent="0.2"/>
  <cols>
    <col min="3" max="3" width="16.1640625" customWidth="1"/>
    <col min="4" max="4" width="15.33203125" customWidth="1"/>
    <col min="5" max="5" width="24.83203125" customWidth="1"/>
    <col min="6" max="6" width="16.33203125" customWidth="1"/>
    <col min="9" max="9" width="18.1640625" customWidth="1"/>
    <col min="10" max="10" width="16.33203125" customWidth="1"/>
    <col min="12" max="12" width="15.6640625" customWidth="1"/>
  </cols>
  <sheetData>
    <row r="1" spans="2:14" ht="17" thickBot="1" x14ac:dyDescent="0.25"/>
    <row r="2" spans="2:14" x14ac:dyDescent="0.2">
      <c r="B2" s="170" t="s">
        <v>41</v>
      </c>
      <c r="C2" s="171"/>
      <c r="D2" s="171"/>
      <c r="E2" s="171"/>
      <c r="F2" s="171"/>
      <c r="G2" s="171"/>
      <c r="H2" s="171"/>
      <c r="I2" s="171"/>
      <c r="J2" s="172"/>
    </row>
    <row r="3" spans="2:14" ht="17" thickBot="1" x14ac:dyDescent="0.25">
      <c r="B3" s="173"/>
      <c r="C3" s="174"/>
      <c r="D3" s="174"/>
      <c r="E3" s="174"/>
      <c r="F3" s="174"/>
      <c r="G3" s="174"/>
      <c r="H3" s="174"/>
      <c r="I3" s="174"/>
      <c r="J3" s="175"/>
    </row>
    <row r="4" spans="2:14" ht="25" thickBot="1" x14ac:dyDescent="0.25">
      <c r="B4" s="42"/>
      <c r="C4" s="42"/>
      <c r="D4" s="42"/>
      <c r="E4" s="42"/>
      <c r="F4" s="42"/>
      <c r="G4" s="42"/>
      <c r="H4" s="42"/>
      <c r="I4" s="42"/>
      <c r="J4" s="42"/>
    </row>
    <row r="5" spans="2:14" ht="24" x14ac:dyDescent="0.2">
      <c r="B5" s="42"/>
      <c r="C5" s="42"/>
      <c r="D5" s="42"/>
      <c r="E5" s="42"/>
      <c r="F5" s="176">
        <f>SUM(F8:F35)</f>
        <v>6434.5599999999995</v>
      </c>
      <c r="G5" s="42"/>
      <c r="H5" s="42"/>
      <c r="I5" s="178">
        <f>SUM(I8:I38)</f>
        <v>3108.56</v>
      </c>
      <c r="J5" s="180">
        <f>SUM(J8:J38)</f>
        <v>1586</v>
      </c>
    </row>
    <row r="6" spans="2:14" ht="25" thickBot="1" x14ac:dyDescent="0.25">
      <c r="B6" s="42"/>
      <c r="C6" s="42"/>
      <c r="D6" s="42"/>
      <c r="E6" s="42"/>
      <c r="F6" s="177"/>
      <c r="G6" s="42"/>
      <c r="H6" s="42"/>
      <c r="I6" s="179"/>
      <c r="J6" s="181"/>
    </row>
    <row r="7" spans="2:14" ht="19" x14ac:dyDescent="0.2">
      <c r="B7" s="44" t="s">
        <v>0</v>
      </c>
      <c r="C7" s="44" t="s">
        <v>42</v>
      </c>
      <c r="D7" s="44" t="s">
        <v>39</v>
      </c>
      <c r="E7" s="44" t="s">
        <v>76</v>
      </c>
      <c r="F7" s="45" t="s">
        <v>77</v>
      </c>
      <c r="G7" s="46" t="s">
        <v>74</v>
      </c>
      <c r="H7" s="47" t="s">
        <v>62</v>
      </c>
      <c r="I7" s="97" t="s">
        <v>78</v>
      </c>
      <c r="J7" s="98" t="s">
        <v>75</v>
      </c>
      <c r="K7" s="7"/>
    </row>
    <row r="8" spans="2:14" x14ac:dyDescent="0.2">
      <c r="B8" s="15"/>
      <c r="C8" s="15"/>
      <c r="D8" s="15" t="s">
        <v>67</v>
      </c>
      <c r="E8" s="15" t="s">
        <v>72</v>
      </c>
      <c r="F8" s="37">
        <v>544</v>
      </c>
      <c r="G8" s="27" cm="1">
        <f t="array" ref="G8">couleur</f>
        <v>2</v>
      </c>
      <c r="H8" s="33">
        <v>0</v>
      </c>
      <c r="I8" s="34">
        <f>F8/(1+H8)</f>
        <v>544</v>
      </c>
      <c r="J8" s="43">
        <f t="shared" ref="J8:J38" si="0">F8-I8</f>
        <v>0</v>
      </c>
      <c r="K8" s="7"/>
      <c r="L8" s="96" t="s">
        <v>36</v>
      </c>
      <c r="M8" s="20">
        <f>SUMIF(Tableau33[Mode de dépense],L8,Tableau33[Charge TTC])</f>
        <v>800</v>
      </c>
      <c r="N8" s="35">
        <f>M8</f>
        <v>800</v>
      </c>
    </row>
    <row r="9" spans="2:14" x14ac:dyDescent="0.2">
      <c r="B9" s="15"/>
      <c r="C9" s="15"/>
      <c r="D9" s="15" t="s">
        <v>68</v>
      </c>
      <c r="E9" s="15" t="s">
        <v>72</v>
      </c>
      <c r="F9" s="37">
        <v>459.26</v>
      </c>
      <c r="G9" s="27" cm="1">
        <f t="array" ref="G9">couleur</f>
        <v>49</v>
      </c>
      <c r="H9" s="33">
        <v>0</v>
      </c>
      <c r="I9" s="34">
        <f t="shared" ref="I9:I17" si="1">F9/(1+H9)</f>
        <v>459.26</v>
      </c>
      <c r="J9" s="43">
        <f t="shared" si="0"/>
        <v>0</v>
      </c>
      <c r="K9" s="7"/>
      <c r="L9" s="90" t="s">
        <v>47</v>
      </c>
      <c r="M9" s="20">
        <f>SUMIF(Tableau33[Mode de dépense],L9,Tableau33[Charge TTC])</f>
        <v>0</v>
      </c>
      <c r="N9" s="35">
        <f>M9/1.2</f>
        <v>0</v>
      </c>
    </row>
    <row r="10" spans="2:14" x14ac:dyDescent="0.2">
      <c r="B10" s="15"/>
      <c r="C10" s="15"/>
      <c r="D10" s="15" t="s">
        <v>69</v>
      </c>
      <c r="E10" s="15" t="s">
        <v>71</v>
      </c>
      <c r="F10" s="30">
        <v>24.8</v>
      </c>
      <c r="G10" s="27" cm="1">
        <f t="array" ref="G10">couleur</f>
        <v>15</v>
      </c>
      <c r="H10" s="33">
        <v>0</v>
      </c>
      <c r="I10" s="34">
        <f t="shared" si="1"/>
        <v>24.8</v>
      </c>
      <c r="J10" s="43">
        <f t="shared" si="0"/>
        <v>0</v>
      </c>
      <c r="K10" s="7"/>
      <c r="L10" s="91" t="s">
        <v>71</v>
      </c>
      <c r="M10" s="20">
        <f>SUMIF(Tableau33[Mode de dépense],L10,Tableau33[Charge TTC])</f>
        <v>795.3</v>
      </c>
      <c r="N10" s="35"/>
    </row>
    <row r="11" spans="2:14" x14ac:dyDescent="0.2">
      <c r="B11" s="15"/>
      <c r="C11" s="15"/>
      <c r="D11" s="15" t="s">
        <v>70</v>
      </c>
      <c r="E11" s="15" t="s">
        <v>71</v>
      </c>
      <c r="F11" s="30">
        <v>20.51</v>
      </c>
      <c r="G11" s="27"/>
      <c r="H11" s="33">
        <v>0</v>
      </c>
      <c r="I11" s="34">
        <f t="shared" si="1"/>
        <v>20.51</v>
      </c>
      <c r="J11" s="43">
        <f t="shared" si="0"/>
        <v>0</v>
      </c>
      <c r="K11" s="7"/>
      <c r="L11" s="99" t="s">
        <v>48</v>
      </c>
      <c r="M11" s="20">
        <f>SUMIF(Tableau33[Mode de dépense],L11,Tableau33[Charge TTC])</f>
        <v>0</v>
      </c>
      <c r="N11" s="35">
        <f>M11/1.2</f>
        <v>0</v>
      </c>
    </row>
    <row r="12" spans="2:14" x14ac:dyDescent="0.2">
      <c r="B12" s="15"/>
      <c r="C12" s="15"/>
      <c r="D12" s="15" t="s">
        <v>70</v>
      </c>
      <c r="E12" s="15" t="s">
        <v>71</v>
      </c>
      <c r="F12" s="25">
        <v>19.989999999999998</v>
      </c>
      <c r="G12" s="27" cm="1">
        <f t="array" ref="G12">couleur</f>
        <v>15</v>
      </c>
      <c r="H12" s="33">
        <v>0</v>
      </c>
      <c r="I12" s="34">
        <f t="shared" si="1"/>
        <v>19.989999999999998</v>
      </c>
      <c r="J12" s="43">
        <f t="shared" si="0"/>
        <v>0</v>
      </c>
      <c r="K12" s="7"/>
      <c r="L12" s="100" t="s">
        <v>49</v>
      </c>
      <c r="M12" s="20">
        <f>SUMIF(Tableau33[Mode de dépense],L12,Tableau33[Charge TTC])</f>
        <v>0</v>
      </c>
      <c r="N12" s="35">
        <f>M12/1.2</f>
        <v>0</v>
      </c>
    </row>
    <row r="13" spans="2:14" x14ac:dyDescent="0.2">
      <c r="B13" s="19"/>
      <c r="C13" s="15"/>
      <c r="D13" s="15" t="s">
        <v>79</v>
      </c>
      <c r="E13" s="15" t="s">
        <v>71</v>
      </c>
      <c r="F13" s="25">
        <v>10</v>
      </c>
      <c r="G13" s="27" cm="1">
        <f t="array" ref="G13">couleur</f>
        <v>15</v>
      </c>
      <c r="H13" s="33">
        <v>0</v>
      </c>
      <c r="I13" s="34">
        <f t="shared" si="1"/>
        <v>10</v>
      </c>
      <c r="J13" s="43">
        <f t="shared" si="0"/>
        <v>0</v>
      </c>
      <c r="K13" s="7"/>
      <c r="L13" s="101" t="s">
        <v>50</v>
      </c>
      <c r="M13" s="20">
        <f>SUMIF(Tableau33[Mode de dépense],L13,Tableau33[Charge TTC])</f>
        <v>0</v>
      </c>
      <c r="N13" s="35">
        <f>M13/1.2</f>
        <v>0</v>
      </c>
    </row>
    <row r="14" spans="2:14" ht="34" x14ac:dyDescent="0.2">
      <c r="B14" s="19">
        <v>45417</v>
      </c>
      <c r="C14" s="15"/>
      <c r="D14" s="122" t="s">
        <v>152</v>
      </c>
      <c r="E14" s="15" t="s">
        <v>153</v>
      </c>
      <c r="F14" s="25">
        <v>1586</v>
      </c>
      <c r="G14" s="27"/>
      <c r="H14" s="33"/>
      <c r="I14" s="34"/>
      <c r="J14" s="43">
        <f>F14-I14</f>
        <v>1586</v>
      </c>
      <c r="K14" s="7"/>
      <c r="L14" s="92" t="s">
        <v>52</v>
      </c>
      <c r="M14" s="20">
        <f>SUMIF(Tableau33[Mode de dépense],L14,Tableau33[Charge TTC])</f>
        <v>500</v>
      </c>
      <c r="N14" s="35">
        <f>M14</f>
        <v>500</v>
      </c>
    </row>
    <row r="15" spans="2:14" ht="34" x14ac:dyDescent="0.2">
      <c r="B15" s="19">
        <v>45420</v>
      </c>
      <c r="C15" s="15"/>
      <c r="D15" s="122" t="s">
        <v>152</v>
      </c>
      <c r="E15" s="15" t="s">
        <v>153</v>
      </c>
      <c r="F15" s="25">
        <v>1850</v>
      </c>
      <c r="G15" s="27" cm="1">
        <f t="array" ref="G15">couleur</f>
        <v>15</v>
      </c>
      <c r="H15" s="33">
        <v>0</v>
      </c>
      <c r="I15" s="34">
        <f>F13/(1+H15)</f>
        <v>10</v>
      </c>
      <c r="J15" s="43">
        <f>F13-I15</f>
        <v>0</v>
      </c>
      <c r="K15" s="7"/>
      <c r="L15" s="93" t="s">
        <v>51</v>
      </c>
      <c r="M15" s="20">
        <f>SUMIF(Tableau33[Mode de dépense],L15,Tableau33[Charge TTC])</f>
        <v>0</v>
      </c>
      <c r="N15" s="35">
        <f>M15/1.2</f>
        <v>0</v>
      </c>
    </row>
    <row r="16" spans="2:14" x14ac:dyDescent="0.2">
      <c r="B16" s="15"/>
      <c r="C16" s="15"/>
      <c r="D16" s="15" t="s">
        <v>2</v>
      </c>
      <c r="E16" s="15" t="s">
        <v>36</v>
      </c>
      <c r="F16" s="25">
        <v>800</v>
      </c>
      <c r="G16" s="27" cm="1">
        <f t="array" ref="G16">couleur</f>
        <v>15</v>
      </c>
      <c r="H16" s="33">
        <v>0</v>
      </c>
      <c r="I16" s="34">
        <f t="shared" si="1"/>
        <v>800</v>
      </c>
      <c r="J16" s="43">
        <f t="shared" si="0"/>
        <v>0</v>
      </c>
      <c r="K16" s="7"/>
      <c r="L16" s="94" t="s">
        <v>60</v>
      </c>
      <c r="M16" s="20">
        <f>SUMIF(Tableau33[Mode de dépense],L16,Tableau33[Charge TTC])</f>
        <v>0</v>
      </c>
      <c r="N16" s="35">
        <f>M16/1.2</f>
        <v>0</v>
      </c>
    </row>
    <row r="17" spans="2:14" x14ac:dyDescent="0.2">
      <c r="B17" s="19">
        <v>45423</v>
      </c>
      <c r="C17" s="15"/>
      <c r="D17" s="15" t="s">
        <v>126</v>
      </c>
      <c r="E17" s="15" t="s">
        <v>52</v>
      </c>
      <c r="F17" s="25">
        <v>200</v>
      </c>
      <c r="G17" s="27" cm="1">
        <f t="array" ref="G17">couleur</f>
        <v>15</v>
      </c>
      <c r="H17" s="33">
        <v>0</v>
      </c>
      <c r="I17" s="34">
        <f t="shared" si="1"/>
        <v>200</v>
      </c>
      <c r="J17" s="43">
        <f t="shared" si="0"/>
        <v>0</v>
      </c>
      <c r="K17" s="7"/>
      <c r="L17" s="95" t="s">
        <v>72</v>
      </c>
      <c r="M17" s="20">
        <f>SUMIF(Tableau33[Mode de dépense],L17,Tableau33[Charge TTC])</f>
        <v>1003.26</v>
      </c>
      <c r="N17" s="35">
        <f>M17/1.2</f>
        <v>836.05000000000007</v>
      </c>
    </row>
    <row r="18" spans="2:14" x14ac:dyDescent="0.2">
      <c r="B18" s="15"/>
      <c r="C18" s="15"/>
      <c r="D18" s="15" t="s">
        <v>168</v>
      </c>
      <c r="E18" s="15" t="s">
        <v>52</v>
      </c>
      <c r="F18" s="25">
        <v>200</v>
      </c>
      <c r="G18" s="27" cm="1">
        <f t="array" ref="G18">couleur</f>
        <v>15</v>
      </c>
      <c r="H18" s="33">
        <v>0</v>
      </c>
      <c r="I18" s="34">
        <f t="shared" ref="I18:I38" si="2">F18/((1+H18))</f>
        <v>200</v>
      </c>
      <c r="J18" s="43">
        <f t="shared" si="0"/>
        <v>0</v>
      </c>
      <c r="K18" s="7"/>
      <c r="L18" s="123" t="s">
        <v>153</v>
      </c>
      <c r="M18" s="20">
        <f>SUMIF(Tableau33[Mode de dépense],L18,Tableau33[Charge TTC])</f>
        <v>3436</v>
      </c>
      <c r="N18" s="35">
        <f>M18/1.2</f>
        <v>2863.3333333333335</v>
      </c>
    </row>
    <row r="19" spans="2:14" x14ac:dyDescent="0.2">
      <c r="B19" s="15"/>
      <c r="C19" s="15"/>
      <c r="D19" s="15" t="s">
        <v>220</v>
      </c>
      <c r="E19" s="15" t="s">
        <v>71</v>
      </c>
      <c r="F19" s="25">
        <v>720</v>
      </c>
      <c r="G19" s="27" cm="1">
        <f t="array" ref="G19">couleur</f>
        <v>15</v>
      </c>
      <c r="H19" s="33">
        <v>0</v>
      </c>
      <c r="I19" s="34">
        <f t="shared" si="2"/>
        <v>720</v>
      </c>
      <c r="J19" s="43">
        <f t="shared" si="0"/>
        <v>0</v>
      </c>
      <c r="K19" s="7"/>
    </row>
    <row r="20" spans="2:14" x14ac:dyDescent="0.2">
      <c r="B20" s="15"/>
      <c r="C20" s="15"/>
      <c r="D20" s="15"/>
      <c r="E20" s="15"/>
      <c r="F20" s="25"/>
      <c r="G20" s="27" cm="1">
        <f t="array" ref="G20">couleur</f>
        <v>15</v>
      </c>
      <c r="H20" s="33">
        <v>0</v>
      </c>
      <c r="I20" s="34">
        <f t="shared" si="2"/>
        <v>0</v>
      </c>
      <c r="J20" s="43">
        <f t="shared" si="0"/>
        <v>0</v>
      </c>
      <c r="K20" s="7"/>
    </row>
    <row r="21" spans="2:14" x14ac:dyDescent="0.2">
      <c r="B21" s="15"/>
      <c r="C21" s="15"/>
      <c r="D21" s="15"/>
      <c r="E21" s="15"/>
      <c r="F21" s="25"/>
      <c r="G21" s="27" cm="1">
        <f t="array" ref="G21">couleur</f>
        <v>15</v>
      </c>
      <c r="H21" s="33">
        <v>0</v>
      </c>
      <c r="I21" s="34">
        <f t="shared" si="2"/>
        <v>0</v>
      </c>
      <c r="J21" s="43">
        <f t="shared" si="0"/>
        <v>0</v>
      </c>
      <c r="K21" s="7"/>
    </row>
    <row r="22" spans="2:14" x14ac:dyDescent="0.2">
      <c r="B22" s="15"/>
      <c r="C22" s="15"/>
      <c r="D22" s="15"/>
      <c r="E22" s="15"/>
      <c r="F22" s="25"/>
      <c r="G22" s="27" cm="1">
        <f t="array" ref="G22">couleur</f>
        <v>15</v>
      </c>
      <c r="H22" s="33">
        <v>0</v>
      </c>
      <c r="I22" s="34">
        <f t="shared" si="2"/>
        <v>0</v>
      </c>
      <c r="J22" s="43">
        <f t="shared" si="0"/>
        <v>0</v>
      </c>
      <c r="K22" s="7"/>
    </row>
    <row r="23" spans="2:14" x14ac:dyDescent="0.2">
      <c r="B23" s="15"/>
      <c r="C23" s="15"/>
      <c r="D23" s="15"/>
      <c r="E23" s="15"/>
      <c r="F23" s="25"/>
      <c r="G23" s="27" cm="1">
        <f t="array" ref="G23">couleur</f>
        <v>15</v>
      </c>
      <c r="H23" s="33">
        <v>0</v>
      </c>
      <c r="I23" s="34">
        <f t="shared" si="2"/>
        <v>0</v>
      </c>
      <c r="J23" s="43">
        <f t="shared" si="0"/>
        <v>0</v>
      </c>
      <c r="K23" s="7"/>
    </row>
    <row r="24" spans="2:14" x14ac:dyDescent="0.2">
      <c r="B24" s="15"/>
      <c r="C24" s="15"/>
      <c r="D24" s="15"/>
      <c r="E24" s="15"/>
      <c r="F24" s="25"/>
      <c r="G24" s="27" cm="1">
        <f t="array" ref="G24">couleur</f>
        <v>15</v>
      </c>
      <c r="H24" s="33">
        <v>0</v>
      </c>
      <c r="I24" s="34">
        <f t="shared" si="2"/>
        <v>0</v>
      </c>
      <c r="J24" s="43">
        <f t="shared" si="0"/>
        <v>0</v>
      </c>
      <c r="K24" s="7"/>
    </row>
    <row r="25" spans="2:14" x14ac:dyDescent="0.2">
      <c r="B25" s="15"/>
      <c r="C25" s="15"/>
      <c r="D25" s="15"/>
      <c r="E25" s="15"/>
      <c r="F25" s="25"/>
      <c r="G25" s="27" cm="1">
        <f t="array" ref="G25">couleur</f>
        <v>15</v>
      </c>
      <c r="H25" s="33">
        <v>0</v>
      </c>
      <c r="I25" s="34">
        <f t="shared" si="2"/>
        <v>0</v>
      </c>
      <c r="J25" s="43">
        <f t="shared" si="0"/>
        <v>0</v>
      </c>
      <c r="K25" s="7"/>
    </row>
    <row r="26" spans="2:14" x14ac:dyDescent="0.2">
      <c r="B26" s="15"/>
      <c r="C26" s="15"/>
      <c r="D26" s="15"/>
      <c r="E26" s="15"/>
      <c r="F26" s="25"/>
      <c r="G26" s="27" cm="1">
        <f t="array" ref="G26">couleur</f>
        <v>15</v>
      </c>
      <c r="H26" s="33">
        <v>0</v>
      </c>
      <c r="I26" s="34">
        <f t="shared" si="2"/>
        <v>0</v>
      </c>
      <c r="J26" s="43">
        <f t="shared" si="0"/>
        <v>0</v>
      </c>
      <c r="K26" s="7"/>
    </row>
    <row r="27" spans="2:14" x14ac:dyDescent="0.2">
      <c r="B27" s="15"/>
      <c r="C27" s="15"/>
      <c r="D27" s="15"/>
      <c r="E27" s="15"/>
      <c r="F27" s="25"/>
      <c r="G27" s="27" cm="1">
        <f t="array" ref="G27">couleur</f>
        <v>15</v>
      </c>
      <c r="H27" s="33">
        <v>0</v>
      </c>
      <c r="I27" s="34">
        <f t="shared" si="2"/>
        <v>0</v>
      </c>
      <c r="J27" s="43">
        <f t="shared" si="0"/>
        <v>0</v>
      </c>
      <c r="K27" s="7"/>
    </row>
    <row r="28" spans="2:14" x14ac:dyDescent="0.2">
      <c r="B28" s="15"/>
      <c r="C28" s="15"/>
      <c r="D28" s="15"/>
      <c r="E28" s="15"/>
      <c r="F28" s="25"/>
      <c r="G28" s="27" cm="1">
        <f t="array" ref="G28">couleur</f>
        <v>15</v>
      </c>
      <c r="H28" s="33">
        <v>0</v>
      </c>
      <c r="I28" s="34">
        <f t="shared" si="2"/>
        <v>0</v>
      </c>
      <c r="J28" s="43">
        <f t="shared" si="0"/>
        <v>0</v>
      </c>
      <c r="K28" s="7"/>
    </row>
    <row r="29" spans="2:14" x14ac:dyDescent="0.2">
      <c r="B29" s="15"/>
      <c r="C29" s="15"/>
      <c r="D29" s="15"/>
      <c r="E29" s="15"/>
      <c r="F29" s="25"/>
      <c r="G29" s="27" cm="1">
        <f t="array" ref="G29">couleur</f>
        <v>15</v>
      </c>
      <c r="H29" s="33">
        <v>0</v>
      </c>
      <c r="I29" s="34">
        <f t="shared" si="2"/>
        <v>0</v>
      </c>
      <c r="J29" s="43">
        <f t="shared" si="0"/>
        <v>0</v>
      </c>
      <c r="K29" s="7"/>
    </row>
    <row r="30" spans="2:14" x14ac:dyDescent="0.2">
      <c r="B30" s="15"/>
      <c r="C30" s="15"/>
      <c r="D30" s="15"/>
      <c r="E30" s="15"/>
      <c r="F30" s="25"/>
      <c r="G30" s="27" cm="1">
        <f t="array" ref="G30">couleur</f>
        <v>15</v>
      </c>
      <c r="H30" s="33">
        <v>0</v>
      </c>
      <c r="I30" s="34">
        <f t="shared" si="2"/>
        <v>0</v>
      </c>
      <c r="J30" s="43">
        <f t="shared" si="0"/>
        <v>0</v>
      </c>
      <c r="K30" s="7"/>
    </row>
    <row r="31" spans="2:14" x14ac:dyDescent="0.2">
      <c r="B31" s="15"/>
      <c r="C31" s="15"/>
      <c r="D31" s="15"/>
      <c r="E31" s="15"/>
      <c r="F31" s="25"/>
      <c r="G31" s="27" cm="1">
        <f t="array" ref="G31">couleur</f>
        <v>15</v>
      </c>
      <c r="H31" s="33">
        <v>0</v>
      </c>
      <c r="I31" s="34">
        <f t="shared" si="2"/>
        <v>0</v>
      </c>
      <c r="J31" s="43">
        <f t="shared" si="0"/>
        <v>0</v>
      </c>
      <c r="K31" s="7"/>
    </row>
    <row r="32" spans="2:14" x14ac:dyDescent="0.2">
      <c r="B32" s="15"/>
      <c r="C32" s="15"/>
      <c r="D32" s="15"/>
      <c r="E32" s="15"/>
      <c r="F32" s="25"/>
      <c r="G32" s="27" cm="1">
        <f t="array" ref="G32">couleur</f>
        <v>15</v>
      </c>
      <c r="H32" s="33">
        <v>0</v>
      </c>
      <c r="I32" s="34">
        <f t="shared" si="2"/>
        <v>0</v>
      </c>
      <c r="J32" s="43">
        <f t="shared" si="0"/>
        <v>0</v>
      </c>
      <c r="K32" s="7"/>
    </row>
    <row r="33" spans="2:11" x14ac:dyDescent="0.2">
      <c r="B33" s="15"/>
      <c r="C33" s="15"/>
      <c r="D33" s="15"/>
      <c r="E33" s="15"/>
      <c r="F33" s="25"/>
      <c r="G33" s="27" cm="1">
        <f t="array" ref="G33">couleur</f>
        <v>15</v>
      </c>
      <c r="H33" s="33">
        <v>0</v>
      </c>
      <c r="I33" s="34">
        <f t="shared" si="2"/>
        <v>0</v>
      </c>
      <c r="J33" s="43">
        <f t="shared" si="0"/>
        <v>0</v>
      </c>
      <c r="K33" s="7"/>
    </row>
    <row r="34" spans="2:11" x14ac:dyDescent="0.2">
      <c r="B34" s="15"/>
      <c r="C34" s="15"/>
      <c r="D34" s="15"/>
      <c r="E34" s="15"/>
      <c r="F34" s="25"/>
      <c r="G34" s="27" cm="1">
        <f t="array" ref="G34">couleur</f>
        <v>15</v>
      </c>
      <c r="H34" s="33">
        <v>0</v>
      </c>
      <c r="I34" s="34">
        <f t="shared" si="2"/>
        <v>0</v>
      </c>
      <c r="J34" s="43">
        <f t="shared" si="0"/>
        <v>0</v>
      </c>
      <c r="K34" s="7"/>
    </row>
    <row r="35" spans="2:11" x14ac:dyDescent="0.2">
      <c r="B35" s="15"/>
      <c r="C35" s="15"/>
      <c r="D35" s="15"/>
      <c r="E35" s="15"/>
      <c r="F35" s="25"/>
      <c r="G35" s="27" cm="1">
        <f t="array" ref="G35">couleur</f>
        <v>15</v>
      </c>
      <c r="H35" s="33">
        <v>0</v>
      </c>
      <c r="I35" s="34">
        <f t="shared" si="2"/>
        <v>0</v>
      </c>
      <c r="J35" s="43">
        <f t="shared" si="0"/>
        <v>0</v>
      </c>
      <c r="K35" s="7"/>
    </row>
    <row r="36" spans="2:11" x14ac:dyDescent="0.2">
      <c r="B36" s="19">
        <v>45442</v>
      </c>
      <c r="C36" s="15"/>
      <c r="D36" s="15" t="s">
        <v>114</v>
      </c>
      <c r="E36" s="15" t="s">
        <v>52</v>
      </c>
      <c r="F36" s="25">
        <v>100</v>
      </c>
      <c r="G36" s="27" cm="1">
        <f t="array" ref="G36">couleur</f>
        <v>15</v>
      </c>
      <c r="H36" s="33">
        <v>0</v>
      </c>
      <c r="I36" s="34">
        <f t="shared" si="2"/>
        <v>100</v>
      </c>
      <c r="J36" s="43">
        <f t="shared" si="0"/>
        <v>0</v>
      </c>
      <c r="K36" s="7"/>
    </row>
    <row r="37" spans="2:11" x14ac:dyDescent="0.2">
      <c r="B37" s="15"/>
      <c r="C37" s="15"/>
      <c r="D37" s="15"/>
      <c r="E37" s="15"/>
      <c r="F37" s="25"/>
      <c r="G37" s="27" cm="1">
        <f t="array" ref="G37">couleur</f>
        <v>15</v>
      </c>
      <c r="H37" s="33">
        <v>0</v>
      </c>
      <c r="I37" s="34">
        <f t="shared" si="2"/>
        <v>0</v>
      </c>
      <c r="J37" s="43">
        <f t="shared" si="0"/>
        <v>0</v>
      </c>
    </row>
    <row r="38" spans="2:11" x14ac:dyDescent="0.2">
      <c r="B38" s="15"/>
      <c r="C38" s="15"/>
      <c r="D38" s="15"/>
      <c r="E38" s="15"/>
      <c r="F38" s="25"/>
      <c r="G38" s="27" cm="1">
        <f t="array" ref="G38">couleur</f>
        <v>15</v>
      </c>
      <c r="H38" s="33">
        <v>0</v>
      </c>
      <c r="I38" s="34">
        <f t="shared" si="2"/>
        <v>0</v>
      </c>
      <c r="J38" s="43">
        <f t="shared" si="0"/>
        <v>0</v>
      </c>
    </row>
  </sheetData>
  <mergeCells count="4">
    <mergeCell ref="B2:J3"/>
    <mergeCell ref="F5:F6"/>
    <mergeCell ref="I5:I6"/>
    <mergeCell ref="J5:J6"/>
  </mergeCells>
  <conditionalFormatting sqref="E8:E38">
    <cfRule type="containsText" dxfId="416" priority="1" operator="containsText" text="Emprunt/Crédit">
      <formula>NOT(ISERROR(SEARCH("Emprunt/Crédit",E8)))</formula>
    </cfRule>
    <cfRule type="containsText" dxfId="415" priority="2" operator="containsText" text="Garage">
      <formula>NOT(ISERROR(SEARCH("Garage",E8)))</formula>
    </cfRule>
    <cfRule type="containsText" dxfId="414" priority="4" operator="containsText" text="Visite JB Hub">
      <formula>NOT(ISERROR(SEARCH("Visite JB Hub",E8)))</formula>
    </cfRule>
    <cfRule type="containsText" dxfId="413" priority="5" operator="containsText" text="Repas">
      <formula>NOT(ISERROR(SEARCH("Repas",E8)))</formula>
    </cfRule>
    <cfRule type="containsText" dxfId="412" priority="6" operator="containsText" text="Communication">
      <formula>NOT(ISERROR(SEARCH("Communication",E8)))</formula>
    </cfRule>
    <cfRule type="containsText" dxfId="411" priority="7" operator="containsText" text="Jeep">
      <formula>NOT(ISERROR(SEARCH("Jeep",E8)))</formula>
    </cfRule>
    <cfRule type="containsText" dxfId="410" priority="8" operator="containsText" text="Structure">
      <formula>NOT(ISERROR(SEARCH("Structure",E8)))</formula>
    </cfRule>
    <cfRule type="containsText" dxfId="409" priority="9" operator="containsText" text="Essence">
      <formula>NOT(ISERROR(SEARCH("Essence",E8)))</formula>
    </cfRule>
    <cfRule type="containsText" dxfId="408" priority="10" operator="containsText" text="Salaire">
      <formula>NOT(ISERROR(SEARCH("Salaire",E8)))</formula>
    </cfRule>
  </conditionalFormatting>
  <conditionalFormatting sqref="E8:E38">
    <cfRule type="containsText" dxfId="407" priority="3" operator="containsText" text="Assurance">
      <formula>NOT(ISERROR(SEARCH("Assurance",E8)))</formula>
    </cfRule>
  </conditionalFormatting>
  <dataValidations count="3">
    <dataValidation type="list" allowBlank="1" showInputMessage="1" showErrorMessage="1" sqref="H8:H38" xr:uid="{59C302E8-F658-EC41-A12F-3700FFBFD049}">
      <formula1>"0%, 20%"</formula1>
    </dataValidation>
    <dataValidation allowBlank="1" showInputMessage="1" sqref="F16:F38 F8:F14" xr:uid="{311DAA40-E934-C942-A3DE-467B56956E11}"/>
    <dataValidation type="list" allowBlank="1" showInputMessage="1" showErrorMessage="1" sqref="E1:E1048576" xr:uid="{77789752-B65E-994A-B2F6-87E14C279694}">
      <formula1>"Salaire, Essence, Structure, Jeep, Communication, Repas, Visite JB Hub, Assurance, Garage, Emprunt/Crédit, Bureau, URSSAF"</formula1>
    </dataValidation>
  </dataValidations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DE267F-724E-2D41-A369-7578A1B656F6}">
  <sheetPr>
    <tabColor theme="4" tint="0.79998168889431442"/>
  </sheetPr>
  <dimension ref="A1:U61"/>
  <sheetViews>
    <sheetView topLeftCell="A13" zoomScale="86" workbookViewId="0">
      <selection activeCell="E49" sqref="E49"/>
    </sheetView>
  </sheetViews>
  <sheetFormatPr baseColWidth="10" defaultRowHeight="16" x14ac:dyDescent="0.2"/>
  <cols>
    <col min="2" max="2" width="11" bestFit="1" customWidth="1"/>
    <col min="3" max="3" width="11" customWidth="1"/>
    <col min="4" max="4" width="12.5" customWidth="1"/>
    <col min="7" max="7" width="11" bestFit="1" customWidth="1"/>
    <col min="9" max="9" width="21.6640625" customWidth="1"/>
    <col min="11" max="11" width="21" customWidth="1"/>
    <col min="13" max="13" width="14.5" customWidth="1"/>
    <col min="14" max="14" width="21.83203125" customWidth="1"/>
    <col min="17" max="17" width="14.33203125" customWidth="1"/>
    <col min="18" max="18" width="15.5" customWidth="1"/>
    <col min="19" max="19" width="16.83203125" customWidth="1"/>
    <col min="20" max="20" width="17.1640625" customWidth="1"/>
    <col min="21" max="21" width="15.5" customWidth="1"/>
  </cols>
  <sheetData>
    <row r="1" spans="1:21" ht="17" thickBot="1" x14ac:dyDescent="0.25">
      <c r="F1" s="63"/>
      <c r="G1" s="64"/>
      <c r="H1" s="65"/>
      <c r="I1" s="65"/>
      <c r="J1" s="65"/>
      <c r="K1" s="65"/>
      <c r="L1" s="65"/>
      <c r="M1" s="66"/>
    </row>
    <row r="2" spans="1:21" x14ac:dyDescent="0.2">
      <c r="F2" s="161" t="s">
        <v>40</v>
      </c>
      <c r="G2" s="162"/>
      <c r="H2" s="162"/>
      <c r="I2" s="162"/>
      <c r="J2" s="162"/>
      <c r="K2" s="162"/>
      <c r="L2" s="162"/>
      <c r="M2" s="163"/>
    </row>
    <row r="3" spans="1:21" ht="17" thickBot="1" x14ac:dyDescent="0.25">
      <c r="F3" s="164"/>
      <c r="G3" s="165"/>
      <c r="H3" s="165"/>
      <c r="I3" s="165"/>
      <c r="J3" s="165"/>
      <c r="K3" s="165"/>
      <c r="L3" s="165"/>
      <c r="M3" s="166"/>
    </row>
    <row r="4" spans="1:21" ht="25" thickBot="1" x14ac:dyDescent="0.25">
      <c r="F4" s="61"/>
      <c r="G4" s="61"/>
      <c r="H4" s="61"/>
      <c r="I4" s="61"/>
      <c r="J4" s="61"/>
      <c r="K4" s="61"/>
      <c r="L4" s="61"/>
      <c r="M4" s="61"/>
    </row>
    <row r="5" spans="1:21" ht="60" x14ac:dyDescent="0.2">
      <c r="F5" s="61"/>
      <c r="G5" s="61"/>
      <c r="H5" s="61"/>
      <c r="I5" s="103" t="s">
        <v>87</v>
      </c>
      <c r="J5" s="61"/>
      <c r="K5" s="71" t="s">
        <v>66</v>
      </c>
      <c r="L5" s="61"/>
      <c r="M5" s="61"/>
    </row>
    <row r="6" spans="1:21" ht="30" thickBot="1" x14ac:dyDescent="0.25">
      <c r="G6" s="67"/>
      <c r="H6" s="7"/>
      <c r="I6" s="105">
        <f>SUM(I60:M60)</f>
        <v>10343.279999999999</v>
      </c>
      <c r="J6" s="69"/>
      <c r="K6" s="73">
        <f>I61+K61+M61</f>
        <v>10343.279999999999</v>
      </c>
      <c r="L6" s="7"/>
    </row>
    <row r="7" spans="1:21" ht="24" x14ac:dyDescent="0.2">
      <c r="F7" s="61"/>
      <c r="G7" s="61"/>
      <c r="H7" s="61"/>
      <c r="I7" s="61"/>
      <c r="J7" s="61"/>
      <c r="K7" s="61"/>
      <c r="L7" s="61"/>
      <c r="M7" s="61"/>
    </row>
    <row r="8" spans="1:21" ht="46" x14ac:dyDescent="0.2">
      <c r="B8" s="52" t="s">
        <v>0</v>
      </c>
      <c r="C8" s="189" t="s">
        <v>238</v>
      </c>
      <c r="D8" s="55" t="s">
        <v>1</v>
      </c>
      <c r="E8" s="55" t="s">
        <v>82</v>
      </c>
      <c r="F8" s="56" t="s">
        <v>83</v>
      </c>
      <c r="G8" s="56" t="s">
        <v>88</v>
      </c>
      <c r="H8" s="57" t="s">
        <v>84</v>
      </c>
      <c r="I8" s="56" t="s">
        <v>2</v>
      </c>
      <c r="J8" s="58" t="s">
        <v>85</v>
      </c>
      <c r="K8" s="59" t="s">
        <v>3</v>
      </c>
      <c r="L8" s="60" t="s">
        <v>86</v>
      </c>
      <c r="M8" s="59" t="s">
        <v>4</v>
      </c>
      <c r="N8" s="55" t="s">
        <v>5</v>
      </c>
      <c r="P8" s="74" t="s">
        <v>59</v>
      </c>
      <c r="Q8" s="48" t="s">
        <v>53</v>
      </c>
      <c r="R8" s="49" t="s">
        <v>54</v>
      </c>
      <c r="S8" s="50" t="s">
        <v>55</v>
      </c>
      <c r="T8" s="88" t="s">
        <v>37</v>
      </c>
      <c r="U8" s="78" t="s">
        <v>89</v>
      </c>
    </row>
    <row r="9" spans="1:21" ht="24" customHeight="1" x14ac:dyDescent="0.2">
      <c r="B9" s="12">
        <v>45392</v>
      </c>
      <c r="C9" s="11" t="s">
        <v>25</v>
      </c>
      <c r="D9" s="133"/>
      <c r="E9" s="9" t="s">
        <v>11</v>
      </c>
      <c r="F9" s="9" t="s">
        <v>199</v>
      </c>
      <c r="G9" s="9"/>
      <c r="H9" s="9"/>
      <c r="I9" s="51">
        <v>144</v>
      </c>
      <c r="J9" s="3"/>
      <c r="K9" s="157"/>
      <c r="L9" s="32"/>
      <c r="M9" s="51"/>
      <c r="N9" s="31"/>
      <c r="O9" s="32"/>
      <c r="P9" s="16" t="s">
        <v>43</v>
      </c>
      <c r="Q9" s="22">
        <f>SUMIF(Tableau557[$T],P9,Tableau557[Thomas])</f>
        <v>0</v>
      </c>
      <c r="R9" s="22">
        <f>SUMIF(Tableau557[$F],P9,Tableau557[Flavie])</f>
        <v>0</v>
      </c>
      <c r="S9" s="22">
        <f>SUMIF(Tableau557[$R],P9,Tableau557[Raphaëlle])</f>
        <v>0</v>
      </c>
      <c r="T9" s="87">
        <f t="shared" ref="T9:T15" si="0">SUM(Q9:S9)</f>
        <v>0</v>
      </c>
      <c r="U9" s="79">
        <f t="shared" ref="U9:U15" si="1">(Q9+R9+S9)/1</f>
        <v>0</v>
      </c>
    </row>
    <row r="10" spans="1:21" ht="24" customHeight="1" x14ac:dyDescent="0.2">
      <c r="B10" s="12">
        <v>45414</v>
      </c>
      <c r="C10" s="11" t="s">
        <v>25</v>
      </c>
      <c r="D10" s="133"/>
      <c r="E10" s="9" t="s">
        <v>98</v>
      </c>
      <c r="F10" s="9"/>
      <c r="G10" s="9"/>
      <c r="H10" s="3" t="s">
        <v>46</v>
      </c>
      <c r="I10" s="32">
        <v>500</v>
      </c>
      <c r="J10" s="32"/>
      <c r="K10" s="51"/>
      <c r="L10" s="32"/>
      <c r="M10" s="51"/>
      <c r="N10" s="156"/>
      <c r="O10" s="155"/>
      <c r="P10" s="16"/>
      <c r="Q10" s="22"/>
      <c r="R10" s="22"/>
      <c r="S10" s="22"/>
      <c r="T10" s="87"/>
      <c r="U10" s="79"/>
    </row>
    <row r="11" spans="1:21" x14ac:dyDescent="0.2">
      <c r="A11" s="167"/>
      <c r="B11" s="11">
        <v>45414</v>
      </c>
      <c r="C11" s="11" t="s">
        <v>25</v>
      </c>
      <c r="D11" s="9" t="s">
        <v>97</v>
      </c>
      <c r="E11" s="9" t="s">
        <v>98</v>
      </c>
      <c r="F11" s="9"/>
      <c r="G11" s="3">
        <v>4</v>
      </c>
      <c r="H11" s="3"/>
      <c r="I11" s="32"/>
      <c r="J11" s="3" t="s">
        <v>46</v>
      </c>
      <c r="K11" s="32">
        <v>340.2</v>
      </c>
      <c r="L11" s="3"/>
      <c r="M11" s="30"/>
      <c r="N11" s="3"/>
      <c r="P11" s="17" t="s">
        <v>44</v>
      </c>
      <c r="Q11" s="22">
        <f>SUMIF(Tableau557[$T],P11,Tableau557[Thomas])</f>
        <v>0</v>
      </c>
      <c r="R11" s="22">
        <f>SUMIF(Tableau557[$F],P11,Tableau557[Flavie])</f>
        <v>0</v>
      </c>
      <c r="S11" s="22">
        <f>SUMIF(Tableau557[$R],P11,Tableau557[Raphaëlle])</f>
        <v>0</v>
      </c>
      <c r="T11" s="87">
        <f t="shared" si="0"/>
        <v>0</v>
      </c>
      <c r="U11" s="79">
        <f t="shared" si="1"/>
        <v>0</v>
      </c>
    </row>
    <row r="12" spans="1:21" x14ac:dyDescent="0.2">
      <c r="A12" s="167"/>
      <c r="B12" s="11">
        <v>45415</v>
      </c>
      <c r="C12" s="11" t="s">
        <v>25</v>
      </c>
      <c r="D12" s="9" t="s">
        <v>12</v>
      </c>
      <c r="E12" s="9" t="s">
        <v>98</v>
      </c>
      <c r="F12" s="9"/>
      <c r="G12" s="7">
        <v>2</v>
      </c>
      <c r="H12" s="7" t="s">
        <v>46</v>
      </c>
      <c r="I12" s="32">
        <v>124.95</v>
      </c>
      <c r="J12" s="7"/>
      <c r="K12" s="51"/>
      <c r="L12" s="7"/>
      <c r="M12" s="51"/>
      <c r="N12" s="3"/>
      <c r="P12" s="18" t="s">
        <v>45</v>
      </c>
      <c r="Q12" s="22">
        <f>SUMIF(Tableau557[$T],P12,Tableau557[Thomas])</f>
        <v>0</v>
      </c>
      <c r="R12" s="22">
        <f>SUMIF(Tableau557[$F],P12,Tableau557[Flavie])</f>
        <v>0</v>
      </c>
      <c r="S12" s="22">
        <f>SUMIF(Tableau557[$R],P12,Tableau557[Raphaëlle])</f>
        <v>0</v>
      </c>
      <c r="T12" s="87">
        <f t="shared" si="0"/>
        <v>0</v>
      </c>
      <c r="U12" s="79">
        <f t="shared" si="1"/>
        <v>0</v>
      </c>
    </row>
    <row r="13" spans="1:21" x14ac:dyDescent="0.2">
      <c r="A13" s="167"/>
      <c r="B13" s="11">
        <v>45415</v>
      </c>
      <c r="C13" s="11" t="s">
        <v>25</v>
      </c>
      <c r="D13" s="9" t="s">
        <v>15</v>
      </c>
      <c r="E13" s="9" t="s">
        <v>98</v>
      </c>
      <c r="F13" s="9"/>
      <c r="G13" s="3">
        <v>2</v>
      </c>
      <c r="H13" s="3" t="s">
        <v>46</v>
      </c>
      <c r="I13" s="51">
        <v>147</v>
      </c>
      <c r="J13" s="3"/>
      <c r="K13" s="51"/>
      <c r="L13" s="3"/>
      <c r="M13" s="32"/>
      <c r="N13" s="3"/>
      <c r="P13" s="4" t="s">
        <v>46</v>
      </c>
      <c r="Q13" s="22">
        <f>SUMIF(Tableau557[$T],P13,Tableau557[Thomas])</f>
        <v>1938.9</v>
      </c>
      <c r="R13" s="22">
        <f>SUMIF(Tableau557[$F],P13,Tableau557[Flavie])</f>
        <v>340.2</v>
      </c>
      <c r="S13" s="22">
        <f>SUMIF(Tableau557[$R],P13,Tableau557[Raphaëlle])</f>
        <v>0</v>
      </c>
      <c r="T13" s="87">
        <f t="shared" si="0"/>
        <v>2279.1</v>
      </c>
      <c r="U13" s="79">
        <f t="shared" si="1"/>
        <v>2279.1</v>
      </c>
    </row>
    <row r="14" spans="1:21" x14ac:dyDescent="0.2">
      <c r="A14" s="167"/>
      <c r="B14" s="12">
        <v>45416</v>
      </c>
      <c r="C14" s="11" t="s">
        <v>25</v>
      </c>
      <c r="D14" s="9" t="s">
        <v>15</v>
      </c>
      <c r="E14" s="9" t="s">
        <v>98</v>
      </c>
      <c r="F14" s="9"/>
      <c r="G14" s="3">
        <v>2</v>
      </c>
      <c r="H14" s="3" t="s">
        <v>46</v>
      </c>
      <c r="I14" s="32">
        <v>124.95</v>
      </c>
      <c r="J14" s="3"/>
      <c r="K14" s="51"/>
      <c r="L14" s="3"/>
      <c r="M14" s="32"/>
      <c r="N14" s="3"/>
      <c r="P14" s="76" t="s">
        <v>56</v>
      </c>
      <c r="Q14" s="22">
        <f>SUMIF(Tableau557[$T],P14,Tableau557[Thomas])</f>
        <v>0</v>
      </c>
      <c r="R14" s="22">
        <f>SUMIF(Tableau557[$F],P14,Tableau557[Flavie])</f>
        <v>0</v>
      </c>
      <c r="S14" s="22">
        <f>SUMIF(Tableau557[$R],P14,Tableau557[Raphaëlle])</f>
        <v>0</v>
      </c>
      <c r="T14" s="87">
        <f t="shared" si="0"/>
        <v>0</v>
      </c>
      <c r="U14" s="79">
        <f t="shared" si="1"/>
        <v>0</v>
      </c>
    </row>
    <row r="15" spans="1:21" x14ac:dyDescent="0.2">
      <c r="A15" s="167"/>
      <c r="B15" s="11">
        <v>45419</v>
      </c>
      <c r="C15" s="11" t="s">
        <v>25</v>
      </c>
      <c r="D15" s="9" t="s">
        <v>12</v>
      </c>
      <c r="E15" s="9" t="s">
        <v>98</v>
      </c>
      <c r="F15" s="9"/>
      <c r="G15" s="3">
        <v>2</v>
      </c>
      <c r="H15" s="3" t="s">
        <v>46</v>
      </c>
      <c r="I15" s="51">
        <v>147</v>
      </c>
      <c r="J15" s="3"/>
      <c r="K15" s="51"/>
      <c r="L15" s="3"/>
      <c r="M15" s="32"/>
      <c r="N15" s="3"/>
      <c r="P15" s="26" t="s">
        <v>61</v>
      </c>
      <c r="Q15" s="22">
        <f>SUMIF(Tableau557[$T],P15,Tableau557[Thomas])</f>
        <v>0</v>
      </c>
      <c r="R15" s="22">
        <f>SUMIF(Tableau557[$F],P15,Tableau557[Flavie])</f>
        <v>307.68</v>
      </c>
      <c r="S15" s="22">
        <f>SUMIF(Tableau557[$R],P15,Tableau557[Raphaëlle])</f>
        <v>0</v>
      </c>
      <c r="T15" s="87">
        <f t="shared" si="0"/>
        <v>307.68</v>
      </c>
      <c r="U15" s="79">
        <f t="shared" si="1"/>
        <v>307.68</v>
      </c>
    </row>
    <row r="16" spans="1:21" x14ac:dyDescent="0.2">
      <c r="A16" s="75"/>
      <c r="B16" s="11">
        <v>45422</v>
      </c>
      <c r="C16" s="11" t="s">
        <v>25</v>
      </c>
      <c r="D16" s="9" t="s">
        <v>12</v>
      </c>
      <c r="E16" s="9" t="s">
        <v>61</v>
      </c>
      <c r="F16" s="9"/>
      <c r="G16" s="3">
        <v>2</v>
      </c>
      <c r="H16" s="3"/>
      <c r="I16" s="32"/>
      <c r="J16" s="32" t="s">
        <v>61</v>
      </c>
      <c r="K16" s="51">
        <v>153.84</v>
      </c>
      <c r="L16" s="3"/>
      <c r="M16" s="32"/>
      <c r="N16" s="3"/>
      <c r="Q16" s="102">
        <f>SUM(Q9:Q15)</f>
        <v>1938.9</v>
      </c>
      <c r="R16" s="85">
        <f>SUM(R9:R15)</f>
        <v>647.88</v>
      </c>
      <c r="S16" s="85">
        <f>SUM(S9:S15)</f>
        <v>0</v>
      </c>
    </row>
    <row r="17" spans="1:19" x14ac:dyDescent="0.2">
      <c r="A17" s="75"/>
      <c r="B17" s="12">
        <v>45422</v>
      </c>
      <c r="C17" s="11" t="s">
        <v>25</v>
      </c>
      <c r="D17" s="9" t="s">
        <v>15</v>
      </c>
      <c r="E17" s="9" t="s">
        <v>61</v>
      </c>
      <c r="F17" s="9"/>
      <c r="G17" s="3">
        <v>2</v>
      </c>
      <c r="H17" s="3"/>
      <c r="I17" s="51"/>
      <c r="J17" s="32" t="s">
        <v>61</v>
      </c>
      <c r="K17" s="51">
        <v>153.84</v>
      </c>
      <c r="L17" s="32"/>
      <c r="M17" s="32"/>
      <c r="N17" s="5"/>
      <c r="Q17" s="182"/>
      <c r="R17" s="183"/>
      <c r="S17" s="183"/>
    </row>
    <row r="18" spans="1:19" x14ac:dyDescent="0.2">
      <c r="A18" s="75"/>
      <c r="B18" s="12">
        <v>45424</v>
      </c>
      <c r="C18" s="11" t="s">
        <v>25</v>
      </c>
      <c r="D18" s="9" t="s">
        <v>12</v>
      </c>
      <c r="E18" s="9" t="s">
        <v>98</v>
      </c>
      <c r="F18" s="9"/>
      <c r="G18" s="3">
        <v>2</v>
      </c>
      <c r="H18" s="3" t="s">
        <v>46</v>
      </c>
      <c r="I18" s="51">
        <v>147</v>
      </c>
      <c r="J18" s="3"/>
      <c r="K18" s="51"/>
      <c r="L18" s="3"/>
      <c r="M18" s="32"/>
      <c r="N18" s="3"/>
    </row>
    <row r="19" spans="1:19" x14ac:dyDescent="0.2">
      <c r="A19" s="75"/>
      <c r="B19" s="12">
        <v>45431</v>
      </c>
      <c r="C19" s="11" t="s">
        <v>25</v>
      </c>
      <c r="D19" s="9" t="s">
        <v>12</v>
      </c>
      <c r="E19" s="9" t="s">
        <v>98</v>
      </c>
      <c r="F19" s="9"/>
      <c r="G19" s="3">
        <v>2</v>
      </c>
      <c r="H19" s="3" t="s">
        <v>46</v>
      </c>
      <c r="I19" s="51">
        <v>147</v>
      </c>
      <c r="J19" s="3"/>
      <c r="K19" s="51"/>
      <c r="L19" s="3"/>
      <c r="M19" s="32"/>
      <c r="N19" s="3"/>
    </row>
    <row r="20" spans="1:19" x14ac:dyDescent="0.2">
      <c r="A20" s="75"/>
      <c r="B20" s="12">
        <v>45434</v>
      </c>
      <c r="C20" s="11" t="s">
        <v>25</v>
      </c>
      <c r="D20" s="9" t="s">
        <v>12</v>
      </c>
      <c r="E20" s="9" t="s">
        <v>98</v>
      </c>
      <c r="F20" s="9"/>
      <c r="G20" s="3">
        <v>2</v>
      </c>
      <c r="H20" s="3" t="s">
        <v>46</v>
      </c>
      <c r="I20" s="51">
        <v>147</v>
      </c>
      <c r="J20" s="3"/>
      <c r="K20" s="51"/>
      <c r="L20" s="3"/>
      <c r="M20" s="32"/>
      <c r="N20" s="3"/>
    </row>
    <row r="21" spans="1:19" x14ac:dyDescent="0.2">
      <c r="A21" s="75"/>
      <c r="B21" s="12">
        <v>45442</v>
      </c>
      <c r="C21" s="11" t="s">
        <v>25</v>
      </c>
      <c r="D21" s="9" t="s">
        <v>16</v>
      </c>
      <c r="E21" s="9" t="s">
        <v>98</v>
      </c>
      <c r="F21" s="9"/>
      <c r="G21" s="3">
        <v>2</v>
      </c>
      <c r="H21" s="3" t="s">
        <v>46</v>
      </c>
      <c r="I21" s="51">
        <v>147</v>
      </c>
      <c r="J21" s="32"/>
      <c r="K21" s="51"/>
      <c r="L21" s="32"/>
      <c r="M21" s="32"/>
      <c r="N21" s="5"/>
    </row>
    <row r="22" spans="1:19" x14ac:dyDescent="0.2">
      <c r="A22" s="75"/>
      <c r="B22" s="12">
        <v>45442</v>
      </c>
      <c r="C22" s="11" t="s">
        <v>25</v>
      </c>
      <c r="D22" s="9" t="s">
        <v>16</v>
      </c>
      <c r="E22" s="9" t="s">
        <v>98</v>
      </c>
      <c r="F22" s="9"/>
      <c r="G22" s="3">
        <v>2</v>
      </c>
      <c r="H22" s="3" t="s">
        <v>46</v>
      </c>
      <c r="I22" s="51">
        <v>147</v>
      </c>
      <c r="J22" s="3"/>
      <c r="K22" s="51"/>
      <c r="L22" s="3"/>
      <c r="M22" s="32"/>
      <c r="N22" s="3"/>
    </row>
    <row r="23" spans="1:19" x14ac:dyDescent="0.2">
      <c r="A23" s="75"/>
      <c r="B23" s="12">
        <v>45442</v>
      </c>
      <c r="C23" s="11" t="s">
        <v>25</v>
      </c>
      <c r="D23" s="9" t="s">
        <v>57</v>
      </c>
      <c r="E23" s="9" t="s">
        <v>98</v>
      </c>
      <c r="F23" s="9"/>
      <c r="G23" s="3">
        <v>2</v>
      </c>
      <c r="H23" s="3" t="s">
        <v>46</v>
      </c>
      <c r="I23" s="51">
        <v>160</v>
      </c>
      <c r="J23" s="3"/>
      <c r="K23" s="51"/>
      <c r="L23" s="3"/>
      <c r="M23" s="32"/>
      <c r="N23" s="3"/>
    </row>
    <row r="24" spans="1:19" x14ac:dyDescent="0.2">
      <c r="A24" s="75"/>
      <c r="B24" s="12">
        <v>45446</v>
      </c>
      <c r="C24" s="12" t="s">
        <v>236</v>
      </c>
      <c r="D24" s="9" t="s">
        <v>58</v>
      </c>
      <c r="E24" s="120">
        <v>14262</v>
      </c>
      <c r="F24" s="9"/>
      <c r="G24" s="3">
        <v>4</v>
      </c>
      <c r="H24" s="3"/>
      <c r="I24" s="51"/>
      <c r="J24" s="3"/>
      <c r="K24" s="51"/>
      <c r="L24" s="3"/>
      <c r="M24" s="32">
        <v>300</v>
      </c>
      <c r="N24" s="3"/>
    </row>
    <row r="25" spans="1:19" x14ac:dyDescent="0.2">
      <c r="B25" s="12">
        <v>45446</v>
      </c>
      <c r="C25" s="12" t="s">
        <v>236</v>
      </c>
      <c r="D25" s="9" t="s">
        <v>115</v>
      </c>
      <c r="E25" s="120">
        <v>14263</v>
      </c>
      <c r="F25" s="9"/>
      <c r="G25" s="3">
        <v>4</v>
      </c>
      <c r="H25" s="3"/>
      <c r="I25" s="51"/>
      <c r="J25" s="32"/>
      <c r="K25" s="51"/>
      <c r="L25" s="32"/>
      <c r="M25" s="32">
        <v>300</v>
      </c>
      <c r="N25" s="5"/>
    </row>
    <row r="26" spans="1:19" x14ac:dyDescent="0.2">
      <c r="B26" s="12">
        <v>45448</v>
      </c>
      <c r="C26" s="12" t="s">
        <v>236</v>
      </c>
      <c r="D26" s="9" t="s">
        <v>58</v>
      </c>
      <c r="E26" s="120">
        <v>14264</v>
      </c>
      <c r="F26" s="9"/>
      <c r="G26" s="3">
        <v>4</v>
      </c>
      <c r="H26" s="3"/>
      <c r="I26" s="51"/>
      <c r="J26" s="3"/>
      <c r="K26" s="51"/>
      <c r="L26" s="3"/>
      <c r="M26" s="32">
        <v>350</v>
      </c>
      <c r="N26" s="3"/>
    </row>
    <row r="27" spans="1:19" x14ac:dyDescent="0.2">
      <c r="C27" s="12" t="s">
        <v>236</v>
      </c>
    </row>
    <row r="28" spans="1:19" x14ac:dyDescent="0.2">
      <c r="B28" s="12">
        <v>45448</v>
      </c>
      <c r="C28" s="12" t="s">
        <v>236</v>
      </c>
      <c r="D28" s="9" t="s">
        <v>97</v>
      </c>
      <c r="E28" s="9"/>
      <c r="F28" s="9"/>
      <c r="G28" s="3">
        <v>4</v>
      </c>
      <c r="H28" s="3"/>
      <c r="I28" s="51"/>
      <c r="J28" s="32"/>
      <c r="K28" s="51"/>
      <c r="L28" s="32"/>
      <c r="M28" s="32">
        <v>450</v>
      </c>
      <c r="N28" s="5"/>
    </row>
    <row r="29" spans="1:19" x14ac:dyDescent="0.2">
      <c r="B29" s="12">
        <v>45454</v>
      </c>
      <c r="C29" s="12" t="s">
        <v>236</v>
      </c>
      <c r="D29" s="9" t="s">
        <v>58</v>
      </c>
      <c r="E29" s="120">
        <v>14265</v>
      </c>
      <c r="F29" s="9"/>
      <c r="G29" s="3">
        <v>4</v>
      </c>
      <c r="H29" s="3"/>
      <c r="I29" s="51">
        <v>300</v>
      </c>
      <c r="J29" s="32"/>
      <c r="K29" s="51"/>
      <c r="L29" s="32"/>
      <c r="M29" s="32"/>
      <c r="N29" s="5"/>
    </row>
    <row r="30" spans="1:19" x14ac:dyDescent="0.2">
      <c r="B30" s="12">
        <v>45454</v>
      </c>
      <c r="C30" s="12" t="s">
        <v>236</v>
      </c>
      <c r="D30" s="9" t="s">
        <v>16</v>
      </c>
      <c r="E30" s="120">
        <v>14266</v>
      </c>
      <c r="F30" s="9"/>
      <c r="G30" s="3">
        <v>2</v>
      </c>
      <c r="H30" s="3"/>
      <c r="I30" s="32">
        <v>510</v>
      </c>
      <c r="J30" s="3"/>
      <c r="K30" s="51"/>
      <c r="L30" s="3"/>
      <c r="M30" s="32"/>
      <c r="N30" s="3"/>
    </row>
    <row r="31" spans="1:19" x14ac:dyDescent="0.2">
      <c r="B31" s="12">
        <v>45454</v>
      </c>
      <c r="C31" s="12" t="s">
        <v>236</v>
      </c>
      <c r="D31" s="9" t="s">
        <v>57</v>
      </c>
      <c r="E31" s="120">
        <v>14267</v>
      </c>
      <c r="F31" s="9"/>
      <c r="G31" s="3">
        <v>2</v>
      </c>
      <c r="H31" s="3"/>
      <c r="I31" s="32">
        <v>510</v>
      </c>
      <c r="J31" s="32"/>
      <c r="K31" s="51"/>
      <c r="L31" s="32"/>
      <c r="M31" s="32"/>
      <c r="N31" s="5"/>
    </row>
    <row r="32" spans="1:19" x14ac:dyDescent="0.2">
      <c r="B32" s="12">
        <v>45455</v>
      </c>
      <c r="C32" s="12" t="s">
        <v>236</v>
      </c>
      <c r="D32" s="9" t="s">
        <v>12</v>
      </c>
      <c r="E32" s="9"/>
      <c r="F32" s="9"/>
      <c r="G32" s="3">
        <v>2</v>
      </c>
      <c r="H32" s="3"/>
      <c r="I32" s="32">
        <v>170</v>
      </c>
      <c r="J32" s="32"/>
      <c r="K32" s="51"/>
      <c r="L32" s="32"/>
      <c r="M32" s="32"/>
      <c r="N32" s="5" t="s">
        <v>118</v>
      </c>
    </row>
    <row r="33" spans="2:14" x14ac:dyDescent="0.2">
      <c r="B33" s="12">
        <v>45455</v>
      </c>
      <c r="C33" s="12" t="s">
        <v>236</v>
      </c>
      <c r="D33" s="9" t="s">
        <v>15</v>
      </c>
      <c r="E33" s="120">
        <v>14268</v>
      </c>
      <c r="F33" s="9"/>
      <c r="G33" s="3">
        <v>2</v>
      </c>
      <c r="H33" s="3"/>
      <c r="I33" s="51">
        <v>170</v>
      </c>
      <c r="J33" s="3"/>
      <c r="K33" s="51"/>
      <c r="L33" s="3"/>
      <c r="M33" s="32"/>
      <c r="N33" s="3"/>
    </row>
    <row r="34" spans="2:14" x14ac:dyDescent="0.2">
      <c r="B34" s="12">
        <v>45456</v>
      </c>
      <c r="C34" s="12" t="s">
        <v>236</v>
      </c>
      <c r="D34" s="9" t="s">
        <v>38</v>
      </c>
      <c r="E34" s="9" t="s">
        <v>119</v>
      </c>
      <c r="F34" s="9"/>
      <c r="G34" s="3">
        <v>7</v>
      </c>
      <c r="H34" s="3"/>
      <c r="I34" s="51"/>
      <c r="J34" s="3"/>
      <c r="K34" s="51">
        <v>525</v>
      </c>
      <c r="L34" s="3"/>
      <c r="M34" s="32"/>
      <c r="N34" s="3" t="s">
        <v>119</v>
      </c>
    </row>
    <row r="35" spans="2:14" x14ac:dyDescent="0.2">
      <c r="B35" s="12">
        <v>45456</v>
      </c>
      <c r="C35" s="12" t="s">
        <v>236</v>
      </c>
      <c r="D35" s="9" t="s">
        <v>95</v>
      </c>
      <c r="E35" s="120">
        <v>14269</v>
      </c>
      <c r="F35" s="9"/>
      <c r="G35" s="3">
        <v>1</v>
      </c>
      <c r="H35" s="3"/>
      <c r="I35" s="51"/>
      <c r="J35" s="3"/>
      <c r="K35" s="51"/>
      <c r="L35" s="3"/>
      <c r="M35" s="32">
        <v>150</v>
      </c>
      <c r="N35" s="3"/>
    </row>
    <row r="36" spans="2:14" x14ac:dyDescent="0.2">
      <c r="B36" s="12">
        <v>45456</v>
      </c>
      <c r="C36" s="12" t="s">
        <v>236</v>
      </c>
      <c r="D36" s="9" t="s">
        <v>120</v>
      </c>
      <c r="E36" s="120">
        <v>14270</v>
      </c>
      <c r="F36" s="9"/>
      <c r="G36" s="3">
        <v>1</v>
      </c>
      <c r="H36" s="3"/>
      <c r="I36" s="51"/>
      <c r="J36" s="3"/>
      <c r="K36" s="51"/>
      <c r="L36" s="3"/>
      <c r="M36" s="32">
        <v>150</v>
      </c>
      <c r="N36" s="3"/>
    </row>
    <row r="37" spans="2:14" x14ac:dyDescent="0.2">
      <c r="B37" s="12">
        <v>45457</v>
      </c>
      <c r="C37" s="12" t="s">
        <v>236</v>
      </c>
      <c r="D37" s="9" t="s">
        <v>38</v>
      </c>
      <c r="E37" s="9" t="s">
        <v>119</v>
      </c>
      <c r="F37" s="9"/>
      <c r="G37" s="3">
        <v>7</v>
      </c>
      <c r="H37" s="3"/>
      <c r="I37" s="51">
        <v>525</v>
      </c>
      <c r="J37" s="3"/>
      <c r="K37" s="51"/>
      <c r="L37" s="3"/>
      <c r="M37" s="32"/>
      <c r="N37" s="3" t="s">
        <v>119</v>
      </c>
    </row>
    <row r="38" spans="2:14" x14ac:dyDescent="0.2">
      <c r="B38" s="12">
        <v>45458</v>
      </c>
      <c r="C38" s="12" t="s">
        <v>236</v>
      </c>
      <c r="D38" s="9" t="s">
        <v>122</v>
      </c>
      <c r="E38" s="9" t="s">
        <v>119</v>
      </c>
      <c r="F38" s="9"/>
      <c r="G38" s="3">
        <v>3</v>
      </c>
      <c r="H38" s="3"/>
      <c r="I38" s="51">
        <v>225</v>
      </c>
      <c r="J38" s="3"/>
      <c r="K38" s="51"/>
      <c r="L38" s="3"/>
      <c r="M38" s="32"/>
      <c r="N38" s="3"/>
    </row>
    <row r="39" spans="2:14" x14ac:dyDescent="0.2">
      <c r="B39" s="12">
        <v>45459</v>
      </c>
      <c r="C39" s="12" t="s">
        <v>236</v>
      </c>
      <c r="D39" s="9" t="s">
        <v>58</v>
      </c>
      <c r="E39" s="120">
        <v>14223</v>
      </c>
      <c r="F39" s="9"/>
      <c r="G39" s="3">
        <v>4</v>
      </c>
      <c r="H39" s="3"/>
      <c r="I39" s="51"/>
      <c r="J39" s="3"/>
      <c r="K39" s="51"/>
      <c r="L39" s="3"/>
      <c r="M39" s="32">
        <v>352.5</v>
      </c>
      <c r="N39" s="3"/>
    </row>
    <row r="40" spans="2:14" x14ac:dyDescent="0.2">
      <c r="B40" s="12">
        <v>45460</v>
      </c>
      <c r="C40" s="12" t="s">
        <v>236</v>
      </c>
      <c r="D40" s="9" t="s">
        <v>123</v>
      </c>
      <c r="E40" s="9"/>
      <c r="F40" s="9"/>
      <c r="G40" s="3"/>
      <c r="H40" s="3"/>
      <c r="I40" s="51"/>
      <c r="J40" s="3"/>
      <c r="K40" s="51"/>
      <c r="L40" s="3"/>
      <c r="M40" s="32">
        <v>550</v>
      </c>
      <c r="N40" s="3"/>
    </row>
    <row r="41" spans="2:14" x14ac:dyDescent="0.2">
      <c r="B41" s="12">
        <v>45461</v>
      </c>
      <c r="C41" s="12" t="s">
        <v>236</v>
      </c>
      <c r="D41" s="9" t="s">
        <v>58</v>
      </c>
      <c r="E41" s="9"/>
      <c r="F41" s="9"/>
      <c r="G41" s="3">
        <v>4</v>
      </c>
      <c r="H41" s="3"/>
      <c r="I41" s="51"/>
      <c r="J41" s="32"/>
      <c r="K41" s="51"/>
      <c r="L41" s="32"/>
      <c r="M41" s="32">
        <v>350</v>
      </c>
      <c r="N41" s="5"/>
    </row>
    <row r="42" spans="2:14" x14ac:dyDescent="0.2">
      <c r="B42" s="12">
        <v>45465</v>
      </c>
      <c r="C42" s="12" t="s">
        <v>236</v>
      </c>
      <c r="D42" s="9" t="s">
        <v>121</v>
      </c>
      <c r="E42" s="9" t="s">
        <v>119</v>
      </c>
      <c r="F42" s="9"/>
      <c r="G42" s="3"/>
      <c r="H42" s="3"/>
      <c r="I42" s="51">
        <v>525</v>
      </c>
      <c r="J42" s="3"/>
      <c r="K42" s="51"/>
      <c r="L42" s="3"/>
      <c r="M42" s="32"/>
      <c r="N42" s="3"/>
    </row>
    <row r="43" spans="2:14" x14ac:dyDescent="0.2">
      <c r="B43" s="12">
        <v>45466</v>
      </c>
      <c r="C43" s="12" t="s">
        <v>236</v>
      </c>
      <c r="D43" s="9" t="s">
        <v>12</v>
      </c>
      <c r="E43" s="9" t="s">
        <v>96</v>
      </c>
      <c r="F43" s="9"/>
      <c r="G43" s="3">
        <v>2</v>
      </c>
      <c r="H43" s="3"/>
      <c r="I43" s="51">
        <v>100</v>
      </c>
      <c r="J43" s="3"/>
      <c r="K43" s="51"/>
      <c r="L43" s="3"/>
      <c r="M43" s="32"/>
      <c r="N43" s="3"/>
    </row>
    <row r="44" spans="2:14" x14ac:dyDescent="0.2">
      <c r="B44" s="108">
        <v>45472</v>
      </c>
      <c r="C44" s="12" t="s">
        <v>236</v>
      </c>
      <c r="D44" s="109" t="s">
        <v>127</v>
      </c>
      <c r="E44" s="9" t="s">
        <v>128</v>
      </c>
      <c r="F44" s="9"/>
      <c r="G44" s="3">
        <v>9</v>
      </c>
      <c r="H44" s="3"/>
      <c r="I44" s="51">
        <v>400</v>
      </c>
      <c r="J44" s="32"/>
      <c r="K44" s="51"/>
      <c r="L44" s="32"/>
      <c r="M44" s="32"/>
      <c r="N44" s="5"/>
    </row>
    <row r="45" spans="2:14" x14ac:dyDescent="0.2">
      <c r="B45" s="12">
        <v>45473</v>
      </c>
      <c r="C45" s="12" t="s">
        <v>236</v>
      </c>
      <c r="D45" s="9" t="s">
        <v>127</v>
      </c>
      <c r="E45" s="9" t="s">
        <v>128</v>
      </c>
      <c r="F45" s="9"/>
      <c r="G45" s="3">
        <v>9</v>
      </c>
      <c r="H45" s="3"/>
      <c r="I45" s="51">
        <v>400</v>
      </c>
      <c r="J45" s="3"/>
      <c r="K45" s="51"/>
      <c r="L45" s="3"/>
      <c r="M45" s="32"/>
      <c r="N45" s="3"/>
    </row>
    <row r="46" spans="2:14" x14ac:dyDescent="0.2">
      <c r="B46" s="12">
        <v>45473</v>
      </c>
      <c r="C46" s="12" t="s">
        <v>236</v>
      </c>
      <c r="D46" s="9" t="s">
        <v>58</v>
      </c>
      <c r="E46" s="9"/>
      <c r="F46" s="9"/>
      <c r="G46" s="3">
        <v>4</v>
      </c>
      <c r="H46" s="3"/>
      <c r="I46" s="51"/>
      <c r="J46" s="3"/>
      <c r="K46" s="51">
        <v>300</v>
      </c>
      <c r="L46" s="3"/>
      <c r="M46" s="32"/>
      <c r="N46" s="3"/>
    </row>
    <row r="47" spans="2:14" x14ac:dyDescent="0.2">
      <c r="B47" s="12"/>
      <c r="C47" s="12"/>
      <c r="D47" s="9"/>
      <c r="E47" s="9"/>
      <c r="F47" s="9"/>
      <c r="G47" s="3"/>
      <c r="H47" s="3"/>
      <c r="I47" s="51"/>
      <c r="J47" s="3"/>
      <c r="K47" s="51"/>
      <c r="L47" s="3"/>
      <c r="M47" s="32"/>
      <c r="N47" s="3"/>
    </row>
    <row r="48" spans="2:14" x14ac:dyDescent="0.2">
      <c r="B48" s="12"/>
      <c r="C48" s="12"/>
      <c r="D48" s="9"/>
      <c r="E48" s="9"/>
      <c r="F48" s="9"/>
      <c r="G48" s="3"/>
      <c r="H48" s="3"/>
      <c r="I48" s="51"/>
      <c r="J48" s="32"/>
      <c r="K48" s="51"/>
      <c r="L48" s="32"/>
      <c r="M48" s="32"/>
      <c r="N48" s="5"/>
    </row>
    <row r="49" spans="2:14" x14ac:dyDescent="0.2">
      <c r="B49" s="13"/>
      <c r="C49" s="12"/>
      <c r="D49" s="9"/>
      <c r="E49" s="9"/>
      <c r="F49" s="9"/>
      <c r="G49" s="3"/>
      <c r="H49" s="3"/>
      <c r="I49" s="51"/>
      <c r="J49" s="3"/>
      <c r="K49" s="51"/>
      <c r="L49" s="3"/>
      <c r="M49" s="32"/>
      <c r="N49" s="3"/>
    </row>
    <row r="50" spans="2:14" x14ac:dyDescent="0.2">
      <c r="B50" s="13"/>
      <c r="C50" s="14"/>
      <c r="D50" s="9"/>
      <c r="E50" s="9"/>
      <c r="F50" s="9"/>
      <c r="G50" s="3"/>
      <c r="H50" s="3"/>
      <c r="I50" s="51"/>
      <c r="J50" s="3"/>
      <c r="K50" s="51"/>
      <c r="L50" s="3"/>
      <c r="M50" s="32"/>
      <c r="N50" s="3"/>
    </row>
    <row r="51" spans="2:14" x14ac:dyDescent="0.2">
      <c r="B51" s="12"/>
      <c r="C51" s="14"/>
      <c r="D51" s="9"/>
      <c r="E51" s="9"/>
      <c r="F51" s="9"/>
      <c r="G51" s="3"/>
      <c r="H51" s="3"/>
      <c r="I51" s="51"/>
      <c r="J51" s="32"/>
      <c r="K51" s="51"/>
      <c r="L51" s="32"/>
      <c r="M51" s="32"/>
      <c r="N51" s="5"/>
    </row>
    <row r="52" spans="2:14" x14ac:dyDescent="0.2">
      <c r="B52" s="12"/>
      <c r="C52" s="12"/>
      <c r="D52" s="9"/>
      <c r="E52" s="9"/>
      <c r="F52" s="9"/>
      <c r="G52" s="3"/>
      <c r="H52" s="3"/>
      <c r="I52" s="51"/>
      <c r="J52" s="3"/>
      <c r="K52" s="51"/>
      <c r="L52" s="3"/>
      <c r="M52" s="32"/>
      <c r="N52" s="3"/>
    </row>
    <row r="53" spans="2:14" x14ac:dyDescent="0.2">
      <c r="B53" s="12"/>
      <c r="C53" s="12"/>
      <c r="D53" s="9"/>
      <c r="E53" s="9"/>
      <c r="F53" s="9"/>
      <c r="G53" s="3"/>
      <c r="H53" s="3"/>
      <c r="I53" s="51"/>
      <c r="J53" s="32"/>
      <c r="K53" s="51"/>
      <c r="L53" s="32"/>
      <c r="M53" s="32"/>
      <c r="N53" s="5"/>
    </row>
    <row r="54" spans="2:14" x14ac:dyDescent="0.2">
      <c r="B54" s="12"/>
      <c r="C54" s="12"/>
      <c r="D54" s="9"/>
      <c r="E54" s="9"/>
      <c r="F54" s="9"/>
      <c r="G54" s="3"/>
      <c r="H54" s="3"/>
      <c r="I54" s="32"/>
      <c r="J54" s="32"/>
      <c r="K54" s="51"/>
      <c r="L54" s="32"/>
      <c r="M54" s="32"/>
      <c r="N54" s="5"/>
    </row>
    <row r="55" spans="2:14" x14ac:dyDescent="0.2">
      <c r="B55" s="14"/>
      <c r="C55" s="14"/>
      <c r="D55" s="10"/>
      <c r="E55" s="36"/>
      <c r="F55" s="36"/>
      <c r="G55" s="6"/>
      <c r="H55" s="6"/>
      <c r="I55" s="51"/>
      <c r="J55" s="6"/>
      <c r="K55" s="51"/>
      <c r="L55" s="6"/>
      <c r="M55" s="32"/>
      <c r="N55" s="5"/>
    </row>
    <row r="56" spans="2:14" x14ac:dyDescent="0.2">
      <c r="B56" s="14"/>
      <c r="C56" s="14"/>
      <c r="D56" s="10"/>
      <c r="E56" s="36"/>
      <c r="F56" s="36"/>
      <c r="G56" s="6"/>
      <c r="H56" s="6"/>
      <c r="I56" s="51"/>
      <c r="J56" s="6"/>
      <c r="K56" s="51"/>
      <c r="L56" s="6"/>
      <c r="M56" s="32"/>
      <c r="N56" s="5"/>
    </row>
    <row r="57" spans="2:14" x14ac:dyDescent="0.2">
      <c r="B57" s="12"/>
      <c r="C57" s="12"/>
      <c r="D57" s="9"/>
      <c r="E57" s="9"/>
      <c r="F57" s="9"/>
      <c r="G57" s="3"/>
      <c r="H57" s="3"/>
      <c r="I57" s="51"/>
      <c r="J57" s="3"/>
      <c r="K57" s="51"/>
      <c r="L57" s="3"/>
      <c r="M57" s="32"/>
      <c r="N57" s="3"/>
    </row>
    <row r="58" spans="2:14" x14ac:dyDescent="0.2">
      <c r="B58" s="12"/>
      <c r="C58" s="12"/>
      <c r="D58" s="9"/>
      <c r="E58" s="9"/>
      <c r="F58" s="9"/>
      <c r="G58" s="3"/>
      <c r="H58" s="3"/>
      <c r="I58" s="51"/>
      <c r="J58" s="3"/>
      <c r="K58" s="51"/>
      <c r="L58" s="3"/>
      <c r="M58" s="32"/>
      <c r="N58" s="5"/>
    </row>
    <row r="59" spans="2:14" x14ac:dyDescent="0.2">
      <c r="B59" s="12"/>
      <c r="C59" s="12"/>
      <c r="D59" s="9"/>
      <c r="E59" s="9"/>
      <c r="F59" s="9"/>
      <c r="G59" s="3"/>
      <c r="H59" s="3"/>
      <c r="I59" s="51"/>
      <c r="J59" s="3"/>
      <c r="K59" s="51"/>
      <c r="L59" s="3"/>
      <c r="M59" s="62"/>
      <c r="N59" s="5"/>
    </row>
    <row r="60" spans="2:14" ht="24" x14ac:dyDescent="0.2">
      <c r="B60" s="77" t="s">
        <v>37</v>
      </c>
      <c r="C60" s="77"/>
      <c r="D60" s="10"/>
      <c r="E60" s="10"/>
      <c r="F60" s="10"/>
      <c r="G60" s="10">
        <f>SUM(G18:G56)</f>
        <v>91</v>
      </c>
      <c r="H60" s="10"/>
      <c r="I60" s="28">
        <f>SUM(I9:I59)</f>
        <v>5917.9</v>
      </c>
      <c r="J60" s="28"/>
      <c r="K60" s="28">
        <f>SUM(K11:K56)</f>
        <v>1472.88</v>
      </c>
      <c r="L60" s="29"/>
      <c r="M60" s="70">
        <f>SUM(M18:M57)</f>
        <v>2952.5</v>
      </c>
      <c r="N60" s="84"/>
    </row>
    <row r="61" spans="2:14" x14ac:dyDescent="0.2">
      <c r="B61" s="78" t="s">
        <v>89</v>
      </c>
      <c r="C61" s="78"/>
      <c r="D61" s="78"/>
      <c r="E61" s="78"/>
      <c r="F61" s="78"/>
      <c r="G61" s="78"/>
      <c r="H61" s="78"/>
      <c r="I61" s="79">
        <f>I60</f>
        <v>5917.9</v>
      </c>
      <c r="J61" s="79"/>
      <c r="K61" s="79">
        <f>K60</f>
        <v>1472.88</v>
      </c>
      <c r="L61" s="79"/>
      <c r="M61" s="81">
        <f>M60</f>
        <v>2952.5</v>
      </c>
      <c r="N61" s="80"/>
    </row>
  </sheetData>
  <mergeCells count="2">
    <mergeCell ref="F2:M3"/>
    <mergeCell ref="A11:A15"/>
  </mergeCells>
  <conditionalFormatting sqref="H43:H59 L11:L26 H10 H12:H15 H17:H26 J11:J26 J28:J59 H28:H41 L28:L59">
    <cfRule type="containsText" dxfId="406" priority="29" operator="containsText" text="CB">
      <formula>NOT(ISERROR(SEARCH("CB",H10)))</formula>
    </cfRule>
    <cfRule type="containsText" dxfId="405" priority="30" operator="containsText" text="Espèces">
      <formula>NOT(ISERROR(SEARCH("Espèces",H10)))</formula>
    </cfRule>
    <cfRule type="containsText" dxfId="404" priority="31" operator="containsText" text="Virement">
      <formula>NOT(ISERROR(SEARCH("Virement",H10)))</formula>
    </cfRule>
    <cfRule type="containsText" dxfId="403" priority="33" operator="containsText" text="Chèque">
      <formula>NOT(ISERROR(SEARCH("Chèque",H10)))</formula>
    </cfRule>
    <cfRule type="containsText" dxfId="402" priority="34" operator="containsText" text="GYG">
      <formula>NOT(ISERROR(SEARCH("GYG",H10)))</formula>
    </cfRule>
    <cfRule type="containsText" dxfId="401" priority="35" operator="containsText" text="Viator">
      <formula>NOT(ISERROR(SEARCH("Viator",H10)))</formula>
    </cfRule>
  </conditionalFormatting>
  <conditionalFormatting sqref="H43:H58 L11:L26 H10 H12:H15 H17:H26 J11:J26 J28:J58 H28:H41 L28:L58">
    <cfRule type="containsText" dxfId="400" priority="32" operator="containsText" text="Chèque">
      <formula>NOT(ISERROR(SEARCH("Chèque",H10)))</formula>
    </cfRule>
  </conditionalFormatting>
  <conditionalFormatting sqref="H42">
    <cfRule type="containsText" dxfId="399" priority="8" operator="containsText" text="CB">
      <formula>NOT(ISERROR(SEARCH("CB",H42)))</formula>
    </cfRule>
    <cfRule type="containsText" dxfId="398" priority="9" operator="containsText" text="Espèces">
      <formula>NOT(ISERROR(SEARCH("Espèces",H42)))</formula>
    </cfRule>
    <cfRule type="containsText" dxfId="397" priority="10" operator="containsText" text="Virement">
      <formula>NOT(ISERROR(SEARCH("Virement",H42)))</formula>
    </cfRule>
    <cfRule type="containsText" dxfId="396" priority="12" operator="containsText" text="Chèque">
      <formula>NOT(ISERROR(SEARCH("Chèque",H42)))</formula>
    </cfRule>
    <cfRule type="containsText" dxfId="395" priority="13" operator="containsText" text="GYG">
      <formula>NOT(ISERROR(SEARCH("GYG",H42)))</formula>
    </cfRule>
    <cfRule type="containsText" dxfId="394" priority="14" operator="containsText" text="Viator">
      <formula>NOT(ISERROR(SEARCH("Viator",H42)))</formula>
    </cfRule>
  </conditionalFormatting>
  <conditionalFormatting sqref="H42">
    <cfRule type="containsText" dxfId="393" priority="11" operator="containsText" text="Chèque">
      <formula>NOT(ISERROR(SEARCH("Chèque",H42)))</formula>
    </cfRule>
  </conditionalFormatting>
  <conditionalFormatting sqref="J9:J10 L9:L10 O9:O10">
    <cfRule type="containsText" dxfId="392" priority="1" operator="containsText" text="CB">
      <formula>NOT(ISERROR(SEARCH("CB",J9)))</formula>
    </cfRule>
    <cfRule type="containsText" dxfId="391" priority="2" operator="containsText" text="Espèces">
      <formula>NOT(ISERROR(SEARCH("Espèces",J9)))</formula>
    </cfRule>
    <cfRule type="containsText" dxfId="390" priority="3" operator="containsText" text="Virement">
      <formula>NOT(ISERROR(SEARCH("Virement",J9)))</formula>
    </cfRule>
    <cfRule type="containsText" dxfId="389" priority="5" operator="containsText" text="Chèque">
      <formula>NOT(ISERROR(SEARCH("Chèque",J9)))</formula>
    </cfRule>
    <cfRule type="containsText" dxfId="388" priority="6" operator="containsText" text="GYG">
      <formula>NOT(ISERROR(SEARCH("GYG",J9)))</formula>
    </cfRule>
    <cfRule type="containsText" dxfId="387" priority="7" operator="containsText" text="Viator">
      <formula>NOT(ISERROR(SEARCH("Viator",J9)))</formula>
    </cfRule>
  </conditionalFormatting>
  <conditionalFormatting sqref="J9:J10 L9:L10 O9:O10">
    <cfRule type="containsText" dxfId="386" priority="4" operator="containsText" text="Chèque">
      <formula>NOT(ISERROR(SEARCH("Chèque",J9)))</formula>
    </cfRule>
  </conditionalFormatting>
  <dataValidations count="8">
    <dataValidation type="list" allowBlank="1" showInputMessage="1" showErrorMessage="1" sqref="E1:E3 D61:E61 D1:D7" xr:uid="{2BEAF418-B0BD-8C4C-9ECF-34405CCD236E}">
      <formula1>"9h-11h, 9h-13h, 9h-17h, 9h30-11h30, 10h-12h, 11h30-13h30, 13h-17h, 14h-16h, 14h-18h, 16h30-18h30, "</formula1>
    </dataValidation>
    <dataValidation type="date" allowBlank="1" showInputMessage="1" showErrorMessage="1" sqref="B60:C60 B2:C7 O8 O11:O26 O28:O58" xr:uid="{887A43BD-CD4D-7047-BF26-8A95C5AD10BE}">
      <formula1>45352</formula1>
      <formula2>45412</formula2>
    </dataValidation>
    <dataValidation type="list" allowBlank="1" showInputMessage="1" showErrorMessage="1" promptTitle="Durée de la visite à sélectionne" sqref="H61 G11 G13:G14 I9 G16:G26 G28:G61" xr:uid="{3BB39FD3-506D-C343-8AB0-B1C35FCDFC4D}">
      <formula1>"1,2,3,4,5,6,7,8,9,10"</formula1>
    </dataValidation>
    <dataValidation type="list" allowBlank="1" showInputMessage="1" sqref="K14:K17" xr:uid="{2483E924-501B-9343-8088-8FD0C7D9EF3F}">
      <formula1>Couleurs1</formula1>
    </dataValidation>
    <dataValidation allowBlank="1" showInputMessage="1" showErrorMessage="1" promptTitle="Durée de la visite à sélectionne" sqref="H60" xr:uid="{42A048EB-A787-3945-ABDC-29E6C4DF93F8}"/>
    <dataValidation type="list" allowBlank="1" showInputMessage="1" showErrorMessage="1" promptTitle="Durée de la visite à sélectionne" sqref="O9:O10 H10 H12:H15 J9:J26 J28:J59 H17:H26 H28:H59 L9:L26 L28:L59" xr:uid="{092C2F02-123C-F145-B224-320658A69F88}">
      <formula1>"Chèque, Espèces, Virement, Viator, CB, GYG"</formula1>
    </dataValidation>
    <dataValidation type="list" allowBlank="1" showInputMessage="1" showErrorMessage="1" sqref="D9:D10" xr:uid="{C5C77D09-5C4D-9848-936F-FA49D75EC096}">
      <formula1>"AVRIL, MAI, JUIN, JUILLET, AOUT, SEPT, OCT, DEC, JANV, FEV, MARS"</formula1>
    </dataValidation>
    <dataValidation type="list" allowBlank="1" showInputMessage="1" showErrorMessage="1" sqref="C9:C54" xr:uid="{A553BFED-A46A-704F-8FC0-22870DADF8A4}">
      <formula1>"AVRIL, MAI, JUIN , JUILLET, AOUT, SEPT, OCT, NOV, DEC, JANV, FEV, MARS"</formula1>
    </dataValidation>
  </dataValidations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6EC034-6636-FB44-B446-EA407EF300F4}">
  <sheetPr>
    <tabColor theme="4" tint="0.79998168889431442"/>
  </sheetPr>
  <dimension ref="B1:M35"/>
  <sheetViews>
    <sheetView topLeftCell="A3" zoomScale="111" workbookViewId="0">
      <selection activeCell="F9" sqref="F9"/>
    </sheetView>
  </sheetViews>
  <sheetFormatPr baseColWidth="10" defaultRowHeight="16" x14ac:dyDescent="0.2"/>
  <cols>
    <col min="5" max="5" width="23.33203125" customWidth="1"/>
    <col min="6" max="6" width="16.6640625" customWidth="1"/>
    <col min="8" max="8" width="19.33203125" customWidth="1"/>
    <col min="9" max="9" width="14.33203125" customWidth="1"/>
    <col min="12" max="12" width="13.83203125" customWidth="1"/>
    <col min="13" max="13" width="14.5" customWidth="1"/>
  </cols>
  <sheetData>
    <row r="1" spans="2:13" ht="17" thickBot="1" x14ac:dyDescent="0.25"/>
    <row r="2" spans="2:13" x14ac:dyDescent="0.2">
      <c r="B2" s="170" t="s">
        <v>41</v>
      </c>
      <c r="C2" s="171"/>
      <c r="D2" s="171"/>
      <c r="E2" s="171"/>
      <c r="F2" s="171"/>
      <c r="G2" s="171"/>
      <c r="H2" s="171"/>
      <c r="I2" s="172"/>
    </row>
    <row r="3" spans="2:13" ht="17" thickBot="1" x14ac:dyDescent="0.25">
      <c r="B3" s="173"/>
      <c r="C3" s="174"/>
      <c r="D3" s="174"/>
      <c r="E3" s="174"/>
      <c r="F3" s="174"/>
      <c r="G3" s="174"/>
      <c r="H3" s="174"/>
      <c r="I3" s="175"/>
    </row>
    <row r="4" spans="2:13" ht="25" thickBot="1" x14ac:dyDescent="0.25">
      <c r="B4" s="42"/>
      <c r="C4" s="42"/>
      <c r="D4" s="42"/>
      <c r="E4" s="42"/>
      <c r="F4" s="42"/>
      <c r="G4" s="42"/>
      <c r="H4" s="42"/>
      <c r="I4" s="42"/>
    </row>
    <row r="5" spans="2:13" ht="24" x14ac:dyDescent="0.2">
      <c r="B5" s="42"/>
      <c r="C5" s="42"/>
      <c r="D5" s="42"/>
      <c r="E5" s="42"/>
      <c r="F5" s="176">
        <f>SUM(F8:F35)</f>
        <v>9031.56</v>
      </c>
      <c r="G5" s="42"/>
      <c r="H5" s="178">
        <f>SUM(H8:H35)</f>
        <v>8941.56</v>
      </c>
      <c r="I5" s="180">
        <f>SUM(I8:I35)</f>
        <v>0</v>
      </c>
    </row>
    <row r="6" spans="2:13" ht="25" thickBot="1" x14ac:dyDescent="0.25">
      <c r="B6" s="42"/>
      <c r="C6" s="42"/>
      <c r="D6" s="42"/>
      <c r="E6" s="42"/>
      <c r="F6" s="177"/>
      <c r="G6" s="42"/>
      <c r="H6" s="179"/>
      <c r="I6" s="181"/>
    </row>
    <row r="7" spans="2:13" ht="19" x14ac:dyDescent="0.2">
      <c r="B7" s="44" t="s">
        <v>0</v>
      </c>
      <c r="C7" s="44" t="s">
        <v>42</v>
      </c>
      <c r="D7" s="44" t="s">
        <v>39</v>
      </c>
      <c r="E7" s="44" t="s">
        <v>76</v>
      </c>
      <c r="F7" s="45" t="s">
        <v>77</v>
      </c>
      <c r="G7" s="47" t="s">
        <v>62</v>
      </c>
      <c r="H7" s="97" t="s">
        <v>78</v>
      </c>
      <c r="I7" s="98" t="s">
        <v>75</v>
      </c>
      <c r="J7" s="7"/>
    </row>
    <row r="8" spans="2:13" x14ac:dyDescent="0.2">
      <c r="B8" s="15"/>
      <c r="C8" s="15"/>
      <c r="D8" s="15" t="s">
        <v>67</v>
      </c>
      <c r="E8" s="15" t="s">
        <v>72</v>
      </c>
      <c r="F8" s="37">
        <v>544</v>
      </c>
      <c r="G8" s="33">
        <v>0</v>
      </c>
      <c r="H8" s="34">
        <f t="shared" ref="H8:H13" si="0">F8/(1+G8)</f>
        <v>544</v>
      </c>
      <c r="I8" s="43">
        <f t="shared" ref="I8:I13" si="1">F8-H8</f>
        <v>0</v>
      </c>
      <c r="J8" s="7"/>
      <c r="K8" s="96" t="s">
        <v>36</v>
      </c>
      <c r="L8" s="20">
        <f>SUMIF(Tableau338[Mode de dépense],K8,Tableau338[Charge TTC])</f>
        <v>5903</v>
      </c>
      <c r="M8" s="35">
        <f>L8</f>
        <v>5903</v>
      </c>
    </row>
    <row r="9" spans="2:13" x14ac:dyDescent="0.2">
      <c r="B9" s="15"/>
      <c r="C9" s="15"/>
      <c r="D9" s="15" t="s">
        <v>68</v>
      </c>
      <c r="E9" s="15" t="s">
        <v>72</v>
      </c>
      <c r="F9" s="37">
        <v>459.26</v>
      </c>
      <c r="G9" s="33">
        <v>0</v>
      </c>
      <c r="H9" s="34">
        <f t="shared" si="0"/>
        <v>459.26</v>
      </c>
      <c r="I9" s="43">
        <f t="shared" si="1"/>
        <v>0</v>
      </c>
      <c r="J9" s="7"/>
      <c r="K9" s="90" t="s">
        <v>47</v>
      </c>
      <c r="L9" s="20">
        <f>SUMIF(Tableau338[Mode de dépense],K9,Tableau338[Charge TTC])</f>
        <v>0</v>
      </c>
      <c r="M9" s="35">
        <f>L9/1.2</f>
        <v>0</v>
      </c>
    </row>
    <row r="10" spans="2:13" x14ac:dyDescent="0.2">
      <c r="B10" s="15"/>
      <c r="C10" s="15"/>
      <c r="D10" s="15" t="s">
        <v>69</v>
      </c>
      <c r="E10" s="15" t="s">
        <v>71</v>
      </c>
      <c r="F10" s="30">
        <v>24.8</v>
      </c>
      <c r="G10" s="33">
        <v>0</v>
      </c>
      <c r="H10" s="34">
        <f t="shared" si="0"/>
        <v>24.8</v>
      </c>
      <c r="I10" s="43">
        <f t="shared" si="1"/>
        <v>0</v>
      </c>
      <c r="J10" s="7"/>
      <c r="K10" s="91" t="s">
        <v>71</v>
      </c>
      <c r="L10" s="20">
        <f>SUMIF(Tableau338[Mode de dépense],K10,Tableau338[Charge TTC])</f>
        <v>75.3</v>
      </c>
      <c r="M10" s="35"/>
    </row>
    <row r="11" spans="2:13" x14ac:dyDescent="0.2">
      <c r="B11" s="15"/>
      <c r="C11" s="15"/>
      <c r="D11" s="15" t="s">
        <v>70</v>
      </c>
      <c r="E11" s="15" t="s">
        <v>71</v>
      </c>
      <c r="F11" s="30">
        <v>20.51</v>
      </c>
      <c r="G11" s="33">
        <v>0</v>
      </c>
      <c r="H11" s="34">
        <f t="shared" si="0"/>
        <v>20.51</v>
      </c>
      <c r="I11" s="43">
        <f t="shared" si="1"/>
        <v>0</v>
      </c>
      <c r="J11" s="7"/>
      <c r="K11" s="99" t="s">
        <v>48</v>
      </c>
      <c r="L11" s="20">
        <f>SUMIF(Tableau338[Mode de dépense],K11,Tableau338[Charge TTC])</f>
        <v>0</v>
      </c>
      <c r="M11" s="35">
        <f>L11/1.2</f>
        <v>0</v>
      </c>
    </row>
    <row r="12" spans="2:13" x14ac:dyDescent="0.2">
      <c r="B12" s="15"/>
      <c r="C12" s="15"/>
      <c r="D12" s="15" t="s">
        <v>70</v>
      </c>
      <c r="E12" s="15" t="s">
        <v>71</v>
      </c>
      <c r="F12" s="25">
        <v>19.989999999999998</v>
      </c>
      <c r="G12" s="33">
        <v>0</v>
      </c>
      <c r="H12" s="34">
        <f t="shared" si="0"/>
        <v>19.989999999999998</v>
      </c>
      <c r="I12" s="43">
        <f t="shared" si="1"/>
        <v>0</v>
      </c>
      <c r="J12" s="7"/>
      <c r="K12" s="100" t="s">
        <v>49</v>
      </c>
      <c r="L12" s="20">
        <f>SUMIF(Tableau338[Mode de dépense],K12,Tableau338[Charge TTC])</f>
        <v>0</v>
      </c>
      <c r="M12" s="35">
        <f>L12/1.2</f>
        <v>0</v>
      </c>
    </row>
    <row r="13" spans="2:13" x14ac:dyDescent="0.2">
      <c r="B13" s="19"/>
      <c r="C13" s="15"/>
      <c r="D13" s="15" t="s">
        <v>79</v>
      </c>
      <c r="E13" s="15" t="s">
        <v>71</v>
      </c>
      <c r="F13" s="25">
        <v>10</v>
      </c>
      <c r="G13" s="33">
        <v>0</v>
      </c>
      <c r="H13" s="34">
        <f t="shared" si="0"/>
        <v>10</v>
      </c>
      <c r="I13" s="43">
        <f t="shared" si="1"/>
        <v>0</v>
      </c>
      <c r="J13" s="7"/>
      <c r="K13" s="101" t="s">
        <v>50</v>
      </c>
      <c r="L13" s="20">
        <f>SUMIF(Tableau338[Mode de dépense],K13,Tableau338[Charge TTC])</f>
        <v>0</v>
      </c>
      <c r="M13" s="35">
        <f>L13/1.2</f>
        <v>0</v>
      </c>
    </row>
    <row r="14" spans="2:13" x14ac:dyDescent="0.2">
      <c r="B14" s="19">
        <v>45454</v>
      </c>
      <c r="C14" s="15"/>
      <c r="D14" s="15" t="s">
        <v>117</v>
      </c>
      <c r="E14" s="15" t="s">
        <v>52</v>
      </c>
      <c r="F14" s="25">
        <v>100</v>
      </c>
      <c r="G14" s="33">
        <v>0</v>
      </c>
      <c r="H14" s="34">
        <f>F13/(1+G14)</f>
        <v>10</v>
      </c>
      <c r="I14" s="43">
        <f>F13-H14</f>
        <v>0</v>
      </c>
      <c r="J14" s="7"/>
      <c r="K14" s="92" t="s">
        <v>52</v>
      </c>
      <c r="L14" s="20">
        <f>SUMIF(Tableau338[Mode de dépense],K14,Tableau338[Charge TTC])</f>
        <v>200</v>
      </c>
      <c r="M14" s="35">
        <f>L14</f>
        <v>200</v>
      </c>
    </row>
    <row r="15" spans="2:13" x14ac:dyDescent="0.2">
      <c r="B15" s="19">
        <v>45454</v>
      </c>
      <c r="C15" s="15"/>
      <c r="D15" s="15" t="s">
        <v>117</v>
      </c>
      <c r="E15" s="15" t="s">
        <v>52</v>
      </c>
      <c r="F15" s="25">
        <v>100</v>
      </c>
      <c r="G15" s="33">
        <v>0</v>
      </c>
      <c r="H15" s="34">
        <f>F15/(1+G15)</f>
        <v>100</v>
      </c>
      <c r="I15" s="43">
        <f t="shared" ref="I15:I35" si="2">F15-H15</f>
        <v>0</v>
      </c>
      <c r="J15" s="7"/>
      <c r="K15" s="93" t="s">
        <v>51</v>
      </c>
      <c r="L15" s="20">
        <f>SUMIF(Tableau338[Mode de dépense],K15,Tableau338[Charge TTC])</f>
        <v>0</v>
      </c>
      <c r="M15" s="35">
        <f>L15/1.2</f>
        <v>0</v>
      </c>
    </row>
    <row r="16" spans="2:13" x14ac:dyDescent="0.2">
      <c r="B16" s="15"/>
      <c r="C16" s="15"/>
      <c r="D16" s="15" t="s">
        <v>153</v>
      </c>
      <c r="E16" s="15" t="s">
        <v>153</v>
      </c>
      <c r="F16" s="25">
        <v>1850</v>
      </c>
      <c r="G16" s="33">
        <v>0</v>
      </c>
      <c r="H16" s="34">
        <f>F16/(1+G16)</f>
        <v>1850</v>
      </c>
      <c r="I16" s="43">
        <f t="shared" si="2"/>
        <v>0</v>
      </c>
      <c r="J16" s="7"/>
      <c r="K16" s="94" t="s">
        <v>60</v>
      </c>
      <c r="L16" s="20">
        <f>SUMIF(Tableau338[Mode de dépense],K16,Tableau338[Charge TTC])</f>
        <v>0</v>
      </c>
      <c r="M16" s="35">
        <f>L16/1.2</f>
        <v>0</v>
      </c>
    </row>
    <row r="17" spans="2:13" x14ac:dyDescent="0.2">
      <c r="B17" s="15"/>
      <c r="C17" s="15"/>
      <c r="D17" s="15" t="s">
        <v>3</v>
      </c>
      <c r="E17" s="15" t="s">
        <v>36</v>
      </c>
      <c r="F17" s="25">
        <v>2803</v>
      </c>
      <c r="G17" s="33">
        <v>0</v>
      </c>
      <c r="H17" s="34">
        <f t="shared" ref="H17:H35" si="3">F17/((1+G17))</f>
        <v>2803</v>
      </c>
      <c r="I17" s="43">
        <f t="shared" si="2"/>
        <v>0</v>
      </c>
      <c r="J17" s="7"/>
      <c r="K17" s="95" t="s">
        <v>72</v>
      </c>
      <c r="L17" s="20">
        <f>SUMIF(Tableau338[Mode de dépense],K17,Tableau338[Charge TTC])</f>
        <v>1003.26</v>
      </c>
      <c r="M17" s="35">
        <f>L17/1.2</f>
        <v>836.05000000000007</v>
      </c>
    </row>
    <row r="18" spans="2:13" x14ac:dyDescent="0.2">
      <c r="B18" s="15"/>
      <c r="C18" s="15"/>
      <c r="D18" s="15" t="s">
        <v>4</v>
      </c>
      <c r="E18" s="15" t="s">
        <v>36</v>
      </c>
      <c r="F18" s="25">
        <v>2300</v>
      </c>
      <c r="G18" s="33">
        <v>0</v>
      </c>
      <c r="H18" s="34">
        <f t="shared" si="3"/>
        <v>2300</v>
      </c>
      <c r="I18" s="43">
        <f t="shared" si="2"/>
        <v>0</v>
      </c>
      <c r="J18" s="7"/>
      <c r="K18" s="124" t="s">
        <v>153</v>
      </c>
      <c r="L18" s="20">
        <f>SUMIF(Tableau338[Mode de dépense],K18,Tableau338[Charge TTC])</f>
        <v>1850</v>
      </c>
      <c r="M18" s="35">
        <f>L18/1.2</f>
        <v>1541.6666666666667</v>
      </c>
    </row>
    <row r="19" spans="2:13" x14ac:dyDescent="0.2">
      <c r="B19" s="15"/>
      <c r="C19" s="15"/>
      <c r="D19" s="15" t="s">
        <v>2</v>
      </c>
      <c r="E19" s="15" t="s">
        <v>36</v>
      </c>
      <c r="F19" s="25">
        <v>800</v>
      </c>
      <c r="G19" s="33">
        <v>0</v>
      </c>
      <c r="H19" s="34">
        <f t="shared" si="3"/>
        <v>800</v>
      </c>
      <c r="I19" s="43">
        <f t="shared" si="2"/>
        <v>0</v>
      </c>
      <c r="J19" s="7"/>
    </row>
    <row r="20" spans="2:13" x14ac:dyDescent="0.2">
      <c r="B20" s="15"/>
      <c r="C20" s="15"/>
      <c r="D20" s="15"/>
      <c r="E20" s="15"/>
      <c r="F20" s="25"/>
      <c r="G20" s="33">
        <v>0</v>
      </c>
      <c r="H20" s="34">
        <f t="shared" si="3"/>
        <v>0</v>
      </c>
      <c r="I20" s="43">
        <f t="shared" si="2"/>
        <v>0</v>
      </c>
      <c r="J20" s="7"/>
    </row>
    <row r="21" spans="2:13" x14ac:dyDescent="0.2">
      <c r="B21" s="15"/>
      <c r="C21" s="15"/>
      <c r="D21" s="15"/>
      <c r="E21" s="15"/>
      <c r="F21" s="25"/>
      <c r="G21" s="33">
        <v>0</v>
      </c>
      <c r="H21" s="34">
        <f t="shared" si="3"/>
        <v>0</v>
      </c>
      <c r="I21" s="43">
        <f t="shared" si="2"/>
        <v>0</v>
      </c>
      <c r="J21" s="7"/>
    </row>
    <row r="22" spans="2:13" x14ac:dyDescent="0.2">
      <c r="B22" s="15"/>
      <c r="C22" s="15"/>
      <c r="D22" s="15"/>
      <c r="E22" s="15"/>
      <c r="F22" s="25"/>
      <c r="G22" s="33">
        <v>0</v>
      </c>
      <c r="H22" s="34">
        <f t="shared" si="3"/>
        <v>0</v>
      </c>
      <c r="I22" s="43">
        <f t="shared" si="2"/>
        <v>0</v>
      </c>
      <c r="J22" s="7"/>
    </row>
    <row r="23" spans="2:13" x14ac:dyDescent="0.2">
      <c r="B23" s="15"/>
      <c r="C23" s="15"/>
      <c r="D23" s="15"/>
      <c r="E23" s="15"/>
      <c r="F23" s="25"/>
      <c r="G23" s="33">
        <v>0</v>
      </c>
      <c r="H23" s="34">
        <f t="shared" si="3"/>
        <v>0</v>
      </c>
      <c r="I23" s="43">
        <f t="shared" si="2"/>
        <v>0</v>
      </c>
      <c r="J23" s="7"/>
    </row>
    <row r="24" spans="2:13" x14ac:dyDescent="0.2">
      <c r="B24" s="15"/>
      <c r="C24" s="15"/>
      <c r="D24" s="15"/>
      <c r="E24" s="15"/>
      <c r="F24" s="25"/>
      <c r="G24" s="33">
        <v>0</v>
      </c>
      <c r="H24" s="34">
        <f t="shared" si="3"/>
        <v>0</v>
      </c>
      <c r="I24" s="43">
        <f t="shared" si="2"/>
        <v>0</v>
      </c>
      <c r="J24" s="7"/>
    </row>
    <row r="25" spans="2:13" x14ac:dyDescent="0.2">
      <c r="B25" s="15"/>
      <c r="C25" s="15"/>
      <c r="D25" s="15"/>
      <c r="E25" s="15"/>
      <c r="F25" s="25"/>
      <c r="G25" s="33">
        <v>0</v>
      </c>
      <c r="H25" s="34">
        <f t="shared" si="3"/>
        <v>0</v>
      </c>
      <c r="I25" s="43">
        <f t="shared" si="2"/>
        <v>0</v>
      </c>
      <c r="J25" s="7"/>
    </row>
    <row r="26" spans="2:13" x14ac:dyDescent="0.2">
      <c r="B26" s="15"/>
      <c r="C26" s="15"/>
      <c r="D26" s="15"/>
      <c r="E26" s="15"/>
      <c r="F26" s="25"/>
      <c r="G26" s="33">
        <v>0</v>
      </c>
      <c r="H26" s="34">
        <f t="shared" si="3"/>
        <v>0</v>
      </c>
      <c r="I26" s="43">
        <f t="shared" si="2"/>
        <v>0</v>
      </c>
      <c r="J26" s="7"/>
    </row>
    <row r="27" spans="2:13" x14ac:dyDescent="0.2">
      <c r="B27" s="15"/>
      <c r="C27" s="15"/>
      <c r="D27" s="15"/>
      <c r="E27" s="15"/>
      <c r="F27" s="25"/>
      <c r="G27" s="33">
        <v>0</v>
      </c>
      <c r="H27" s="34">
        <f t="shared" si="3"/>
        <v>0</v>
      </c>
      <c r="I27" s="43">
        <f t="shared" si="2"/>
        <v>0</v>
      </c>
      <c r="J27" s="7"/>
    </row>
    <row r="28" spans="2:13" x14ac:dyDescent="0.2">
      <c r="B28" s="15"/>
      <c r="C28" s="15"/>
      <c r="D28" s="15"/>
      <c r="E28" s="15"/>
      <c r="F28" s="25"/>
      <c r="G28" s="33">
        <v>0</v>
      </c>
      <c r="H28" s="34">
        <f t="shared" si="3"/>
        <v>0</v>
      </c>
      <c r="I28" s="43">
        <f t="shared" si="2"/>
        <v>0</v>
      </c>
      <c r="J28" s="7"/>
    </row>
    <row r="29" spans="2:13" x14ac:dyDescent="0.2">
      <c r="B29" s="15"/>
      <c r="C29" s="15"/>
      <c r="D29" s="15"/>
      <c r="E29" s="15"/>
      <c r="F29" s="25"/>
      <c r="G29" s="33">
        <v>0</v>
      </c>
      <c r="H29" s="34">
        <f t="shared" si="3"/>
        <v>0</v>
      </c>
      <c r="I29" s="43">
        <f t="shared" si="2"/>
        <v>0</v>
      </c>
      <c r="J29" s="7"/>
    </row>
    <row r="30" spans="2:13" x14ac:dyDescent="0.2">
      <c r="B30" s="15"/>
      <c r="C30" s="15"/>
      <c r="D30" s="15"/>
      <c r="E30" s="15"/>
      <c r="F30" s="25"/>
      <c r="G30" s="33">
        <v>0</v>
      </c>
      <c r="H30" s="34">
        <f t="shared" si="3"/>
        <v>0</v>
      </c>
      <c r="I30" s="43">
        <f t="shared" si="2"/>
        <v>0</v>
      </c>
      <c r="J30" s="7"/>
    </row>
    <row r="31" spans="2:13" x14ac:dyDescent="0.2">
      <c r="B31" s="15"/>
      <c r="C31" s="15"/>
      <c r="D31" s="15"/>
      <c r="E31" s="15"/>
      <c r="F31" s="25"/>
      <c r="G31" s="33">
        <v>0</v>
      </c>
      <c r="H31" s="34">
        <f t="shared" si="3"/>
        <v>0</v>
      </c>
      <c r="I31" s="43">
        <f t="shared" si="2"/>
        <v>0</v>
      </c>
      <c r="J31" s="7"/>
    </row>
    <row r="32" spans="2:13" x14ac:dyDescent="0.2">
      <c r="B32" s="15"/>
      <c r="C32" s="15"/>
      <c r="D32" s="15"/>
      <c r="E32" s="15"/>
      <c r="F32" s="25"/>
      <c r="G32" s="33">
        <v>0</v>
      </c>
      <c r="H32" s="34">
        <f t="shared" si="3"/>
        <v>0</v>
      </c>
      <c r="I32" s="43">
        <f t="shared" si="2"/>
        <v>0</v>
      </c>
      <c r="J32" s="7"/>
    </row>
    <row r="33" spans="2:10" x14ac:dyDescent="0.2">
      <c r="B33" s="15"/>
      <c r="C33" s="15"/>
      <c r="D33" s="15"/>
      <c r="E33" s="15"/>
      <c r="F33" s="25"/>
      <c r="G33" s="33">
        <v>0</v>
      </c>
      <c r="H33" s="34">
        <f t="shared" si="3"/>
        <v>0</v>
      </c>
      <c r="I33" s="43">
        <f t="shared" si="2"/>
        <v>0</v>
      </c>
      <c r="J33" s="7"/>
    </row>
    <row r="34" spans="2:10" x14ac:dyDescent="0.2">
      <c r="B34" s="15"/>
      <c r="C34" s="15"/>
      <c r="D34" s="15"/>
      <c r="E34" s="15"/>
      <c r="F34" s="25"/>
      <c r="G34" s="33">
        <v>0</v>
      </c>
      <c r="H34" s="34">
        <f t="shared" si="3"/>
        <v>0</v>
      </c>
      <c r="I34" s="43">
        <f t="shared" si="2"/>
        <v>0</v>
      </c>
      <c r="J34" s="7"/>
    </row>
    <row r="35" spans="2:10" x14ac:dyDescent="0.2">
      <c r="B35" s="15"/>
      <c r="C35" s="15"/>
      <c r="D35" s="15"/>
      <c r="E35" s="15"/>
      <c r="F35" s="25"/>
      <c r="G35" s="33">
        <v>0</v>
      </c>
      <c r="H35" s="34">
        <f t="shared" si="3"/>
        <v>0</v>
      </c>
      <c r="I35" s="43">
        <f t="shared" si="2"/>
        <v>0</v>
      </c>
    </row>
  </sheetData>
  <mergeCells count="4">
    <mergeCell ref="B2:I3"/>
    <mergeCell ref="F5:F6"/>
    <mergeCell ref="H5:H6"/>
    <mergeCell ref="I5:I6"/>
  </mergeCells>
  <conditionalFormatting sqref="E8:E18 E20:E35">
    <cfRule type="containsText" dxfId="385" priority="11" operator="containsText" text="Emprunt/Crédit">
      <formula>NOT(ISERROR(SEARCH("Emprunt/Crédit",E8)))</formula>
    </cfRule>
    <cfRule type="containsText" dxfId="384" priority="12" operator="containsText" text="Garage">
      <formula>NOT(ISERROR(SEARCH("Garage",E8)))</formula>
    </cfRule>
    <cfRule type="containsText" dxfId="383" priority="14" operator="containsText" text="Visite JB Hub">
      <formula>NOT(ISERROR(SEARCH("Visite JB Hub",E8)))</formula>
    </cfRule>
    <cfRule type="containsText" dxfId="382" priority="15" operator="containsText" text="Repas">
      <formula>NOT(ISERROR(SEARCH("Repas",E8)))</formula>
    </cfRule>
    <cfRule type="containsText" dxfId="381" priority="16" operator="containsText" text="Communication">
      <formula>NOT(ISERROR(SEARCH("Communication",E8)))</formula>
    </cfRule>
    <cfRule type="containsText" dxfId="380" priority="17" operator="containsText" text="Jeep">
      <formula>NOT(ISERROR(SEARCH("Jeep",E8)))</formula>
    </cfRule>
    <cfRule type="containsText" dxfId="379" priority="18" operator="containsText" text="Structure">
      <formula>NOT(ISERROR(SEARCH("Structure",E8)))</formula>
    </cfRule>
    <cfRule type="containsText" dxfId="378" priority="19" operator="containsText" text="Essence">
      <formula>NOT(ISERROR(SEARCH("Essence",E8)))</formula>
    </cfRule>
    <cfRule type="containsText" dxfId="377" priority="20" operator="containsText" text="Salaire">
      <formula>NOT(ISERROR(SEARCH("Salaire",E8)))</formula>
    </cfRule>
  </conditionalFormatting>
  <conditionalFormatting sqref="E8:E18 E20:E35">
    <cfRule type="containsText" dxfId="376" priority="13" operator="containsText" text="Assurance">
      <formula>NOT(ISERROR(SEARCH("Assurance",E8)))</formula>
    </cfRule>
  </conditionalFormatting>
  <conditionalFormatting sqref="E19">
    <cfRule type="containsText" dxfId="375" priority="1" operator="containsText" text="Emprunt/Crédit">
      <formula>NOT(ISERROR(SEARCH("Emprunt/Crédit",E19)))</formula>
    </cfRule>
    <cfRule type="containsText" dxfId="374" priority="2" operator="containsText" text="Garage">
      <formula>NOT(ISERROR(SEARCH("Garage",E19)))</formula>
    </cfRule>
    <cfRule type="containsText" dxfId="373" priority="4" operator="containsText" text="Visite JB Hub">
      <formula>NOT(ISERROR(SEARCH("Visite JB Hub",E19)))</formula>
    </cfRule>
    <cfRule type="containsText" dxfId="372" priority="5" operator="containsText" text="Repas">
      <formula>NOT(ISERROR(SEARCH("Repas",E19)))</formula>
    </cfRule>
    <cfRule type="containsText" dxfId="371" priority="6" operator="containsText" text="Communication">
      <formula>NOT(ISERROR(SEARCH("Communication",E19)))</formula>
    </cfRule>
    <cfRule type="containsText" dxfId="370" priority="7" operator="containsText" text="Jeep">
      <formula>NOT(ISERROR(SEARCH("Jeep",E19)))</formula>
    </cfRule>
    <cfRule type="containsText" dxfId="369" priority="8" operator="containsText" text="Structure">
      <formula>NOT(ISERROR(SEARCH("Structure",E19)))</formula>
    </cfRule>
    <cfRule type="containsText" dxfId="368" priority="9" operator="containsText" text="Essence">
      <formula>NOT(ISERROR(SEARCH("Essence",E19)))</formula>
    </cfRule>
    <cfRule type="containsText" dxfId="367" priority="10" operator="containsText" text="Salaire">
      <formula>NOT(ISERROR(SEARCH("Salaire",E19)))</formula>
    </cfRule>
  </conditionalFormatting>
  <conditionalFormatting sqref="E19">
    <cfRule type="containsText" dxfId="366" priority="3" operator="containsText" text="Assurance">
      <formula>NOT(ISERROR(SEARCH("Assurance",E19)))</formula>
    </cfRule>
  </conditionalFormatting>
  <dataValidations count="3">
    <dataValidation allowBlank="1" showInputMessage="1" sqref="F16:F35 F8:F13" xr:uid="{36E1EA76-38C9-344D-AC64-29FA950108A4}"/>
    <dataValidation type="list" allowBlank="1" showInputMessage="1" showErrorMessage="1" sqref="G8:G35" xr:uid="{DFC877E7-FE7C-5844-98C8-47FB5FC8C08C}">
      <formula1>"0%, 20%"</formula1>
    </dataValidation>
    <dataValidation type="list" allowBlank="1" showInputMessage="1" showErrorMessage="1" sqref="E1:E1048576" xr:uid="{4796F599-D479-7D45-AE4F-D44035A2926F}">
      <formula1>"Salaire, Essence, Structure, Jeep, Communication, Repas, Visite JB Hub, Assurance, Garage, Emprunt/Crédit, Bureau, URSSAF"</formula1>
    </dataValidation>
  </dataValidations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3F37C0-BA18-3A41-98B4-FE50748C8A20}">
  <sheetPr>
    <tabColor rgb="FFFFFF00"/>
  </sheetPr>
  <dimension ref="A1:U65"/>
  <sheetViews>
    <sheetView zoomScale="110" workbookViewId="0">
      <selection activeCell="C9" sqref="C9:C63"/>
    </sheetView>
  </sheetViews>
  <sheetFormatPr baseColWidth="10" defaultRowHeight="16" x14ac:dyDescent="0.2"/>
  <cols>
    <col min="2" max="2" width="11" bestFit="1" customWidth="1"/>
    <col min="3" max="3" width="11" customWidth="1"/>
    <col min="4" max="4" width="13" customWidth="1"/>
    <col min="7" max="7" width="11" bestFit="1" customWidth="1"/>
    <col min="9" max="9" width="23.83203125" customWidth="1"/>
    <col min="11" max="11" width="21.33203125" customWidth="1"/>
    <col min="13" max="13" width="15.33203125" customWidth="1"/>
    <col min="14" max="14" width="18.1640625" customWidth="1"/>
    <col min="17" max="20" width="11" bestFit="1" customWidth="1"/>
    <col min="21" max="21" width="11.6640625" bestFit="1" customWidth="1"/>
  </cols>
  <sheetData>
    <row r="1" spans="1:21" ht="17" thickBot="1" x14ac:dyDescent="0.25">
      <c r="F1" s="63"/>
      <c r="G1" s="64"/>
      <c r="H1" s="65"/>
      <c r="I1" s="65"/>
      <c r="J1" s="65"/>
      <c r="K1" s="65"/>
      <c r="L1" s="65"/>
      <c r="M1" s="66"/>
    </row>
    <row r="2" spans="1:21" x14ac:dyDescent="0.2">
      <c r="F2" s="161" t="s">
        <v>40</v>
      </c>
      <c r="G2" s="162"/>
      <c r="H2" s="162"/>
      <c r="I2" s="162"/>
      <c r="J2" s="162"/>
      <c r="K2" s="162"/>
      <c r="L2" s="162"/>
      <c r="M2" s="163"/>
    </row>
    <row r="3" spans="1:21" ht="17" thickBot="1" x14ac:dyDescent="0.25">
      <c r="F3" s="164"/>
      <c r="G3" s="165"/>
      <c r="H3" s="165"/>
      <c r="I3" s="165"/>
      <c r="J3" s="165"/>
      <c r="K3" s="165"/>
      <c r="L3" s="165"/>
      <c r="M3" s="166"/>
    </row>
    <row r="4" spans="1:21" ht="25" thickBot="1" x14ac:dyDescent="0.25">
      <c r="F4" s="61"/>
      <c r="G4" s="61"/>
      <c r="H4" s="61"/>
      <c r="I4" s="61"/>
      <c r="J4" s="61"/>
      <c r="K4" s="61"/>
      <c r="L4" s="61"/>
      <c r="M4" s="61"/>
    </row>
    <row r="5" spans="1:21" ht="60" x14ac:dyDescent="0.2">
      <c r="F5" s="61"/>
      <c r="G5" s="61"/>
      <c r="H5" s="61"/>
      <c r="I5" s="103" t="s">
        <v>87</v>
      </c>
      <c r="J5" s="61"/>
      <c r="K5" s="71" t="s">
        <v>66</v>
      </c>
      <c r="L5" s="61"/>
      <c r="M5" s="61"/>
    </row>
    <row r="6" spans="1:21" ht="30" thickBot="1" x14ac:dyDescent="0.25">
      <c r="G6" s="67"/>
      <c r="H6" s="7"/>
      <c r="I6" s="105">
        <f>SUM(I64:M64)</f>
        <v>14230.720000000001</v>
      </c>
      <c r="J6" s="69"/>
      <c r="K6" s="73">
        <f>I65+K65+M65</f>
        <v>14230.720000000001</v>
      </c>
      <c r="L6" s="7"/>
    </row>
    <row r="7" spans="1:21" ht="24" x14ac:dyDescent="0.2">
      <c r="F7" s="61"/>
      <c r="G7" s="61"/>
      <c r="H7" s="61"/>
      <c r="I7" s="61"/>
      <c r="J7" s="61"/>
      <c r="K7" s="61"/>
      <c r="L7" s="61"/>
      <c r="M7" s="61"/>
    </row>
    <row r="8" spans="1:21" ht="46" x14ac:dyDescent="0.2">
      <c r="B8" s="52" t="s">
        <v>0</v>
      </c>
      <c r="C8" s="189" t="s">
        <v>238</v>
      </c>
      <c r="D8" s="55" t="s">
        <v>1</v>
      </c>
      <c r="E8" s="55" t="s">
        <v>82</v>
      </c>
      <c r="F8" s="56" t="s">
        <v>83</v>
      </c>
      <c r="G8" s="56" t="s">
        <v>88</v>
      </c>
      <c r="H8" s="57" t="s">
        <v>84</v>
      </c>
      <c r="I8" s="56" t="s">
        <v>2</v>
      </c>
      <c r="J8" s="58" t="s">
        <v>85</v>
      </c>
      <c r="K8" s="59" t="s">
        <v>3</v>
      </c>
      <c r="L8" s="60" t="s">
        <v>86</v>
      </c>
      <c r="M8" s="59" t="s">
        <v>4</v>
      </c>
      <c r="N8" s="55" t="s">
        <v>5</v>
      </c>
      <c r="P8" s="74" t="s">
        <v>59</v>
      </c>
      <c r="Q8" s="48" t="s">
        <v>53</v>
      </c>
      <c r="R8" s="49" t="s">
        <v>54</v>
      </c>
      <c r="S8" s="50" t="s">
        <v>55</v>
      </c>
      <c r="T8" s="88" t="s">
        <v>37</v>
      </c>
      <c r="U8" s="78" t="s">
        <v>89</v>
      </c>
    </row>
    <row r="9" spans="1:21" x14ac:dyDescent="0.2">
      <c r="B9" s="12">
        <v>45447</v>
      </c>
      <c r="C9" s="11" t="s">
        <v>236</v>
      </c>
      <c r="D9" s="9" t="s">
        <v>38</v>
      </c>
      <c r="E9" s="9" t="s">
        <v>98</v>
      </c>
      <c r="F9" s="9"/>
      <c r="G9" s="3"/>
      <c r="H9" s="3"/>
      <c r="I9" s="51"/>
      <c r="J9" s="32"/>
      <c r="K9" s="51"/>
      <c r="L9" s="32" t="s">
        <v>46</v>
      </c>
      <c r="M9" s="32">
        <v>393.02</v>
      </c>
      <c r="N9" s="5"/>
    </row>
    <row r="10" spans="1:21" x14ac:dyDescent="0.2">
      <c r="A10" s="107"/>
      <c r="B10" s="11">
        <v>45450</v>
      </c>
      <c r="C10" s="11" t="s">
        <v>236</v>
      </c>
      <c r="D10" s="9" t="s">
        <v>38</v>
      </c>
      <c r="E10" s="9" t="s">
        <v>98</v>
      </c>
      <c r="F10" s="9"/>
      <c r="G10" s="3"/>
      <c r="H10" s="3"/>
      <c r="I10" s="32"/>
      <c r="J10" s="3"/>
      <c r="K10" s="51"/>
      <c r="L10" s="3" t="s">
        <v>46</v>
      </c>
      <c r="M10" s="30">
        <v>450</v>
      </c>
      <c r="N10" s="3"/>
      <c r="P10" s="16"/>
      <c r="Q10" s="22"/>
      <c r="R10" s="22"/>
      <c r="S10" s="22"/>
      <c r="T10" s="87"/>
      <c r="U10" s="79"/>
    </row>
    <row r="11" spans="1:21" x14ac:dyDescent="0.2">
      <c r="A11" s="107"/>
      <c r="B11" s="11">
        <v>45453</v>
      </c>
      <c r="C11" s="11" t="s">
        <v>236</v>
      </c>
      <c r="D11" s="9" t="s">
        <v>116</v>
      </c>
      <c r="E11" s="9" t="s">
        <v>61</v>
      </c>
      <c r="F11" s="9"/>
      <c r="G11" s="7"/>
      <c r="H11" s="7" t="s">
        <v>61</v>
      </c>
      <c r="I11" s="32">
        <v>153.84</v>
      </c>
      <c r="J11" s="7"/>
      <c r="K11" s="51"/>
      <c r="L11" s="7"/>
      <c r="M11" s="51"/>
      <c r="N11" s="3"/>
      <c r="P11" s="17" t="s">
        <v>44</v>
      </c>
      <c r="Q11" s="22">
        <f>SUMIF(Tableau5579[$T],P11,Tableau5579[Thomas])</f>
        <v>0</v>
      </c>
      <c r="R11" s="22">
        <f>SUMIF(Tableau5579[$F],P11,Tableau5579[Flavie])</f>
        <v>0</v>
      </c>
      <c r="S11" s="22">
        <f>SUMIF(Tableau5579[$R],P11,Tableau5579[Raphaëlle])</f>
        <v>0</v>
      </c>
      <c r="T11" s="87">
        <f>SUM(Q11:S11)</f>
        <v>0</v>
      </c>
      <c r="U11" s="79">
        <f>(Q11+R11+S11)/1</f>
        <v>0</v>
      </c>
    </row>
    <row r="12" spans="1:21" x14ac:dyDescent="0.2">
      <c r="A12" s="107"/>
      <c r="B12" s="11"/>
      <c r="C12" s="11" t="s">
        <v>236</v>
      </c>
      <c r="D12" s="9"/>
      <c r="E12" s="9"/>
      <c r="F12" s="9"/>
      <c r="G12" s="3"/>
      <c r="H12" s="3"/>
      <c r="I12" s="51"/>
      <c r="J12" s="3"/>
      <c r="K12" s="51"/>
      <c r="L12" s="3"/>
      <c r="M12" s="32"/>
      <c r="N12" s="3"/>
      <c r="P12" s="18" t="s">
        <v>45</v>
      </c>
      <c r="Q12" s="22">
        <f>SUMIF(Tableau5579[$T],P12,Tableau5579[Thomas])</f>
        <v>0</v>
      </c>
      <c r="R12" s="22">
        <f>SUMIF(Tableau5579[$F],P12,Tableau5579[Flavie])</f>
        <v>0</v>
      </c>
      <c r="S12" s="22">
        <f>SUMIF(Tableau5579[$R],P12,Tableau5579[Raphaëlle])</f>
        <v>0</v>
      </c>
      <c r="T12" s="87">
        <f>SUM(Q12:S12)</f>
        <v>0</v>
      </c>
      <c r="U12" s="79">
        <f>(Q12+R12+S12)/1</f>
        <v>0</v>
      </c>
    </row>
    <row r="13" spans="1:21" x14ac:dyDescent="0.2">
      <c r="A13" s="107"/>
      <c r="B13" s="12"/>
      <c r="C13" s="11" t="s">
        <v>236</v>
      </c>
      <c r="D13" s="9"/>
      <c r="E13" s="9"/>
      <c r="F13" s="9"/>
      <c r="G13" s="3"/>
      <c r="H13" s="3"/>
      <c r="I13" s="32"/>
      <c r="J13" s="3"/>
      <c r="K13" s="51"/>
      <c r="L13" s="3"/>
      <c r="M13" s="32"/>
      <c r="N13" s="3"/>
      <c r="P13" s="4" t="s">
        <v>46</v>
      </c>
      <c r="Q13" s="22">
        <f>SUMIF(Tableau5579[$T],P13,Tableau5579[Thomas])</f>
        <v>294</v>
      </c>
      <c r="R13" s="22">
        <f>SUMIF(Tableau5579[$F],P13,Tableau5579[Flavie])</f>
        <v>309.5</v>
      </c>
      <c r="S13" s="22">
        <f>SUMIF(Tableau5579[$R],P13,Tableau5579[Raphaëlle])</f>
        <v>1736.04</v>
      </c>
      <c r="T13" s="87">
        <f>SUM(Q13:S13)</f>
        <v>2339.54</v>
      </c>
      <c r="U13" s="79">
        <f>(Q13+R13+S13)/1</f>
        <v>2339.54</v>
      </c>
    </row>
    <row r="14" spans="1:21" x14ac:dyDescent="0.2">
      <c r="A14" s="107"/>
      <c r="B14" s="11">
        <v>45461</v>
      </c>
      <c r="C14" s="11" t="s">
        <v>236</v>
      </c>
      <c r="D14" s="9" t="s">
        <v>12</v>
      </c>
      <c r="E14" s="9" t="s">
        <v>98</v>
      </c>
      <c r="F14" s="9"/>
      <c r="G14" s="3"/>
      <c r="H14" s="3" t="s">
        <v>46</v>
      </c>
      <c r="I14" s="51">
        <v>147</v>
      </c>
      <c r="J14" s="3"/>
      <c r="K14" s="51"/>
      <c r="L14" s="3"/>
      <c r="M14" s="32"/>
      <c r="N14" s="3"/>
      <c r="P14" s="76" t="s">
        <v>56</v>
      </c>
      <c r="Q14" s="22">
        <f>SUMIF(Tableau5579[$T],P14,Tableau5579[Thomas])</f>
        <v>0</v>
      </c>
      <c r="R14" s="22">
        <f>SUMIF(Tableau5579[$F],P14,Tableau5579[Flavie])</f>
        <v>0</v>
      </c>
      <c r="S14" s="22">
        <f>SUMIF(Tableau5579[$R],P14,Tableau5579[Raphaëlle])</f>
        <v>0</v>
      </c>
      <c r="T14" s="87">
        <f>SUM(Q14:S14)</f>
        <v>0</v>
      </c>
      <c r="U14" s="79">
        <f>(Q14+R14+S14)/1</f>
        <v>0</v>
      </c>
    </row>
    <row r="15" spans="1:21" x14ac:dyDescent="0.2">
      <c r="A15" s="106"/>
      <c r="B15" s="12"/>
      <c r="C15" s="11" t="s">
        <v>236</v>
      </c>
      <c r="D15" s="9"/>
      <c r="E15" s="9"/>
      <c r="F15" s="9"/>
      <c r="G15" s="3"/>
      <c r="H15" s="3"/>
      <c r="I15" s="51"/>
      <c r="J15" s="3"/>
      <c r="K15" s="51"/>
      <c r="L15" s="3"/>
      <c r="M15" s="32"/>
      <c r="N15" s="3"/>
      <c r="P15" s="26" t="s">
        <v>61</v>
      </c>
      <c r="Q15" s="22">
        <f>SUMIF(Tableau5579[$T],P15,Tableau5579[Thomas])</f>
        <v>307.68</v>
      </c>
      <c r="R15" s="22">
        <f>SUMIF(Tableau5579[$F],P15,Tableau5579[Flavie])</f>
        <v>461.52</v>
      </c>
      <c r="S15" s="22">
        <f>SUMIF(Tableau5579[$R],P15,Tableau5579[Raphaëlle])</f>
        <v>0</v>
      </c>
      <c r="T15" s="87">
        <f>SUM(Q15:S15)</f>
        <v>769.2</v>
      </c>
      <c r="U15" s="79">
        <f>(Q15+R15+S15)/1</f>
        <v>769.2</v>
      </c>
    </row>
    <row r="16" spans="1:21" x14ac:dyDescent="0.2">
      <c r="A16" s="106"/>
      <c r="B16" s="12">
        <v>45464</v>
      </c>
      <c r="C16" s="11" t="s">
        <v>236</v>
      </c>
      <c r="D16" s="9" t="s">
        <v>124</v>
      </c>
      <c r="E16" s="9" t="s">
        <v>98</v>
      </c>
      <c r="F16" s="9"/>
      <c r="G16" s="3"/>
      <c r="H16" s="3" t="s">
        <v>46</v>
      </c>
      <c r="I16" s="51">
        <v>147</v>
      </c>
      <c r="J16" s="3"/>
      <c r="K16" s="51"/>
      <c r="L16" s="3"/>
      <c r="M16" s="32"/>
      <c r="N16" s="3"/>
      <c r="Q16" s="102">
        <f>SUM(Q9:Q15)</f>
        <v>601.68000000000006</v>
      </c>
      <c r="R16" s="85">
        <f>SUM(R9:R15)</f>
        <v>771.02</v>
      </c>
      <c r="S16" s="85">
        <f>SUM(S9:S15)</f>
        <v>1736.04</v>
      </c>
    </row>
    <row r="17" spans="1:19" x14ac:dyDescent="0.2">
      <c r="A17" s="106"/>
      <c r="B17" s="12">
        <v>45465</v>
      </c>
      <c r="C17" s="11" t="s">
        <v>236</v>
      </c>
      <c r="D17" s="9" t="s">
        <v>12</v>
      </c>
      <c r="E17" s="9" t="s">
        <v>61</v>
      </c>
      <c r="F17" s="9"/>
      <c r="G17" s="3"/>
      <c r="H17" s="3"/>
      <c r="I17" s="32"/>
      <c r="J17" s="32" t="s">
        <v>61</v>
      </c>
      <c r="K17" s="51">
        <v>153.84</v>
      </c>
      <c r="L17" s="32"/>
      <c r="M17" s="32"/>
      <c r="N17" s="5"/>
      <c r="P17" s="86" t="s">
        <v>89</v>
      </c>
      <c r="Q17" s="89" t="e">
        <f>(#REF!+Q11+Q12+Q13+Q14+Q15)/1</f>
        <v>#REF!</v>
      </c>
      <c r="R17" s="89" t="e">
        <f>(#REF!+R11+R12+R13+R14+R15)/1</f>
        <v>#REF!</v>
      </c>
      <c r="S17" s="89" t="e">
        <f>(#REF!+S11+S12+S13+S14+S15)/1</f>
        <v>#REF!</v>
      </c>
    </row>
    <row r="18" spans="1:19" x14ac:dyDescent="0.2">
      <c r="A18" s="106"/>
      <c r="B18" s="12">
        <v>45466</v>
      </c>
      <c r="C18" s="11" t="s">
        <v>236</v>
      </c>
      <c r="D18" s="9" t="s">
        <v>12</v>
      </c>
      <c r="E18" s="9" t="s">
        <v>61</v>
      </c>
      <c r="F18" s="9"/>
      <c r="G18" s="3"/>
      <c r="H18" s="3"/>
      <c r="I18" s="32"/>
      <c r="J18" s="32" t="s">
        <v>61</v>
      </c>
      <c r="K18" s="51">
        <v>153.84</v>
      </c>
      <c r="L18" s="32"/>
      <c r="M18" s="32"/>
      <c r="N18" s="5"/>
      <c r="P18" s="153"/>
      <c r="Q18" s="154"/>
      <c r="R18" s="154"/>
      <c r="S18" s="154"/>
    </row>
    <row r="19" spans="1:19" x14ac:dyDescent="0.2">
      <c r="A19" s="106"/>
      <c r="B19" s="12">
        <v>45467</v>
      </c>
      <c r="C19" s="11" t="s">
        <v>236</v>
      </c>
      <c r="D19" s="9" t="s">
        <v>38</v>
      </c>
      <c r="E19" s="9" t="s">
        <v>98</v>
      </c>
      <c r="F19" s="9"/>
      <c r="G19" s="3"/>
      <c r="H19" s="3"/>
      <c r="I19" s="51"/>
      <c r="J19" s="3"/>
      <c r="K19" s="51"/>
      <c r="L19" s="3" t="s">
        <v>46</v>
      </c>
      <c r="M19" s="32">
        <v>393.02</v>
      </c>
      <c r="N19" s="3"/>
    </row>
    <row r="20" spans="1:19" x14ac:dyDescent="0.2">
      <c r="A20" s="106"/>
      <c r="B20" s="12">
        <v>45471</v>
      </c>
      <c r="C20" s="11" t="s">
        <v>236</v>
      </c>
      <c r="D20" s="9" t="s">
        <v>125</v>
      </c>
      <c r="E20" s="9" t="s">
        <v>61</v>
      </c>
      <c r="F20" s="9"/>
      <c r="G20" s="3"/>
      <c r="H20" s="3" t="s">
        <v>61</v>
      </c>
      <c r="I20" s="51">
        <v>153.84</v>
      </c>
      <c r="J20" s="32" t="s">
        <v>61</v>
      </c>
      <c r="K20" s="51">
        <v>153.84</v>
      </c>
      <c r="L20" s="32"/>
      <c r="M20" s="32"/>
      <c r="N20" s="5"/>
    </row>
    <row r="21" spans="1:19" x14ac:dyDescent="0.2">
      <c r="A21" s="106"/>
      <c r="B21" s="12">
        <v>45472</v>
      </c>
      <c r="C21" s="11" t="s">
        <v>236</v>
      </c>
      <c r="D21" s="9" t="s">
        <v>38</v>
      </c>
      <c r="E21" s="9" t="s">
        <v>98</v>
      </c>
      <c r="F21" s="9"/>
      <c r="G21" s="3"/>
      <c r="H21" s="3"/>
      <c r="I21" s="51"/>
      <c r="J21" s="3"/>
      <c r="K21" s="51"/>
      <c r="L21" s="3" t="s">
        <v>46</v>
      </c>
      <c r="M21" s="32">
        <v>500</v>
      </c>
      <c r="N21" s="3"/>
    </row>
    <row r="22" spans="1:19" x14ac:dyDescent="0.2">
      <c r="A22" s="106"/>
      <c r="B22" s="12">
        <v>45472</v>
      </c>
      <c r="C22" s="12" t="s">
        <v>236</v>
      </c>
      <c r="D22" s="9" t="s">
        <v>12</v>
      </c>
      <c r="E22" s="9" t="s">
        <v>98</v>
      </c>
      <c r="F22" s="9"/>
      <c r="G22" s="151">
        <v>2</v>
      </c>
      <c r="H22" s="3"/>
      <c r="I22" s="51"/>
      <c r="J22" s="3" t="s">
        <v>46</v>
      </c>
      <c r="K22" s="51">
        <v>162.5</v>
      </c>
      <c r="L22" s="3"/>
      <c r="M22" s="32"/>
      <c r="N22" s="3"/>
    </row>
    <row r="23" spans="1:19" x14ac:dyDescent="0.2">
      <c r="A23" s="106"/>
      <c r="B23" s="12"/>
      <c r="C23" s="12"/>
      <c r="D23" s="9"/>
      <c r="E23" s="9"/>
      <c r="F23" s="9"/>
      <c r="G23" s="3"/>
      <c r="H23" s="3"/>
      <c r="I23" s="51"/>
      <c r="J23" s="3"/>
      <c r="K23" s="51"/>
      <c r="L23" s="3"/>
      <c r="M23" s="32"/>
      <c r="N23" s="3"/>
    </row>
    <row r="24" spans="1:19" x14ac:dyDescent="0.2">
      <c r="A24" s="106"/>
      <c r="B24" s="12"/>
      <c r="C24" s="12"/>
      <c r="D24" s="9"/>
      <c r="E24" s="9"/>
      <c r="F24" s="9"/>
      <c r="G24" s="3"/>
      <c r="H24" s="3"/>
      <c r="I24" s="51"/>
      <c r="J24" s="32"/>
      <c r="K24" s="51"/>
      <c r="L24" s="32"/>
      <c r="M24" s="32"/>
      <c r="N24" s="5"/>
    </row>
    <row r="25" spans="1:19" x14ac:dyDescent="0.2">
      <c r="B25" s="12" t="s">
        <v>129</v>
      </c>
      <c r="C25" s="12" t="s">
        <v>27</v>
      </c>
      <c r="D25" s="9" t="s">
        <v>127</v>
      </c>
      <c r="E25" s="9" t="s">
        <v>128</v>
      </c>
      <c r="F25" s="9"/>
      <c r="G25" s="3">
        <v>9</v>
      </c>
      <c r="H25" s="3"/>
      <c r="I25" s="51">
        <v>400</v>
      </c>
      <c r="J25" s="3"/>
      <c r="K25" s="51"/>
      <c r="L25" s="3"/>
      <c r="M25" s="32"/>
      <c r="N25" s="3"/>
    </row>
    <row r="26" spans="1:19" x14ac:dyDescent="0.2">
      <c r="B26" s="12" t="s">
        <v>129</v>
      </c>
      <c r="C26" s="12" t="s">
        <v>27</v>
      </c>
      <c r="D26" s="9" t="s">
        <v>58</v>
      </c>
      <c r="E26" s="9"/>
      <c r="F26" s="9"/>
      <c r="G26" s="3">
        <v>4</v>
      </c>
      <c r="H26" s="3"/>
      <c r="I26" s="51"/>
      <c r="J26" s="32"/>
      <c r="K26" s="51">
        <v>510</v>
      </c>
      <c r="L26" s="32"/>
      <c r="M26" s="32"/>
      <c r="N26" s="5"/>
    </row>
    <row r="27" spans="1:19" x14ac:dyDescent="0.2">
      <c r="B27" s="12" t="s">
        <v>129</v>
      </c>
      <c r="C27" s="12" t="s">
        <v>27</v>
      </c>
      <c r="D27" s="9" t="s">
        <v>164</v>
      </c>
      <c r="E27" s="9"/>
      <c r="F27" s="9"/>
      <c r="G27" s="3">
        <v>14</v>
      </c>
      <c r="H27" s="3"/>
      <c r="I27" s="51"/>
      <c r="J27" s="32"/>
      <c r="K27" s="51"/>
      <c r="L27" s="32"/>
      <c r="M27" s="32">
        <v>990</v>
      </c>
      <c r="N27" s="5"/>
    </row>
    <row r="28" spans="1:19" x14ac:dyDescent="0.2">
      <c r="B28" s="12">
        <v>45475</v>
      </c>
      <c r="C28" s="12" t="s">
        <v>27</v>
      </c>
      <c r="D28" s="9" t="s">
        <v>38</v>
      </c>
      <c r="E28" s="9" t="s">
        <v>119</v>
      </c>
      <c r="F28" s="9"/>
      <c r="G28" s="3"/>
      <c r="H28" s="3"/>
      <c r="I28" s="32"/>
      <c r="J28" s="3"/>
      <c r="K28" s="51">
        <v>525</v>
      </c>
      <c r="L28" s="3"/>
      <c r="M28" s="32"/>
      <c r="N28" s="3" t="s">
        <v>119</v>
      </c>
    </row>
    <row r="29" spans="1:19" x14ac:dyDescent="0.2">
      <c r="B29" s="12">
        <v>45475</v>
      </c>
      <c r="C29" s="12" t="s">
        <v>27</v>
      </c>
      <c r="D29" s="9" t="s">
        <v>127</v>
      </c>
      <c r="E29" s="9" t="s">
        <v>128</v>
      </c>
      <c r="F29" s="9"/>
      <c r="G29" s="3">
        <v>9</v>
      </c>
      <c r="H29" s="3"/>
      <c r="I29" s="32">
        <v>400</v>
      </c>
      <c r="J29" s="32"/>
      <c r="K29" s="51"/>
      <c r="L29" s="32"/>
      <c r="M29" s="32"/>
      <c r="N29" s="5"/>
    </row>
    <row r="30" spans="1:19" x14ac:dyDescent="0.2">
      <c r="B30" s="12">
        <v>45476</v>
      </c>
      <c r="C30" s="12" t="s">
        <v>27</v>
      </c>
      <c r="D30" s="9" t="s">
        <v>127</v>
      </c>
      <c r="E30" s="9" t="s">
        <v>128</v>
      </c>
      <c r="F30" s="9"/>
      <c r="G30" s="3">
        <v>9</v>
      </c>
      <c r="H30" s="3"/>
      <c r="I30" s="32">
        <v>400</v>
      </c>
      <c r="J30" s="32"/>
      <c r="K30" s="51"/>
      <c r="L30" s="32"/>
      <c r="M30" s="32"/>
      <c r="N30" s="5"/>
    </row>
    <row r="31" spans="1:19" x14ac:dyDescent="0.2">
      <c r="B31" s="12">
        <v>45476</v>
      </c>
      <c r="C31" s="12" t="s">
        <v>27</v>
      </c>
      <c r="D31" s="9" t="s">
        <v>122</v>
      </c>
      <c r="E31" s="9" t="s">
        <v>119</v>
      </c>
      <c r="F31" s="9"/>
      <c r="G31" s="3">
        <v>3</v>
      </c>
      <c r="H31" s="3"/>
      <c r="I31" s="51"/>
      <c r="J31" s="3"/>
      <c r="K31" s="51"/>
      <c r="L31" s="3"/>
      <c r="M31" s="32">
        <v>225</v>
      </c>
      <c r="N31" s="3"/>
    </row>
    <row r="32" spans="1:19" x14ac:dyDescent="0.2">
      <c r="B32" s="12">
        <v>45477</v>
      </c>
      <c r="C32" s="12" t="s">
        <v>27</v>
      </c>
      <c r="D32" s="9" t="s">
        <v>38</v>
      </c>
      <c r="E32" s="9" t="s">
        <v>119</v>
      </c>
      <c r="F32" s="9"/>
      <c r="G32" s="3">
        <v>7</v>
      </c>
      <c r="H32" s="3"/>
      <c r="I32" s="51"/>
      <c r="J32" s="3"/>
      <c r="K32" s="51">
        <v>525</v>
      </c>
      <c r="L32" s="3"/>
      <c r="M32" s="32"/>
      <c r="N32" s="3" t="s">
        <v>119</v>
      </c>
    </row>
    <row r="33" spans="2:14" x14ac:dyDescent="0.2">
      <c r="B33" s="12">
        <v>45477</v>
      </c>
      <c r="C33" s="12" t="s">
        <v>27</v>
      </c>
      <c r="D33" s="9" t="s">
        <v>127</v>
      </c>
      <c r="E33" s="9" t="s">
        <v>128</v>
      </c>
      <c r="F33" s="9"/>
      <c r="G33" s="3">
        <v>9</v>
      </c>
      <c r="H33" s="3"/>
      <c r="I33" s="51">
        <v>400</v>
      </c>
      <c r="J33" s="3"/>
      <c r="K33" s="51"/>
      <c r="L33" s="3"/>
      <c r="M33" s="32"/>
      <c r="N33" s="3"/>
    </row>
    <row r="34" spans="2:14" x14ac:dyDescent="0.2">
      <c r="B34" s="12">
        <v>45478</v>
      </c>
      <c r="C34" s="12" t="s">
        <v>27</v>
      </c>
      <c r="D34" s="9" t="s">
        <v>127</v>
      </c>
      <c r="E34" s="9" t="s">
        <v>128</v>
      </c>
      <c r="F34" s="9"/>
      <c r="G34" s="3">
        <v>9</v>
      </c>
      <c r="H34" s="3"/>
      <c r="I34" s="51">
        <v>400</v>
      </c>
      <c r="J34" s="3"/>
      <c r="K34" s="51"/>
      <c r="L34" s="3"/>
      <c r="M34" s="32"/>
      <c r="N34" s="3"/>
    </row>
    <row r="35" spans="2:14" x14ac:dyDescent="0.2">
      <c r="B35" s="12">
        <v>45479</v>
      </c>
      <c r="C35" s="12" t="s">
        <v>27</v>
      </c>
      <c r="D35" s="9" t="s">
        <v>122</v>
      </c>
      <c r="E35" s="9"/>
      <c r="F35" s="9"/>
      <c r="G35" s="3"/>
      <c r="H35" s="3"/>
      <c r="I35" s="51"/>
      <c r="J35" s="32"/>
      <c r="K35" s="51">
        <v>150</v>
      </c>
      <c r="L35" s="32"/>
      <c r="M35" s="32"/>
      <c r="N35" s="5" t="s">
        <v>13</v>
      </c>
    </row>
    <row r="36" spans="2:14" x14ac:dyDescent="0.2">
      <c r="B36" s="12">
        <v>45479</v>
      </c>
      <c r="C36" s="12" t="s">
        <v>27</v>
      </c>
      <c r="D36" s="9" t="s">
        <v>127</v>
      </c>
      <c r="E36" s="9" t="s">
        <v>128</v>
      </c>
      <c r="F36" s="9"/>
      <c r="G36" s="3">
        <v>9</v>
      </c>
      <c r="H36" s="3"/>
      <c r="I36" s="51">
        <v>400</v>
      </c>
      <c r="J36" s="3"/>
      <c r="K36" s="51"/>
      <c r="L36" s="3"/>
      <c r="M36" s="32"/>
      <c r="N36" s="3"/>
    </row>
    <row r="37" spans="2:14" x14ac:dyDescent="0.2">
      <c r="B37" s="12">
        <v>45479</v>
      </c>
      <c r="C37" s="12" t="s">
        <v>27</v>
      </c>
      <c r="D37" s="9" t="s">
        <v>130</v>
      </c>
      <c r="E37" s="9"/>
      <c r="F37" s="9"/>
      <c r="G37" s="3">
        <v>3</v>
      </c>
      <c r="H37" s="3"/>
      <c r="I37" s="51"/>
      <c r="J37" s="3"/>
      <c r="K37" s="51"/>
      <c r="L37" s="3"/>
      <c r="M37" s="32">
        <v>300</v>
      </c>
      <c r="N37" s="3"/>
    </row>
    <row r="38" spans="2:14" x14ac:dyDescent="0.2">
      <c r="B38" s="12">
        <v>45480</v>
      </c>
      <c r="C38" s="12" t="s">
        <v>27</v>
      </c>
      <c r="D38" s="9" t="s">
        <v>127</v>
      </c>
      <c r="E38" s="9" t="s">
        <v>128</v>
      </c>
      <c r="F38" s="9"/>
      <c r="G38" s="3">
        <v>9</v>
      </c>
      <c r="H38" s="3"/>
      <c r="I38" s="51">
        <v>400</v>
      </c>
      <c r="J38" s="3"/>
      <c r="K38" s="51"/>
      <c r="L38" s="3"/>
      <c r="M38" s="32"/>
      <c r="N38" s="3"/>
    </row>
    <row r="39" spans="2:14" x14ac:dyDescent="0.2">
      <c r="B39" s="12">
        <v>45481</v>
      </c>
      <c r="C39" s="12" t="s">
        <v>27</v>
      </c>
      <c r="D39" s="9" t="s">
        <v>127</v>
      </c>
      <c r="E39" s="9" t="s">
        <v>128</v>
      </c>
      <c r="F39" s="9"/>
      <c r="G39" s="3">
        <v>9</v>
      </c>
      <c r="H39" s="3"/>
      <c r="I39" s="51">
        <v>400</v>
      </c>
      <c r="J39" s="3"/>
      <c r="K39" s="51"/>
      <c r="L39" s="3"/>
      <c r="M39" s="32"/>
      <c r="N39" s="3"/>
    </row>
    <row r="40" spans="2:14" x14ac:dyDescent="0.2">
      <c r="B40" s="12">
        <v>45482</v>
      </c>
      <c r="C40" s="12" t="s">
        <v>27</v>
      </c>
      <c r="D40" s="9" t="s">
        <v>127</v>
      </c>
      <c r="E40" s="9" t="s">
        <v>128</v>
      </c>
      <c r="F40" s="9"/>
      <c r="G40" s="3">
        <v>9</v>
      </c>
      <c r="H40" s="3"/>
      <c r="I40" s="51">
        <v>400</v>
      </c>
      <c r="J40" s="32"/>
      <c r="K40" s="51"/>
      <c r="L40" s="32"/>
      <c r="M40" s="32"/>
      <c r="N40" s="5"/>
    </row>
    <row r="41" spans="2:14" x14ac:dyDescent="0.2">
      <c r="B41" s="12">
        <v>45482</v>
      </c>
      <c r="C41" s="12" t="s">
        <v>27</v>
      </c>
      <c r="D41" s="9" t="s">
        <v>58</v>
      </c>
      <c r="E41" s="9"/>
      <c r="F41" s="9"/>
      <c r="G41" s="3">
        <v>4</v>
      </c>
      <c r="H41" s="3"/>
      <c r="I41" s="51"/>
      <c r="J41" s="3"/>
      <c r="K41" s="51">
        <v>300</v>
      </c>
      <c r="L41" s="3"/>
      <c r="M41" s="32">
        <v>300</v>
      </c>
      <c r="N41" s="3"/>
    </row>
    <row r="42" spans="2:14" x14ac:dyDescent="0.2">
      <c r="B42" s="12">
        <v>45482</v>
      </c>
      <c r="C42" s="12" t="s">
        <v>27</v>
      </c>
      <c r="D42" s="9" t="s">
        <v>16</v>
      </c>
      <c r="E42" s="9"/>
      <c r="F42" s="9"/>
      <c r="G42" s="3">
        <v>2</v>
      </c>
      <c r="H42" s="3"/>
      <c r="I42" s="51"/>
      <c r="J42" s="3"/>
      <c r="K42" s="51">
        <v>150</v>
      </c>
      <c r="L42" s="3"/>
      <c r="M42" s="32">
        <v>150</v>
      </c>
      <c r="N42" s="3"/>
    </row>
    <row r="43" spans="2:14" x14ac:dyDescent="0.2">
      <c r="B43" s="12">
        <v>45483</v>
      </c>
      <c r="C43" s="12" t="s">
        <v>27</v>
      </c>
      <c r="D43" s="9" t="s">
        <v>127</v>
      </c>
      <c r="E43" s="9" t="s">
        <v>128</v>
      </c>
      <c r="F43" s="9"/>
      <c r="G43" s="3">
        <v>9</v>
      </c>
      <c r="H43" s="3"/>
      <c r="I43" s="51">
        <v>400</v>
      </c>
      <c r="J43" s="32"/>
      <c r="K43" s="51"/>
      <c r="L43" s="32"/>
      <c r="M43" s="32"/>
      <c r="N43" s="5"/>
    </row>
    <row r="44" spans="2:14" x14ac:dyDescent="0.2">
      <c r="B44" s="12">
        <v>45483</v>
      </c>
      <c r="C44" s="12" t="s">
        <v>27</v>
      </c>
      <c r="D44" s="9" t="s">
        <v>12</v>
      </c>
      <c r="E44" s="9"/>
      <c r="F44" s="9"/>
      <c r="G44" s="3">
        <v>2</v>
      </c>
      <c r="H44" s="3"/>
      <c r="I44" s="51"/>
      <c r="J44" s="32" t="s">
        <v>46</v>
      </c>
      <c r="K44" s="51">
        <v>147</v>
      </c>
      <c r="L44" s="32"/>
      <c r="M44" s="32"/>
      <c r="N44" s="5"/>
    </row>
    <row r="45" spans="2:14" x14ac:dyDescent="0.2">
      <c r="B45" s="12" t="s">
        <v>131</v>
      </c>
      <c r="C45" s="12" t="s">
        <v>27</v>
      </c>
      <c r="D45" s="9" t="s">
        <v>38</v>
      </c>
      <c r="E45" s="9" t="s">
        <v>119</v>
      </c>
      <c r="F45" s="9"/>
      <c r="G45" s="3">
        <v>7</v>
      </c>
      <c r="H45" s="3"/>
      <c r="I45" s="51"/>
      <c r="J45" s="3"/>
      <c r="K45" s="51">
        <v>525</v>
      </c>
      <c r="L45" s="3"/>
      <c r="M45" s="32"/>
      <c r="N45" s="3"/>
    </row>
    <row r="46" spans="2:14" x14ac:dyDescent="0.2">
      <c r="B46" s="12">
        <v>45487</v>
      </c>
      <c r="C46" s="12" t="s">
        <v>27</v>
      </c>
      <c r="D46" s="9" t="s">
        <v>122</v>
      </c>
      <c r="E46" s="9" t="s">
        <v>119</v>
      </c>
      <c r="F46" s="9"/>
      <c r="G46" s="3">
        <v>3</v>
      </c>
      <c r="H46" s="3"/>
      <c r="I46" s="51">
        <v>225</v>
      </c>
      <c r="J46" s="3"/>
      <c r="K46" s="32"/>
      <c r="L46" s="3"/>
      <c r="M46" s="32"/>
      <c r="N46" s="3"/>
    </row>
    <row r="47" spans="2:14" x14ac:dyDescent="0.2">
      <c r="B47" s="12">
        <v>45488</v>
      </c>
      <c r="C47" s="12" t="s">
        <v>27</v>
      </c>
      <c r="D47" s="9" t="s">
        <v>38</v>
      </c>
      <c r="E47" s="9" t="s">
        <v>119</v>
      </c>
      <c r="F47" s="9"/>
      <c r="G47" s="3">
        <v>7</v>
      </c>
      <c r="H47" s="3"/>
      <c r="I47" s="51">
        <v>525</v>
      </c>
      <c r="J47" s="3"/>
      <c r="K47" s="51"/>
      <c r="L47" s="3"/>
      <c r="M47" s="32"/>
      <c r="N47" s="3"/>
    </row>
    <row r="48" spans="2:14" x14ac:dyDescent="0.2">
      <c r="B48" s="12">
        <v>45490</v>
      </c>
      <c r="C48" s="12" t="s">
        <v>27</v>
      </c>
      <c r="D48" s="9" t="s">
        <v>58</v>
      </c>
      <c r="E48" s="9"/>
      <c r="F48" s="9"/>
      <c r="G48" s="3">
        <v>4</v>
      </c>
      <c r="H48" s="3"/>
      <c r="I48" s="51">
        <v>300</v>
      </c>
      <c r="J48" s="32"/>
      <c r="K48" s="51"/>
      <c r="L48" s="32"/>
      <c r="M48" s="32"/>
      <c r="N48" s="5"/>
    </row>
    <row r="49" spans="2:14" x14ac:dyDescent="0.2">
      <c r="B49" s="12">
        <v>45490</v>
      </c>
      <c r="C49" s="12" t="s">
        <v>27</v>
      </c>
      <c r="D49" s="9" t="s">
        <v>8</v>
      </c>
      <c r="E49" s="9"/>
      <c r="F49" s="9"/>
      <c r="G49" s="3">
        <v>1</v>
      </c>
      <c r="H49" s="3"/>
      <c r="I49" s="51">
        <v>90</v>
      </c>
      <c r="J49" s="3"/>
      <c r="K49" s="51"/>
      <c r="L49" s="3"/>
      <c r="M49" s="32"/>
      <c r="N49" s="3"/>
    </row>
    <row r="50" spans="2:14" x14ac:dyDescent="0.2">
      <c r="B50" s="12">
        <v>45494</v>
      </c>
      <c r="C50" s="12" t="s">
        <v>27</v>
      </c>
      <c r="D50" s="9" t="s">
        <v>111</v>
      </c>
      <c r="E50" s="9" t="s">
        <v>119</v>
      </c>
      <c r="F50" s="9"/>
      <c r="G50" s="3">
        <v>2</v>
      </c>
      <c r="H50" s="3"/>
      <c r="I50" s="51">
        <v>100</v>
      </c>
      <c r="J50" s="3"/>
      <c r="K50" s="51">
        <v>100</v>
      </c>
      <c r="L50" s="3"/>
      <c r="M50" s="32"/>
      <c r="N50" s="3"/>
    </row>
    <row r="51" spans="2:14" x14ac:dyDescent="0.2">
      <c r="B51" s="12">
        <v>45495</v>
      </c>
      <c r="C51" s="12" t="s">
        <v>27</v>
      </c>
      <c r="D51" s="9" t="s">
        <v>38</v>
      </c>
      <c r="E51" s="9" t="s">
        <v>119</v>
      </c>
      <c r="F51" s="9"/>
      <c r="G51" s="3">
        <v>7</v>
      </c>
      <c r="H51" s="3"/>
      <c r="I51" s="51">
        <v>525</v>
      </c>
      <c r="J51" s="32"/>
      <c r="K51" s="51"/>
      <c r="L51" s="32"/>
      <c r="M51" s="32"/>
      <c r="N51" s="5"/>
    </row>
    <row r="52" spans="2:14" x14ac:dyDescent="0.2">
      <c r="B52" s="12">
        <v>45495</v>
      </c>
      <c r="C52" s="12" t="s">
        <v>27</v>
      </c>
      <c r="D52" s="9" t="s">
        <v>113</v>
      </c>
      <c r="E52" s="9"/>
      <c r="F52" s="9"/>
      <c r="G52" s="3">
        <v>4</v>
      </c>
      <c r="H52" s="3"/>
      <c r="I52" s="51">
        <v>300</v>
      </c>
      <c r="J52" s="3"/>
      <c r="K52" s="51"/>
      <c r="L52" s="3"/>
      <c r="M52" s="32"/>
      <c r="N52" s="3"/>
    </row>
    <row r="53" spans="2:14" x14ac:dyDescent="0.2">
      <c r="B53" s="12">
        <v>45496</v>
      </c>
      <c r="C53" s="12" t="s">
        <v>27</v>
      </c>
      <c r="D53" s="9" t="s">
        <v>122</v>
      </c>
      <c r="E53" s="9" t="s">
        <v>119</v>
      </c>
      <c r="F53" s="9"/>
      <c r="G53" s="3">
        <v>3</v>
      </c>
      <c r="H53" s="3"/>
      <c r="I53" s="51">
        <v>225</v>
      </c>
      <c r="J53" s="32"/>
      <c r="K53" s="32"/>
      <c r="L53" s="32"/>
      <c r="M53" s="32"/>
      <c r="N53" s="5"/>
    </row>
    <row r="54" spans="2:14" x14ac:dyDescent="0.2">
      <c r="B54" s="12">
        <v>45497</v>
      </c>
      <c r="C54" s="12" t="s">
        <v>27</v>
      </c>
      <c r="D54" s="9" t="s">
        <v>38</v>
      </c>
      <c r="E54" s="9" t="s">
        <v>119</v>
      </c>
      <c r="F54" s="9"/>
      <c r="G54" s="3">
        <v>7</v>
      </c>
      <c r="H54" s="3"/>
      <c r="I54" s="51">
        <v>525</v>
      </c>
      <c r="J54" s="32"/>
      <c r="K54" s="32"/>
      <c r="L54" s="32"/>
      <c r="M54" s="32"/>
      <c r="N54" s="5"/>
    </row>
    <row r="55" spans="2:14" x14ac:dyDescent="0.2">
      <c r="B55" s="12">
        <v>45499</v>
      </c>
      <c r="C55" s="12" t="s">
        <v>27</v>
      </c>
      <c r="D55" s="9" t="s">
        <v>58</v>
      </c>
      <c r="E55" s="9"/>
      <c r="F55" s="9"/>
      <c r="G55" s="3">
        <v>4</v>
      </c>
      <c r="H55" s="3"/>
      <c r="I55" s="51"/>
      <c r="J55" s="32"/>
      <c r="K55" s="32">
        <v>300</v>
      </c>
      <c r="L55" s="32"/>
      <c r="M55" s="32"/>
      <c r="N55" s="5"/>
    </row>
    <row r="56" spans="2:14" x14ac:dyDescent="0.2">
      <c r="B56" s="12">
        <v>45499</v>
      </c>
      <c r="C56" s="12" t="s">
        <v>27</v>
      </c>
      <c r="D56" s="9" t="s">
        <v>110</v>
      </c>
      <c r="E56" s="9" t="s">
        <v>64</v>
      </c>
      <c r="F56" s="9"/>
      <c r="G56" s="3">
        <v>2</v>
      </c>
      <c r="H56" s="3"/>
      <c r="I56" s="51">
        <v>100</v>
      </c>
      <c r="J56" s="32"/>
      <c r="K56" s="32"/>
      <c r="L56" s="32"/>
      <c r="M56" s="32"/>
      <c r="N56" s="5"/>
    </row>
    <row r="57" spans="2:14" x14ac:dyDescent="0.2">
      <c r="B57" s="12"/>
      <c r="C57" s="12"/>
      <c r="D57" s="9"/>
      <c r="E57" s="9"/>
      <c r="F57" s="9"/>
      <c r="G57" s="3"/>
      <c r="H57" s="3"/>
      <c r="I57" s="51"/>
      <c r="J57" s="32"/>
      <c r="K57" s="32"/>
      <c r="L57" s="32"/>
      <c r="M57" s="32"/>
      <c r="N57" s="5"/>
    </row>
    <row r="58" spans="2:14" x14ac:dyDescent="0.2">
      <c r="B58" s="12"/>
      <c r="C58" s="12"/>
      <c r="D58" s="9"/>
      <c r="E58" s="9"/>
      <c r="F58" s="9"/>
      <c r="G58" s="3"/>
      <c r="H58" s="3"/>
      <c r="I58" s="32"/>
      <c r="J58" s="32"/>
      <c r="K58" s="51"/>
      <c r="L58" s="32"/>
      <c r="M58" s="32"/>
      <c r="N58" s="5"/>
    </row>
    <row r="59" spans="2:14" x14ac:dyDescent="0.2">
      <c r="B59" s="14"/>
      <c r="C59" s="14"/>
      <c r="D59" s="10"/>
      <c r="E59" s="36"/>
      <c r="F59" s="36"/>
      <c r="G59" s="6"/>
      <c r="H59" s="6"/>
      <c r="I59" s="51"/>
      <c r="J59" s="6"/>
      <c r="K59" s="51"/>
      <c r="L59" s="6"/>
      <c r="M59" s="32"/>
      <c r="N59" s="5"/>
    </row>
    <row r="60" spans="2:14" x14ac:dyDescent="0.2">
      <c r="B60" s="14"/>
      <c r="C60" s="14"/>
      <c r="D60" s="10"/>
      <c r="E60" s="36"/>
      <c r="F60" s="36"/>
      <c r="G60" s="6"/>
      <c r="H60" s="6"/>
      <c r="I60" s="51"/>
      <c r="J60" s="6"/>
      <c r="K60" s="51"/>
      <c r="L60" s="6"/>
      <c r="M60" s="32"/>
      <c r="N60" s="5"/>
    </row>
    <row r="61" spans="2:14" x14ac:dyDescent="0.2">
      <c r="B61" s="12"/>
      <c r="C61" s="12"/>
      <c r="D61" s="9"/>
      <c r="E61" s="9"/>
      <c r="F61" s="9"/>
      <c r="G61" s="3"/>
      <c r="H61" s="3"/>
      <c r="I61" s="51"/>
      <c r="J61" s="3"/>
      <c r="K61" s="51"/>
      <c r="L61" s="3"/>
      <c r="M61" s="32"/>
      <c r="N61" s="3"/>
    </row>
    <row r="62" spans="2:14" x14ac:dyDescent="0.2">
      <c r="B62" s="12"/>
      <c r="C62" s="12"/>
      <c r="D62" s="9"/>
      <c r="E62" s="9"/>
      <c r="F62" s="9"/>
      <c r="G62" s="3"/>
      <c r="H62" s="3"/>
      <c r="I62" s="51"/>
      <c r="J62" s="3"/>
      <c r="K62" s="51"/>
      <c r="L62" s="3"/>
      <c r="M62" s="32"/>
      <c r="N62" s="5"/>
    </row>
    <row r="63" spans="2:14" x14ac:dyDescent="0.2">
      <c r="B63" s="12"/>
      <c r="C63" s="12"/>
      <c r="D63" s="9"/>
      <c r="E63" s="9"/>
      <c r="F63" s="9"/>
      <c r="G63" s="3"/>
      <c r="H63" s="3"/>
      <c r="I63" s="51"/>
      <c r="J63" s="3"/>
      <c r="K63" s="51"/>
      <c r="L63" s="3"/>
      <c r="M63" s="62"/>
      <c r="N63" s="5"/>
    </row>
    <row r="64" spans="2:14" ht="24" x14ac:dyDescent="0.2">
      <c r="B64" s="77" t="s">
        <v>37</v>
      </c>
      <c r="C64" s="77"/>
      <c r="D64" s="10"/>
      <c r="E64" s="10"/>
      <c r="F64" s="10"/>
      <c r="G64" s="10">
        <f>SUM(G16:G60)</f>
        <v>182</v>
      </c>
      <c r="H64" s="10"/>
      <c r="I64" s="28">
        <f>SUM(I10:I60)</f>
        <v>7516.68</v>
      </c>
      <c r="J64" s="28"/>
      <c r="K64" s="28">
        <f>SUM(K10:K60)</f>
        <v>3856.02</v>
      </c>
      <c r="L64" s="29"/>
      <c r="M64" s="70">
        <f>SUM(M16:M61)</f>
        <v>2858.02</v>
      </c>
      <c r="N64" s="84"/>
    </row>
    <row r="65" spans="2:14" x14ac:dyDescent="0.2">
      <c r="B65" s="78" t="s">
        <v>89</v>
      </c>
      <c r="C65" s="78"/>
      <c r="D65" s="78"/>
      <c r="E65" s="78"/>
      <c r="F65" s="78"/>
      <c r="G65" s="78"/>
      <c r="H65" s="78"/>
      <c r="I65" s="79">
        <f>I64</f>
        <v>7516.68</v>
      </c>
      <c r="J65" s="79"/>
      <c r="K65" s="79">
        <f>K64</f>
        <v>3856.02</v>
      </c>
      <c r="L65" s="79"/>
      <c r="M65" s="81">
        <f>M64</f>
        <v>2858.02</v>
      </c>
      <c r="N65" s="80"/>
    </row>
  </sheetData>
  <mergeCells count="1">
    <mergeCell ref="F2:M3"/>
  </mergeCells>
  <conditionalFormatting sqref="H19:H63 H10:H16 J10:J63 L10:L63">
    <cfRule type="containsText" dxfId="365" priority="22" operator="containsText" text="CB">
      <formula>NOT(ISERROR(SEARCH("CB",H10)))</formula>
    </cfRule>
    <cfRule type="containsText" dxfId="364" priority="23" operator="containsText" text="Espèces">
      <formula>NOT(ISERROR(SEARCH("Espèces",H10)))</formula>
    </cfRule>
    <cfRule type="containsText" dxfId="363" priority="24" operator="containsText" text="Virement">
      <formula>NOT(ISERROR(SEARCH("Virement",H10)))</formula>
    </cfRule>
    <cfRule type="containsText" dxfId="362" priority="26" operator="containsText" text="Chèque">
      <formula>NOT(ISERROR(SEARCH("Chèque",H10)))</formula>
    </cfRule>
    <cfRule type="containsText" dxfId="361" priority="27" operator="containsText" text="GYG">
      <formula>NOT(ISERROR(SEARCH("GYG",H10)))</formula>
    </cfRule>
    <cfRule type="containsText" dxfId="360" priority="28" operator="containsText" text="Viator">
      <formula>NOT(ISERROR(SEARCH("Viator",H10)))</formula>
    </cfRule>
  </conditionalFormatting>
  <conditionalFormatting sqref="H19:H62 H10:H16 J10:J62 L10:L62">
    <cfRule type="containsText" dxfId="359" priority="25" operator="containsText" text="Chèque">
      <formula>NOT(ISERROR(SEARCH("Chèque",H10)))</formula>
    </cfRule>
  </conditionalFormatting>
  <conditionalFormatting sqref="H9 J9 L9">
    <cfRule type="containsText" dxfId="358" priority="1" operator="containsText" text="CB">
      <formula>NOT(ISERROR(SEARCH("CB",H9)))</formula>
    </cfRule>
    <cfRule type="containsText" dxfId="357" priority="2" operator="containsText" text="Espèces">
      <formula>NOT(ISERROR(SEARCH("Espèces",H9)))</formula>
    </cfRule>
    <cfRule type="containsText" dxfId="356" priority="3" operator="containsText" text="Virement">
      <formula>NOT(ISERROR(SEARCH("Virement",H9)))</formula>
    </cfRule>
    <cfRule type="containsText" dxfId="355" priority="5" operator="containsText" text="Chèque">
      <formula>NOT(ISERROR(SEARCH("Chèque",H9)))</formula>
    </cfRule>
    <cfRule type="containsText" dxfId="354" priority="6" operator="containsText" text="GYG">
      <formula>NOT(ISERROR(SEARCH("GYG",H9)))</formula>
    </cfRule>
    <cfRule type="containsText" dxfId="353" priority="7" operator="containsText" text="Viator">
      <formula>NOT(ISERROR(SEARCH("Viator",H9)))</formula>
    </cfRule>
  </conditionalFormatting>
  <conditionalFormatting sqref="H9 J9 L9">
    <cfRule type="containsText" dxfId="352" priority="4" operator="containsText" text="Chèque">
      <formula>NOT(ISERROR(SEARCH("Chèque",H9)))</formula>
    </cfRule>
  </conditionalFormatting>
  <dataValidations count="7">
    <dataValidation type="list" allowBlank="1" showInputMessage="1" showErrorMessage="1" promptTitle="Durée de la visite à sélectionne" sqref="H19:H63 L9:L63 J9:J63 H9:H16" xr:uid="{E1957209-2508-F74D-BEE5-C820C21B0562}">
      <formula1>"Chèque, Espèces, Virement, Viator, CB, GYG"</formula1>
    </dataValidation>
    <dataValidation allowBlank="1" showInputMessage="1" showErrorMessage="1" promptTitle="Durée de la visite à sélectionne" sqref="H64 G1:G21 G23:G1048576" xr:uid="{2A991B53-6E67-4849-94B9-272CDC20D2F0}"/>
    <dataValidation type="list" allowBlank="1" showInputMessage="1" sqref="K13:K15" xr:uid="{296972CF-81BF-C340-99AA-BD0443C1194E}">
      <formula1>Couleurs1</formula1>
    </dataValidation>
    <dataValidation type="list" allowBlank="1" showInputMessage="1" showErrorMessage="1" promptTitle="Durée de la visite à sélectionne" sqref="H65" xr:uid="{C1AADBB0-F49D-4B47-8F3A-40F355D68302}">
      <formula1>"1,2,3,4,5,6,7,8,9,10"</formula1>
    </dataValidation>
    <dataValidation type="date" allowBlank="1" showInputMessage="1" showErrorMessage="1" sqref="B64:C64 B2:C7 O8:O62" xr:uid="{3FFE34CB-5B31-A248-B59F-0A0FFD1E84B4}">
      <formula1>45352</formula1>
      <formula2>45412</formula2>
    </dataValidation>
    <dataValidation type="list" allowBlank="1" showInputMessage="1" showErrorMessage="1" sqref="E1:E3 D65:E65 D1:D7" xr:uid="{69DBC214-2EE4-D04A-B01F-8A25940D7099}">
      <formula1>"9h-11h, 9h-13h, 9h-17h, 9h30-11h30, 10h-12h, 11h30-13h30, 13h-17h, 14h-16h, 14h-18h, 16h30-18h30, "</formula1>
    </dataValidation>
    <dataValidation type="list" allowBlank="1" showInputMessage="1" showErrorMessage="1" sqref="C9:C56" xr:uid="{4F5FAB6E-8FC7-1F45-BE56-853DBCA1D542}">
      <formula1>"AVRIL, MAI, JUIN , JUILLET, AOUT, SEPT, OCT, NOV, DEC, JANV, FEV, MARS"</formula1>
    </dataValidation>
  </dataValidations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3786DB-6906-8148-A82C-637CE4D09BCE}">
  <sheetPr>
    <tabColor rgb="FFFFFF00"/>
  </sheetPr>
  <dimension ref="B1:M37"/>
  <sheetViews>
    <sheetView zoomScale="81" workbookViewId="0">
      <selection activeCell="D20" sqref="D20:F20"/>
    </sheetView>
  </sheetViews>
  <sheetFormatPr baseColWidth="10" defaultRowHeight="16" x14ac:dyDescent="0.2"/>
  <cols>
    <col min="5" max="5" width="15.83203125" customWidth="1"/>
    <col min="6" max="6" width="20.83203125" customWidth="1"/>
    <col min="8" max="8" width="18.5" customWidth="1"/>
    <col min="9" max="9" width="14.6640625" customWidth="1"/>
    <col min="12" max="12" width="14.1640625" customWidth="1"/>
    <col min="13" max="13" width="14.6640625" customWidth="1"/>
  </cols>
  <sheetData>
    <row r="1" spans="2:13" ht="17" thickBot="1" x14ac:dyDescent="0.25"/>
    <row r="2" spans="2:13" x14ac:dyDescent="0.2">
      <c r="B2" s="170" t="s">
        <v>41</v>
      </c>
      <c r="C2" s="171"/>
      <c r="D2" s="171"/>
      <c r="E2" s="171"/>
      <c r="F2" s="171"/>
      <c r="G2" s="171"/>
      <c r="H2" s="171"/>
      <c r="I2" s="172"/>
    </row>
    <row r="3" spans="2:13" ht="17" thickBot="1" x14ac:dyDescent="0.25">
      <c r="B3" s="173"/>
      <c r="C3" s="174"/>
      <c r="D3" s="174"/>
      <c r="E3" s="174"/>
      <c r="F3" s="174"/>
      <c r="G3" s="174"/>
      <c r="H3" s="174"/>
      <c r="I3" s="175"/>
    </row>
    <row r="4" spans="2:13" ht="25" thickBot="1" x14ac:dyDescent="0.25">
      <c r="B4" s="42"/>
      <c r="C4" s="42"/>
      <c r="D4" s="42"/>
      <c r="E4" s="42"/>
      <c r="F4" s="42"/>
      <c r="G4" s="42"/>
      <c r="H4" s="42"/>
      <c r="I4" s="42"/>
    </row>
    <row r="5" spans="2:13" ht="24" x14ac:dyDescent="0.2">
      <c r="B5" s="42"/>
      <c r="C5" s="42"/>
      <c r="D5" s="42"/>
      <c r="E5" s="42"/>
      <c r="F5" s="176">
        <f>SUM(F8:F37)</f>
        <v>11037.56</v>
      </c>
      <c r="G5" s="42"/>
      <c r="H5" s="178">
        <f>SUM(H8:H37)</f>
        <v>10947.56</v>
      </c>
      <c r="I5" s="180">
        <f>SUM(I8:I37)</f>
        <v>0</v>
      </c>
    </row>
    <row r="6" spans="2:13" ht="25" thickBot="1" x14ac:dyDescent="0.25">
      <c r="B6" s="42"/>
      <c r="C6" s="42"/>
      <c r="D6" s="42"/>
      <c r="E6" s="42"/>
      <c r="F6" s="177"/>
      <c r="G6" s="42"/>
      <c r="H6" s="179"/>
      <c r="I6" s="181"/>
    </row>
    <row r="7" spans="2:13" ht="19" x14ac:dyDescent="0.2">
      <c r="B7" s="44" t="s">
        <v>0</v>
      </c>
      <c r="C7" s="44" t="s">
        <v>42</v>
      </c>
      <c r="D7" s="44" t="s">
        <v>39</v>
      </c>
      <c r="E7" s="44" t="s">
        <v>76</v>
      </c>
      <c r="F7" s="45" t="s">
        <v>77</v>
      </c>
      <c r="G7" s="47" t="s">
        <v>62</v>
      </c>
      <c r="H7" s="97" t="s">
        <v>78</v>
      </c>
      <c r="I7" s="98" t="s">
        <v>75</v>
      </c>
      <c r="J7" s="7"/>
    </row>
    <row r="8" spans="2:13" x14ac:dyDescent="0.2">
      <c r="B8" s="15"/>
      <c r="C8" s="15"/>
      <c r="D8" s="15" t="s">
        <v>67</v>
      </c>
      <c r="E8" s="15" t="s">
        <v>72</v>
      </c>
      <c r="F8" s="37">
        <v>544</v>
      </c>
      <c r="G8" s="33">
        <v>0</v>
      </c>
      <c r="H8" s="34">
        <f t="shared" ref="H8:H13" si="0">F8/(1+G8)</f>
        <v>544</v>
      </c>
      <c r="I8" s="43">
        <f t="shared" ref="I8:I13" si="1">F8-H8</f>
        <v>0</v>
      </c>
      <c r="J8" s="7"/>
      <c r="K8" s="96" t="s">
        <v>36</v>
      </c>
      <c r="L8" s="20">
        <f>SUMIF(Tableau33810[Mode de dépense],K8,Tableau33810[Charge TTC])</f>
        <v>5903</v>
      </c>
      <c r="M8" s="35">
        <f>L8</f>
        <v>5903</v>
      </c>
    </row>
    <row r="9" spans="2:13" x14ac:dyDescent="0.2">
      <c r="B9" s="15"/>
      <c r="C9" s="15"/>
      <c r="D9" s="15" t="s">
        <v>68</v>
      </c>
      <c r="E9" s="15" t="s">
        <v>72</v>
      </c>
      <c r="F9" s="37">
        <v>459.26</v>
      </c>
      <c r="G9" s="33">
        <v>0</v>
      </c>
      <c r="H9" s="34">
        <f t="shared" si="0"/>
        <v>459.26</v>
      </c>
      <c r="I9" s="43">
        <f t="shared" si="1"/>
        <v>0</v>
      </c>
      <c r="J9" s="7"/>
      <c r="K9" s="90" t="s">
        <v>47</v>
      </c>
      <c r="L9" s="20">
        <f>SUMIF(Tableau33810[Mode de dépense],K9,Tableau33810[Charge TTC])</f>
        <v>0</v>
      </c>
      <c r="M9" s="35">
        <f>L9/1.2</f>
        <v>0</v>
      </c>
    </row>
    <row r="10" spans="2:13" x14ac:dyDescent="0.2">
      <c r="B10" s="15"/>
      <c r="C10" s="15"/>
      <c r="D10" s="15" t="s">
        <v>69</v>
      </c>
      <c r="E10" s="15" t="s">
        <v>71</v>
      </c>
      <c r="F10" s="30">
        <v>24.8</v>
      </c>
      <c r="G10" s="33">
        <v>0</v>
      </c>
      <c r="H10" s="34">
        <f t="shared" si="0"/>
        <v>24.8</v>
      </c>
      <c r="I10" s="43">
        <f t="shared" si="1"/>
        <v>0</v>
      </c>
      <c r="J10" s="7"/>
      <c r="K10" s="91" t="s">
        <v>71</v>
      </c>
      <c r="L10" s="20">
        <f>SUMIF(Tableau33810[Mode de dépense],K10,Tableau33810[Charge TTC])</f>
        <v>795.3</v>
      </c>
      <c r="M10" s="35"/>
    </row>
    <row r="11" spans="2:13" x14ac:dyDescent="0.2">
      <c r="B11" s="15"/>
      <c r="C11" s="15"/>
      <c r="D11" s="15" t="s">
        <v>70</v>
      </c>
      <c r="E11" s="15" t="s">
        <v>71</v>
      </c>
      <c r="F11" s="30">
        <v>20.51</v>
      </c>
      <c r="G11" s="33">
        <v>0</v>
      </c>
      <c r="H11" s="34">
        <f t="shared" si="0"/>
        <v>20.51</v>
      </c>
      <c r="I11" s="43">
        <f t="shared" si="1"/>
        <v>0</v>
      </c>
      <c r="J11" s="7"/>
      <c r="K11" s="99" t="s">
        <v>48</v>
      </c>
      <c r="L11" s="20">
        <f>SUMIF(Tableau33810[Mode de dépense],K11,Tableau33810[Charge TTC])</f>
        <v>0</v>
      </c>
      <c r="M11" s="35">
        <f>L11/1.2</f>
        <v>0</v>
      </c>
    </row>
    <row r="12" spans="2:13" x14ac:dyDescent="0.2">
      <c r="B12" s="15"/>
      <c r="C12" s="15"/>
      <c r="D12" s="15" t="s">
        <v>70</v>
      </c>
      <c r="E12" s="15" t="s">
        <v>71</v>
      </c>
      <c r="F12" s="25">
        <v>19.989999999999998</v>
      </c>
      <c r="G12" s="33">
        <v>0</v>
      </c>
      <c r="H12" s="34">
        <f t="shared" si="0"/>
        <v>19.989999999999998</v>
      </c>
      <c r="I12" s="43">
        <f t="shared" si="1"/>
        <v>0</v>
      </c>
      <c r="J12" s="7"/>
      <c r="K12" s="100" t="s">
        <v>49</v>
      </c>
      <c r="L12" s="20">
        <f>SUMIF(Tableau33810[Mode de dépense],K12,Tableau33810[Charge TTC])</f>
        <v>0</v>
      </c>
      <c r="M12" s="35">
        <f>L12/1.2</f>
        <v>0</v>
      </c>
    </row>
    <row r="13" spans="2:13" x14ac:dyDescent="0.2">
      <c r="B13" s="19"/>
      <c r="C13" s="15"/>
      <c r="D13" s="15" t="s">
        <v>79</v>
      </c>
      <c r="E13" s="15" t="s">
        <v>71</v>
      </c>
      <c r="F13" s="25">
        <v>10</v>
      </c>
      <c r="G13" s="33">
        <v>0</v>
      </c>
      <c r="H13" s="34">
        <f t="shared" si="0"/>
        <v>10</v>
      </c>
      <c r="I13" s="43">
        <f t="shared" si="1"/>
        <v>0</v>
      </c>
      <c r="J13" s="7"/>
      <c r="K13" s="101" t="s">
        <v>50</v>
      </c>
      <c r="L13" s="20">
        <f>SUMIF(Tableau33810[Mode de dépense],K13,Tableau33810[Charge TTC])</f>
        <v>0</v>
      </c>
      <c r="M13" s="35">
        <f>L13/1.2</f>
        <v>0</v>
      </c>
    </row>
    <row r="14" spans="2:13" x14ac:dyDescent="0.2">
      <c r="B14" s="19" t="s">
        <v>129</v>
      </c>
      <c r="C14" s="15"/>
      <c r="D14" s="15" t="s">
        <v>117</v>
      </c>
      <c r="E14" s="15" t="s">
        <v>52</v>
      </c>
      <c r="F14" s="25">
        <v>100</v>
      </c>
      <c r="G14" s="33">
        <v>0</v>
      </c>
      <c r="H14" s="34">
        <f>F13/(1+G14)</f>
        <v>10</v>
      </c>
      <c r="I14" s="43">
        <f>F13-H14</f>
        <v>0</v>
      </c>
      <c r="J14" s="7"/>
      <c r="K14" s="92" t="s">
        <v>52</v>
      </c>
      <c r="L14" s="20">
        <f>SUMIF(Tableau33810[Mode de dépense],K14,Tableau33810[Charge TTC])</f>
        <v>100</v>
      </c>
      <c r="M14" s="35">
        <f>L14</f>
        <v>100</v>
      </c>
    </row>
    <row r="15" spans="2:13" x14ac:dyDescent="0.2">
      <c r="B15" s="19">
        <v>45481</v>
      </c>
      <c r="C15" s="15"/>
      <c r="D15" s="15" t="s">
        <v>153</v>
      </c>
      <c r="E15" s="15" t="s">
        <v>153</v>
      </c>
      <c r="F15" s="25">
        <v>236</v>
      </c>
      <c r="G15" s="33">
        <v>0</v>
      </c>
      <c r="H15" s="34">
        <f>F15/(1+G15)</f>
        <v>236</v>
      </c>
      <c r="I15" s="43">
        <f t="shared" ref="I15:I37" si="2">F15-H15</f>
        <v>0</v>
      </c>
      <c r="J15" s="7"/>
      <c r="K15" s="93" t="s">
        <v>51</v>
      </c>
      <c r="L15" s="20">
        <f>SUMIF(Tableau33810[Mode de dépense],K15,Tableau33810[Charge TTC])</f>
        <v>3000</v>
      </c>
      <c r="M15" s="35">
        <f>L15/1.2</f>
        <v>2500</v>
      </c>
    </row>
    <row r="16" spans="2:13" x14ac:dyDescent="0.2">
      <c r="B16" s="15"/>
      <c r="C16" s="15"/>
      <c r="D16" s="15" t="s">
        <v>3</v>
      </c>
      <c r="E16" s="15" t="s">
        <v>36</v>
      </c>
      <c r="F16" s="25">
        <v>2803</v>
      </c>
      <c r="G16" s="33">
        <v>0</v>
      </c>
      <c r="H16" s="34">
        <f>F16/(1+G16)</f>
        <v>2803</v>
      </c>
      <c r="I16" s="43">
        <f t="shared" si="2"/>
        <v>0</v>
      </c>
      <c r="J16" s="7"/>
      <c r="K16" s="94" t="s">
        <v>60</v>
      </c>
      <c r="L16" s="20">
        <f>SUMIF(Tableau33810[Mode de dépense],K16,Tableau33810[Charge TTC])</f>
        <v>0</v>
      </c>
      <c r="M16" s="35">
        <f>L16/1.2</f>
        <v>0</v>
      </c>
    </row>
    <row r="17" spans="2:13" x14ac:dyDescent="0.2">
      <c r="B17" s="15"/>
      <c r="C17" s="15"/>
      <c r="D17" s="15" t="s">
        <v>4</v>
      </c>
      <c r="E17" s="15" t="s">
        <v>36</v>
      </c>
      <c r="F17" s="25">
        <v>2300</v>
      </c>
      <c r="G17" s="33">
        <v>0</v>
      </c>
      <c r="H17" s="34">
        <f t="shared" ref="H17:H37" si="3">F17/((1+G17))</f>
        <v>2300</v>
      </c>
      <c r="I17" s="43">
        <f t="shared" si="2"/>
        <v>0</v>
      </c>
      <c r="J17" s="7"/>
      <c r="K17" s="95" t="s">
        <v>72</v>
      </c>
      <c r="L17" s="20">
        <f>SUMIF(Tableau33810[Mode de dépense],K17,Tableau33810[Charge TTC])</f>
        <v>1003.26</v>
      </c>
      <c r="M17" s="35">
        <f>L17/1.2</f>
        <v>836.05000000000007</v>
      </c>
    </row>
    <row r="18" spans="2:13" x14ac:dyDescent="0.2">
      <c r="B18" s="15"/>
      <c r="C18" s="15"/>
      <c r="D18" s="15" t="s">
        <v>2</v>
      </c>
      <c r="E18" s="15" t="s">
        <v>36</v>
      </c>
      <c r="F18" s="25">
        <v>800</v>
      </c>
      <c r="G18" s="33">
        <v>0</v>
      </c>
      <c r="H18" s="34">
        <f t="shared" si="3"/>
        <v>800</v>
      </c>
      <c r="I18" s="43">
        <f t="shared" si="2"/>
        <v>0</v>
      </c>
      <c r="J18" s="7"/>
      <c r="K18" s="124" t="s">
        <v>153</v>
      </c>
      <c r="L18" s="20">
        <f>SUMIF(Tableau33810[Mode de dépense],K18,Tableau33810[Charge TTC])</f>
        <v>236</v>
      </c>
      <c r="M18" s="35">
        <f>L18/1.2</f>
        <v>196.66666666666669</v>
      </c>
    </row>
    <row r="19" spans="2:13" x14ac:dyDescent="0.2">
      <c r="B19" s="15"/>
      <c r="C19" s="15"/>
      <c r="D19" s="15"/>
      <c r="E19" s="15" t="s">
        <v>51</v>
      </c>
      <c r="F19" s="25">
        <v>3000</v>
      </c>
      <c r="G19" s="33">
        <v>0</v>
      </c>
      <c r="H19" s="34">
        <f t="shared" si="3"/>
        <v>3000</v>
      </c>
      <c r="I19" s="43">
        <f t="shared" si="2"/>
        <v>0</v>
      </c>
      <c r="J19" s="7"/>
    </row>
    <row r="20" spans="2:13" x14ac:dyDescent="0.2">
      <c r="B20" s="15"/>
      <c r="C20" s="15"/>
      <c r="D20" s="160" t="s">
        <v>220</v>
      </c>
      <c r="E20" s="158" t="s">
        <v>71</v>
      </c>
      <c r="F20" s="159">
        <v>720</v>
      </c>
      <c r="G20" s="33">
        <v>0</v>
      </c>
      <c r="H20" s="34">
        <f t="shared" si="3"/>
        <v>720</v>
      </c>
      <c r="I20" s="43">
        <f t="shared" si="2"/>
        <v>0</v>
      </c>
      <c r="J20" s="7"/>
    </row>
    <row r="21" spans="2:13" x14ac:dyDescent="0.2">
      <c r="B21" s="15"/>
      <c r="C21" s="15"/>
      <c r="D21" s="15"/>
      <c r="E21" s="15"/>
      <c r="F21" s="25"/>
      <c r="G21" s="33">
        <v>0</v>
      </c>
      <c r="H21" s="34">
        <f t="shared" si="3"/>
        <v>0</v>
      </c>
      <c r="I21" s="43">
        <f t="shared" si="2"/>
        <v>0</v>
      </c>
      <c r="J21" s="7"/>
    </row>
    <row r="22" spans="2:13" x14ac:dyDescent="0.2">
      <c r="B22" s="15"/>
      <c r="C22" s="15"/>
      <c r="D22" s="15"/>
      <c r="E22" s="15"/>
      <c r="F22" s="25"/>
      <c r="G22" s="33">
        <v>0</v>
      </c>
      <c r="H22" s="34">
        <f t="shared" si="3"/>
        <v>0</v>
      </c>
      <c r="I22" s="43">
        <f t="shared" si="2"/>
        <v>0</v>
      </c>
      <c r="J22" s="7"/>
    </row>
    <row r="23" spans="2:13" x14ac:dyDescent="0.2">
      <c r="B23" s="15"/>
      <c r="C23" s="15"/>
      <c r="D23" s="15"/>
      <c r="E23" s="15"/>
      <c r="F23" s="25"/>
      <c r="G23" s="33">
        <v>0</v>
      </c>
      <c r="H23" s="34">
        <f t="shared" si="3"/>
        <v>0</v>
      </c>
      <c r="I23" s="43">
        <f t="shared" si="2"/>
        <v>0</v>
      </c>
      <c r="J23" s="7"/>
    </row>
    <row r="24" spans="2:13" x14ac:dyDescent="0.2">
      <c r="B24" s="15"/>
      <c r="C24" s="15"/>
      <c r="D24" s="15"/>
      <c r="E24" s="15"/>
      <c r="F24" s="25"/>
      <c r="G24" s="33">
        <v>0</v>
      </c>
      <c r="H24" s="34">
        <f t="shared" si="3"/>
        <v>0</v>
      </c>
      <c r="I24" s="43">
        <f t="shared" si="2"/>
        <v>0</v>
      </c>
      <c r="J24" s="7"/>
    </row>
    <row r="25" spans="2:13" x14ac:dyDescent="0.2">
      <c r="B25" s="15"/>
      <c r="C25" s="15"/>
      <c r="D25" s="15"/>
      <c r="E25" s="15"/>
      <c r="F25" s="25"/>
      <c r="G25" s="33">
        <v>0</v>
      </c>
      <c r="H25" s="34">
        <f t="shared" si="3"/>
        <v>0</v>
      </c>
      <c r="I25" s="43">
        <f t="shared" si="2"/>
        <v>0</v>
      </c>
      <c r="J25" s="7"/>
    </row>
    <row r="26" spans="2:13" x14ac:dyDescent="0.2">
      <c r="B26" s="15"/>
      <c r="C26" s="15"/>
      <c r="D26" s="15"/>
      <c r="E26" s="15"/>
      <c r="F26" s="25"/>
      <c r="G26" s="33">
        <v>0</v>
      </c>
      <c r="H26" s="34">
        <f t="shared" si="3"/>
        <v>0</v>
      </c>
      <c r="I26" s="43">
        <f t="shared" si="2"/>
        <v>0</v>
      </c>
      <c r="J26" s="7"/>
    </row>
    <row r="27" spans="2:13" x14ac:dyDescent="0.2">
      <c r="B27" s="15"/>
      <c r="C27" s="15"/>
      <c r="D27" s="15"/>
      <c r="E27" s="15"/>
      <c r="F27" s="25"/>
      <c r="G27" s="33">
        <v>0</v>
      </c>
      <c r="H27" s="34">
        <f t="shared" si="3"/>
        <v>0</v>
      </c>
      <c r="I27" s="43">
        <f t="shared" si="2"/>
        <v>0</v>
      </c>
      <c r="J27" s="7"/>
    </row>
    <row r="28" spans="2:13" x14ac:dyDescent="0.2">
      <c r="B28" s="15"/>
      <c r="C28" s="15"/>
      <c r="D28" s="15"/>
      <c r="E28" s="15"/>
      <c r="F28" s="25"/>
      <c r="G28" s="33">
        <v>0</v>
      </c>
      <c r="H28" s="34">
        <f t="shared" si="3"/>
        <v>0</v>
      </c>
      <c r="I28" s="43">
        <f t="shared" si="2"/>
        <v>0</v>
      </c>
      <c r="J28" s="7"/>
    </row>
    <row r="29" spans="2:13" x14ac:dyDescent="0.2">
      <c r="B29" s="15"/>
      <c r="C29" s="15"/>
      <c r="D29" s="15"/>
      <c r="E29" s="15"/>
      <c r="F29" s="25"/>
      <c r="G29" s="33">
        <v>0</v>
      </c>
      <c r="H29" s="34">
        <f t="shared" si="3"/>
        <v>0</v>
      </c>
      <c r="I29" s="43">
        <f t="shared" si="2"/>
        <v>0</v>
      </c>
      <c r="J29" s="7"/>
    </row>
    <row r="30" spans="2:13" x14ac:dyDescent="0.2">
      <c r="B30" s="15"/>
      <c r="C30" s="15"/>
      <c r="D30" s="15"/>
      <c r="E30" s="15"/>
      <c r="F30" s="25"/>
      <c r="G30" s="33">
        <v>0</v>
      </c>
      <c r="H30" s="34">
        <f t="shared" si="3"/>
        <v>0</v>
      </c>
      <c r="I30" s="43">
        <f t="shared" si="2"/>
        <v>0</v>
      </c>
      <c r="J30" s="7"/>
    </row>
    <row r="31" spans="2:13" x14ac:dyDescent="0.2">
      <c r="B31" s="15"/>
      <c r="C31" s="15"/>
      <c r="D31" s="15"/>
      <c r="E31" s="15"/>
      <c r="F31" s="25"/>
      <c r="G31" s="33">
        <v>0</v>
      </c>
      <c r="H31" s="34">
        <f t="shared" si="3"/>
        <v>0</v>
      </c>
      <c r="I31" s="43">
        <f t="shared" si="2"/>
        <v>0</v>
      </c>
      <c r="J31" s="7"/>
    </row>
    <row r="32" spans="2:13" x14ac:dyDescent="0.2">
      <c r="B32" s="15"/>
      <c r="C32" s="15"/>
      <c r="D32" s="15"/>
      <c r="E32" s="15"/>
      <c r="F32" s="25"/>
      <c r="G32" s="33">
        <v>0</v>
      </c>
      <c r="H32" s="34">
        <f t="shared" si="3"/>
        <v>0</v>
      </c>
      <c r="I32" s="43">
        <f t="shared" si="2"/>
        <v>0</v>
      </c>
      <c r="J32" s="7"/>
    </row>
    <row r="33" spans="2:10" x14ac:dyDescent="0.2">
      <c r="B33" s="15"/>
      <c r="C33" s="15"/>
      <c r="D33" s="15"/>
      <c r="E33" s="15"/>
      <c r="F33" s="25"/>
      <c r="G33" s="33">
        <v>0</v>
      </c>
      <c r="H33" s="34">
        <f t="shared" si="3"/>
        <v>0</v>
      </c>
      <c r="I33" s="43">
        <f t="shared" si="2"/>
        <v>0</v>
      </c>
      <c r="J33" s="7"/>
    </row>
    <row r="34" spans="2:10" x14ac:dyDescent="0.2">
      <c r="B34" s="15"/>
      <c r="C34" s="15"/>
      <c r="D34" s="15"/>
      <c r="E34" s="15"/>
      <c r="F34" s="25"/>
      <c r="G34" s="33">
        <v>0</v>
      </c>
      <c r="H34" s="34">
        <f t="shared" si="3"/>
        <v>0</v>
      </c>
      <c r="I34" s="43">
        <f t="shared" si="2"/>
        <v>0</v>
      </c>
      <c r="J34" s="7"/>
    </row>
    <row r="35" spans="2:10" x14ac:dyDescent="0.2">
      <c r="B35" s="19"/>
      <c r="C35" s="15"/>
      <c r="D35" s="15"/>
      <c r="E35" s="15"/>
      <c r="F35" s="25"/>
      <c r="G35" s="33">
        <v>0</v>
      </c>
      <c r="H35" s="34">
        <f t="shared" si="3"/>
        <v>0</v>
      </c>
      <c r="I35" s="43">
        <f t="shared" si="2"/>
        <v>0</v>
      </c>
      <c r="J35" s="7"/>
    </row>
    <row r="36" spans="2:10" x14ac:dyDescent="0.2">
      <c r="B36" s="19"/>
      <c r="C36" s="15"/>
      <c r="D36" s="15"/>
      <c r="E36" s="15"/>
      <c r="F36" s="25"/>
      <c r="G36" s="33">
        <v>0</v>
      </c>
      <c r="H36" s="34">
        <f t="shared" si="3"/>
        <v>0</v>
      </c>
      <c r="I36" s="43">
        <f t="shared" si="2"/>
        <v>0</v>
      </c>
    </row>
    <row r="37" spans="2:10" x14ac:dyDescent="0.2">
      <c r="B37" s="15"/>
      <c r="C37" s="15"/>
      <c r="D37" s="15"/>
      <c r="E37" s="15"/>
      <c r="F37" s="25"/>
      <c r="G37" s="33">
        <v>0</v>
      </c>
      <c r="H37" s="34">
        <f t="shared" si="3"/>
        <v>0</v>
      </c>
      <c r="I37" s="43">
        <f t="shared" si="2"/>
        <v>0</v>
      </c>
    </row>
  </sheetData>
  <mergeCells count="4">
    <mergeCell ref="B2:I3"/>
    <mergeCell ref="F5:F6"/>
    <mergeCell ref="H5:H6"/>
    <mergeCell ref="I5:I6"/>
  </mergeCells>
  <conditionalFormatting sqref="E8:E15 E19 E21:E37">
    <cfRule type="containsText" dxfId="351" priority="31" operator="containsText" text="Emprunt/Crédit">
      <formula>NOT(ISERROR(SEARCH("Emprunt/Crédit",E8)))</formula>
    </cfRule>
    <cfRule type="containsText" dxfId="350" priority="32" operator="containsText" text="Garage">
      <formula>NOT(ISERROR(SEARCH("Garage",E8)))</formula>
    </cfRule>
    <cfRule type="containsText" dxfId="349" priority="34" operator="containsText" text="Visite JB Hub">
      <formula>NOT(ISERROR(SEARCH("Visite JB Hub",E8)))</formula>
    </cfRule>
    <cfRule type="containsText" dxfId="348" priority="35" operator="containsText" text="Repas">
      <formula>NOT(ISERROR(SEARCH("Repas",E8)))</formula>
    </cfRule>
    <cfRule type="containsText" dxfId="347" priority="36" operator="containsText" text="Communication">
      <formula>NOT(ISERROR(SEARCH("Communication",E8)))</formula>
    </cfRule>
    <cfRule type="containsText" dxfId="346" priority="37" operator="containsText" text="Jeep">
      <formula>NOT(ISERROR(SEARCH("Jeep",E8)))</formula>
    </cfRule>
    <cfRule type="containsText" dxfId="345" priority="38" operator="containsText" text="Structure">
      <formula>NOT(ISERROR(SEARCH("Structure",E8)))</formula>
    </cfRule>
    <cfRule type="containsText" dxfId="344" priority="39" operator="containsText" text="Essence">
      <formula>NOT(ISERROR(SEARCH("Essence",E8)))</formula>
    </cfRule>
    <cfRule type="containsText" dxfId="343" priority="40" operator="containsText" text="Salaire">
      <formula>NOT(ISERROR(SEARCH("Salaire",E8)))</formula>
    </cfRule>
  </conditionalFormatting>
  <conditionalFormatting sqref="E8:E15 E19 E21:E37">
    <cfRule type="containsText" dxfId="342" priority="33" operator="containsText" text="Assurance">
      <formula>NOT(ISERROR(SEARCH("Assurance",E8)))</formula>
    </cfRule>
  </conditionalFormatting>
  <conditionalFormatting sqref="E16">
    <cfRule type="containsText" dxfId="341" priority="21" operator="containsText" text="Emprunt/Crédit">
      <formula>NOT(ISERROR(SEARCH("Emprunt/Crédit",E16)))</formula>
    </cfRule>
    <cfRule type="containsText" dxfId="340" priority="22" operator="containsText" text="Garage">
      <formula>NOT(ISERROR(SEARCH("Garage",E16)))</formula>
    </cfRule>
    <cfRule type="containsText" dxfId="339" priority="24" operator="containsText" text="Visite JB Hub">
      <formula>NOT(ISERROR(SEARCH("Visite JB Hub",E16)))</formula>
    </cfRule>
    <cfRule type="containsText" dxfId="338" priority="25" operator="containsText" text="Repas">
      <formula>NOT(ISERROR(SEARCH("Repas",E16)))</formula>
    </cfRule>
    <cfRule type="containsText" dxfId="337" priority="26" operator="containsText" text="Communication">
      <formula>NOT(ISERROR(SEARCH("Communication",E16)))</formula>
    </cfRule>
    <cfRule type="containsText" dxfId="336" priority="27" operator="containsText" text="Jeep">
      <formula>NOT(ISERROR(SEARCH("Jeep",E16)))</formula>
    </cfRule>
    <cfRule type="containsText" dxfId="335" priority="28" operator="containsText" text="Structure">
      <formula>NOT(ISERROR(SEARCH("Structure",E16)))</formula>
    </cfRule>
    <cfRule type="containsText" dxfId="334" priority="29" operator="containsText" text="Essence">
      <formula>NOT(ISERROR(SEARCH("Essence",E16)))</formula>
    </cfRule>
    <cfRule type="containsText" dxfId="333" priority="30" operator="containsText" text="Salaire">
      <formula>NOT(ISERROR(SEARCH("Salaire",E16)))</formula>
    </cfRule>
  </conditionalFormatting>
  <conditionalFormatting sqref="E16">
    <cfRule type="containsText" dxfId="332" priority="23" operator="containsText" text="Assurance">
      <formula>NOT(ISERROR(SEARCH("Assurance",E16)))</formula>
    </cfRule>
  </conditionalFormatting>
  <conditionalFormatting sqref="E17">
    <cfRule type="containsText" dxfId="331" priority="11" operator="containsText" text="Emprunt/Crédit">
      <formula>NOT(ISERROR(SEARCH("Emprunt/Crédit",E17)))</formula>
    </cfRule>
    <cfRule type="containsText" dxfId="330" priority="12" operator="containsText" text="Garage">
      <formula>NOT(ISERROR(SEARCH("Garage",E17)))</formula>
    </cfRule>
    <cfRule type="containsText" dxfId="329" priority="14" operator="containsText" text="Visite JB Hub">
      <formula>NOT(ISERROR(SEARCH("Visite JB Hub",E17)))</formula>
    </cfRule>
    <cfRule type="containsText" dxfId="328" priority="15" operator="containsText" text="Repas">
      <formula>NOT(ISERROR(SEARCH("Repas",E17)))</formula>
    </cfRule>
    <cfRule type="containsText" dxfId="327" priority="16" operator="containsText" text="Communication">
      <formula>NOT(ISERROR(SEARCH("Communication",E17)))</formula>
    </cfRule>
    <cfRule type="containsText" dxfId="326" priority="17" operator="containsText" text="Jeep">
      <formula>NOT(ISERROR(SEARCH("Jeep",E17)))</formula>
    </cfRule>
    <cfRule type="containsText" dxfId="325" priority="18" operator="containsText" text="Structure">
      <formula>NOT(ISERROR(SEARCH("Structure",E17)))</formula>
    </cfRule>
    <cfRule type="containsText" dxfId="324" priority="19" operator="containsText" text="Essence">
      <formula>NOT(ISERROR(SEARCH("Essence",E17)))</formula>
    </cfRule>
    <cfRule type="containsText" dxfId="323" priority="20" operator="containsText" text="Salaire">
      <formula>NOT(ISERROR(SEARCH("Salaire",E17)))</formula>
    </cfRule>
  </conditionalFormatting>
  <conditionalFormatting sqref="E17">
    <cfRule type="containsText" dxfId="322" priority="13" operator="containsText" text="Assurance">
      <formula>NOT(ISERROR(SEARCH("Assurance",E17)))</formula>
    </cfRule>
  </conditionalFormatting>
  <conditionalFormatting sqref="E18">
    <cfRule type="containsText" dxfId="321" priority="1" operator="containsText" text="Emprunt/Crédit">
      <formula>NOT(ISERROR(SEARCH("Emprunt/Crédit",E18)))</formula>
    </cfRule>
    <cfRule type="containsText" dxfId="320" priority="2" operator="containsText" text="Garage">
      <formula>NOT(ISERROR(SEARCH("Garage",E18)))</formula>
    </cfRule>
    <cfRule type="containsText" dxfId="319" priority="4" operator="containsText" text="Visite JB Hub">
      <formula>NOT(ISERROR(SEARCH("Visite JB Hub",E18)))</formula>
    </cfRule>
    <cfRule type="containsText" dxfId="318" priority="5" operator="containsText" text="Repas">
      <formula>NOT(ISERROR(SEARCH("Repas",E18)))</formula>
    </cfRule>
    <cfRule type="containsText" dxfId="317" priority="6" operator="containsText" text="Communication">
      <formula>NOT(ISERROR(SEARCH("Communication",E18)))</formula>
    </cfRule>
    <cfRule type="containsText" dxfId="316" priority="7" operator="containsText" text="Jeep">
      <formula>NOT(ISERROR(SEARCH("Jeep",E18)))</formula>
    </cfRule>
    <cfRule type="containsText" dxfId="315" priority="8" operator="containsText" text="Structure">
      <formula>NOT(ISERROR(SEARCH("Structure",E18)))</formula>
    </cfRule>
    <cfRule type="containsText" dxfId="314" priority="9" operator="containsText" text="Essence">
      <formula>NOT(ISERROR(SEARCH("Essence",E18)))</formula>
    </cfRule>
    <cfRule type="containsText" dxfId="313" priority="10" operator="containsText" text="Salaire">
      <formula>NOT(ISERROR(SEARCH("Salaire",E18)))</formula>
    </cfRule>
  </conditionalFormatting>
  <conditionalFormatting sqref="E18">
    <cfRule type="containsText" dxfId="312" priority="3" operator="containsText" text="Assurance">
      <formula>NOT(ISERROR(SEARCH("Assurance",E18)))</formula>
    </cfRule>
  </conditionalFormatting>
  <dataValidations count="3">
    <dataValidation type="list" allowBlank="1" showInputMessage="1" showErrorMessage="1" sqref="G8:G37" xr:uid="{FDF68F17-9F06-4D4D-8AF3-FBCB80D25D62}">
      <formula1>"0%, 20%"</formula1>
    </dataValidation>
    <dataValidation allowBlank="1" showInputMessage="1" sqref="F8:F13 F16:F19 F21:F37" xr:uid="{ED7FB3FF-541F-2F49-97FE-ADB23AACA417}"/>
    <dataValidation type="list" allowBlank="1" showInputMessage="1" showErrorMessage="1" sqref="E1:E19 E21:E1048576" xr:uid="{AADB0608-3FA5-1F48-8182-8852D1A6E68E}">
      <formula1>"Salaire, Essence, Structure, Jeep, Communication, Repas, Visite JB Hub, Assurance, Garage, Emprunt/Crédit, Bureau, URSSAF"</formula1>
    </dataValidation>
  </dataValidations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D9F8F0-5BCF-9B41-8D75-F0E4F5CC0EE8}">
  <sheetPr>
    <tabColor theme="8" tint="-0.249977111117893"/>
  </sheetPr>
  <dimension ref="A1:U63"/>
  <sheetViews>
    <sheetView topLeftCell="A38" zoomScale="109" workbookViewId="0">
      <selection activeCell="C55" sqref="C9:C55"/>
    </sheetView>
  </sheetViews>
  <sheetFormatPr baseColWidth="10" defaultRowHeight="16" x14ac:dyDescent="0.2"/>
  <cols>
    <col min="4" max="4" width="13.5" customWidth="1"/>
    <col min="9" max="9" width="23.33203125" customWidth="1"/>
    <col min="11" max="11" width="24.33203125" customWidth="1"/>
    <col min="13" max="13" width="17" customWidth="1"/>
    <col min="14" max="14" width="19.83203125" customWidth="1"/>
  </cols>
  <sheetData>
    <row r="1" spans="1:21" ht="17" thickBot="1" x14ac:dyDescent="0.25">
      <c r="F1" s="63"/>
      <c r="G1" s="64"/>
      <c r="H1" s="65"/>
      <c r="I1" s="65"/>
      <c r="J1" s="65"/>
      <c r="K1" s="65"/>
      <c r="L1" s="65"/>
      <c r="M1" s="66"/>
    </row>
    <row r="2" spans="1:21" x14ac:dyDescent="0.2">
      <c r="F2" s="161" t="s">
        <v>139</v>
      </c>
      <c r="G2" s="162"/>
      <c r="H2" s="162"/>
      <c r="I2" s="162"/>
      <c r="J2" s="162"/>
      <c r="K2" s="162"/>
      <c r="L2" s="162"/>
      <c r="M2" s="163"/>
    </row>
    <row r="3" spans="1:21" ht="17" thickBot="1" x14ac:dyDescent="0.25">
      <c r="F3" s="164"/>
      <c r="G3" s="165"/>
      <c r="H3" s="165"/>
      <c r="I3" s="165"/>
      <c r="J3" s="165"/>
      <c r="K3" s="165"/>
      <c r="L3" s="165"/>
      <c r="M3" s="166"/>
    </row>
    <row r="4" spans="1:21" ht="25" thickBot="1" x14ac:dyDescent="0.25">
      <c r="F4" s="61"/>
      <c r="G4" s="61"/>
      <c r="H4" s="61"/>
      <c r="I4" s="61"/>
      <c r="J4" s="61"/>
      <c r="K4" s="61"/>
      <c r="L4" s="61"/>
      <c r="M4" s="61"/>
    </row>
    <row r="5" spans="1:21" ht="60" x14ac:dyDescent="0.2">
      <c r="F5" s="61"/>
      <c r="G5" s="61"/>
      <c r="H5" s="61"/>
      <c r="I5" s="103" t="s">
        <v>87</v>
      </c>
      <c r="J5" s="61"/>
      <c r="K5" s="71" t="s">
        <v>66</v>
      </c>
      <c r="L5" s="61"/>
      <c r="M5" s="61"/>
    </row>
    <row r="6" spans="1:21" ht="30" thickBot="1" x14ac:dyDescent="0.25">
      <c r="G6" s="67"/>
      <c r="H6" s="7"/>
      <c r="I6" s="105">
        <f>SUM(I56:M56)</f>
        <v>2418.02</v>
      </c>
      <c r="J6" s="69"/>
      <c r="K6" s="73">
        <f>I57+K57+M57</f>
        <v>2418.02</v>
      </c>
      <c r="L6" s="7"/>
    </row>
    <row r="7" spans="1:21" ht="24" x14ac:dyDescent="0.2">
      <c r="F7" s="61"/>
      <c r="G7" s="61"/>
      <c r="H7" s="61"/>
      <c r="I7" s="61"/>
      <c r="J7" s="61"/>
      <c r="K7" s="61"/>
      <c r="L7" s="61"/>
      <c r="M7" s="61"/>
    </row>
    <row r="8" spans="1:21" ht="46" x14ac:dyDescent="0.2">
      <c r="B8" s="52" t="s">
        <v>0</v>
      </c>
      <c r="C8" s="189" t="s">
        <v>238</v>
      </c>
      <c r="D8" s="55" t="s">
        <v>1</v>
      </c>
      <c r="E8" s="55" t="s">
        <v>82</v>
      </c>
      <c r="F8" s="56" t="s">
        <v>83</v>
      </c>
      <c r="G8" s="56" t="s">
        <v>88</v>
      </c>
      <c r="H8" s="57" t="s">
        <v>84</v>
      </c>
      <c r="I8" s="56" t="s">
        <v>2</v>
      </c>
      <c r="J8" s="58" t="s">
        <v>85</v>
      </c>
      <c r="K8" s="59" t="s">
        <v>3</v>
      </c>
      <c r="L8" s="60" t="s">
        <v>86</v>
      </c>
      <c r="M8" s="59" t="s">
        <v>4</v>
      </c>
      <c r="N8" s="55" t="s">
        <v>5</v>
      </c>
      <c r="P8" s="74" t="s">
        <v>59</v>
      </c>
      <c r="Q8" s="48" t="s">
        <v>53</v>
      </c>
      <c r="R8" s="49" t="s">
        <v>54</v>
      </c>
      <c r="S8" s="50" t="s">
        <v>55</v>
      </c>
      <c r="T8" s="88" t="s">
        <v>37</v>
      </c>
      <c r="U8" s="78" t="s">
        <v>89</v>
      </c>
    </row>
    <row r="9" spans="1:21" x14ac:dyDescent="0.2">
      <c r="A9" s="167"/>
      <c r="B9" s="11"/>
      <c r="C9" s="11"/>
      <c r="D9" s="9"/>
      <c r="E9" s="9"/>
      <c r="F9" s="9"/>
      <c r="G9" s="3"/>
      <c r="H9" s="3"/>
      <c r="I9" s="32"/>
      <c r="J9" s="3"/>
      <c r="K9" s="51"/>
      <c r="L9" s="3"/>
      <c r="M9" s="30"/>
      <c r="N9" s="3"/>
      <c r="P9" s="16" t="s">
        <v>43</v>
      </c>
      <c r="Q9" s="22">
        <f>SUMIF(Tableau557911[$T],P9,Tableau557911[Thomas])</f>
        <v>0</v>
      </c>
      <c r="R9" s="22">
        <f>SUMIF(Tableau557911[$F],P9,Tableau557911[Flavie])</f>
        <v>0</v>
      </c>
      <c r="S9" s="22">
        <f>SUMIF(Tableau557911[$R],P9,Tableau557911[Raphaëlle])</f>
        <v>0</v>
      </c>
      <c r="T9" s="87">
        <f t="shared" ref="T9:T14" si="0">SUM(Q9:S9)</f>
        <v>0</v>
      </c>
      <c r="U9" s="79">
        <f t="shared" ref="U9:U14" si="1">(Q9+R9+S9)/1</f>
        <v>0</v>
      </c>
    </row>
    <row r="10" spans="1:21" x14ac:dyDescent="0.2">
      <c r="A10" s="167"/>
      <c r="B10" s="11"/>
      <c r="C10" s="11"/>
      <c r="D10" s="9"/>
      <c r="E10" s="9"/>
      <c r="F10" s="9"/>
      <c r="G10" s="7"/>
      <c r="H10" s="7"/>
      <c r="I10" s="32"/>
      <c r="J10" s="7"/>
      <c r="K10" s="51"/>
      <c r="L10" s="7"/>
      <c r="M10" s="51"/>
      <c r="N10" s="3"/>
      <c r="P10" s="17" t="s">
        <v>44</v>
      </c>
      <c r="Q10" s="22">
        <f>SUMIF(Tableau557911[$T],P10,Tableau557911[Thomas])</f>
        <v>0</v>
      </c>
      <c r="R10" s="22">
        <f>SUMIF(Tableau557911[$F],P10,Tableau557911[Flavie])</f>
        <v>0</v>
      </c>
      <c r="S10" s="22">
        <f>SUMIF(Tableau557911[$R],P10,Tableau557911[Raphaëlle])</f>
        <v>0</v>
      </c>
      <c r="T10" s="87">
        <f t="shared" si="0"/>
        <v>0</v>
      </c>
      <c r="U10" s="79">
        <f t="shared" si="1"/>
        <v>0</v>
      </c>
    </row>
    <row r="11" spans="1:21" x14ac:dyDescent="0.2">
      <c r="A11" s="167"/>
      <c r="B11" s="11"/>
      <c r="C11" s="11"/>
      <c r="D11" s="9"/>
      <c r="E11" s="9"/>
      <c r="F11" s="9"/>
      <c r="G11" s="3"/>
      <c r="H11" s="3"/>
      <c r="I11" s="51"/>
      <c r="J11" s="3"/>
      <c r="K11" s="51"/>
      <c r="L11" s="3"/>
      <c r="M11" s="32"/>
      <c r="N11" s="3"/>
      <c r="P11" s="18" t="s">
        <v>45</v>
      </c>
      <c r="Q11" s="22">
        <f>SUMIF(Tableau557911[$T],P11,Tableau557911[Thomas])</f>
        <v>0</v>
      </c>
      <c r="R11" s="22">
        <f>SUMIF(Tableau557911[$F],P11,Tableau557911[Flavie])</f>
        <v>0</v>
      </c>
      <c r="S11" s="22">
        <f>SUMIF(Tableau557911[$R],P11,Tableau557911[Raphaëlle])</f>
        <v>0</v>
      </c>
      <c r="T11" s="87">
        <f t="shared" si="0"/>
        <v>0</v>
      </c>
      <c r="U11" s="79">
        <f t="shared" si="1"/>
        <v>0</v>
      </c>
    </row>
    <row r="12" spans="1:21" x14ac:dyDescent="0.2">
      <c r="A12" s="167"/>
      <c r="B12" s="12"/>
      <c r="C12" s="11"/>
      <c r="D12" s="9"/>
      <c r="E12" s="9"/>
      <c r="F12" s="9"/>
      <c r="G12" s="3"/>
      <c r="H12" s="3"/>
      <c r="I12" s="32"/>
      <c r="J12" s="3"/>
      <c r="K12" s="51"/>
      <c r="L12" s="3"/>
      <c r="M12" s="32"/>
      <c r="N12" s="3"/>
      <c r="P12" s="4" t="s">
        <v>46</v>
      </c>
      <c r="Q12" s="22">
        <f>SUMIF(Tableau557911[$T],P12,Tableau557911[Thomas])</f>
        <v>147</v>
      </c>
      <c r="R12" s="22">
        <f>SUMIF(Tableau557911[$F],P12,Tableau557911[Flavie])</f>
        <v>309.5</v>
      </c>
      <c r="S12" s="22">
        <f>SUMIF(Tableau557911[$R],P12,Tableau557911[Raphaëlle])</f>
        <v>0</v>
      </c>
      <c r="T12" s="87">
        <f t="shared" si="0"/>
        <v>456.5</v>
      </c>
      <c r="U12" s="79">
        <f t="shared" si="1"/>
        <v>456.5</v>
      </c>
    </row>
    <row r="13" spans="1:21" x14ac:dyDescent="0.2">
      <c r="A13" s="167"/>
      <c r="B13" s="11"/>
      <c r="C13" s="11"/>
      <c r="D13" s="9"/>
      <c r="E13" s="9"/>
      <c r="F13" s="9"/>
      <c r="G13" s="3"/>
      <c r="H13" s="3"/>
      <c r="I13" s="51"/>
      <c r="J13" s="3"/>
      <c r="K13" s="51"/>
      <c r="L13" s="3"/>
      <c r="M13" s="32"/>
      <c r="N13" s="3"/>
      <c r="P13" s="76" t="s">
        <v>56</v>
      </c>
      <c r="Q13" s="22">
        <f>SUMIF(Tableau557911[$T],P13,Tableau557911[Thomas])</f>
        <v>0</v>
      </c>
      <c r="R13" s="22">
        <f>SUMIF(Tableau557911[$F],P13,Tableau557911[Flavie])</f>
        <v>0</v>
      </c>
      <c r="S13" s="22">
        <f>SUMIF(Tableau557911[$R],P13,Tableau557911[Raphaëlle])</f>
        <v>0</v>
      </c>
      <c r="T13" s="87">
        <f t="shared" si="0"/>
        <v>0</v>
      </c>
      <c r="U13" s="79">
        <f t="shared" si="1"/>
        <v>0</v>
      </c>
    </row>
    <row r="14" spans="1:21" x14ac:dyDescent="0.2">
      <c r="A14" s="106"/>
      <c r="B14" s="12"/>
      <c r="C14" s="11"/>
      <c r="D14" s="9"/>
      <c r="E14" s="9"/>
      <c r="F14" s="9"/>
      <c r="G14" s="3"/>
      <c r="H14" s="3"/>
      <c r="I14" s="51"/>
      <c r="J14" s="3"/>
      <c r="K14" s="51"/>
      <c r="L14" s="3"/>
      <c r="M14" s="32"/>
      <c r="N14" s="3"/>
      <c r="P14" s="26" t="s">
        <v>61</v>
      </c>
      <c r="Q14" s="22">
        <f>SUMIF(Tableau557911[$T],P14,Tableau557911[Thomas])</f>
        <v>307.68</v>
      </c>
      <c r="R14" s="22">
        <f>SUMIF(Tableau557911[$F],P14,Tableau557911[Flavie])</f>
        <v>153.84</v>
      </c>
      <c r="S14" s="22">
        <f>SUMIF(Tableau557911[$R],P14,Tableau557911[Raphaëlle])</f>
        <v>0</v>
      </c>
      <c r="T14" s="87">
        <f t="shared" si="0"/>
        <v>461.52</v>
      </c>
      <c r="U14" s="79">
        <f t="shared" si="1"/>
        <v>461.52</v>
      </c>
    </row>
    <row r="15" spans="1:21" x14ac:dyDescent="0.2">
      <c r="A15" s="106"/>
      <c r="B15" s="12"/>
      <c r="C15" s="11"/>
      <c r="D15" s="9"/>
      <c r="E15" s="9"/>
      <c r="F15" s="9"/>
      <c r="G15" s="3"/>
      <c r="H15" s="3"/>
      <c r="I15" s="51"/>
      <c r="J15" s="3"/>
      <c r="K15" s="51"/>
      <c r="L15" s="3"/>
      <c r="M15" s="32"/>
      <c r="N15" s="3"/>
      <c r="Q15" s="102">
        <f>SUM(Q9:Q14)</f>
        <v>454.68</v>
      </c>
      <c r="R15" s="85">
        <f>SUM(R9:R14)</f>
        <v>463.34000000000003</v>
      </c>
      <c r="S15" s="85">
        <f>SUM(S9:S14)</f>
        <v>0</v>
      </c>
    </row>
    <row r="16" spans="1:21" x14ac:dyDescent="0.2">
      <c r="A16" s="106"/>
      <c r="B16" s="12"/>
      <c r="C16" s="11"/>
      <c r="D16" s="9"/>
      <c r="E16" s="9"/>
      <c r="F16" s="9"/>
      <c r="G16" s="3"/>
      <c r="H16" s="3"/>
      <c r="I16" s="32"/>
      <c r="J16" s="32"/>
      <c r="K16" s="51"/>
      <c r="L16" s="32"/>
      <c r="M16" s="32"/>
      <c r="N16" s="5"/>
      <c r="P16" s="86" t="s">
        <v>89</v>
      </c>
      <c r="Q16" s="89">
        <f>(Q9+Q10+Q11+Q12+Q13+Q14)/1</f>
        <v>454.68</v>
      </c>
      <c r="R16" s="89">
        <f>(R9+R10+R11+R12+R13+R14)/1</f>
        <v>463.34000000000003</v>
      </c>
      <c r="S16" s="89">
        <f>(S9+S10+S11+S12+S13+S14)/1</f>
        <v>0</v>
      </c>
    </row>
    <row r="17" spans="1:14" x14ac:dyDescent="0.2">
      <c r="A17" s="106"/>
      <c r="B17" s="12">
        <v>45483</v>
      </c>
      <c r="C17" s="11" t="s">
        <v>27</v>
      </c>
      <c r="D17" s="9" t="s">
        <v>12</v>
      </c>
      <c r="E17" s="9" t="s">
        <v>98</v>
      </c>
      <c r="F17" s="9"/>
      <c r="G17" s="3">
        <v>2</v>
      </c>
      <c r="H17" s="3"/>
      <c r="I17" s="51"/>
      <c r="J17" s="32" t="s">
        <v>46</v>
      </c>
      <c r="K17" s="51">
        <v>147</v>
      </c>
      <c r="L17" s="3"/>
      <c r="M17" s="32"/>
      <c r="N17" s="3"/>
    </row>
    <row r="18" spans="1:14" x14ac:dyDescent="0.2">
      <c r="A18" s="106"/>
      <c r="B18" s="12">
        <v>45484</v>
      </c>
      <c r="C18" s="11" t="s">
        <v>27</v>
      </c>
      <c r="D18" s="9" t="s">
        <v>12</v>
      </c>
      <c r="E18" s="9" t="s">
        <v>98</v>
      </c>
      <c r="F18" s="9"/>
      <c r="G18" s="3">
        <v>2</v>
      </c>
      <c r="H18" s="3"/>
      <c r="I18" s="51"/>
      <c r="J18" s="32" t="s">
        <v>46</v>
      </c>
      <c r="K18" s="51">
        <v>162.5</v>
      </c>
      <c r="L18" s="32"/>
      <c r="M18" s="32"/>
      <c r="N18" s="5"/>
    </row>
    <row r="19" spans="1:14" x14ac:dyDescent="0.2">
      <c r="A19" s="106"/>
      <c r="B19" s="12">
        <v>45489</v>
      </c>
      <c r="C19" s="11" t="s">
        <v>27</v>
      </c>
      <c r="D19" s="9" t="s">
        <v>12</v>
      </c>
      <c r="E19" s="9" t="s">
        <v>61</v>
      </c>
      <c r="F19" s="9"/>
      <c r="G19" s="3">
        <v>2</v>
      </c>
      <c r="H19" s="3" t="s">
        <v>61</v>
      </c>
      <c r="I19" s="51">
        <v>153.84</v>
      </c>
      <c r="J19" s="3" t="s">
        <v>61</v>
      </c>
      <c r="K19" s="51">
        <v>153.84</v>
      </c>
      <c r="L19" s="3"/>
      <c r="M19" s="32"/>
      <c r="N19" s="3"/>
    </row>
    <row r="20" spans="1:14" x14ac:dyDescent="0.2">
      <c r="A20" s="106"/>
      <c r="B20" s="12">
        <v>45495</v>
      </c>
      <c r="C20" s="11" t="s">
        <v>27</v>
      </c>
      <c r="D20" s="9" t="s">
        <v>12</v>
      </c>
      <c r="E20" s="9" t="s">
        <v>61</v>
      </c>
      <c r="F20" s="9"/>
      <c r="G20" s="3">
        <v>2</v>
      </c>
      <c r="H20" s="3" t="s">
        <v>61</v>
      </c>
      <c r="I20" s="51">
        <v>153.84</v>
      </c>
      <c r="J20" s="3"/>
      <c r="K20" s="51"/>
      <c r="L20" s="3"/>
      <c r="M20" s="32"/>
      <c r="N20" s="3"/>
    </row>
    <row r="21" spans="1:14" x14ac:dyDescent="0.2">
      <c r="A21" s="106"/>
      <c r="B21" s="12">
        <v>45501</v>
      </c>
      <c r="C21" s="11" t="s">
        <v>27</v>
      </c>
      <c r="D21" s="9" t="s">
        <v>12</v>
      </c>
      <c r="E21" s="9" t="s">
        <v>98</v>
      </c>
      <c r="F21" s="9"/>
      <c r="G21" s="3">
        <v>2</v>
      </c>
      <c r="H21" s="3" t="s">
        <v>46</v>
      </c>
      <c r="I21" s="51">
        <v>147</v>
      </c>
      <c r="J21" s="3"/>
      <c r="K21" s="51"/>
      <c r="L21" s="3"/>
      <c r="M21" s="32"/>
      <c r="N21" s="3"/>
    </row>
    <row r="22" spans="1:14" x14ac:dyDescent="0.2">
      <c r="A22" s="106"/>
      <c r="B22" s="12"/>
      <c r="C22" s="11"/>
      <c r="D22" s="9"/>
      <c r="E22" s="9"/>
      <c r="F22" s="9"/>
      <c r="G22" s="3"/>
      <c r="H22" s="3"/>
      <c r="I22" s="51"/>
      <c r="J22" s="32"/>
      <c r="K22" s="51"/>
      <c r="L22" s="32"/>
      <c r="M22" s="32"/>
      <c r="N22" s="5"/>
    </row>
    <row r="23" spans="1:14" x14ac:dyDescent="0.2">
      <c r="B23" s="12">
        <v>45514</v>
      </c>
      <c r="C23" s="12" t="s">
        <v>28</v>
      </c>
      <c r="D23" s="9" t="s">
        <v>12</v>
      </c>
      <c r="E23" s="9"/>
      <c r="F23" s="9"/>
      <c r="G23" s="3">
        <v>2</v>
      </c>
      <c r="H23" s="3"/>
      <c r="I23" s="32"/>
      <c r="J23" s="32"/>
      <c r="K23" s="51">
        <v>300</v>
      </c>
      <c r="L23" s="3"/>
      <c r="M23" s="51">
        <v>300</v>
      </c>
      <c r="N23" s="3"/>
    </row>
    <row r="24" spans="1:14" x14ac:dyDescent="0.2">
      <c r="B24" s="12" t="s">
        <v>133</v>
      </c>
      <c r="C24" s="12" t="s">
        <v>28</v>
      </c>
      <c r="D24" s="9" t="s">
        <v>97</v>
      </c>
      <c r="E24" s="9"/>
      <c r="F24" s="9"/>
      <c r="G24" s="3">
        <v>4</v>
      </c>
      <c r="H24" s="3"/>
      <c r="I24" s="51">
        <v>300</v>
      </c>
      <c r="J24" s="32"/>
      <c r="K24" s="51"/>
      <c r="L24" s="32"/>
      <c r="M24" s="32"/>
      <c r="N24" s="5"/>
    </row>
    <row r="25" spans="1:14" x14ac:dyDescent="0.2">
      <c r="B25" s="12" t="s">
        <v>136</v>
      </c>
      <c r="C25" s="12" t="s">
        <v>28</v>
      </c>
      <c r="D25" s="9" t="s">
        <v>8</v>
      </c>
      <c r="E25" s="9"/>
      <c r="F25" s="9"/>
      <c r="G25" s="3">
        <v>1</v>
      </c>
      <c r="H25" s="3"/>
      <c r="I25" s="32">
        <v>150</v>
      </c>
      <c r="J25" s="3"/>
      <c r="K25" s="51">
        <v>150</v>
      </c>
      <c r="L25" s="3"/>
      <c r="M25" s="32"/>
      <c r="N25" s="3"/>
    </row>
    <row r="26" spans="1:14" x14ac:dyDescent="0.2">
      <c r="B26" s="12" t="s">
        <v>137</v>
      </c>
      <c r="C26" s="12" t="s">
        <v>28</v>
      </c>
      <c r="D26" s="9" t="s">
        <v>58</v>
      </c>
      <c r="E26" s="9"/>
      <c r="F26" s="9"/>
      <c r="G26" s="3">
        <v>4</v>
      </c>
      <c r="H26" s="3"/>
      <c r="I26" s="32">
        <v>300</v>
      </c>
      <c r="J26" s="32"/>
      <c r="K26" s="51"/>
      <c r="L26" s="32"/>
      <c r="M26" s="32"/>
      <c r="N26" s="5"/>
    </row>
    <row r="27" spans="1:14" x14ac:dyDescent="0.2">
      <c r="B27" s="12" t="s">
        <v>135</v>
      </c>
      <c r="C27" s="12" t="s">
        <v>28</v>
      </c>
      <c r="D27" s="9" t="s">
        <v>38</v>
      </c>
      <c r="E27" s="120">
        <v>14275</v>
      </c>
      <c r="F27" s="9"/>
      <c r="G27" s="3">
        <v>7</v>
      </c>
      <c r="H27" s="3"/>
      <c r="I27" s="32"/>
      <c r="J27" s="32"/>
      <c r="K27" s="32"/>
      <c r="L27" s="32"/>
      <c r="M27" s="51">
        <v>0</v>
      </c>
      <c r="N27" s="5" t="s">
        <v>149</v>
      </c>
    </row>
    <row r="28" spans="1:14" x14ac:dyDescent="0.2">
      <c r="B28" s="12" t="s">
        <v>135</v>
      </c>
      <c r="C28" s="12" t="s">
        <v>28</v>
      </c>
      <c r="D28" s="9" t="s">
        <v>106</v>
      </c>
      <c r="E28" s="120">
        <v>14275</v>
      </c>
      <c r="F28" s="9"/>
      <c r="G28" s="3">
        <v>1</v>
      </c>
      <c r="H28" s="3"/>
      <c r="I28" s="51">
        <v>0</v>
      </c>
      <c r="J28" s="3"/>
      <c r="K28" s="51"/>
      <c r="L28" s="3"/>
      <c r="M28" s="32"/>
      <c r="N28" s="3" t="s">
        <v>138</v>
      </c>
    </row>
    <row r="29" spans="1:14" x14ac:dyDescent="0.2">
      <c r="B29" s="12"/>
      <c r="C29" s="12" t="s">
        <v>28</v>
      </c>
      <c r="D29" s="9"/>
      <c r="E29" s="9"/>
      <c r="F29" s="9"/>
      <c r="G29" s="3"/>
      <c r="H29" s="3"/>
      <c r="I29" s="51"/>
      <c r="J29" s="3"/>
      <c r="K29" s="51"/>
      <c r="L29" s="3"/>
      <c r="M29" s="32"/>
      <c r="N29" s="3"/>
    </row>
    <row r="30" spans="1:14" x14ac:dyDescent="0.2">
      <c r="B30" s="12"/>
      <c r="C30" s="12" t="s">
        <v>28</v>
      </c>
      <c r="D30" s="9"/>
      <c r="E30" s="9"/>
      <c r="F30" s="9"/>
      <c r="G30" s="3"/>
      <c r="H30" s="3"/>
      <c r="I30" s="51"/>
      <c r="J30" s="3"/>
      <c r="K30" s="51"/>
      <c r="L30" s="3"/>
      <c r="M30" s="32"/>
      <c r="N30" s="3"/>
    </row>
    <row r="31" spans="1:14" x14ac:dyDescent="0.2">
      <c r="B31" s="12"/>
      <c r="C31" s="12" t="s">
        <v>28</v>
      </c>
      <c r="D31" s="9"/>
      <c r="E31" s="9"/>
      <c r="F31" s="9"/>
      <c r="G31" s="3"/>
      <c r="H31" s="3"/>
      <c r="I31" s="51"/>
      <c r="J31" s="3"/>
      <c r="K31" s="51"/>
      <c r="L31" s="3"/>
      <c r="M31" s="32"/>
      <c r="N31" s="3"/>
    </row>
    <row r="32" spans="1:14" x14ac:dyDescent="0.2">
      <c r="B32" s="12"/>
      <c r="C32" s="12" t="s">
        <v>28</v>
      </c>
      <c r="D32" s="9"/>
      <c r="E32" s="9"/>
      <c r="F32" s="9"/>
      <c r="G32" s="3"/>
      <c r="H32" s="3"/>
      <c r="I32" s="51"/>
      <c r="J32" s="3"/>
      <c r="K32" s="51"/>
      <c r="L32" s="3"/>
      <c r="M32" s="32"/>
      <c r="N32" s="3"/>
    </row>
    <row r="33" spans="2:14" x14ac:dyDescent="0.2">
      <c r="B33" s="12"/>
      <c r="C33" s="12" t="s">
        <v>28</v>
      </c>
      <c r="D33" s="9"/>
      <c r="E33" s="9"/>
      <c r="F33" s="9"/>
      <c r="G33" s="3"/>
      <c r="H33" s="3"/>
      <c r="I33" s="51"/>
      <c r="J33" s="3"/>
      <c r="K33" s="51"/>
      <c r="L33" s="3"/>
      <c r="M33" s="32"/>
      <c r="N33" s="3"/>
    </row>
    <row r="34" spans="2:14" x14ac:dyDescent="0.2">
      <c r="B34" s="12"/>
      <c r="C34" s="12" t="s">
        <v>28</v>
      </c>
      <c r="D34" s="9"/>
      <c r="E34" s="9"/>
      <c r="F34" s="9"/>
      <c r="G34" s="3"/>
      <c r="H34" s="3"/>
      <c r="I34" s="51"/>
      <c r="J34" s="3"/>
      <c r="K34" s="51"/>
      <c r="L34" s="3"/>
      <c r="M34" s="32"/>
      <c r="N34" s="3"/>
    </row>
    <row r="35" spans="2:14" x14ac:dyDescent="0.2">
      <c r="B35" s="12"/>
      <c r="C35" s="12" t="s">
        <v>28</v>
      </c>
      <c r="D35" s="9"/>
      <c r="E35" s="9"/>
      <c r="F35" s="9"/>
      <c r="G35" s="3"/>
      <c r="H35" s="3"/>
      <c r="I35" s="51"/>
      <c r="J35" s="3"/>
      <c r="K35" s="51"/>
      <c r="L35" s="3"/>
      <c r="M35" s="32"/>
      <c r="N35" s="3"/>
    </row>
    <row r="36" spans="2:14" x14ac:dyDescent="0.2">
      <c r="B36" s="12"/>
      <c r="C36" s="12" t="s">
        <v>28</v>
      </c>
      <c r="D36" s="9"/>
      <c r="E36" s="9"/>
      <c r="F36" s="9"/>
      <c r="G36" s="3"/>
      <c r="H36" s="3"/>
      <c r="I36" s="51"/>
      <c r="J36" s="32"/>
      <c r="K36" s="51"/>
      <c r="L36" s="32"/>
      <c r="M36" s="32"/>
      <c r="N36" s="5"/>
    </row>
    <row r="37" spans="2:14" x14ac:dyDescent="0.2">
      <c r="B37" s="12"/>
      <c r="C37" s="12" t="s">
        <v>28</v>
      </c>
      <c r="D37" s="9"/>
      <c r="E37" s="9"/>
      <c r="F37" s="9"/>
      <c r="G37" s="3"/>
      <c r="H37" s="3"/>
      <c r="I37" s="51"/>
      <c r="J37" s="3"/>
      <c r="K37" s="51"/>
      <c r="L37" s="3"/>
      <c r="M37" s="32"/>
      <c r="N37" s="3"/>
    </row>
    <row r="38" spans="2:14" x14ac:dyDescent="0.2">
      <c r="B38" s="12"/>
      <c r="C38" s="12" t="s">
        <v>28</v>
      </c>
      <c r="D38" s="9"/>
      <c r="E38" s="9"/>
      <c r="F38" s="9"/>
      <c r="G38" s="3"/>
      <c r="H38" s="3"/>
      <c r="I38" s="51"/>
      <c r="J38" s="3"/>
      <c r="K38" s="51"/>
      <c r="L38" s="3"/>
      <c r="M38" s="32"/>
      <c r="N38" s="3"/>
    </row>
    <row r="39" spans="2:14" x14ac:dyDescent="0.2">
      <c r="B39" s="12"/>
      <c r="C39" s="12" t="s">
        <v>28</v>
      </c>
      <c r="D39" s="9"/>
      <c r="E39" s="9"/>
      <c r="F39" s="9"/>
      <c r="G39" s="3"/>
      <c r="H39" s="3"/>
      <c r="I39" s="51"/>
      <c r="J39" s="32"/>
      <c r="K39" s="51"/>
      <c r="L39" s="32"/>
      <c r="M39" s="32"/>
      <c r="N39" s="5"/>
    </row>
    <row r="40" spans="2:14" x14ac:dyDescent="0.2">
      <c r="B40" s="12"/>
      <c r="C40" s="12" t="s">
        <v>28</v>
      </c>
      <c r="D40" s="9"/>
      <c r="E40" s="9"/>
      <c r="F40" s="9"/>
      <c r="G40" s="3"/>
      <c r="H40" s="3"/>
      <c r="I40" s="51"/>
      <c r="J40" s="32"/>
      <c r="K40" s="51"/>
      <c r="L40" s="32"/>
      <c r="M40" s="32"/>
      <c r="N40" s="5"/>
    </row>
    <row r="41" spans="2:14" x14ac:dyDescent="0.2">
      <c r="B41" s="12"/>
      <c r="C41" s="12" t="s">
        <v>28</v>
      </c>
      <c r="D41" s="9"/>
      <c r="E41" s="9"/>
      <c r="F41" s="9"/>
      <c r="G41" s="3"/>
      <c r="H41" s="3"/>
      <c r="I41" s="51"/>
      <c r="J41" s="3"/>
      <c r="K41" s="51"/>
      <c r="L41" s="3"/>
      <c r="M41" s="32"/>
      <c r="N41" s="3"/>
    </row>
    <row r="42" spans="2:14" x14ac:dyDescent="0.2">
      <c r="B42" s="12"/>
      <c r="C42" s="12" t="s">
        <v>28</v>
      </c>
      <c r="D42" s="9"/>
      <c r="E42" s="9"/>
      <c r="F42" s="9"/>
      <c r="G42" s="3"/>
      <c r="H42" s="3"/>
      <c r="I42" s="51"/>
      <c r="J42" s="3"/>
      <c r="K42" s="51"/>
      <c r="L42" s="3"/>
      <c r="M42" s="32"/>
      <c r="N42" s="3"/>
    </row>
    <row r="43" spans="2:14" x14ac:dyDescent="0.2">
      <c r="B43" s="12"/>
      <c r="C43" s="12" t="s">
        <v>28</v>
      </c>
      <c r="D43" s="9"/>
      <c r="E43" s="9"/>
      <c r="F43" s="9"/>
      <c r="G43" s="3"/>
      <c r="H43" s="3"/>
      <c r="I43" s="51"/>
      <c r="J43" s="3"/>
      <c r="K43" s="51"/>
      <c r="L43" s="3"/>
      <c r="M43" s="32"/>
      <c r="N43" s="3"/>
    </row>
    <row r="44" spans="2:14" x14ac:dyDescent="0.2">
      <c r="B44" s="12"/>
      <c r="C44" s="12" t="s">
        <v>28</v>
      </c>
      <c r="D44" s="9"/>
      <c r="E44" s="9"/>
      <c r="F44" s="9"/>
      <c r="G44" s="3"/>
      <c r="H44" s="3"/>
      <c r="I44" s="51"/>
      <c r="J44" s="32"/>
      <c r="K44" s="51"/>
      <c r="L44" s="32"/>
      <c r="M44" s="32"/>
      <c r="N44" s="5"/>
    </row>
    <row r="45" spans="2:14" x14ac:dyDescent="0.2">
      <c r="B45" s="13"/>
      <c r="C45" s="12" t="s">
        <v>28</v>
      </c>
      <c r="D45" s="9"/>
      <c r="E45" s="9"/>
      <c r="F45" s="9"/>
      <c r="G45" s="3"/>
      <c r="H45" s="3"/>
      <c r="I45" s="51"/>
      <c r="J45" s="3"/>
      <c r="K45" s="51"/>
      <c r="L45" s="3"/>
      <c r="M45" s="32"/>
      <c r="N45" s="3"/>
    </row>
    <row r="46" spans="2:14" x14ac:dyDescent="0.2">
      <c r="B46" s="13"/>
      <c r="C46" s="12" t="s">
        <v>28</v>
      </c>
      <c r="D46" s="9"/>
      <c r="E46" s="9"/>
      <c r="F46" s="9"/>
      <c r="G46" s="3"/>
      <c r="H46" s="3"/>
      <c r="I46" s="51"/>
      <c r="J46" s="3"/>
      <c r="K46" s="51"/>
      <c r="L46" s="3"/>
      <c r="M46" s="32"/>
      <c r="N46" s="3"/>
    </row>
    <row r="47" spans="2:14" x14ac:dyDescent="0.2">
      <c r="B47" s="12"/>
      <c r="C47" s="12" t="s">
        <v>28</v>
      </c>
      <c r="D47" s="9"/>
      <c r="E47" s="9"/>
      <c r="F47" s="9"/>
      <c r="G47" s="3"/>
      <c r="H47" s="3"/>
      <c r="I47" s="51"/>
      <c r="J47" s="32"/>
      <c r="K47" s="51"/>
      <c r="L47" s="32"/>
      <c r="M47" s="32"/>
      <c r="N47" s="5"/>
    </row>
    <row r="48" spans="2:14" x14ac:dyDescent="0.2">
      <c r="B48" s="12"/>
      <c r="C48" s="12" t="s">
        <v>28</v>
      </c>
      <c r="D48" s="9"/>
      <c r="E48" s="9"/>
      <c r="F48" s="9"/>
      <c r="G48" s="3"/>
      <c r="H48" s="3"/>
      <c r="I48" s="51"/>
      <c r="J48" s="3"/>
      <c r="K48" s="51"/>
      <c r="L48" s="3"/>
      <c r="M48" s="32"/>
      <c r="N48" s="3"/>
    </row>
    <row r="49" spans="2:14" x14ac:dyDescent="0.2">
      <c r="B49" s="12"/>
      <c r="C49" s="12" t="s">
        <v>28</v>
      </c>
      <c r="D49" s="9"/>
      <c r="E49" s="9"/>
      <c r="F49" s="9"/>
      <c r="G49" s="3"/>
      <c r="H49" s="3"/>
      <c r="I49" s="51"/>
      <c r="J49" s="32"/>
      <c r="K49" s="51"/>
      <c r="L49" s="32"/>
      <c r="M49" s="32"/>
      <c r="N49" s="5"/>
    </row>
    <row r="50" spans="2:14" x14ac:dyDescent="0.2">
      <c r="B50" s="12"/>
      <c r="C50" s="12" t="s">
        <v>28</v>
      </c>
      <c r="D50" s="9"/>
      <c r="E50" s="9"/>
      <c r="F50" s="9"/>
      <c r="G50" s="3"/>
      <c r="H50" s="3"/>
      <c r="I50" s="32"/>
      <c r="J50" s="32"/>
      <c r="K50" s="51"/>
      <c r="L50" s="32"/>
      <c r="M50" s="32"/>
      <c r="N50" s="5"/>
    </row>
    <row r="51" spans="2:14" x14ac:dyDescent="0.2">
      <c r="B51" s="14"/>
      <c r="C51" s="12" t="s">
        <v>28</v>
      </c>
      <c r="D51" s="10"/>
      <c r="E51" s="36"/>
      <c r="F51" s="36"/>
      <c r="G51" s="6"/>
      <c r="H51" s="6"/>
      <c r="I51" s="51"/>
      <c r="J51" s="6"/>
      <c r="K51" s="51"/>
      <c r="L51" s="6"/>
      <c r="M51" s="32"/>
      <c r="N51" s="5"/>
    </row>
    <row r="52" spans="2:14" x14ac:dyDescent="0.2">
      <c r="B52" s="14"/>
      <c r="C52" s="12" t="s">
        <v>28</v>
      </c>
      <c r="D52" s="10"/>
      <c r="E52" s="36"/>
      <c r="F52" s="36"/>
      <c r="G52" s="6"/>
      <c r="H52" s="6"/>
      <c r="I52" s="51"/>
      <c r="J52" s="6"/>
      <c r="K52" s="51"/>
      <c r="L52" s="6"/>
      <c r="M52" s="32"/>
      <c r="N52" s="5"/>
    </row>
    <row r="53" spans="2:14" x14ac:dyDescent="0.2">
      <c r="B53" s="12"/>
      <c r="C53" s="12" t="s">
        <v>28</v>
      </c>
      <c r="D53" s="9"/>
      <c r="E53" s="9"/>
      <c r="F53" s="9"/>
      <c r="G53" s="3"/>
      <c r="H53" s="3"/>
      <c r="I53" s="51"/>
      <c r="J53" s="3"/>
      <c r="K53" s="51"/>
      <c r="L53" s="3"/>
      <c r="M53" s="32"/>
      <c r="N53" s="3"/>
    </row>
    <row r="54" spans="2:14" x14ac:dyDescent="0.2">
      <c r="B54" s="12" t="s">
        <v>140</v>
      </c>
      <c r="C54" s="12" t="s">
        <v>28</v>
      </c>
      <c r="D54" s="9" t="s">
        <v>16</v>
      </c>
      <c r="E54" s="9" t="s">
        <v>101</v>
      </c>
      <c r="F54" s="9"/>
      <c r="G54" s="3">
        <v>2</v>
      </c>
      <c r="H54" s="3"/>
      <c r="I54" s="51">
        <v>100</v>
      </c>
      <c r="J54" s="3"/>
      <c r="K54" s="51">
        <v>100</v>
      </c>
      <c r="L54" s="3"/>
      <c r="M54" s="32"/>
      <c r="N54" s="5"/>
    </row>
    <row r="55" spans="2:14" x14ac:dyDescent="0.2">
      <c r="B55" s="12"/>
      <c r="C55" s="12" t="s">
        <v>28</v>
      </c>
      <c r="D55" s="9"/>
      <c r="E55" s="9"/>
      <c r="F55" s="9"/>
      <c r="G55" s="3"/>
      <c r="H55" s="3"/>
      <c r="I55" s="51"/>
      <c r="J55" s="3"/>
      <c r="K55" s="51"/>
      <c r="L55" s="3"/>
      <c r="M55" s="62"/>
      <c r="N55" s="5"/>
    </row>
    <row r="56" spans="2:14" ht="24" x14ac:dyDescent="0.2">
      <c r="B56" s="77" t="s">
        <v>37</v>
      </c>
      <c r="C56" s="12"/>
      <c r="D56" s="10"/>
      <c r="E56" s="10"/>
      <c r="F56" s="10"/>
      <c r="G56" s="10">
        <f>SUM(G15:G52)</f>
        <v>29</v>
      </c>
      <c r="H56" s="10"/>
      <c r="I56" s="28">
        <f>SUM(I9:I52)</f>
        <v>1204.68</v>
      </c>
      <c r="J56" s="28"/>
      <c r="K56" s="28">
        <f>SUM(K9:K52)</f>
        <v>913.34</v>
      </c>
      <c r="L56" s="29"/>
      <c r="M56" s="70">
        <f>SUM(M15:M53)</f>
        <v>300</v>
      </c>
      <c r="N56" s="84"/>
    </row>
    <row r="57" spans="2:14" x14ac:dyDescent="0.2">
      <c r="B57" s="78" t="s">
        <v>89</v>
      </c>
      <c r="C57" s="12"/>
      <c r="D57" s="78"/>
      <c r="E57" s="78"/>
      <c r="F57" s="78"/>
      <c r="G57" s="78"/>
      <c r="H57" s="78"/>
      <c r="I57" s="79">
        <f>I56</f>
        <v>1204.68</v>
      </c>
      <c r="J57" s="79"/>
      <c r="K57" s="79">
        <f>K56</f>
        <v>913.34</v>
      </c>
      <c r="L57" s="79"/>
      <c r="M57" s="81">
        <f>M56</f>
        <v>300</v>
      </c>
      <c r="N57" s="80"/>
    </row>
    <row r="58" spans="2:14" x14ac:dyDescent="0.2">
      <c r="B58" s="12"/>
      <c r="C58" s="12"/>
      <c r="D58" s="9"/>
      <c r="E58" s="9"/>
      <c r="F58" s="3"/>
      <c r="G58" s="3"/>
      <c r="H58" s="3"/>
      <c r="I58" s="32"/>
      <c r="J58" s="32"/>
      <c r="K58" s="32"/>
      <c r="L58" s="32"/>
      <c r="M58" s="32"/>
      <c r="N58" s="5"/>
    </row>
    <row r="59" spans="2:14" x14ac:dyDescent="0.2">
      <c r="B59" s="12"/>
      <c r="C59" s="14"/>
      <c r="D59" s="9"/>
      <c r="E59" s="9"/>
      <c r="F59" s="3"/>
      <c r="G59" s="3"/>
      <c r="H59" s="3"/>
      <c r="I59" s="32"/>
      <c r="J59" s="32"/>
      <c r="K59" s="32"/>
      <c r="L59" s="32"/>
      <c r="M59" s="32"/>
      <c r="N59" s="6"/>
    </row>
    <row r="60" spans="2:14" x14ac:dyDescent="0.2">
      <c r="B60" s="12"/>
      <c r="C60" s="14"/>
      <c r="D60" s="9"/>
      <c r="E60" s="9"/>
      <c r="F60" s="3"/>
      <c r="G60" s="3"/>
      <c r="H60" s="3"/>
      <c r="I60" s="32"/>
      <c r="J60" s="32"/>
      <c r="K60" s="32"/>
      <c r="L60" s="32"/>
      <c r="M60" s="32"/>
      <c r="N60" s="6"/>
    </row>
    <row r="61" spans="2:14" x14ac:dyDescent="0.2">
      <c r="B61" s="12"/>
      <c r="C61" s="12"/>
      <c r="D61" s="9"/>
      <c r="E61" s="9"/>
      <c r="F61" s="3"/>
      <c r="G61" s="3"/>
      <c r="H61" s="3"/>
      <c r="I61" s="32"/>
      <c r="J61" s="32"/>
      <c r="K61" s="32"/>
      <c r="L61" s="32"/>
      <c r="M61" s="32"/>
      <c r="N61" s="6"/>
    </row>
    <row r="62" spans="2:14" x14ac:dyDescent="0.2">
      <c r="B62" s="12"/>
      <c r="C62" s="12"/>
      <c r="D62" s="9"/>
      <c r="E62" s="9"/>
      <c r="F62" s="3"/>
      <c r="G62" s="3"/>
      <c r="H62" s="3"/>
      <c r="I62" s="32"/>
      <c r="J62" s="32"/>
      <c r="K62" s="32"/>
      <c r="L62" s="32"/>
      <c r="M62" s="32"/>
      <c r="N62" s="6"/>
    </row>
    <row r="63" spans="2:14" x14ac:dyDescent="0.2">
      <c r="B63" s="12"/>
      <c r="C63" s="12"/>
      <c r="D63" s="9"/>
      <c r="E63" s="9"/>
      <c r="F63" s="3"/>
      <c r="G63" s="3"/>
      <c r="H63" s="3"/>
      <c r="I63" s="32"/>
      <c r="J63" s="32"/>
      <c r="K63" s="32"/>
      <c r="L63" s="32"/>
      <c r="M63" s="32"/>
      <c r="N63" s="6"/>
    </row>
  </sheetData>
  <mergeCells count="2">
    <mergeCell ref="F2:M3"/>
    <mergeCell ref="A9:A13"/>
  </mergeCells>
  <conditionalFormatting sqref="H9:H15 J9:J16 H18:H55 J18:J22 J24:J55 L9:L55">
    <cfRule type="containsText" dxfId="311" priority="8" operator="containsText" text="CB">
      <formula>NOT(ISERROR(SEARCH("CB",H9)))</formula>
    </cfRule>
    <cfRule type="containsText" dxfId="310" priority="9" operator="containsText" text="Espèces">
      <formula>NOT(ISERROR(SEARCH("Espèces",H9)))</formula>
    </cfRule>
    <cfRule type="containsText" dxfId="309" priority="10" operator="containsText" text="Virement">
      <formula>NOT(ISERROR(SEARCH("Virement",H9)))</formula>
    </cfRule>
    <cfRule type="containsText" dxfId="308" priority="12" operator="containsText" text="Chèque">
      <formula>NOT(ISERROR(SEARCH("Chèque",H9)))</formula>
    </cfRule>
    <cfRule type="containsText" dxfId="307" priority="13" operator="containsText" text="GYG">
      <formula>NOT(ISERROR(SEARCH("GYG",H9)))</formula>
    </cfRule>
    <cfRule type="containsText" dxfId="306" priority="14" operator="containsText" text="Viator">
      <formula>NOT(ISERROR(SEARCH("Viator",H9)))</formula>
    </cfRule>
  </conditionalFormatting>
  <conditionalFormatting sqref="H9:H15 J9:J16 H18:H54 J18:J22 J24:J54 L9:L54">
    <cfRule type="containsText" dxfId="305" priority="11" operator="containsText" text="Chèque">
      <formula>NOT(ISERROR(SEARCH("Chèque",H9)))</formula>
    </cfRule>
  </conditionalFormatting>
  <conditionalFormatting sqref="J17 H17">
    <cfRule type="containsText" dxfId="304" priority="1" operator="containsText" text="CB">
      <formula>NOT(ISERROR(SEARCH("CB",H17)))</formula>
    </cfRule>
    <cfRule type="containsText" dxfId="303" priority="2" operator="containsText" text="Espèces">
      <formula>NOT(ISERROR(SEARCH("Espèces",H17)))</formula>
    </cfRule>
    <cfRule type="containsText" dxfId="302" priority="3" operator="containsText" text="Virement">
      <formula>NOT(ISERROR(SEARCH("Virement",H17)))</formula>
    </cfRule>
    <cfRule type="containsText" dxfId="301" priority="5" operator="containsText" text="Chèque">
      <formula>NOT(ISERROR(SEARCH("Chèque",H17)))</formula>
    </cfRule>
    <cfRule type="containsText" dxfId="300" priority="6" operator="containsText" text="GYG">
      <formula>NOT(ISERROR(SEARCH("GYG",H17)))</formula>
    </cfRule>
    <cfRule type="containsText" dxfId="299" priority="7" operator="containsText" text="Viator">
      <formula>NOT(ISERROR(SEARCH("Viator",H17)))</formula>
    </cfRule>
  </conditionalFormatting>
  <conditionalFormatting sqref="J17 H17">
    <cfRule type="containsText" dxfId="298" priority="4" operator="containsText" text="Chèque">
      <formula>NOT(ISERROR(SEARCH("Chèque",H17)))</formula>
    </cfRule>
  </conditionalFormatting>
  <dataValidations count="7">
    <dataValidation type="list" allowBlank="1" showInputMessage="1" showErrorMessage="1" sqref="E1:E3 D57:E57 D1:D7" xr:uid="{63C48ABA-120F-2F4A-9C17-D9F6F7D6CA01}">
      <formula1>"9h-11h, 9h-13h, 9h-17h, 9h30-11h30, 10h-12h, 11h30-13h30, 13h-17h, 14h-16h, 14h-18h, 16h30-18h30, "</formula1>
    </dataValidation>
    <dataValidation type="date" allowBlank="1" showInputMessage="1" showErrorMessage="1" sqref="O8:O54 B2:C7 B56" xr:uid="{9D0896AF-AF37-8E45-99EE-FF44A4493273}">
      <formula1>45352</formula1>
      <formula2>45412</formula2>
    </dataValidation>
    <dataValidation type="list" allowBlank="1" showInputMessage="1" showErrorMessage="1" promptTitle="Durée de la visite à sélectionne" sqref="H57 G9 G11:G12 G14:G57" xr:uid="{9EAF5BDA-18E3-9245-971D-B63B0D6EBDBF}">
      <formula1>"1,2,3,4,5,6,7,8,9,10"</formula1>
    </dataValidation>
    <dataValidation type="list" allowBlank="1" showInputMessage="1" sqref="K12:K14" xr:uid="{F77C458E-F671-5749-AA40-195BCAA28F08}">
      <formula1>Couleurs1</formula1>
    </dataValidation>
    <dataValidation allowBlank="1" showInputMessage="1" showErrorMessage="1" promptTitle="Durée de la visite à sélectionne" sqref="H56" xr:uid="{42C1D26B-5474-9940-B6FF-9B543F2327AC}"/>
    <dataValidation type="list" allowBlank="1" showInputMessage="1" showErrorMessage="1" promptTitle="Durée de la visite à sélectionne" sqref="H9:H15 H17:H55 L9:L55 J9:J22 J24:J55" xr:uid="{D71EEBD5-D9D4-A845-80F5-7E6125AAC9D1}">
      <formula1>"Chèque, Espèces, Virement, Viator, CB, GYG"</formula1>
    </dataValidation>
    <dataValidation type="list" allowBlank="1" showInputMessage="1" showErrorMessage="1" sqref="C9:C56" xr:uid="{6C5188BC-E249-8B48-A110-3709964F28D2}">
      <formula1>"AVRIL, MAI, JUIN , JUILLET, AOUT, SEPT, OCT, NOV, DEC, JANV, FEV, MARS"</formula1>
    </dataValidation>
  </dataValidations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1911ED-CB11-B746-89E9-3001933E7E16}">
  <sheetPr>
    <tabColor theme="8" tint="-0.249977111117893"/>
  </sheetPr>
  <dimension ref="B1:M37"/>
  <sheetViews>
    <sheetView topLeftCell="A2" zoomScale="89" zoomScaleNormal="66" workbookViewId="0">
      <selection activeCell="F9" sqref="F9"/>
    </sheetView>
  </sheetViews>
  <sheetFormatPr baseColWidth="10" defaultRowHeight="16" x14ac:dyDescent="0.2"/>
  <cols>
    <col min="5" max="5" width="18.83203125" customWidth="1"/>
    <col min="6" max="6" width="16.33203125" customWidth="1"/>
    <col min="8" max="8" width="19" customWidth="1"/>
    <col min="9" max="9" width="21.5" customWidth="1"/>
    <col min="12" max="12" width="14.1640625" customWidth="1"/>
    <col min="13" max="13" width="14.83203125" customWidth="1"/>
  </cols>
  <sheetData>
    <row r="1" spans="2:13" ht="17" thickBot="1" x14ac:dyDescent="0.25"/>
    <row r="2" spans="2:13" x14ac:dyDescent="0.2">
      <c r="B2" s="170" t="s">
        <v>41</v>
      </c>
      <c r="C2" s="171"/>
      <c r="D2" s="171"/>
      <c r="E2" s="171"/>
      <c r="F2" s="171"/>
      <c r="G2" s="171"/>
      <c r="H2" s="171"/>
      <c r="I2" s="172"/>
    </row>
    <row r="3" spans="2:13" ht="17" thickBot="1" x14ac:dyDescent="0.25">
      <c r="B3" s="173"/>
      <c r="C3" s="174"/>
      <c r="D3" s="174"/>
      <c r="E3" s="174"/>
      <c r="F3" s="174"/>
      <c r="G3" s="174"/>
      <c r="H3" s="174"/>
      <c r="I3" s="175"/>
    </row>
    <row r="4" spans="2:13" ht="25" thickBot="1" x14ac:dyDescent="0.25">
      <c r="B4" s="42"/>
      <c r="C4" s="42"/>
      <c r="D4" s="42"/>
      <c r="E4" s="42"/>
      <c r="F4" s="42"/>
      <c r="G4" s="42"/>
      <c r="H4" s="42"/>
      <c r="I4" s="42"/>
    </row>
    <row r="5" spans="2:13" ht="24" x14ac:dyDescent="0.2">
      <c r="B5" s="42"/>
      <c r="C5" s="42"/>
      <c r="D5" s="42"/>
      <c r="E5" s="42"/>
      <c r="F5" s="176">
        <f>SUM(F8:F37)</f>
        <v>8667.56</v>
      </c>
      <c r="G5" s="42"/>
      <c r="H5" s="178">
        <f>SUM(H8:H37)</f>
        <v>8667.56</v>
      </c>
      <c r="I5" s="180">
        <f>SUM(I8:I37)</f>
        <v>-1576</v>
      </c>
    </row>
    <row r="6" spans="2:13" ht="25" thickBot="1" x14ac:dyDescent="0.25">
      <c r="B6" s="42"/>
      <c r="C6" s="42"/>
      <c r="D6" s="42"/>
      <c r="E6" s="42"/>
      <c r="F6" s="177"/>
      <c r="G6" s="42"/>
      <c r="H6" s="179"/>
      <c r="I6" s="181"/>
    </row>
    <row r="7" spans="2:13" ht="19" x14ac:dyDescent="0.2">
      <c r="B7" s="44" t="s">
        <v>0</v>
      </c>
      <c r="C7" s="44" t="s">
        <v>42</v>
      </c>
      <c r="D7" s="44" t="s">
        <v>39</v>
      </c>
      <c r="E7" s="44" t="s">
        <v>76</v>
      </c>
      <c r="F7" s="45" t="s">
        <v>77</v>
      </c>
      <c r="G7" s="47" t="s">
        <v>62</v>
      </c>
      <c r="H7" s="97" t="s">
        <v>78</v>
      </c>
      <c r="I7" s="98" t="s">
        <v>75</v>
      </c>
      <c r="J7" s="7"/>
    </row>
    <row r="8" spans="2:13" x14ac:dyDescent="0.2">
      <c r="B8" s="15"/>
      <c r="C8" s="15"/>
      <c r="D8" s="15" t="s">
        <v>67</v>
      </c>
      <c r="E8" s="15" t="s">
        <v>72</v>
      </c>
      <c r="F8" s="37">
        <v>544</v>
      </c>
      <c r="G8" s="33">
        <v>0</v>
      </c>
      <c r="H8" s="34">
        <f t="shared" ref="H8:H16" si="0">F8/(1+G8)</f>
        <v>544</v>
      </c>
      <c r="I8" s="43">
        <f t="shared" ref="I8:I13" si="1">F8-H8</f>
        <v>0</v>
      </c>
      <c r="J8" s="7"/>
      <c r="K8" s="96" t="s">
        <v>36</v>
      </c>
      <c r="L8" s="20">
        <f>SUMIF(Tableau3381012[Mode de dépense],K8,Tableau3381012[Charge TTC])</f>
        <v>5903</v>
      </c>
      <c r="M8" s="35">
        <f>L8</f>
        <v>5903</v>
      </c>
    </row>
    <row r="9" spans="2:13" x14ac:dyDescent="0.2">
      <c r="B9" s="15"/>
      <c r="C9" s="15"/>
      <c r="D9" s="15" t="s">
        <v>68</v>
      </c>
      <c r="E9" s="15" t="s">
        <v>72</v>
      </c>
      <c r="F9" s="37">
        <v>459.26</v>
      </c>
      <c r="G9" s="33">
        <v>0</v>
      </c>
      <c r="H9" s="34">
        <f t="shared" si="0"/>
        <v>459.26</v>
      </c>
      <c r="I9" s="43">
        <f t="shared" si="1"/>
        <v>0</v>
      </c>
      <c r="J9" s="7"/>
      <c r="K9" s="90" t="s">
        <v>47</v>
      </c>
      <c r="L9" s="20">
        <f>SUMIF(Tableau3381012[Mode de dépense],K9,Tableau3381012[Charge TTC])</f>
        <v>0</v>
      </c>
      <c r="M9" s="35">
        <f>L9/1.2</f>
        <v>0</v>
      </c>
    </row>
    <row r="10" spans="2:13" x14ac:dyDescent="0.2">
      <c r="B10" s="15"/>
      <c r="C10" s="15"/>
      <c r="D10" s="15" t="s">
        <v>69</v>
      </c>
      <c r="E10" s="15" t="s">
        <v>71</v>
      </c>
      <c r="F10" s="30">
        <v>24.8</v>
      </c>
      <c r="G10" s="33">
        <v>0</v>
      </c>
      <c r="H10" s="34">
        <f t="shared" si="0"/>
        <v>24.8</v>
      </c>
      <c r="I10" s="43">
        <f t="shared" si="1"/>
        <v>0</v>
      </c>
      <c r="J10" s="7"/>
      <c r="K10" s="91" t="s">
        <v>71</v>
      </c>
      <c r="L10" s="20">
        <f>SUMIF(Tableau3381012[Mode de dépense],K10,Tableau3381012[Charge TTC])</f>
        <v>75.3</v>
      </c>
      <c r="M10" s="35"/>
    </row>
    <row r="11" spans="2:13" x14ac:dyDescent="0.2">
      <c r="B11" s="15"/>
      <c r="C11" s="15"/>
      <c r="D11" s="15" t="s">
        <v>70</v>
      </c>
      <c r="E11" s="15" t="s">
        <v>71</v>
      </c>
      <c r="F11" s="30">
        <v>20.51</v>
      </c>
      <c r="G11" s="33">
        <v>0</v>
      </c>
      <c r="H11" s="34">
        <f t="shared" si="0"/>
        <v>20.51</v>
      </c>
      <c r="I11" s="43">
        <f t="shared" si="1"/>
        <v>0</v>
      </c>
      <c r="J11" s="7"/>
      <c r="K11" s="99" t="s">
        <v>48</v>
      </c>
      <c r="L11" s="20">
        <f>SUMIF(Tableau3381012[Mode de dépense],K11,Tableau3381012[Charge TTC])</f>
        <v>0</v>
      </c>
      <c r="M11" s="35">
        <f>L11/1.2</f>
        <v>0</v>
      </c>
    </row>
    <row r="12" spans="2:13" x14ac:dyDescent="0.2">
      <c r="B12" s="15"/>
      <c r="C12" s="15"/>
      <c r="D12" s="15" t="s">
        <v>70</v>
      </c>
      <c r="E12" s="15" t="s">
        <v>71</v>
      </c>
      <c r="F12" s="25">
        <v>19.989999999999998</v>
      </c>
      <c r="G12" s="33">
        <v>0</v>
      </c>
      <c r="H12" s="34">
        <f t="shared" si="0"/>
        <v>19.989999999999998</v>
      </c>
      <c r="I12" s="43">
        <f t="shared" si="1"/>
        <v>0</v>
      </c>
      <c r="J12" s="7"/>
      <c r="K12" s="100" t="s">
        <v>49</v>
      </c>
      <c r="L12" s="20">
        <f>SUMIF(Tableau3381012[Mode de dépense],K12,Tableau3381012[Charge TTC])</f>
        <v>0</v>
      </c>
      <c r="M12" s="35">
        <f>L12/1.2</f>
        <v>0</v>
      </c>
    </row>
    <row r="13" spans="2:13" x14ac:dyDescent="0.2">
      <c r="B13" s="19"/>
      <c r="C13" s="15"/>
      <c r="D13" s="15" t="s">
        <v>79</v>
      </c>
      <c r="E13" s="15" t="s">
        <v>71</v>
      </c>
      <c r="F13" s="25">
        <v>10</v>
      </c>
      <c r="G13" s="33">
        <v>0</v>
      </c>
      <c r="H13" s="34">
        <f t="shared" si="0"/>
        <v>10</v>
      </c>
      <c r="I13" s="43">
        <f t="shared" si="1"/>
        <v>0</v>
      </c>
      <c r="J13" s="7"/>
      <c r="K13" s="101" t="s">
        <v>50</v>
      </c>
      <c r="L13" s="20">
        <f>SUMIF(Tableau3381012[Mode de dépense],K13,Tableau3381012[Charge TTC])</f>
        <v>0</v>
      </c>
      <c r="M13" s="35">
        <f>L13/1.2</f>
        <v>0</v>
      </c>
    </row>
    <row r="14" spans="2:13" x14ac:dyDescent="0.2">
      <c r="B14" s="19"/>
      <c r="C14" s="15"/>
      <c r="D14" s="15" t="s">
        <v>153</v>
      </c>
      <c r="E14" s="15" t="s">
        <v>153</v>
      </c>
      <c r="F14" s="25">
        <v>1586</v>
      </c>
      <c r="G14" s="33">
        <v>0</v>
      </c>
      <c r="H14" s="34">
        <f t="shared" si="0"/>
        <v>1586</v>
      </c>
      <c r="I14" s="43">
        <f>F13-H14</f>
        <v>-1576</v>
      </c>
      <c r="J14" s="7"/>
      <c r="K14" s="92" t="s">
        <v>52</v>
      </c>
      <c r="L14" s="20">
        <f>SUMIF(Tableau3381012[Mode de dépense],K14,Tableau3381012[Charge TTC])</f>
        <v>0</v>
      </c>
      <c r="M14" s="35">
        <f>L14</f>
        <v>0</v>
      </c>
    </row>
    <row r="15" spans="2:13" x14ac:dyDescent="0.2">
      <c r="B15" s="19"/>
      <c r="C15" s="15"/>
      <c r="D15" s="15" t="s">
        <v>3</v>
      </c>
      <c r="E15" s="15" t="s">
        <v>36</v>
      </c>
      <c r="F15" s="25">
        <v>2803</v>
      </c>
      <c r="G15" s="33">
        <v>0</v>
      </c>
      <c r="H15" s="34">
        <f t="shared" si="0"/>
        <v>2803</v>
      </c>
      <c r="I15" s="43">
        <f t="shared" ref="I15:I37" si="2">F15-H15</f>
        <v>0</v>
      </c>
      <c r="J15" s="7"/>
      <c r="K15" s="93" t="s">
        <v>51</v>
      </c>
      <c r="L15" s="20">
        <f>SUMIF(Tableau3381012[Mode de dépense],K15,Tableau3381012[Charge TTC])</f>
        <v>0</v>
      </c>
      <c r="M15" s="35">
        <f>L15/1.2</f>
        <v>0</v>
      </c>
    </row>
    <row r="16" spans="2:13" x14ac:dyDescent="0.2">
      <c r="B16" s="15"/>
      <c r="C16" s="15"/>
      <c r="D16" s="15" t="s">
        <v>4</v>
      </c>
      <c r="E16" s="15" t="s">
        <v>36</v>
      </c>
      <c r="F16" s="25">
        <v>2300</v>
      </c>
      <c r="G16" s="33">
        <v>0</v>
      </c>
      <c r="H16" s="34">
        <f t="shared" si="0"/>
        <v>2300</v>
      </c>
      <c r="I16" s="43">
        <f t="shared" si="2"/>
        <v>0</v>
      </c>
      <c r="J16" s="7"/>
      <c r="K16" s="94" t="s">
        <v>60</v>
      </c>
      <c r="L16" s="20">
        <f>SUMIF(Tableau3381012[Mode de dépense],K16,Tableau3381012[Charge TTC])</f>
        <v>0</v>
      </c>
      <c r="M16" s="35">
        <f>L16/1.2</f>
        <v>0</v>
      </c>
    </row>
    <row r="17" spans="2:13" x14ac:dyDescent="0.2">
      <c r="B17" s="15"/>
      <c r="C17" s="15"/>
      <c r="D17" s="15" t="s">
        <v>2</v>
      </c>
      <c r="E17" s="15" t="s">
        <v>36</v>
      </c>
      <c r="F17" s="25">
        <v>800</v>
      </c>
      <c r="G17" s="33">
        <v>0</v>
      </c>
      <c r="H17" s="34">
        <f t="shared" ref="H17:H37" si="3">F17/((1+G17))</f>
        <v>800</v>
      </c>
      <c r="I17" s="43">
        <f t="shared" si="2"/>
        <v>0</v>
      </c>
      <c r="J17" s="7"/>
      <c r="K17" s="95" t="s">
        <v>72</v>
      </c>
      <c r="L17" s="20">
        <f>SUMIF(Tableau3381012[Mode de dépense],K17,Tableau3381012[Charge TTC])</f>
        <v>1003.26</v>
      </c>
      <c r="M17" s="35">
        <f>L17/1.2</f>
        <v>836.05000000000007</v>
      </c>
    </row>
    <row r="18" spans="2:13" x14ac:dyDescent="0.2">
      <c r="B18" s="15"/>
      <c r="C18" s="15"/>
      <c r="D18" s="15"/>
      <c r="E18" s="15"/>
      <c r="F18" s="25"/>
      <c r="G18" s="33">
        <v>0</v>
      </c>
      <c r="H18" s="34">
        <f t="shared" si="3"/>
        <v>0</v>
      </c>
      <c r="I18" s="43">
        <f t="shared" si="2"/>
        <v>0</v>
      </c>
      <c r="J18" s="7"/>
      <c r="K18" s="124" t="s">
        <v>153</v>
      </c>
      <c r="L18" s="20">
        <f>SUMIF(Tableau3381012[Mode de dépense],K18,Tableau3381012[Charge TTC])</f>
        <v>1586</v>
      </c>
      <c r="M18" s="35">
        <f>L18/1.2</f>
        <v>1321.6666666666667</v>
      </c>
    </row>
    <row r="19" spans="2:13" x14ac:dyDescent="0.2">
      <c r="B19" s="15"/>
      <c r="C19" s="15"/>
      <c r="D19" s="15"/>
      <c r="E19" s="15"/>
      <c r="F19" s="25"/>
      <c r="G19" s="33">
        <v>0</v>
      </c>
      <c r="H19" s="34">
        <f t="shared" si="3"/>
        <v>0</v>
      </c>
      <c r="I19" s="43">
        <f t="shared" si="2"/>
        <v>0</v>
      </c>
      <c r="J19" s="7"/>
    </row>
    <row r="20" spans="2:13" x14ac:dyDescent="0.2">
      <c r="B20" s="15"/>
      <c r="C20" s="15"/>
      <c r="D20" s="15"/>
      <c r="E20" s="15"/>
      <c r="F20" s="25"/>
      <c r="G20" s="33">
        <v>0</v>
      </c>
      <c r="H20" s="34">
        <f t="shared" si="3"/>
        <v>0</v>
      </c>
      <c r="I20" s="43">
        <f t="shared" si="2"/>
        <v>0</v>
      </c>
      <c r="J20" s="7"/>
    </row>
    <row r="21" spans="2:13" x14ac:dyDescent="0.2">
      <c r="B21" s="15"/>
      <c r="C21" s="15"/>
      <c r="D21" s="15"/>
      <c r="E21" s="15"/>
      <c r="F21" s="25"/>
      <c r="G21" s="33">
        <v>0</v>
      </c>
      <c r="H21" s="34">
        <f t="shared" si="3"/>
        <v>0</v>
      </c>
      <c r="I21" s="43">
        <f t="shared" si="2"/>
        <v>0</v>
      </c>
      <c r="J21" s="7"/>
    </row>
    <row r="22" spans="2:13" x14ac:dyDescent="0.2">
      <c r="B22" s="15"/>
      <c r="C22" s="15"/>
      <c r="D22" s="15"/>
      <c r="E22" s="15"/>
      <c r="F22" s="25"/>
      <c r="G22" s="33">
        <v>0</v>
      </c>
      <c r="H22" s="34">
        <f t="shared" si="3"/>
        <v>0</v>
      </c>
      <c r="I22" s="43">
        <f t="shared" si="2"/>
        <v>0</v>
      </c>
      <c r="J22" s="7"/>
    </row>
    <row r="23" spans="2:13" x14ac:dyDescent="0.2">
      <c r="B23" s="15"/>
      <c r="C23" s="15"/>
      <c r="D23" s="15"/>
      <c r="E23" s="15"/>
      <c r="F23" s="25"/>
      <c r="G23" s="33">
        <v>0</v>
      </c>
      <c r="H23" s="34">
        <f t="shared" si="3"/>
        <v>0</v>
      </c>
      <c r="I23" s="43">
        <f t="shared" si="2"/>
        <v>0</v>
      </c>
      <c r="J23" s="7"/>
    </row>
    <row r="24" spans="2:13" x14ac:dyDescent="0.2">
      <c r="B24" s="15"/>
      <c r="C24" s="15"/>
      <c r="D24" s="15"/>
      <c r="E24" s="15"/>
      <c r="F24" s="25"/>
      <c r="G24" s="33">
        <v>0</v>
      </c>
      <c r="H24" s="34">
        <f t="shared" si="3"/>
        <v>0</v>
      </c>
      <c r="I24" s="43">
        <f t="shared" si="2"/>
        <v>0</v>
      </c>
      <c r="J24" s="7"/>
    </row>
    <row r="25" spans="2:13" x14ac:dyDescent="0.2">
      <c r="B25" s="15"/>
      <c r="C25" s="15"/>
      <c r="D25" s="15"/>
      <c r="E25" s="15"/>
      <c r="F25" s="25"/>
      <c r="G25" s="33">
        <v>0</v>
      </c>
      <c r="H25" s="34">
        <f t="shared" si="3"/>
        <v>0</v>
      </c>
      <c r="I25" s="43">
        <f t="shared" si="2"/>
        <v>0</v>
      </c>
      <c r="J25" s="7"/>
    </row>
    <row r="26" spans="2:13" x14ac:dyDescent="0.2">
      <c r="B26" s="15"/>
      <c r="C26" s="15"/>
      <c r="D26" s="15"/>
      <c r="E26" s="15"/>
      <c r="F26" s="25"/>
      <c r="G26" s="33">
        <v>0</v>
      </c>
      <c r="H26" s="34">
        <f t="shared" si="3"/>
        <v>0</v>
      </c>
      <c r="I26" s="43">
        <f t="shared" si="2"/>
        <v>0</v>
      </c>
      <c r="J26" s="7"/>
    </row>
    <row r="27" spans="2:13" x14ac:dyDescent="0.2">
      <c r="B27" s="15"/>
      <c r="C27" s="15"/>
      <c r="D27" s="15"/>
      <c r="E27" s="15"/>
      <c r="F27" s="25"/>
      <c r="G27" s="33">
        <v>0</v>
      </c>
      <c r="H27" s="34">
        <f t="shared" si="3"/>
        <v>0</v>
      </c>
      <c r="I27" s="43">
        <f t="shared" si="2"/>
        <v>0</v>
      </c>
      <c r="J27" s="7"/>
    </row>
    <row r="28" spans="2:13" x14ac:dyDescent="0.2">
      <c r="B28" s="15"/>
      <c r="C28" s="15"/>
      <c r="D28" s="15"/>
      <c r="E28" s="15"/>
      <c r="F28" s="25"/>
      <c r="G28" s="33">
        <v>0</v>
      </c>
      <c r="H28" s="34">
        <f t="shared" si="3"/>
        <v>0</v>
      </c>
      <c r="I28" s="43">
        <f t="shared" si="2"/>
        <v>0</v>
      </c>
      <c r="J28" s="7"/>
    </row>
    <row r="29" spans="2:13" x14ac:dyDescent="0.2">
      <c r="B29" s="15"/>
      <c r="C29" s="15"/>
      <c r="D29" s="15"/>
      <c r="E29" s="15"/>
      <c r="F29" s="25"/>
      <c r="G29" s="33">
        <v>0</v>
      </c>
      <c r="H29" s="34">
        <f t="shared" si="3"/>
        <v>0</v>
      </c>
      <c r="I29" s="43">
        <f t="shared" si="2"/>
        <v>0</v>
      </c>
      <c r="J29" s="7"/>
    </row>
    <row r="30" spans="2:13" x14ac:dyDescent="0.2">
      <c r="B30" s="15"/>
      <c r="C30" s="15"/>
      <c r="D30" s="15"/>
      <c r="E30" s="15"/>
      <c r="F30" s="25"/>
      <c r="G30" s="33">
        <v>0</v>
      </c>
      <c r="H30" s="34">
        <f t="shared" si="3"/>
        <v>0</v>
      </c>
      <c r="I30" s="43">
        <f t="shared" si="2"/>
        <v>0</v>
      </c>
      <c r="J30" s="7"/>
    </row>
    <row r="31" spans="2:13" x14ac:dyDescent="0.2">
      <c r="B31" s="15"/>
      <c r="C31" s="15"/>
      <c r="D31" s="15"/>
      <c r="E31" s="15"/>
      <c r="F31" s="25"/>
      <c r="G31" s="33">
        <v>0</v>
      </c>
      <c r="H31" s="34">
        <f t="shared" si="3"/>
        <v>0</v>
      </c>
      <c r="I31" s="43">
        <f t="shared" si="2"/>
        <v>0</v>
      </c>
      <c r="J31" s="7"/>
    </row>
    <row r="32" spans="2:13" x14ac:dyDescent="0.2">
      <c r="B32" s="15"/>
      <c r="C32" s="15"/>
      <c r="D32" s="15"/>
      <c r="E32" s="15"/>
      <c r="F32" s="25"/>
      <c r="G32" s="33">
        <v>0</v>
      </c>
      <c r="H32" s="34">
        <f t="shared" si="3"/>
        <v>0</v>
      </c>
      <c r="I32" s="43">
        <f t="shared" si="2"/>
        <v>0</v>
      </c>
      <c r="J32" s="7"/>
    </row>
    <row r="33" spans="2:10" x14ac:dyDescent="0.2">
      <c r="B33" s="15"/>
      <c r="C33" s="15"/>
      <c r="D33" s="15"/>
      <c r="E33" s="15"/>
      <c r="F33" s="25"/>
      <c r="G33" s="33">
        <v>0</v>
      </c>
      <c r="H33" s="34">
        <f t="shared" si="3"/>
        <v>0</v>
      </c>
      <c r="I33" s="43">
        <f t="shared" si="2"/>
        <v>0</v>
      </c>
      <c r="J33" s="7"/>
    </row>
    <row r="34" spans="2:10" x14ac:dyDescent="0.2">
      <c r="B34" s="15"/>
      <c r="C34" s="15"/>
      <c r="D34" s="15"/>
      <c r="E34" s="15"/>
      <c r="F34" s="25"/>
      <c r="G34" s="33">
        <v>0</v>
      </c>
      <c r="H34" s="34">
        <f t="shared" si="3"/>
        <v>0</v>
      </c>
      <c r="I34" s="43">
        <f t="shared" si="2"/>
        <v>0</v>
      </c>
      <c r="J34" s="7"/>
    </row>
    <row r="35" spans="2:10" x14ac:dyDescent="0.2">
      <c r="B35" s="19"/>
      <c r="C35" s="15"/>
      <c r="D35" s="15"/>
      <c r="E35" s="15"/>
      <c r="F35" s="25"/>
      <c r="G35" s="33">
        <v>0</v>
      </c>
      <c r="H35" s="34">
        <f t="shared" si="3"/>
        <v>0</v>
      </c>
      <c r="I35" s="43">
        <f t="shared" si="2"/>
        <v>0</v>
      </c>
      <c r="J35" s="7"/>
    </row>
    <row r="36" spans="2:10" x14ac:dyDescent="0.2">
      <c r="B36" s="19"/>
      <c r="C36" s="15"/>
      <c r="D36" s="15"/>
      <c r="E36" s="15"/>
      <c r="F36" s="25">
        <v>100</v>
      </c>
      <c r="G36" s="33">
        <v>0</v>
      </c>
      <c r="H36" s="34">
        <f t="shared" si="3"/>
        <v>100</v>
      </c>
      <c r="I36" s="43">
        <f t="shared" si="2"/>
        <v>0</v>
      </c>
    </row>
    <row r="37" spans="2:10" x14ac:dyDescent="0.2">
      <c r="B37" s="15"/>
      <c r="C37" s="15"/>
      <c r="D37" s="15"/>
      <c r="E37" s="15"/>
      <c r="F37" s="25"/>
      <c r="G37" s="33">
        <v>0</v>
      </c>
      <c r="H37" s="34">
        <f t="shared" si="3"/>
        <v>0</v>
      </c>
      <c r="I37" s="43">
        <f t="shared" si="2"/>
        <v>0</v>
      </c>
    </row>
  </sheetData>
  <mergeCells count="4">
    <mergeCell ref="B2:I3"/>
    <mergeCell ref="F5:F6"/>
    <mergeCell ref="H5:H6"/>
    <mergeCell ref="I5:I6"/>
  </mergeCells>
  <conditionalFormatting sqref="E8:E14 E18:E37">
    <cfRule type="containsText" dxfId="297" priority="41" operator="containsText" text="Emprunt/Crédit">
      <formula>NOT(ISERROR(SEARCH("Emprunt/Crédit",E8)))</formula>
    </cfRule>
    <cfRule type="containsText" dxfId="296" priority="42" operator="containsText" text="Garage">
      <formula>NOT(ISERROR(SEARCH("Garage",E8)))</formula>
    </cfRule>
    <cfRule type="containsText" dxfId="295" priority="44" operator="containsText" text="Visite JB Hub">
      <formula>NOT(ISERROR(SEARCH("Visite JB Hub",E8)))</formula>
    </cfRule>
    <cfRule type="containsText" dxfId="294" priority="45" operator="containsText" text="Repas">
      <formula>NOT(ISERROR(SEARCH("Repas",E8)))</formula>
    </cfRule>
    <cfRule type="containsText" dxfId="293" priority="46" operator="containsText" text="Communication">
      <formula>NOT(ISERROR(SEARCH("Communication",E8)))</formula>
    </cfRule>
    <cfRule type="containsText" dxfId="292" priority="47" operator="containsText" text="Jeep">
      <formula>NOT(ISERROR(SEARCH("Jeep",E8)))</formula>
    </cfRule>
    <cfRule type="containsText" dxfId="291" priority="48" operator="containsText" text="Structure">
      <formula>NOT(ISERROR(SEARCH("Structure",E8)))</formula>
    </cfRule>
    <cfRule type="containsText" dxfId="290" priority="49" operator="containsText" text="Essence">
      <formula>NOT(ISERROR(SEARCH("Essence",E8)))</formula>
    </cfRule>
    <cfRule type="containsText" dxfId="289" priority="50" operator="containsText" text="Salaire">
      <formula>NOT(ISERROR(SEARCH("Salaire",E8)))</formula>
    </cfRule>
  </conditionalFormatting>
  <conditionalFormatting sqref="E8:E14 E18:E37">
    <cfRule type="containsText" dxfId="288" priority="43" operator="containsText" text="Assurance">
      <formula>NOT(ISERROR(SEARCH("Assurance",E8)))</formula>
    </cfRule>
  </conditionalFormatting>
  <conditionalFormatting sqref="E15">
    <cfRule type="containsText" dxfId="287" priority="21" operator="containsText" text="Emprunt/Crédit">
      <formula>NOT(ISERROR(SEARCH("Emprunt/Crédit",E15)))</formula>
    </cfRule>
    <cfRule type="containsText" dxfId="286" priority="22" operator="containsText" text="Garage">
      <formula>NOT(ISERROR(SEARCH("Garage",E15)))</formula>
    </cfRule>
    <cfRule type="containsText" dxfId="285" priority="24" operator="containsText" text="Visite JB Hub">
      <formula>NOT(ISERROR(SEARCH("Visite JB Hub",E15)))</formula>
    </cfRule>
    <cfRule type="containsText" dxfId="284" priority="25" operator="containsText" text="Repas">
      <formula>NOT(ISERROR(SEARCH("Repas",E15)))</formula>
    </cfRule>
    <cfRule type="containsText" dxfId="283" priority="26" operator="containsText" text="Communication">
      <formula>NOT(ISERROR(SEARCH("Communication",E15)))</formula>
    </cfRule>
    <cfRule type="containsText" dxfId="282" priority="27" operator="containsText" text="Jeep">
      <formula>NOT(ISERROR(SEARCH("Jeep",E15)))</formula>
    </cfRule>
    <cfRule type="containsText" dxfId="281" priority="28" operator="containsText" text="Structure">
      <formula>NOT(ISERROR(SEARCH("Structure",E15)))</formula>
    </cfRule>
    <cfRule type="containsText" dxfId="280" priority="29" operator="containsText" text="Essence">
      <formula>NOT(ISERROR(SEARCH("Essence",E15)))</formula>
    </cfRule>
    <cfRule type="containsText" dxfId="279" priority="30" operator="containsText" text="Salaire">
      <formula>NOT(ISERROR(SEARCH("Salaire",E15)))</formula>
    </cfRule>
  </conditionalFormatting>
  <conditionalFormatting sqref="E15">
    <cfRule type="containsText" dxfId="278" priority="23" operator="containsText" text="Assurance">
      <formula>NOT(ISERROR(SEARCH("Assurance",E15)))</formula>
    </cfRule>
  </conditionalFormatting>
  <conditionalFormatting sqref="E16">
    <cfRule type="containsText" dxfId="277" priority="11" operator="containsText" text="Emprunt/Crédit">
      <formula>NOT(ISERROR(SEARCH("Emprunt/Crédit",E16)))</formula>
    </cfRule>
    <cfRule type="containsText" dxfId="276" priority="12" operator="containsText" text="Garage">
      <formula>NOT(ISERROR(SEARCH("Garage",E16)))</formula>
    </cfRule>
    <cfRule type="containsText" dxfId="275" priority="14" operator="containsText" text="Visite JB Hub">
      <formula>NOT(ISERROR(SEARCH("Visite JB Hub",E16)))</formula>
    </cfRule>
    <cfRule type="containsText" dxfId="274" priority="15" operator="containsText" text="Repas">
      <formula>NOT(ISERROR(SEARCH("Repas",E16)))</formula>
    </cfRule>
    <cfRule type="containsText" dxfId="273" priority="16" operator="containsText" text="Communication">
      <formula>NOT(ISERROR(SEARCH("Communication",E16)))</formula>
    </cfRule>
    <cfRule type="containsText" dxfId="272" priority="17" operator="containsText" text="Jeep">
      <formula>NOT(ISERROR(SEARCH("Jeep",E16)))</formula>
    </cfRule>
    <cfRule type="containsText" dxfId="271" priority="18" operator="containsText" text="Structure">
      <formula>NOT(ISERROR(SEARCH("Structure",E16)))</formula>
    </cfRule>
    <cfRule type="containsText" dxfId="270" priority="19" operator="containsText" text="Essence">
      <formula>NOT(ISERROR(SEARCH("Essence",E16)))</formula>
    </cfRule>
    <cfRule type="containsText" dxfId="269" priority="20" operator="containsText" text="Salaire">
      <formula>NOT(ISERROR(SEARCH("Salaire",E16)))</formula>
    </cfRule>
  </conditionalFormatting>
  <conditionalFormatting sqref="E16">
    <cfRule type="containsText" dxfId="268" priority="13" operator="containsText" text="Assurance">
      <formula>NOT(ISERROR(SEARCH("Assurance",E16)))</formula>
    </cfRule>
  </conditionalFormatting>
  <conditionalFormatting sqref="E17">
    <cfRule type="containsText" dxfId="267" priority="1" operator="containsText" text="Emprunt/Crédit">
      <formula>NOT(ISERROR(SEARCH("Emprunt/Crédit",E17)))</formula>
    </cfRule>
    <cfRule type="containsText" dxfId="266" priority="2" operator="containsText" text="Garage">
      <formula>NOT(ISERROR(SEARCH("Garage",E17)))</formula>
    </cfRule>
    <cfRule type="containsText" dxfId="265" priority="4" operator="containsText" text="Visite JB Hub">
      <formula>NOT(ISERROR(SEARCH("Visite JB Hub",E17)))</formula>
    </cfRule>
    <cfRule type="containsText" dxfId="264" priority="5" operator="containsText" text="Repas">
      <formula>NOT(ISERROR(SEARCH("Repas",E17)))</formula>
    </cfRule>
    <cfRule type="containsText" dxfId="263" priority="6" operator="containsText" text="Communication">
      <formula>NOT(ISERROR(SEARCH("Communication",E17)))</formula>
    </cfRule>
    <cfRule type="containsText" dxfId="262" priority="7" operator="containsText" text="Jeep">
      <formula>NOT(ISERROR(SEARCH("Jeep",E17)))</formula>
    </cfRule>
    <cfRule type="containsText" dxfId="261" priority="8" operator="containsText" text="Structure">
      <formula>NOT(ISERROR(SEARCH("Structure",E17)))</formula>
    </cfRule>
    <cfRule type="containsText" dxfId="260" priority="9" operator="containsText" text="Essence">
      <formula>NOT(ISERROR(SEARCH("Essence",E17)))</formula>
    </cfRule>
    <cfRule type="containsText" dxfId="259" priority="10" operator="containsText" text="Salaire">
      <formula>NOT(ISERROR(SEARCH("Salaire",E17)))</formula>
    </cfRule>
  </conditionalFormatting>
  <conditionalFormatting sqref="E17">
    <cfRule type="containsText" dxfId="258" priority="3" operator="containsText" text="Assurance">
      <formula>NOT(ISERROR(SEARCH("Assurance",E17)))</formula>
    </cfRule>
  </conditionalFormatting>
  <dataValidations count="3">
    <dataValidation allowBlank="1" showInputMessage="1" sqref="F15:F37 F8:F13" xr:uid="{366FD3E4-C09F-8842-98E6-390056204B0D}"/>
    <dataValidation type="list" allowBlank="1" showInputMessage="1" showErrorMessage="1" sqref="G8:G37" xr:uid="{C4C3CDAF-43E2-114C-AAB3-9DF235A5F7F0}">
      <formula1>"0%, 20%"</formula1>
    </dataValidation>
    <dataValidation type="list" allowBlank="1" showInputMessage="1" showErrorMessage="1" sqref="E1:E1048576" xr:uid="{B191F410-37CA-124C-87D2-1C38B5E5CF5F}">
      <formula1>"Salaire, Essence, Structure, Jeep, Communication, Repas, Visite JB Hub, Assurance, Garage, Emprunt/Crédit, Bureau, URSSAF"</formula1>
    </dataValidation>
  </dataValidations>
  <pageMargins left="0.7" right="0.7" top="0.75" bottom="0.75" header="0.3" footer="0.3"/>
  <tableParts count="1">
    <tablePart r:id="rId1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B09FEA-348E-D145-B589-3BCA03F7E15A}">
  <sheetPr>
    <tabColor theme="5" tint="0.39997558519241921"/>
  </sheetPr>
  <dimension ref="A1:U57"/>
  <sheetViews>
    <sheetView zoomScale="108" workbookViewId="0">
      <selection activeCell="C9" sqref="C9:C55"/>
    </sheetView>
  </sheetViews>
  <sheetFormatPr baseColWidth="10" defaultRowHeight="16" x14ac:dyDescent="0.2"/>
  <cols>
    <col min="4" max="4" width="12" customWidth="1"/>
    <col min="9" max="9" width="18.6640625" customWidth="1"/>
    <col min="11" max="11" width="19" customWidth="1"/>
    <col min="19" max="19" width="12.83203125" customWidth="1"/>
  </cols>
  <sheetData>
    <row r="1" spans="1:21" ht="17" thickBot="1" x14ac:dyDescent="0.25">
      <c r="F1" s="63"/>
      <c r="G1" s="64"/>
      <c r="H1" s="65"/>
      <c r="I1" s="65"/>
      <c r="J1" s="65"/>
      <c r="K1" s="65"/>
      <c r="L1" s="65"/>
      <c r="M1" s="66"/>
      <c r="U1" t="s">
        <v>142</v>
      </c>
    </row>
    <row r="2" spans="1:21" x14ac:dyDescent="0.2">
      <c r="F2" s="161" t="s">
        <v>40</v>
      </c>
      <c r="G2" s="162"/>
      <c r="H2" s="162"/>
      <c r="I2" s="162"/>
      <c r="J2" s="162"/>
      <c r="K2" s="162"/>
      <c r="L2" s="162"/>
      <c r="M2" s="163"/>
    </row>
    <row r="3" spans="1:21" ht="17" thickBot="1" x14ac:dyDescent="0.25">
      <c r="F3" s="164"/>
      <c r="G3" s="165"/>
      <c r="H3" s="165"/>
      <c r="I3" s="165"/>
      <c r="J3" s="165"/>
      <c r="K3" s="165"/>
      <c r="L3" s="165"/>
      <c r="M3" s="166"/>
    </row>
    <row r="4" spans="1:21" ht="25" thickBot="1" x14ac:dyDescent="0.25">
      <c r="F4" s="61"/>
      <c r="G4" s="61"/>
      <c r="H4" s="61"/>
      <c r="I4" s="61"/>
      <c r="J4" s="61"/>
      <c r="K4" s="61"/>
      <c r="L4" s="61"/>
      <c r="M4" s="61"/>
    </row>
    <row r="5" spans="1:21" ht="60" x14ac:dyDescent="0.2">
      <c r="F5" s="61"/>
      <c r="G5" s="61"/>
      <c r="H5" s="61"/>
      <c r="I5" s="103" t="s">
        <v>87</v>
      </c>
      <c r="J5" s="61"/>
      <c r="K5" s="71" t="s">
        <v>66</v>
      </c>
      <c r="L5" s="61"/>
      <c r="M5" s="61"/>
    </row>
    <row r="6" spans="1:21" ht="30" thickBot="1" x14ac:dyDescent="0.25">
      <c r="G6" s="67"/>
      <c r="H6" s="7"/>
      <c r="I6" s="105">
        <f>SUM(I56:M56)</f>
        <v>1867.47</v>
      </c>
      <c r="J6" s="69"/>
      <c r="K6" s="73">
        <f>I57+K57+M57</f>
        <v>1867.47</v>
      </c>
      <c r="L6" s="7"/>
    </row>
    <row r="7" spans="1:21" ht="24" x14ac:dyDescent="0.2">
      <c r="F7" s="61"/>
      <c r="G7" s="61"/>
      <c r="H7" s="61"/>
      <c r="I7" s="61"/>
      <c r="J7" s="61"/>
      <c r="K7" s="61"/>
      <c r="L7" s="61"/>
      <c r="M7" s="61"/>
    </row>
    <row r="8" spans="1:21" ht="46" x14ac:dyDescent="0.2">
      <c r="B8" s="52" t="s">
        <v>0</v>
      </c>
      <c r="C8" s="189" t="s">
        <v>238</v>
      </c>
      <c r="D8" s="55" t="s">
        <v>1</v>
      </c>
      <c r="E8" s="55" t="s">
        <v>82</v>
      </c>
      <c r="F8" s="56" t="s">
        <v>83</v>
      </c>
      <c r="G8" s="56" t="s">
        <v>88</v>
      </c>
      <c r="H8" s="57" t="s">
        <v>84</v>
      </c>
      <c r="I8" s="56" t="s">
        <v>2</v>
      </c>
      <c r="J8" s="58" t="s">
        <v>85</v>
      </c>
      <c r="K8" s="59" t="s">
        <v>3</v>
      </c>
      <c r="L8" s="60" t="s">
        <v>86</v>
      </c>
      <c r="M8" s="59" t="s">
        <v>4</v>
      </c>
      <c r="N8" s="55" t="s">
        <v>5</v>
      </c>
      <c r="P8" s="74" t="s">
        <v>59</v>
      </c>
      <c r="Q8" s="48" t="s">
        <v>53</v>
      </c>
      <c r="R8" s="49" t="s">
        <v>54</v>
      </c>
      <c r="S8" s="50" t="s">
        <v>55</v>
      </c>
      <c r="T8" s="88" t="s">
        <v>37</v>
      </c>
      <c r="U8" s="78" t="s">
        <v>89</v>
      </c>
    </row>
    <row r="9" spans="1:21" x14ac:dyDescent="0.2">
      <c r="A9" s="167"/>
      <c r="B9" s="11" t="s">
        <v>132</v>
      </c>
      <c r="C9" s="11" t="s">
        <v>28</v>
      </c>
      <c r="D9" s="9" t="s">
        <v>15</v>
      </c>
      <c r="E9" s="9" t="s">
        <v>61</v>
      </c>
      <c r="F9" s="9"/>
      <c r="G9" s="3">
        <v>2</v>
      </c>
      <c r="H9" s="3" t="s">
        <v>61</v>
      </c>
      <c r="I9" s="32">
        <v>153.84</v>
      </c>
      <c r="J9" s="3"/>
      <c r="K9" s="51"/>
      <c r="L9" s="3"/>
      <c r="M9" s="30"/>
      <c r="N9" s="3"/>
      <c r="P9" s="16" t="s">
        <v>43</v>
      </c>
      <c r="Q9" s="22">
        <f>SUMIF(Tableau55791113[$T],P9,Tableau55791113[Thomas])</f>
        <v>0</v>
      </c>
      <c r="R9" s="22">
        <f>SUMIF(Tableau55791113[$F],P9,Tableau55791113[Flavie])</f>
        <v>0</v>
      </c>
      <c r="S9" s="22">
        <f>SUMIF(Tableau55791113[$R],P9,Tableau55791113[Raphaëlle])</f>
        <v>0</v>
      </c>
      <c r="T9" s="87">
        <f t="shared" ref="T9:T14" si="0">SUM(Q9:S9)</f>
        <v>0</v>
      </c>
      <c r="U9" s="79">
        <f t="shared" ref="U9:U14" si="1">(Q9+R9+S9)/1</f>
        <v>0</v>
      </c>
    </row>
    <row r="10" spans="1:21" x14ac:dyDescent="0.2">
      <c r="A10" s="167"/>
      <c r="B10" s="11" t="s">
        <v>210</v>
      </c>
      <c r="C10" s="11" t="s">
        <v>28</v>
      </c>
      <c r="D10" s="9" t="s">
        <v>38</v>
      </c>
      <c r="E10" s="9"/>
      <c r="F10" s="9"/>
      <c r="G10" s="7">
        <v>7</v>
      </c>
      <c r="H10" s="7"/>
      <c r="I10" s="32"/>
      <c r="J10" s="7"/>
      <c r="K10" s="51"/>
      <c r="L10" s="7" t="s">
        <v>61</v>
      </c>
      <c r="M10" s="51">
        <v>584.6</v>
      </c>
      <c r="N10" s="3"/>
      <c r="P10" s="17" t="s">
        <v>44</v>
      </c>
      <c r="Q10" s="22">
        <f>SUMIF(Tableau55791113[$T],P10,Tableau55791113[Thomas])</f>
        <v>0</v>
      </c>
      <c r="R10" s="22">
        <f>SUMIF(Tableau55791113[$F],P10,Tableau55791113[Flavie])</f>
        <v>0</v>
      </c>
      <c r="S10" s="22">
        <f>SUMIF(Tableau55791113[$R],P10,Tableau55791113[Raphaëlle])</f>
        <v>0</v>
      </c>
      <c r="T10" s="87">
        <f t="shared" si="0"/>
        <v>0</v>
      </c>
      <c r="U10" s="79">
        <f t="shared" si="1"/>
        <v>0</v>
      </c>
    </row>
    <row r="11" spans="1:21" x14ac:dyDescent="0.2">
      <c r="A11" s="167"/>
      <c r="B11" s="11"/>
      <c r="C11" s="11" t="s">
        <v>28</v>
      </c>
      <c r="D11" s="9"/>
      <c r="E11" s="9"/>
      <c r="F11" s="9"/>
      <c r="G11" s="3"/>
      <c r="H11" s="3"/>
      <c r="I11" s="51"/>
      <c r="J11" s="3"/>
      <c r="K11" s="51"/>
      <c r="L11" s="3"/>
      <c r="M11" s="32"/>
      <c r="N11" s="3"/>
      <c r="P11" s="18" t="s">
        <v>45</v>
      </c>
      <c r="Q11" s="22">
        <f>SUMIF(Tableau55791113[$T],P11,Tableau55791113[Thomas])</f>
        <v>0</v>
      </c>
      <c r="R11" s="22">
        <f>SUMIF(Tableau55791113[$F],P11,Tableau55791113[Flavie])</f>
        <v>0</v>
      </c>
      <c r="S11" s="22">
        <f>SUMIF(Tableau55791113[$R],P11,Tableau55791113[Raphaëlle])</f>
        <v>0</v>
      </c>
      <c r="T11" s="87">
        <f t="shared" si="0"/>
        <v>0</v>
      </c>
      <c r="U11" s="79">
        <f t="shared" si="1"/>
        <v>0</v>
      </c>
    </row>
    <row r="12" spans="1:21" x14ac:dyDescent="0.2">
      <c r="A12" s="167"/>
      <c r="B12" s="12">
        <v>45510</v>
      </c>
      <c r="C12" s="11" t="s">
        <v>28</v>
      </c>
      <c r="D12" s="9" t="s">
        <v>12</v>
      </c>
      <c r="E12" s="9" t="s">
        <v>98</v>
      </c>
      <c r="F12" s="9"/>
      <c r="G12" s="3">
        <v>2</v>
      </c>
      <c r="H12" s="3" t="s">
        <v>46</v>
      </c>
      <c r="I12" s="32">
        <v>124.95</v>
      </c>
      <c r="J12" s="3"/>
      <c r="K12" s="51"/>
      <c r="L12" s="3"/>
      <c r="M12" s="32"/>
      <c r="N12" s="3"/>
      <c r="P12" s="4" t="s">
        <v>46</v>
      </c>
      <c r="Q12" s="22">
        <f>SUMIF(Tableau55791113[$T],P12,Tableau55791113[Thomas])</f>
        <v>271.95</v>
      </c>
      <c r="R12" s="22">
        <f>SUMIF(Tableau55791113[$F],P12,Tableau55791113[Flavie])</f>
        <v>0</v>
      </c>
      <c r="S12" s="22">
        <f>SUMIF(Tableau55791113[$R],P12,Tableau55791113[Raphaëlle])</f>
        <v>0</v>
      </c>
      <c r="T12" s="87">
        <f t="shared" si="0"/>
        <v>271.95</v>
      </c>
      <c r="U12" s="79">
        <f t="shared" si="1"/>
        <v>271.95</v>
      </c>
    </row>
    <row r="13" spans="1:21" x14ac:dyDescent="0.2">
      <c r="A13" s="167"/>
      <c r="B13" s="11"/>
      <c r="C13" s="11" t="s">
        <v>28</v>
      </c>
      <c r="D13" s="9"/>
      <c r="E13" s="9"/>
      <c r="F13" s="9"/>
      <c r="G13" s="3"/>
      <c r="H13" s="3"/>
      <c r="I13" s="51"/>
      <c r="J13" s="3"/>
      <c r="K13" s="51"/>
      <c r="L13" s="3"/>
      <c r="M13" s="32"/>
      <c r="N13" s="3"/>
      <c r="P13" s="76" t="s">
        <v>56</v>
      </c>
      <c r="Q13" s="22">
        <f>SUMIF(Tableau55791113[$T],P13,Tableau55791113[Thomas])</f>
        <v>0</v>
      </c>
      <c r="R13" s="22">
        <f>SUMIF(Tableau55791113[$F],P13,Tableau55791113[Flavie])</f>
        <v>0</v>
      </c>
      <c r="S13" s="22">
        <f>SUMIF(Tableau55791113[$R],P13,Tableau55791113[Raphaëlle])</f>
        <v>0</v>
      </c>
      <c r="T13" s="87">
        <f t="shared" si="0"/>
        <v>0</v>
      </c>
      <c r="U13" s="79">
        <f t="shared" si="1"/>
        <v>0</v>
      </c>
    </row>
    <row r="14" spans="1:21" x14ac:dyDescent="0.2">
      <c r="A14" s="106"/>
      <c r="B14" s="12"/>
      <c r="C14" s="11" t="s">
        <v>28</v>
      </c>
      <c r="D14" s="9"/>
      <c r="E14" s="9"/>
      <c r="F14" s="9"/>
      <c r="G14" s="3"/>
      <c r="H14" s="3"/>
      <c r="I14" s="51"/>
      <c r="J14" s="3"/>
      <c r="K14" s="51"/>
      <c r="L14" s="3"/>
      <c r="M14" s="32"/>
      <c r="N14" s="3"/>
      <c r="P14" s="26" t="s">
        <v>61</v>
      </c>
      <c r="Q14" s="22">
        <f>SUMIF(Tableau55791113[$T],P14,Tableau55791113[Thomas])</f>
        <v>461.52</v>
      </c>
      <c r="R14" s="22">
        <f>SUMIF(Tableau55791113[$F],P14,Tableau55791113[Flavie])</f>
        <v>0</v>
      </c>
      <c r="S14" s="22">
        <f>SUMIF(Tableau55791113[$R],P14,Tableau55791113[Raphaëlle])</f>
        <v>1168.5999999999999</v>
      </c>
      <c r="T14" s="87">
        <f t="shared" si="0"/>
        <v>1630.12</v>
      </c>
      <c r="U14" s="79">
        <f t="shared" si="1"/>
        <v>1630.12</v>
      </c>
    </row>
    <row r="15" spans="1:21" x14ac:dyDescent="0.2">
      <c r="A15" s="106"/>
      <c r="B15" s="12">
        <v>45515</v>
      </c>
      <c r="C15" s="11" t="s">
        <v>28</v>
      </c>
      <c r="D15" s="9" t="s">
        <v>12</v>
      </c>
      <c r="E15" s="9" t="s">
        <v>61</v>
      </c>
      <c r="F15" s="9"/>
      <c r="G15" s="3">
        <v>2</v>
      </c>
      <c r="H15" s="3" t="s">
        <v>61</v>
      </c>
      <c r="I15" s="32">
        <v>153.84</v>
      </c>
      <c r="J15" s="3"/>
      <c r="K15" s="51"/>
      <c r="L15" s="3"/>
      <c r="M15" s="32"/>
      <c r="N15" s="3"/>
      <c r="Q15" s="102">
        <f>SUM(Q9:Q14)</f>
        <v>733.47</v>
      </c>
      <c r="R15" s="85">
        <f>SUM(R9:R14)</f>
        <v>0</v>
      </c>
      <c r="S15" s="85">
        <f>SUM(S9:S14)</f>
        <v>1168.5999999999999</v>
      </c>
    </row>
    <row r="16" spans="1:21" x14ac:dyDescent="0.2">
      <c r="A16" s="106"/>
      <c r="B16" s="12" t="s">
        <v>134</v>
      </c>
      <c r="C16" s="11" t="s">
        <v>28</v>
      </c>
      <c r="D16" s="9" t="s">
        <v>12</v>
      </c>
      <c r="E16" s="9" t="s">
        <v>61</v>
      </c>
      <c r="F16" s="9"/>
      <c r="G16" s="3">
        <v>2</v>
      </c>
      <c r="H16" s="3" t="s">
        <v>61</v>
      </c>
      <c r="I16" s="32">
        <v>153.84</v>
      </c>
      <c r="J16" s="32"/>
      <c r="K16" s="51"/>
      <c r="L16" s="32"/>
      <c r="M16" s="32"/>
      <c r="N16" s="5"/>
      <c r="P16" s="86" t="s">
        <v>89</v>
      </c>
      <c r="Q16" s="89">
        <f>(Q9+Q10+Q11+Q12+Q13+Q14)/1</f>
        <v>733.47</v>
      </c>
      <c r="R16" s="89">
        <f>(R9+R10+R11+R12+R13+R14)/1</f>
        <v>0</v>
      </c>
      <c r="S16" s="89">
        <f>(S9+S10+S11+S12+S13+S14)/1</f>
        <v>1168.5999999999999</v>
      </c>
    </row>
    <row r="17" spans="1:14" x14ac:dyDescent="0.2">
      <c r="A17" s="106"/>
      <c r="B17" s="12" t="s">
        <v>171</v>
      </c>
      <c r="C17" s="11" t="s">
        <v>28</v>
      </c>
      <c r="D17" s="9" t="s">
        <v>38</v>
      </c>
      <c r="E17" s="9" t="s">
        <v>61</v>
      </c>
      <c r="F17" s="9"/>
      <c r="G17" s="3">
        <v>7</v>
      </c>
      <c r="H17" s="3"/>
      <c r="I17" s="51"/>
      <c r="J17" s="32"/>
      <c r="K17" s="51"/>
      <c r="L17" s="3" t="s">
        <v>61</v>
      </c>
      <c r="M17" s="32">
        <v>584</v>
      </c>
      <c r="N17" s="3"/>
    </row>
    <row r="18" spans="1:14" x14ac:dyDescent="0.2">
      <c r="A18" s="106"/>
      <c r="B18" s="12"/>
      <c r="C18" s="11" t="s">
        <v>28</v>
      </c>
      <c r="D18" s="9"/>
      <c r="E18" s="9"/>
      <c r="F18" s="9"/>
      <c r="G18" s="3"/>
      <c r="H18" s="3"/>
      <c r="I18" s="51"/>
      <c r="J18" s="32"/>
      <c r="K18" s="51"/>
      <c r="L18" s="32"/>
      <c r="M18" s="32"/>
      <c r="N18" s="5"/>
    </row>
    <row r="19" spans="1:14" x14ac:dyDescent="0.2">
      <c r="A19" s="106"/>
      <c r="B19" s="12"/>
      <c r="C19" s="11" t="s">
        <v>28</v>
      </c>
      <c r="D19" s="9"/>
      <c r="E19" s="9"/>
      <c r="F19" s="9"/>
      <c r="G19" s="3"/>
      <c r="H19" s="3"/>
      <c r="I19" s="51"/>
      <c r="J19" s="3"/>
      <c r="K19" s="51"/>
      <c r="L19" s="3"/>
      <c r="M19" s="32"/>
      <c r="N19" s="3"/>
    </row>
    <row r="20" spans="1:14" x14ac:dyDescent="0.2">
      <c r="A20" s="106"/>
      <c r="B20" s="12"/>
      <c r="C20" s="11" t="s">
        <v>28</v>
      </c>
      <c r="D20" s="9"/>
      <c r="E20" s="9"/>
      <c r="F20" s="9"/>
      <c r="G20" s="3"/>
      <c r="H20" s="3"/>
      <c r="I20" s="51"/>
      <c r="J20" s="3"/>
      <c r="K20" s="51"/>
      <c r="L20" s="3"/>
      <c r="M20" s="32"/>
      <c r="N20" s="3"/>
    </row>
    <row r="21" spans="1:14" x14ac:dyDescent="0.2">
      <c r="A21" s="106"/>
      <c r="B21" s="12"/>
      <c r="C21" s="11" t="s">
        <v>28</v>
      </c>
      <c r="D21" s="9"/>
      <c r="E21" s="9"/>
      <c r="F21" s="9"/>
      <c r="G21" s="3"/>
      <c r="H21" s="3"/>
      <c r="I21" s="51"/>
      <c r="J21" s="3"/>
      <c r="K21" s="51"/>
      <c r="L21" s="3"/>
      <c r="M21" s="32"/>
      <c r="N21" s="3"/>
    </row>
    <row r="22" spans="1:14" x14ac:dyDescent="0.2">
      <c r="A22" s="106"/>
      <c r="B22" s="12" t="s">
        <v>140</v>
      </c>
      <c r="C22" s="11" t="s">
        <v>28</v>
      </c>
      <c r="D22" s="9" t="s">
        <v>12</v>
      </c>
      <c r="E22" s="9" t="s">
        <v>98</v>
      </c>
      <c r="F22" s="9"/>
      <c r="G22" s="3">
        <v>2</v>
      </c>
      <c r="H22" s="3" t="s">
        <v>46</v>
      </c>
      <c r="I22" s="51">
        <v>147</v>
      </c>
      <c r="J22" s="32"/>
      <c r="K22" s="51"/>
      <c r="L22" s="32"/>
      <c r="M22" s="32"/>
      <c r="N22" s="5"/>
    </row>
    <row r="23" spans="1:14" x14ac:dyDescent="0.2">
      <c r="B23" s="12"/>
      <c r="C23" s="12" t="s">
        <v>241</v>
      </c>
      <c r="D23" s="9"/>
      <c r="E23" s="9"/>
      <c r="F23" s="9"/>
      <c r="G23" s="3"/>
      <c r="H23" s="3"/>
      <c r="I23" s="51"/>
      <c r="J23" s="3"/>
      <c r="K23" s="51"/>
      <c r="L23" s="3"/>
      <c r="M23" s="32"/>
      <c r="N23" s="3"/>
    </row>
    <row r="24" spans="1:14" x14ac:dyDescent="0.2">
      <c r="B24" s="12">
        <v>45543</v>
      </c>
      <c r="C24" s="12" t="s">
        <v>241</v>
      </c>
      <c r="D24" s="9" t="s">
        <v>58</v>
      </c>
      <c r="E24" s="9"/>
      <c r="F24" s="9"/>
      <c r="G24" s="3">
        <v>4</v>
      </c>
      <c r="H24" s="3"/>
      <c r="I24" s="51"/>
      <c r="J24" s="32"/>
      <c r="K24" s="51"/>
      <c r="L24" s="32"/>
      <c r="M24" s="32">
        <v>350</v>
      </c>
      <c r="N24" s="5"/>
    </row>
    <row r="25" spans="1:14" x14ac:dyDescent="0.2">
      <c r="B25" s="12">
        <v>45543</v>
      </c>
      <c r="C25" s="12" t="s">
        <v>241</v>
      </c>
      <c r="D25" s="9" t="s">
        <v>111</v>
      </c>
      <c r="E25" s="9" t="s">
        <v>64</v>
      </c>
      <c r="F25" s="9"/>
      <c r="G25" s="3">
        <v>2</v>
      </c>
      <c r="H25" s="3"/>
      <c r="I25" s="32">
        <v>100</v>
      </c>
      <c r="J25" s="3"/>
      <c r="K25" s="51">
        <v>100</v>
      </c>
      <c r="L25" s="3"/>
      <c r="M25" s="32"/>
      <c r="N25" s="3"/>
    </row>
    <row r="26" spans="1:14" x14ac:dyDescent="0.2">
      <c r="B26" s="12"/>
      <c r="C26" s="12" t="s">
        <v>241</v>
      </c>
      <c r="D26" s="9"/>
      <c r="E26" s="9"/>
      <c r="F26" s="9"/>
      <c r="G26" s="3"/>
      <c r="H26" s="3"/>
      <c r="I26" s="32"/>
      <c r="J26" s="32"/>
      <c r="K26" s="51"/>
      <c r="L26" s="32"/>
      <c r="M26" s="32"/>
      <c r="N26" s="5"/>
    </row>
    <row r="27" spans="1:14" x14ac:dyDescent="0.2">
      <c r="B27" s="12"/>
      <c r="C27" s="12" t="s">
        <v>241</v>
      </c>
      <c r="D27" s="9"/>
      <c r="E27" s="9"/>
      <c r="F27" s="9"/>
      <c r="G27" s="3"/>
      <c r="H27" s="3"/>
      <c r="I27" s="32"/>
      <c r="J27" s="32"/>
      <c r="K27" s="51"/>
      <c r="L27" s="32"/>
      <c r="M27" s="32"/>
      <c r="N27" s="5"/>
    </row>
    <row r="28" spans="1:14" x14ac:dyDescent="0.2">
      <c r="B28" s="12"/>
      <c r="C28" s="12" t="s">
        <v>241</v>
      </c>
      <c r="D28" s="9"/>
      <c r="E28" s="9"/>
      <c r="F28" s="9"/>
      <c r="G28" s="3"/>
      <c r="H28" s="3"/>
      <c r="I28" s="51"/>
      <c r="J28" s="3"/>
      <c r="K28" s="51"/>
      <c r="L28" s="3"/>
      <c r="M28" s="32"/>
      <c r="N28" s="3"/>
    </row>
    <row r="29" spans="1:14" x14ac:dyDescent="0.2">
      <c r="B29" s="12"/>
      <c r="C29" s="12" t="s">
        <v>241</v>
      </c>
      <c r="D29" s="9"/>
      <c r="E29" s="9"/>
      <c r="F29" s="9"/>
      <c r="G29" s="3"/>
      <c r="H29" s="3"/>
      <c r="I29" s="51"/>
      <c r="J29" s="3"/>
      <c r="K29" s="51"/>
      <c r="L29" s="3"/>
      <c r="M29" s="32"/>
      <c r="N29" s="3"/>
    </row>
    <row r="30" spans="1:14" x14ac:dyDescent="0.2">
      <c r="B30" s="12"/>
      <c r="C30" s="12" t="s">
        <v>241</v>
      </c>
      <c r="D30" s="9"/>
      <c r="E30" s="9"/>
      <c r="F30" s="9"/>
      <c r="G30" s="3"/>
      <c r="H30" s="3"/>
      <c r="I30" s="51"/>
      <c r="J30" s="3"/>
      <c r="K30" s="51"/>
      <c r="L30" s="3"/>
      <c r="M30" s="32"/>
      <c r="N30" s="3"/>
    </row>
    <row r="31" spans="1:14" x14ac:dyDescent="0.2">
      <c r="B31" s="12"/>
      <c r="C31" s="12" t="s">
        <v>241</v>
      </c>
      <c r="D31" s="9"/>
      <c r="E31" s="9"/>
      <c r="F31" s="9"/>
      <c r="G31" s="3"/>
      <c r="H31" s="3"/>
      <c r="I31" s="51"/>
      <c r="J31" s="3"/>
      <c r="K31" s="51"/>
      <c r="L31" s="3"/>
      <c r="M31" s="32"/>
      <c r="N31" s="3"/>
    </row>
    <row r="32" spans="1:14" x14ac:dyDescent="0.2">
      <c r="B32" s="12"/>
      <c r="C32" s="12" t="s">
        <v>241</v>
      </c>
      <c r="D32" s="9"/>
      <c r="E32" s="9"/>
      <c r="F32" s="9"/>
      <c r="G32" s="3"/>
      <c r="H32" s="3"/>
      <c r="I32" s="51"/>
      <c r="J32" s="3"/>
      <c r="K32" s="51"/>
      <c r="L32" s="3"/>
      <c r="M32" s="32"/>
      <c r="N32" s="3"/>
    </row>
    <row r="33" spans="2:14" x14ac:dyDescent="0.2">
      <c r="B33" s="12"/>
      <c r="C33" s="12" t="s">
        <v>241</v>
      </c>
      <c r="D33" s="9"/>
      <c r="E33" s="9"/>
      <c r="F33" s="9"/>
      <c r="G33" s="3"/>
      <c r="H33" s="3"/>
      <c r="I33" s="51"/>
      <c r="J33" s="3"/>
      <c r="K33" s="51"/>
      <c r="L33" s="3"/>
      <c r="M33" s="32"/>
      <c r="N33" s="3"/>
    </row>
    <row r="34" spans="2:14" x14ac:dyDescent="0.2">
      <c r="B34" s="12"/>
      <c r="C34" s="12" t="s">
        <v>241</v>
      </c>
      <c r="D34" s="9"/>
      <c r="E34" s="9"/>
      <c r="F34" s="9"/>
      <c r="G34" s="3"/>
      <c r="H34" s="3"/>
      <c r="I34" s="51"/>
      <c r="J34" s="3"/>
      <c r="K34" s="51"/>
      <c r="L34" s="3"/>
      <c r="M34" s="32"/>
      <c r="N34" s="3"/>
    </row>
    <row r="35" spans="2:14" x14ac:dyDescent="0.2">
      <c r="B35" s="12"/>
      <c r="C35" s="12" t="s">
        <v>241</v>
      </c>
      <c r="D35" s="9"/>
      <c r="E35" s="9"/>
      <c r="F35" s="9"/>
      <c r="G35" s="3"/>
      <c r="H35" s="3"/>
      <c r="I35" s="51"/>
      <c r="J35" s="3"/>
      <c r="K35" s="51"/>
      <c r="L35" s="3"/>
      <c r="M35" s="32"/>
      <c r="N35" s="3"/>
    </row>
    <row r="36" spans="2:14" x14ac:dyDescent="0.2">
      <c r="B36" s="12"/>
      <c r="C36" s="12" t="s">
        <v>241</v>
      </c>
      <c r="D36" s="9"/>
      <c r="E36" s="9"/>
      <c r="F36" s="9"/>
      <c r="G36" s="3"/>
      <c r="H36" s="3"/>
      <c r="I36" s="51"/>
      <c r="J36" s="32"/>
      <c r="K36" s="51"/>
      <c r="L36" s="32"/>
      <c r="M36" s="32"/>
      <c r="N36" s="5"/>
    </row>
    <row r="37" spans="2:14" x14ac:dyDescent="0.2">
      <c r="B37" s="12"/>
      <c r="C37" s="12" t="s">
        <v>241</v>
      </c>
      <c r="D37" s="9"/>
      <c r="E37" s="9"/>
      <c r="F37" s="9"/>
      <c r="G37" s="3"/>
      <c r="H37" s="3"/>
      <c r="I37" s="51"/>
      <c r="J37" s="3"/>
      <c r="K37" s="51"/>
      <c r="L37" s="3"/>
      <c r="M37" s="32"/>
      <c r="N37" s="3"/>
    </row>
    <row r="38" spans="2:14" x14ac:dyDescent="0.2">
      <c r="B38" s="12"/>
      <c r="C38" s="12" t="s">
        <v>241</v>
      </c>
      <c r="D38" s="9"/>
      <c r="E38" s="9"/>
      <c r="F38" s="9"/>
      <c r="G38" s="3"/>
      <c r="H38" s="3"/>
      <c r="I38" s="51"/>
      <c r="J38" s="3"/>
      <c r="K38" s="51"/>
      <c r="L38" s="3"/>
      <c r="M38" s="32"/>
      <c r="N38" s="3"/>
    </row>
    <row r="39" spans="2:14" x14ac:dyDescent="0.2">
      <c r="B39" s="12"/>
      <c r="C39" s="12" t="s">
        <v>241</v>
      </c>
      <c r="D39" s="9"/>
      <c r="E39" s="9"/>
      <c r="F39" s="9"/>
      <c r="G39" s="3"/>
      <c r="H39" s="3"/>
      <c r="I39" s="51"/>
      <c r="J39" s="32"/>
      <c r="K39" s="51"/>
      <c r="L39" s="32"/>
      <c r="M39" s="32"/>
      <c r="N39" s="5"/>
    </row>
    <row r="40" spans="2:14" x14ac:dyDescent="0.2">
      <c r="B40" s="12"/>
      <c r="C40" s="12" t="s">
        <v>241</v>
      </c>
      <c r="D40" s="9"/>
      <c r="E40" s="9"/>
      <c r="F40" s="9"/>
      <c r="G40" s="3"/>
      <c r="H40" s="3"/>
      <c r="I40" s="51"/>
      <c r="J40" s="32"/>
      <c r="K40" s="51"/>
      <c r="L40" s="32"/>
      <c r="M40" s="32"/>
      <c r="N40" s="5"/>
    </row>
    <row r="41" spans="2:14" x14ac:dyDescent="0.2">
      <c r="B41" s="12"/>
      <c r="C41" s="12" t="s">
        <v>241</v>
      </c>
      <c r="D41" s="9"/>
      <c r="E41" s="9"/>
      <c r="F41" s="9"/>
      <c r="G41" s="3"/>
      <c r="H41" s="3"/>
      <c r="I41" s="51"/>
      <c r="J41" s="3"/>
      <c r="K41" s="51"/>
      <c r="L41" s="3"/>
      <c r="M41" s="32"/>
      <c r="N41" s="3"/>
    </row>
    <row r="42" spans="2:14" x14ac:dyDescent="0.2">
      <c r="B42" s="12"/>
      <c r="C42" s="12" t="s">
        <v>241</v>
      </c>
      <c r="D42" s="9"/>
      <c r="E42" s="9"/>
      <c r="F42" s="9"/>
      <c r="G42" s="3"/>
      <c r="H42" s="3"/>
      <c r="I42" s="51"/>
      <c r="J42" s="3"/>
      <c r="K42" s="51"/>
      <c r="L42" s="3"/>
      <c r="M42" s="32"/>
      <c r="N42" s="3"/>
    </row>
    <row r="43" spans="2:14" x14ac:dyDescent="0.2">
      <c r="B43" s="12"/>
      <c r="C43" s="12" t="s">
        <v>241</v>
      </c>
      <c r="D43" s="9"/>
      <c r="E43" s="9"/>
      <c r="F43" s="9"/>
      <c r="G43" s="3"/>
      <c r="H43" s="3"/>
      <c r="I43" s="51"/>
      <c r="J43" s="3"/>
      <c r="K43" s="51"/>
      <c r="L43" s="3"/>
      <c r="M43" s="32"/>
      <c r="N43" s="3"/>
    </row>
    <row r="44" spans="2:14" x14ac:dyDescent="0.2">
      <c r="B44" s="12"/>
      <c r="C44" s="12" t="s">
        <v>241</v>
      </c>
      <c r="D44" s="9"/>
      <c r="E44" s="9"/>
      <c r="F44" s="9"/>
      <c r="G44" s="3"/>
      <c r="H44" s="3"/>
      <c r="I44" s="51"/>
      <c r="J44" s="32"/>
      <c r="K44" s="51"/>
      <c r="L44" s="32"/>
      <c r="M44" s="32"/>
      <c r="N44" s="5"/>
    </row>
    <row r="45" spans="2:14" x14ac:dyDescent="0.2">
      <c r="B45" s="13"/>
      <c r="C45" s="12" t="s">
        <v>241</v>
      </c>
      <c r="D45" s="9"/>
      <c r="E45" s="9"/>
      <c r="F45" s="9"/>
      <c r="G45" s="3"/>
      <c r="H45" s="3"/>
      <c r="I45" s="51"/>
      <c r="J45" s="3"/>
      <c r="K45" s="51"/>
      <c r="L45" s="3"/>
      <c r="M45" s="32"/>
      <c r="N45" s="3"/>
    </row>
    <row r="46" spans="2:14" x14ac:dyDescent="0.2">
      <c r="B46" s="13"/>
      <c r="C46" s="12" t="s">
        <v>241</v>
      </c>
      <c r="D46" s="9"/>
      <c r="E46" s="9"/>
      <c r="F46" s="9"/>
      <c r="G46" s="3"/>
      <c r="H46" s="3"/>
      <c r="I46" s="51"/>
      <c r="J46" s="3"/>
      <c r="K46" s="51"/>
      <c r="L46" s="3"/>
      <c r="M46" s="32"/>
      <c r="N46" s="3"/>
    </row>
    <row r="47" spans="2:14" x14ac:dyDescent="0.2">
      <c r="B47" s="12"/>
      <c r="C47" s="12" t="s">
        <v>241</v>
      </c>
      <c r="D47" s="9"/>
      <c r="E47" s="9"/>
      <c r="F47" s="9"/>
      <c r="G47" s="3"/>
      <c r="H47" s="3"/>
      <c r="I47" s="51"/>
      <c r="J47" s="32"/>
      <c r="K47" s="51"/>
      <c r="L47" s="32"/>
      <c r="M47" s="32"/>
      <c r="N47" s="5"/>
    </row>
    <row r="48" spans="2:14" x14ac:dyDescent="0.2">
      <c r="B48" s="12"/>
      <c r="C48" s="12" t="s">
        <v>241</v>
      </c>
      <c r="D48" s="9"/>
      <c r="E48" s="9"/>
      <c r="F48" s="9"/>
      <c r="G48" s="3"/>
      <c r="H48" s="3"/>
      <c r="I48" s="51"/>
      <c r="J48" s="3"/>
      <c r="K48" s="51"/>
      <c r="L48" s="3"/>
      <c r="M48" s="32"/>
      <c r="N48" s="3"/>
    </row>
    <row r="49" spans="2:14" x14ac:dyDescent="0.2">
      <c r="B49" s="12"/>
      <c r="C49" s="12" t="s">
        <v>241</v>
      </c>
      <c r="D49" s="9"/>
      <c r="E49" s="9"/>
      <c r="F49" s="9"/>
      <c r="G49" s="3"/>
      <c r="H49" s="3"/>
      <c r="I49" s="51"/>
      <c r="J49" s="32"/>
      <c r="K49" s="51"/>
      <c r="L49" s="32"/>
      <c r="M49" s="32"/>
      <c r="N49" s="5"/>
    </row>
    <row r="50" spans="2:14" x14ac:dyDescent="0.2">
      <c r="B50" s="12"/>
      <c r="C50" s="12" t="s">
        <v>241</v>
      </c>
      <c r="D50" s="9"/>
      <c r="E50" s="9"/>
      <c r="F50" s="9"/>
      <c r="G50" s="3"/>
      <c r="H50" s="3"/>
      <c r="I50" s="32"/>
      <c r="J50" s="32"/>
      <c r="K50" s="51"/>
      <c r="L50" s="32"/>
      <c r="M50" s="32"/>
      <c r="N50" s="5"/>
    </row>
    <row r="51" spans="2:14" x14ac:dyDescent="0.2">
      <c r="B51" s="14"/>
      <c r="C51" s="12" t="s">
        <v>241</v>
      </c>
      <c r="D51" s="10"/>
      <c r="E51" s="36"/>
      <c r="F51" s="36"/>
      <c r="G51" s="6"/>
      <c r="H51" s="6"/>
      <c r="I51" s="51"/>
      <c r="J51" s="6"/>
      <c r="K51" s="51"/>
      <c r="L51" s="6"/>
      <c r="M51" s="32"/>
      <c r="N51" s="5"/>
    </row>
    <row r="52" spans="2:14" x14ac:dyDescent="0.2">
      <c r="B52" s="14"/>
      <c r="C52" s="12" t="s">
        <v>241</v>
      </c>
      <c r="D52" s="10"/>
      <c r="E52" s="36"/>
      <c r="F52" s="36"/>
      <c r="G52" s="6"/>
      <c r="H52" s="6"/>
      <c r="I52" s="51"/>
      <c r="J52" s="6"/>
      <c r="K52" s="51"/>
      <c r="L52" s="6"/>
      <c r="M52" s="32"/>
      <c r="N52" s="5"/>
    </row>
    <row r="53" spans="2:14" x14ac:dyDescent="0.2">
      <c r="B53" s="12"/>
      <c r="C53" s="12" t="s">
        <v>241</v>
      </c>
      <c r="D53" s="9"/>
      <c r="E53" s="9"/>
      <c r="F53" s="9"/>
      <c r="G53" s="3"/>
      <c r="H53" s="3"/>
      <c r="I53" s="51"/>
      <c r="J53" s="3"/>
      <c r="K53" s="51"/>
      <c r="L53" s="3"/>
      <c r="M53" s="32"/>
      <c r="N53" s="3"/>
    </row>
    <row r="54" spans="2:14" x14ac:dyDescent="0.2">
      <c r="B54" s="12"/>
      <c r="C54" s="12" t="s">
        <v>241</v>
      </c>
      <c r="D54" s="9"/>
      <c r="E54" s="9"/>
      <c r="F54" s="9"/>
      <c r="G54" s="3"/>
      <c r="H54" s="3"/>
      <c r="I54" s="51"/>
      <c r="J54" s="3"/>
      <c r="K54" s="51"/>
      <c r="L54" s="3"/>
      <c r="M54" s="32"/>
      <c r="N54" s="5"/>
    </row>
    <row r="55" spans="2:14" x14ac:dyDescent="0.2">
      <c r="B55" s="12"/>
      <c r="C55" s="12" t="s">
        <v>241</v>
      </c>
      <c r="D55" s="9"/>
      <c r="E55" s="9"/>
      <c r="F55" s="9"/>
      <c r="G55" s="3"/>
      <c r="H55" s="3"/>
      <c r="I55" s="51"/>
      <c r="J55" s="3"/>
      <c r="K55" s="51"/>
      <c r="L55" s="3"/>
      <c r="M55" s="62"/>
      <c r="N55" s="5"/>
    </row>
    <row r="56" spans="2:14" ht="24" x14ac:dyDescent="0.2">
      <c r="B56" s="77" t="s">
        <v>37</v>
      </c>
      <c r="C56" s="77"/>
      <c r="D56" s="10"/>
      <c r="E56" s="10"/>
      <c r="F56" s="10"/>
      <c r="G56" s="10">
        <f>SUM(G15:G52)</f>
        <v>19</v>
      </c>
      <c r="H56" s="10"/>
      <c r="I56" s="28">
        <f>SUM(I9:I52)</f>
        <v>833.47</v>
      </c>
      <c r="J56" s="28"/>
      <c r="K56" s="28">
        <f>SUM(K9:K52)</f>
        <v>100</v>
      </c>
      <c r="L56" s="29"/>
      <c r="M56" s="70">
        <f>SUM(M15:M53)</f>
        <v>934</v>
      </c>
      <c r="N56" s="84"/>
    </row>
    <row r="57" spans="2:14" x14ac:dyDescent="0.2">
      <c r="B57" s="78" t="s">
        <v>89</v>
      </c>
      <c r="C57" s="78"/>
      <c r="D57" s="78"/>
      <c r="E57" s="78"/>
      <c r="F57" s="78"/>
      <c r="G57" s="78"/>
      <c r="H57" s="78"/>
      <c r="I57" s="79">
        <f>I56</f>
        <v>833.47</v>
      </c>
      <c r="J57" s="79"/>
      <c r="K57" s="79">
        <f>K56</f>
        <v>100</v>
      </c>
      <c r="L57" s="79"/>
      <c r="M57" s="81">
        <f>M56</f>
        <v>934</v>
      </c>
      <c r="N57" s="80"/>
    </row>
  </sheetData>
  <mergeCells count="2">
    <mergeCell ref="F2:M3"/>
    <mergeCell ref="A9:A13"/>
  </mergeCells>
  <conditionalFormatting sqref="J9:J16 L9:L55 H18:H55 J18:J55 H9:H16">
    <cfRule type="containsText" dxfId="257" priority="8" operator="containsText" text="CB">
      <formula>NOT(ISERROR(SEARCH("CB",H9)))</formula>
    </cfRule>
    <cfRule type="containsText" dxfId="256" priority="9" operator="containsText" text="Espèces">
      <formula>NOT(ISERROR(SEARCH("Espèces",H9)))</formula>
    </cfRule>
    <cfRule type="containsText" dxfId="255" priority="10" operator="containsText" text="Virement">
      <formula>NOT(ISERROR(SEARCH("Virement",H9)))</formula>
    </cfRule>
    <cfRule type="containsText" dxfId="254" priority="12" operator="containsText" text="Chèque">
      <formula>NOT(ISERROR(SEARCH("Chèque",H9)))</formula>
    </cfRule>
    <cfRule type="containsText" dxfId="253" priority="13" operator="containsText" text="GYG">
      <formula>NOT(ISERROR(SEARCH("GYG",H9)))</formula>
    </cfRule>
    <cfRule type="containsText" dxfId="252" priority="14" operator="containsText" text="Viator">
      <formula>NOT(ISERROR(SEARCH("Viator",H9)))</formula>
    </cfRule>
  </conditionalFormatting>
  <conditionalFormatting sqref="J9:J16 L9:L54 H18:H54 J18:J54 H9:H16">
    <cfRule type="containsText" dxfId="251" priority="11" operator="containsText" text="Chèque">
      <formula>NOT(ISERROR(SEARCH("Chèque",H9)))</formula>
    </cfRule>
  </conditionalFormatting>
  <conditionalFormatting sqref="J17 H17">
    <cfRule type="containsText" dxfId="250" priority="1" operator="containsText" text="CB">
      <formula>NOT(ISERROR(SEARCH("CB",H17)))</formula>
    </cfRule>
    <cfRule type="containsText" dxfId="249" priority="2" operator="containsText" text="Espèces">
      <formula>NOT(ISERROR(SEARCH("Espèces",H17)))</formula>
    </cfRule>
    <cfRule type="containsText" dxfId="248" priority="3" operator="containsText" text="Virement">
      <formula>NOT(ISERROR(SEARCH("Virement",H17)))</formula>
    </cfRule>
    <cfRule type="containsText" dxfId="247" priority="5" operator="containsText" text="Chèque">
      <formula>NOT(ISERROR(SEARCH("Chèque",H17)))</formula>
    </cfRule>
    <cfRule type="containsText" dxfId="246" priority="6" operator="containsText" text="GYG">
      <formula>NOT(ISERROR(SEARCH("GYG",H17)))</formula>
    </cfRule>
    <cfRule type="containsText" dxfId="245" priority="7" operator="containsText" text="Viator">
      <formula>NOT(ISERROR(SEARCH("Viator",H17)))</formula>
    </cfRule>
  </conditionalFormatting>
  <conditionalFormatting sqref="J17 H17">
    <cfRule type="containsText" dxfId="244" priority="4" operator="containsText" text="Chèque">
      <formula>NOT(ISERROR(SEARCH("Chèque",H17)))</formula>
    </cfRule>
  </conditionalFormatting>
  <dataValidations count="7">
    <dataValidation type="list" allowBlank="1" showInputMessage="1" showErrorMessage="1" promptTitle="Durée de la visite à sélectionne" sqref="H9:H55 L9:L55 J9:J55" xr:uid="{2C91AF03-98D8-094B-A39D-8153DCC134CC}">
      <formula1>"Chèque, Espèces, Virement, Viator, CB, GYG"</formula1>
    </dataValidation>
    <dataValidation allowBlank="1" showInputMessage="1" showErrorMessage="1" promptTitle="Durée de la visite à sélectionne" sqref="H56" xr:uid="{8E3B6DF2-37D9-E94D-BACB-ADD39420096C}"/>
    <dataValidation type="list" allowBlank="1" showInputMessage="1" sqref="K12:K14" xr:uid="{92507677-88C5-E54B-943B-85D1C6B1FAC2}">
      <formula1>Couleurs1</formula1>
    </dataValidation>
    <dataValidation type="list" allowBlank="1" showInputMessage="1" showErrorMessage="1" promptTitle="Durée de la visite à sélectionne" sqref="H57 G9 G11:G12 G14:G57" xr:uid="{40FF1B11-1D4C-1643-AEC7-60B5ECAA1134}">
      <formula1>"1,2,3,4,5,6,7,8,9,10"</formula1>
    </dataValidation>
    <dataValidation type="date" allowBlank="1" showInputMessage="1" showErrorMessage="1" sqref="B56:C56 B2:C7 O8:O54" xr:uid="{F2C5FD2F-C4D8-3A47-9C48-17A3DE1840A1}">
      <formula1>45352</formula1>
      <formula2>45412</formula2>
    </dataValidation>
    <dataValidation type="list" allowBlank="1" showInputMessage="1" showErrorMessage="1" sqref="E1:E3 D57:E57 D1:D7" xr:uid="{B2842F3D-F9D2-1C4E-A142-C57739B9C69F}">
      <formula1>"9h-11h, 9h-13h, 9h-17h, 9h30-11h30, 10h-12h, 11h30-13h30, 13h-17h, 14h-16h, 14h-18h, 16h30-18h30, "</formula1>
    </dataValidation>
    <dataValidation type="list" allowBlank="1" showInputMessage="1" showErrorMessage="1" sqref="C9:C55" xr:uid="{B6B49FB8-50A3-694C-86E4-453D30F1C7F5}">
      <formula1>"AVRIL, MAI, JUIN , JUILLET, AOUT, SEPT, OCT, NOV, DEC, JANV, FEV, MARS"</formula1>
    </dataValidation>
  </dataValidations>
  <pageMargins left="0.7" right="0.7" top="0.75" bottom="0.75" header="0.3" footer="0.3"/>
  <tableParts count="1">
    <tablePart r:id="rId1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8D7E4D-ABA1-6442-9017-A176ACEB0D1B}">
  <sheetPr>
    <tabColor theme="5" tint="0.39997558519241921"/>
  </sheetPr>
  <dimension ref="B1:M36"/>
  <sheetViews>
    <sheetView workbookViewId="0">
      <selection activeCell="F8" sqref="F8"/>
    </sheetView>
  </sheetViews>
  <sheetFormatPr baseColWidth="10" defaultRowHeight="16" x14ac:dyDescent="0.2"/>
  <cols>
    <col min="5" max="5" width="16" customWidth="1"/>
    <col min="6" max="6" width="17" customWidth="1"/>
    <col min="8" max="8" width="15.6640625" customWidth="1"/>
    <col min="11" max="11" width="18.1640625" customWidth="1"/>
  </cols>
  <sheetData>
    <row r="1" spans="2:13" x14ac:dyDescent="0.2">
      <c r="B1" s="170" t="s">
        <v>141</v>
      </c>
      <c r="C1" s="171"/>
      <c r="D1" s="171"/>
      <c r="E1" s="171"/>
      <c r="F1" s="171"/>
      <c r="G1" s="171"/>
      <c r="H1" s="171"/>
      <c r="I1" s="172"/>
    </row>
    <row r="2" spans="2:13" ht="17" thickBot="1" x14ac:dyDescent="0.25">
      <c r="B2" s="173"/>
      <c r="C2" s="174"/>
      <c r="D2" s="174"/>
      <c r="E2" s="174"/>
      <c r="F2" s="174"/>
      <c r="G2" s="174"/>
      <c r="H2" s="174"/>
      <c r="I2" s="175"/>
    </row>
    <row r="3" spans="2:13" ht="25" thickBot="1" x14ac:dyDescent="0.25">
      <c r="B3" s="42"/>
      <c r="C3" s="42"/>
      <c r="D3" s="42"/>
      <c r="E3" s="42"/>
      <c r="F3" s="42"/>
      <c r="G3" s="42"/>
      <c r="H3" s="42"/>
      <c r="I3" s="42"/>
    </row>
    <row r="4" spans="2:13" ht="24" x14ac:dyDescent="0.2">
      <c r="B4" s="42"/>
      <c r="C4" s="42"/>
      <c r="D4" s="42"/>
      <c r="E4" s="42"/>
      <c r="F4" s="176">
        <f>SUM(F7:F36)</f>
        <v>6981.5599999999995</v>
      </c>
      <c r="G4" s="42"/>
      <c r="H4" s="178">
        <f>SUM(H7:H36)</f>
        <v>4188.5599999999995</v>
      </c>
      <c r="I4" s="180">
        <f>SUM(I7:I36)</f>
        <v>0</v>
      </c>
    </row>
    <row r="5" spans="2:13" ht="25" thickBot="1" x14ac:dyDescent="0.25">
      <c r="B5" s="42"/>
      <c r="C5" s="42"/>
      <c r="D5" s="42"/>
      <c r="E5" s="42"/>
      <c r="F5" s="177"/>
      <c r="G5" s="42"/>
      <c r="H5" s="179"/>
      <c r="I5" s="181"/>
    </row>
    <row r="6" spans="2:13" ht="19" x14ac:dyDescent="0.2">
      <c r="B6" s="44" t="s">
        <v>0</v>
      </c>
      <c r="C6" s="44" t="s">
        <v>42</v>
      </c>
      <c r="D6" s="44" t="s">
        <v>39</v>
      </c>
      <c r="E6" s="44" t="s">
        <v>76</v>
      </c>
      <c r="F6" s="45" t="s">
        <v>77</v>
      </c>
      <c r="G6" s="47" t="s">
        <v>62</v>
      </c>
      <c r="H6" s="97" t="s">
        <v>78</v>
      </c>
      <c r="I6" s="98" t="s">
        <v>75</v>
      </c>
      <c r="J6" s="7"/>
    </row>
    <row r="7" spans="2:13" x14ac:dyDescent="0.2">
      <c r="B7" s="15"/>
      <c r="C7" s="15"/>
      <c r="D7" s="15" t="s">
        <v>67</v>
      </c>
      <c r="E7" s="15" t="s">
        <v>72</v>
      </c>
      <c r="F7" s="37">
        <v>544</v>
      </c>
      <c r="G7" s="33">
        <v>0</v>
      </c>
      <c r="H7" s="34">
        <f t="shared" ref="H7:H12" si="0">F7/(1+G7)</f>
        <v>544</v>
      </c>
      <c r="I7" s="43">
        <f t="shared" ref="I7:I12" si="1">F7-H7</f>
        <v>0</v>
      </c>
      <c r="J7" s="7"/>
      <c r="K7" s="96" t="s">
        <v>36</v>
      </c>
      <c r="L7" s="20">
        <f>SUMIF(Tableau338101214[Mode de dépense],K7,Tableau338101214[Charge TTC])</f>
        <v>5903</v>
      </c>
      <c r="M7" s="35">
        <f>L7</f>
        <v>5903</v>
      </c>
    </row>
    <row r="8" spans="2:13" x14ac:dyDescent="0.2">
      <c r="B8" s="15"/>
      <c r="C8" s="15"/>
      <c r="D8" s="15" t="s">
        <v>68</v>
      </c>
      <c r="E8" s="15" t="s">
        <v>72</v>
      </c>
      <c r="F8" s="37">
        <v>459.26</v>
      </c>
      <c r="G8" s="33">
        <v>0</v>
      </c>
      <c r="H8" s="34">
        <f t="shared" si="0"/>
        <v>459.26</v>
      </c>
      <c r="I8" s="43">
        <f t="shared" si="1"/>
        <v>0</v>
      </c>
      <c r="J8" s="7"/>
      <c r="K8" s="90" t="s">
        <v>47</v>
      </c>
      <c r="L8" s="20">
        <f>SUMIF(Tableau338101214[Mode de dépense],K8,Tableau338101214[Charge TTC])</f>
        <v>0</v>
      </c>
      <c r="M8" s="35">
        <f>L8/1.2</f>
        <v>0</v>
      </c>
    </row>
    <row r="9" spans="2:13" x14ac:dyDescent="0.2">
      <c r="B9" s="15"/>
      <c r="C9" s="15"/>
      <c r="D9" s="15" t="s">
        <v>69</v>
      </c>
      <c r="E9" s="15" t="s">
        <v>71</v>
      </c>
      <c r="F9" s="30">
        <v>24.8</v>
      </c>
      <c r="G9" s="33">
        <v>0</v>
      </c>
      <c r="H9" s="34">
        <f t="shared" si="0"/>
        <v>24.8</v>
      </c>
      <c r="I9" s="43">
        <f t="shared" si="1"/>
        <v>0</v>
      </c>
      <c r="J9" s="7"/>
      <c r="K9" s="91" t="s">
        <v>71</v>
      </c>
      <c r="L9" s="20">
        <f>SUMIF(Tableau338101214[Mode de dépense],K9,Tableau338101214[Charge TTC])</f>
        <v>75.3</v>
      </c>
      <c r="M9" s="35"/>
    </row>
    <row r="10" spans="2:13" x14ac:dyDescent="0.2">
      <c r="B10" s="15"/>
      <c r="C10" s="15"/>
      <c r="D10" s="15" t="s">
        <v>70</v>
      </c>
      <c r="E10" s="15" t="s">
        <v>71</v>
      </c>
      <c r="F10" s="30">
        <v>20.51</v>
      </c>
      <c r="G10" s="33">
        <v>0</v>
      </c>
      <c r="H10" s="34">
        <f t="shared" si="0"/>
        <v>20.51</v>
      </c>
      <c r="I10" s="43">
        <f t="shared" si="1"/>
        <v>0</v>
      </c>
      <c r="J10" s="7"/>
      <c r="K10" s="99" t="s">
        <v>48</v>
      </c>
      <c r="L10" s="20">
        <f>SUMIF(Tableau338101214[Mode de dépense],K10,Tableau338101214[Charge TTC])</f>
        <v>0</v>
      </c>
      <c r="M10" s="35">
        <f>L10/1.2</f>
        <v>0</v>
      </c>
    </row>
    <row r="11" spans="2:13" x14ac:dyDescent="0.2">
      <c r="B11" s="15"/>
      <c r="C11" s="15"/>
      <c r="D11" s="15" t="s">
        <v>70</v>
      </c>
      <c r="E11" s="15" t="s">
        <v>71</v>
      </c>
      <c r="F11" s="25">
        <v>19.989999999999998</v>
      </c>
      <c r="G11" s="33">
        <v>0</v>
      </c>
      <c r="H11" s="34">
        <f t="shared" si="0"/>
        <v>19.989999999999998</v>
      </c>
      <c r="I11" s="43">
        <f t="shared" si="1"/>
        <v>0</v>
      </c>
      <c r="J11" s="7"/>
      <c r="K11" s="100" t="s">
        <v>49</v>
      </c>
      <c r="L11" s="20">
        <f>SUMIF(Tableau338101214[Mode de dépense],K11,Tableau338101214[Charge TTC])</f>
        <v>0</v>
      </c>
      <c r="M11" s="35">
        <f>L11/1.2</f>
        <v>0</v>
      </c>
    </row>
    <row r="12" spans="2:13" x14ac:dyDescent="0.2">
      <c r="B12" s="19"/>
      <c r="C12" s="15"/>
      <c r="D12" s="15" t="s">
        <v>79</v>
      </c>
      <c r="E12" s="15" t="s">
        <v>71</v>
      </c>
      <c r="F12" s="25">
        <v>10</v>
      </c>
      <c r="G12" s="33">
        <v>0</v>
      </c>
      <c r="H12" s="34">
        <f t="shared" si="0"/>
        <v>10</v>
      </c>
      <c r="I12" s="43">
        <f t="shared" si="1"/>
        <v>0</v>
      </c>
      <c r="J12" s="7"/>
      <c r="K12" s="101" t="s">
        <v>50</v>
      </c>
      <c r="L12" s="20">
        <f>SUMIF(Tableau338101214[Mode de dépense],K12,Tableau338101214[Charge TTC])</f>
        <v>0</v>
      </c>
      <c r="M12" s="35">
        <f>L12/1.2</f>
        <v>0</v>
      </c>
    </row>
    <row r="13" spans="2:13" x14ac:dyDescent="0.2">
      <c r="B13" s="19"/>
      <c r="C13" s="15"/>
      <c r="D13" s="15" t="s">
        <v>3</v>
      </c>
      <c r="E13" s="15" t="s">
        <v>36</v>
      </c>
      <c r="F13" s="25">
        <v>2803</v>
      </c>
      <c r="G13" s="33">
        <v>0</v>
      </c>
      <c r="H13" s="34">
        <f>F12/(1+G13)</f>
        <v>10</v>
      </c>
      <c r="I13" s="43">
        <f>F12-H13</f>
        <v>0</v>
      </c>
      <c r="J13" s="7"/>
      <c r="K13" s="92" t="s">
        <v>52</v>
      </c>
      <c r="L13" s="20">
        <f>SUMIF(Tableau338101214[Mode de dépense],K13,Tableau338101214[Charge TTC])</f>
        <v>0</v>
      </c>
      <c r="M13" s="35">
        <f>L13</f>
        <v>0</v>
      </c>
    </row>
    <row r="14" spans="2:13" x14ac:dyDescent="0.2">
      <c r="B14" s="19"/>
      <c r="C14" s="15"/>
      <c r="D14" s="15" t="s">
        <v>4</v>
      </c>
      <c r="E14" s="15" t="s">
        <v>36</v>
      </c>
      <c r="F14" s="25">
        <v>2300</v>
      </c>
      <c r="G14" s="33">
        <v>0</v>
      </c>
      <c r="H14" s="34">
        <f>F14/(1+G14)</f>
        <v>2300</v>
      </c>
      <c r="I14" s="43">
        <f t="shared" ref="I14:I36" si="2">F14-H14</f>
        <v>0</v>
      </c>
      <c r="J14" s="7"/>
      <c r="K14" s="93" t="s">
        <v>51</v>
      </c>
      <c r="L14" s="20">
        <f>SUMIF(Tableau338101214[Mode de dépense],K14,Tableau338101214[Charge TTC])</f>
        <v>0</v>
      </c>
      <c r="M14" s="35">
        <f>L14/1.2</f>
        <v>0</v>
      </c>
    </row>
    <row r="15" spans="2:13" x14ac:dyDescent="0.2">
      <c r="B15" s="15"/>
      <c r="C15" s="15"/>
      <c r="D15" s="15" t="s">
        <v>2</v>
      </c>
      <c r="E15" s="15" t="s">
        <v>36</v>
      </c>
      <c r="F15" s="25">
        <v>800</v>
      </c>
      <c r="G15" s="33">
        <v>0</v>
      </c>
      <c r="H15" s="34">
        <f>F15/(1+G15)</f>
        <v>800</v>
      </c>
      <c r="I15" s="43">
        <f t="shared" si="2"/>
        <v>0</v>
      </c>
      <c r="J15" s="7"/>
      <c r="K15" s="94" t="s">
        <v>60</v>
      </c>
      <c r="L15" s="20">
        <f>SUMIF(Tableau338101214[Mode de dépense],K15,Tableau338101214[Charge TTC])</f>
        <v>0</v>
      </c>
      <c r="M15" s="35">
        <f>L15/1.2</f>
        <v>0</v>
      </c>
    </row>
    <row r="16" spans="2:13" x14ac:dyDescent="0.2">
      <c r="B16" s="15"/>
      <c r="C16" s="15"/>
      <c r="D16" s="15"/>
      <c r="E16" s="15"/>
      <c r="F16" s="25"/>
      <c r="G16" s="33">
        <v>0</v>
      </c>
      <c r="H16" s="34">
        <f t="shared" ref="H16:H36" si="3">F16/((1+G16))</f>
        <v>0</v>
      </c>
      <c r="I16" s="43">
        <f t="shared" si="2"/>
        <v>0</v>
      </c>
      <c r="J16" s="7"/>
      <c r="K16" s="95" t="s">
        <v>72</v>
      </c>
      <c r="L16" s="20">
        <f>SUMIF(Tableau338101214[Mode de dépense],K16,Tableau338101214[Charge TTC])</f>
        <v>1003.26</v>
      </c>
      <c r="M16" s="35">
        <f>L16/1.2</f>
        <v>836.05000000000007</v>
      </c>
    </row>
    <row r="17" spans="2:10" x14ac:dyDescent="0.2">
      <c r="B17" s="15"/>
      <c r="C17" s="15"/>
      <c r="D17" s="15"/>
      <c r="E17" s="15"/>
      <c r="F17" s="25"/>
      <c r="G17" s="33">
        <v>0</v>
      </c>
      <c r="H17" s="34">
        <f t="shared" si="3"/>
        <v>0</v>
      </c>
      <c r="I17" s="43">
        <f t="shared" si="2"/>
        <v>0</v>
      </c>
      <c r="J17" s="7"/>
    </row>
    <row r="18" spans="2:10" x14ac:dyDescent="0.2">
      <c r="B18" s="15"/>
      <c r="C18" s="15"/>
      <c r="D18" s="15"/>
      <c r="E18" s="15"/>
      <c r="F18" s="25"/>
      <c r="G18" s="33">
        <v>0</v>
      </c>
      <c r="H18" s="34">
        <f t="shared" si="3"/>
        <v>0</v>
      </c>
      <c r="I18" s="43">
        <f t="shared" si="2"/>
        <v>0</v>
      </c>
      <c r="J18" s="7"/>
    </row>
    <row r="19" spans="2:10" x14ac:dyDescent="0.2">
      <c r="B19" s="15"/>
      <c r="C19" s="15"/>
      <c r="D19" s="15"/>
      <c r="E19" s="15"/>
      <c r="F19" s="25"/>
      <c r="G19" s="33">
        <v>0</v>
      </c>
      <c r="H19" s="34">
        <f t="shared" si="3"/>
        <v>0</v>
      </c>
      <c r="I19" s="43">
        <f t="shared" si="2"/>
        <v>0</v>
      </c>
      <c r="J19" s="7"/>
    </row>
    <row r="20" spans="2:10" x14ac:dyDescent="0.2">
      <c r="B20" s="15"/>
      <c r="C20" s="15"/>
      <c r="D20" s="15"/>
      <c r="E20" s="15"/>
      <c r="F20" s="25"/>
      <c r="G20" s="33">
        <v>0</v>
      </c>
      <c r="H20" s="34">
        <f t="shared" si="3"/>
        <v>0</v>
      </c>
      <c r="I20" s="43">
        <f t="shared" si="2"/>
        <v>0</v>
      </c>
      <c r="J20" s="7"/>
    </row>
    <row r="21" spans="2:10" x14ac:dyDescent="0.2">
      <c r="B21" s="15"/>
      <c r="C21" s="15"/>
      <c r="D21" s="15"/>
      <c r="E21" s="15"/>
      <c r="F21" s="25"/>
      <c r="G21" s="33">
        <v>0</v>
      </c>
      <c r="H21" s="34">
        <f t="shared" si="3"/>
        <v>0</v>
      </c>
      <c r="I21" s="43">
        <f t="shared" si="2"/>
        <v>0</v>
      </c>
      <c r="J21" s="7"/>
    </row>
    <row r="22" spans="2:10" x14ac:dyDescent="0.2">
      <c r="B22" s="15"/>
      <c r="C22" s="15"/>
      <c r="D22" s="15"/>
      <c r="E22" s="15"/>
      <c r="F22" s="25"/>
      <c r="G22" s="33">
        <v>0</v>
      </c>
      <c r="H22" s="34">
        <f t="shared" si="3"/>
        <v>0</v>
      </c>
      <c r="I22" s="43">
        <f t="shared" si="2"/>
        <v>0</v>
      </c>
      <c r="J22" s="7"/>
    </row>
    <row r="23" spans="2:10" x14ac:dyDescent="0.2">
      <c r="B23" s="15"/>
      <c r="C23" s="15"/>
      <c r="D23" s="15"/>
      <c r="E23" s="15"/>
      <c r="F23" s="25"/>
      <c r="G23" s="33">
        <v>0</v>
      </c>
      <c r="H23" s="34">
        <f t="shared" si="3"/>
        <v>0</v>
      </c>
      <c r="I23" s="43">
        <f t="shared" si="2"/>
        <v>0</v>
      </c>
      <c r="J23" s="7"/>
    </row>
    <row r="24" spans="2:10" x14ac:dyDescent="0.2">
      <c r="B24" s="15"/>
      <c r="C24" s="15"/>
      <c r="D24" s="15"/>
      <c r="E24" s="15"/>
      <c r="F24" s="25"/>
      <c r="G24" s="33">
        <v>0</v>
      </c>
      <c r="H24" s="34">
        <f t="shared" si="3"/>
        <v>0</v>
      </c>
      <c r="I24" s="43">
        <f t="shared" si="2"/>
        <v>0</v>
      </c>
      <c r="J24" s="7"/>
    </row>
    <row r="25" spans="2:10" x14ac:dyDescent="0.2">
      <c r="B25" s="15"/>
      <c r="C25" s="15"/>
      <c r="D25" s="15"/>
      <c r="E25" s="15"/>
      <c r="F25" s="25"/>
      <c r="G25" s="33">
        <v>0</v>
      </c>
      <c r="H25" s="34">
        <f t="shared" si="3"/>
        <v>0</v>
      </c>
      <c r="I25" s="43">
        <f t="shared" si="2"/>
        <v>0</v>
      </c>
      <c r="J25" s="7"/>
    </row>
    <row r="26" spans="2:10" x14ac:dyDescent="0.2">
      <c r="B26" s="15"/>
      <c r="C26" s="15"/>
      <c r="D26" s="15"/>
      <c r="E26" s="15"/>
      <c r="F26" s="25"/>
      <c r="G26" s="33">
        <v>0</v>
      </c>
      <c r="H26" s="34">
        <f t="shared" si="3"/>
        <v>0</v>
      </c>
      <c r="I26" s="43">
        <f t="shared" si="2"/>
        <v>0</v>
      </c>
      <c r="J26" s="7"/>
    </row>
    <row r="27" spans="2:10" x14ac:dyDescent="0.2">
      <c r="B27" s="15"/>
      <c r="C27" s="15"/>
      <c r="D27" s="15"/>
      <c r="E27" s="15"/>
      <c r="F27" s="25"/>
      <c r="G27" s="33">
        <v>0</v>
      </c>
      <c r="H27" s="34">
        <f t="shared" si="3"/>
        <v>0</v>
      </c>
      <c r="I27" s="43">
        <f t="shared" si="2"/>
        <v>0</v>
      </c>
      <c r="J27" s="7"/>
    </row>
    <row r="28" spans="2:10" x14ac:dyDescent="0.2">
      <c r="B28" s="15"/>
      <c r="C28" s="15"/>
      <c r="D28" s="15"/>
      <c r="E28" s="15"/>
      <c r="F28" s="25"/>
      <c r="G28" s="33">
        <v>0</v>
      </c>
      <c r="H28" s="34">
        <f t="shared" si="3"/>
        <v>0</v>
      </c>
      <c r="I28" s="43">
        <f t="shared" si="2"/>
        <v>0</v>
      </c>
      <c r="J28" s="7"/>
    </row>
    <row r="29" spans="2:10" x14ac:dyDescent="0.2">
      <c r="B29" s="15"/>
      <c r="C29" s="15"/>
      <c r="D29" s="15"/>
      <c r="E29" s="15"/>
      <c r="F29" s="25"/>
      <c r="G29" s="33">
        <v>0</v>
      </c>
      <c r="H29" s="34">
        <f t="shared" si="3"/>
        <v>0</v>
      </c>
      <c r="I29" s="43">
        <f t="shared" si="2"/>
        <v>0</v>
      </c>
      <c r="J29" s="7"/>
    </row>
    <row r="30" spans="2:10" x14ac:dyDescent="0.2">
      <c r="B30" s="15"/>
      <c r="C30" s="15"/>
      <c r="D30" s="15"/>
      <c r="E30" s="15"/>
      <c r="F30" s="25"/>
      <c r="G30" s="33">
        <v>0</v>
      </c>
      <c r="H30" s="34">
        <f t="shared" si="3"/>
        <v>0</v>
      </c>
      <c r="I30" s="43">
        <f t="shared" si="2"/>
        <v>0</v>
      </c>
      <c r="J30" s="7"/>
    </row>
    <row r="31" spans="2:10" x14ac:dyDescent="0.2">
      <c r="B31" s="15"/>
      <c r="C31" s="15"/>
      <c r="D31" s="15"/>
      <c r="E31" s="15"/>
      <c r="F31" s="25"/>
      <c r="G31" s="33">
        <v>0</v>
      </c>
      <c r="H31" s="34">
        <f t="shared" si="3"/>
        <v>0</v>
      </c>
      <c r="I31" s="43">
        <f t="shared" si="2"/>
        <v>0</v>
      </c>
      <c r="J31" s="7"/>
    </row>
    <row r="32" spans="2:10" x14ac:dyDescent="0.2">
      <c r="B32" s="15"/>
      <c r="C32" s="15"/>
      <c r="D32" s="15"/>
      <c r="E32" s="15"/>
      <c r="F32" s="25"/>
      <c r="G32" s="33">
        <v>0</v>
      </c>
      <c r="H32" s="34">
        <f t="shared" si="3"/>
        <v>0</v>
      </c>
      <c r="I32" s="43">
        <f t="shared" si="2"/>
        <v>0</v>
      </c>
      <c r="J32" s="7"/>
    </row>
    <row r="33" spans="2:10" x14ac:dyDescent="0.2">
      <c r="B33" s="15"/>
      <c r="C33" s="15"/>
      <c r="D33" s="15"/>
      <c r="E33" s="15"/>
      <c r="F33" s="25"/>
      <c r="G33" s="33">
        <v>0</v>
      </c>
      <c r="H33" s="34">
        <f t="shared" si="3"/>
        <v>0</v>
      </c>
      <c r="I33" s="43">
        <f t="shared" si="2"/>
        <v>0</v>
      </c>
      <c r="J33" s="7"/>
    </row>
    <row r="34" spans="2:10" x14ac:dyDescent="0.2">
      <c r="B34" s="19"/>
      <c r="C34" s="15"/>
      <c r="D34" s="15"/>
      <c r="E34" s="15"/>
      <c r="F34" s="25"/>
      <c r="G34" s="33">
        <v>0</v>
      </c>
      <c r="H34" s="34">
        <f t="shared" si="3"/>
        <v>0</v>
      </c>
      <c r="I34" s="43">
        <f t="shared" si="2"/>
        <v>0</v>
      </c>
      <c r="J34" s="7"/>
    </row>
    <row r="35" spans="2:10" x14ac:dyDescent="0.2">
      <c r="B35" s="19"/>
      <c r="C35" s="15"/>
      <c r="D35" s="15"/>
      <c r="E35" s="15"/>
      <c r="F35" s="25"/>
      <c r="G35" s="33">
        <v>0</v>
      </c>
      <c r="H35" s="34">
        <f t="shared" si="3"/>
        <v>0</v>
      </c>
      <c r="I35" s="43">
        <f t="shared" si="2"/>
        <v>0</v>
      </c>
    </row>
    <row r="36" spans="2:10" x14ac:dyDescent="0.2">
      <c r="B36" s="15"/>
      <c r="C36" s="15"/>
      <c r="D36" s="15"/>
      <c r="E36" s="15"/>
      <c r="F36" s="25"/>
      <c r="G36" s="33">
        <v>0</v>
      </c>
      <c r="H36" s="34">
        <f t="shared" si="3"/>
        <v>0</v>
      </c>
      <c r="I36" s="43">
        <f t="shared" si="2"/>
        <v>0</v>
      </c>
    </row>
  </sheetData>
  <mergeCells count="4">
    <mergeCell ref="B1:I2"/>
    <mergeCell ref="F4:F5"/>
    <mergeCell ref="H4:H5"/>
    <mergeCell ref="I4:I5"/>
  </mergeCells>
  <conditionalFormatting sqref="E7:E12 E16:E36">
    <cfRule type="containsText" dxfId="243" priority="31" operator="containsText" text="Emprunt/Crédit">
      <formula>NOT(ISERROR(SEARCH("Emprunt/Crédit",E7)))</formula>
    </cfRule>
    <cfRule type="containsText" dxfId="242" priority="32" operator="containsText" text="Garage">
      <formula>NOT(ISERROR(SEARCH("Garage",E7)))</formula>
    </cfRule>
    <cfRule type="containsText" dxfId="241" priority="34" operator="containsText" text="Visite JB Hub">
      <formula>NOT(ISERROR(SEARCH("Visite JB Hub",E7)))</formula>
    </cfRule>
    <cfRule type="containsText" dxfId="240" priority="35" operator="containsText" text="Repas">
      <formula>NOT(ISERROR(SEARCH("Repas",E7)))</formula>
    </cfRule>
    <cfRule type="containsText" dxfId="239" priority="36" operator="containsText" text="Communication">
      <formula>NOT(ISERROR(SEARCH("Communication",E7)))</formula>
    </cfRule>
    <cfRule type="containsText" dxfId="238" priority="37" operator="containsText" text="Jeep">
      <formula>NOT(ISERROR(SEARCH("Jeep",E7)))</formula>
    </cfRule>
    <cfRule type="containsText" dxfId="237" priority="38" operator="containsText" text="Structure">
      <formula>NOT(ISERROR(SEARCH("Structure",E7)))</formula>
    </cfRule>
    <cfRule type="containsText" dxfId="236" priority="39" operator="containsText" text="Essence">
      <formula>NOT(ISERROR(SEARCH("Essence",E7)))</formula>
    </cfRule>
    <cfRule type="containsText" dxfId="235" priority="40" operator="containsText" text="Salaire">
      <formula>NOT(ISERROR(SEARCH("Salaire",E7)))</formula>
    </cfRule>
  </conditionalFormatting>
  <conditionalFormatting sqref="E7:E12 E16:E36">
    <cfRule type="containsText" dxfId="234" priority="33" operator="containsText" text="Assurance">
      <formula>NOT(ISERROR(SEARCH("Assurance",E7)))</formula>
    </cfRule>
  </conditionalFormatting>
  <conditionalFormatting sqref="E13">
    <cfRule type="containsText" dxfId="233" priority="21" operator="containsText" text="Emprunt/Crédit">
      <formula>NOT(ISERROR(SEARCH("Emprunt/Crédit",E13)))</formula>
    </cfRule>
    <cfRule type="containsText" dxfId="232" priority="22" operator="containsText" text="Garage">
      <formula>NOT(ISERROR(SEARCH("Garage",E13)))</formula>
    </cfRule>
    <cfRule type="containsText" dxfId="231" priority="24" operator="containsText" text="Visite JB Hub">
      <formula>NOT(ISERROR(SEARCH("Visite JB Hub",E13)))</formula>
    </cfRule>
    <cfRule type="containsText" dxfId="230" priority="25" operator="containsText" text="Repas">
      <formula>NOT(ISERROR(SEARCH("Repas",E13)))</formula>
    </cfRule>
    <cfRule type="containsText" dxfId="229" priority="26" operator="containsText" text="Communication">
      <formula>NOT(ISERROR(SEARCH("Communication",E13)))</formula>
    </cfRule>
    <cfRule type="containsText" dxfId="228" priority="27" operator="containsText" text="Jeep">
      <formula>NOT(ISERROR(SEARCH("Jeep",E13)))</formula>
    </cfRule>
    <cfRule type="containsText" dxfId="227" priority="28" operator="containsText" text="Structure">
      <formula>NOT(ISERROR(SEARCH("Structure",E13)))</formula>
    </cfRule>
    <cfRule type="containsText" dxfId="226" priority="29" operator="containsText" text="Essence">
      <formula>NOT(ISERROR(SEARCH("Essence",E13)))</formula>
    </cfRule>
    <cfRule type="containsText" dxfId="225" priority="30" operator="containsText" text="Salaire">
      <formula>NOT(ISERROR(SEARCH("Salaire",E13)))</formula>
    </cfRule>
  </conditionalFormatting>
  <conditionalFormatting sqref="E13">
    <cfRule type="containsText" dxfId="224" priority="23" operator="containsText" text="Assurance">
      <formula>NOT(ISERROR(SEARCH("Assurance",E13)))</formula>
    </cfRule>
  </conditionalFormatting>
  <conditionalFormatting sqref="E14">
    <cfRule type="containsText" dxfId="223" priority="11" operator="containsText" text="Emprunt/Crédit">
      <formula>NOT(ISERROR(SEARCH("Emprunt/Crédit",E14)))</formula>
    </cfRule>
    <cfRule type="containsText" dxfId="222" priority="12" operator="containsText" text="Garage">
      <formula>NOT(ISERROR(SEARCH("Garage",E14)))</formula>
    </cfRule>
    <cfRule type="containsText" dxfId="221" priority="14" operator="containsText" text="Visite JB Hub">
      <formula>NOT(ISERROR(SEARCH("Visite JB Hub",E14)))</formula>
    </cfRule>
    <cfRule type="containsText" dxfId="220" priority="15" operator="containsText" text="Repas">
      <formula>NOT(ISERROR(SEARCH("Repas",E14)))</formula>
    </cfRule>
    <cfRule type="containsText" dxfId="219" priority="16" operator="containsText" text="Communication">
      <formula>NOT(ISERROR(SEARCH("Communication",E14)))</formula>
    </cfRule>
    <cfRule type="containsText" dxfId="218" priority="17" operator="containsText" text="Jeep">
      <formula>NOT(ISERROR(SEARCH("Jeep",E14)))</formula>
    </cfRule>
    <cfRule type="containsText" dxfId="217" priority="18" operator="containsText" text="Structure">
      <formula>NOT(ISERROR(SEARCH("Structure",E14)))</formula>
    </cfRule>
    <cfRule type="containsText" dxfId="216" priority="19" operator="containsText" text="Essence">
      <formula>NOT(ISERROR(SEARCH("Essence",E14)))</formula>
    </cfRule>
    <cfRule type="containsText" dxfId="215" priority="20" operator="containsText" text="Salaire">
      <formula>NOT(ISERROR(SEARCH("Salaire",E14)))</formula>
    </cfRule>
  </conditionalFormatting>
  <conditionalFormatting sqref="E14">
    <cfRule type="containsText" dxfId="214" priority="13" operator="containsText" text="Assurance">
      <formula>NOT(ISERROR(SEARCH("Assurance",E14)))</formula>
    </cfRule>
  </conditionalFormatting>
  <conditionalFormatting sqref="E15">
    <cfRule type="containsText" dxfId="213" priority="1" operator="containsText" text="Emprunt/Crédit">
      <formula>NOT(ISERROR(SEARCH("Emprunt/Crédit",E15)))</formula>
    </cfRule>
    <cfRule type="containsText" dxfId="212" priority="2" operator="containsText" text="Garage">
      <formula>NOT(ISERROR(SEARCH("Garage",E15)))</formula>
    </cfRule>
    <cfRule type="containsText" dxfId="211" priority="4" operator="containsText" text="Visite JB Hub">
      <formula>NOT(ISERROR(SEARCH("Visite JB Hub",E15)))</formula>
    </cfRule>
    <cfRule type="containsText" dxfId="210" priority="5" operator="containsText" text="Repas">
      <formula>NOT(ISERROR(SEARCH("Repas",E15)))</formula>
    </cfRule>
    <cfRule type="containsText" dxfId="209" priority="6" operator="containsText" text="Communication">
      <formula>NOT(ISERROR(SEARCH("Communication",E15)))</formula>
    </cfRule>
    <cfRule type="containsText" dxfId="208" priority="7" operator="containsText" text="Jeep">
      <formula>NOT(ISERROR(SEARCH("Jeep",E15)))</formula>
    </cfRule>
    <cfRule type="containsText" dxfId="207" priority="8" operator="containsText" text="Structure">
      <formula>NOT(ISERROR(SEARCH("Structure",E15)))</formula>
    </cfRule>
    <cfRule type="containsText" dxfId="206" priority="9" operator="containsText" text="Essence">
      <formula>NOT(ISERROR(SEARCH("Essence",E15)))</formula>
    </cfRule>
    <cfRule type="containsText" dxfId="205" priority="10" operator="containsText" text="Salaire">
      <formula>NOT(ISERROR(SEARCH("Salaire",E15)))</formula>
    </cfRule>
  </conditionalFormatting>
  <conditionalFormatting sqref="E15">
    <cfRule type="containsText" dxfId="204" priority="3" operator="containsText" text="Assurance">
      <formula>NOT(ISERROR(SEARCH("Assurance",E15)))</formula>
    </cfRule>
  </conditionalFormatting>
  <dataValidations count="4">
    <dataValidation type="list" allowBlank="1" showInputMessage="1" showErrorMessage="1" sqref="G7:G36" xr:uid="{6D6B5355-D56B-1140-83E6-71860453771E}">
      <formula1>"0%, 20%"</formula1>
    </dataValidation>
    <dataValidation type="list" allowBlank="1" showInputMessage="1" showErrorMessage="1" sqref="E7:E12 E16:E36" xr:uid="{2BD938FE-99E6-364F-B54A-B9D40554F41F}">
      <formula1>"Salaire, Essence, Structure, Jeep, Communication, Repas, Visite JB Hub, Assurance, Garage, Emprunt/Crédit, Bureau"</formula1>
    </dataValidation>
    <dataValidation allowBlank="1" showInputMessage="1" sqref="F7:F36" xr:uid="{0A7F1AEB-0C43-354E-9EDD-E508EE7ED059}"/>
    <dataValidation type="list" allowBlank="1" showInputMessage="1" showErrorMessage="1" sqref="E13:E15" xr:uid="{CD1F49E0-247F-C340-9F48-1DC5AC3374C8}">
      <formula1>"Salaire, Essence, Structure, Jeep, Communication, Repas, Visite JB Hub, Assurance, Garage, Emprunt/Crédit, Bureau, URSSAF"</formula1>
    </dataValidation>
  </dataValidations>
  <pageMargins left="0.7" right="0.7" top="0.75" bottom="0.75" header="0.3" footer="0.3"/>
  <tableParts count="1">
    <tablePart r:id="rId1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557B88-7DD0-D242-BDA0-65B8E81C1F9D}">
  <dimension ref="A1:U57"/>
  <sheetViews>
    <sheetView topLeftCell="A24" workbookViewId="0">
      <selection activeCell="E49" sqref="E49"/>
    </sheetView>
  </sheetViews>
  <sheetFormatPr baseColWidth="10" defaultRowHeight="16" x14ac:dyDescent="0.2"/>
  <cols>
    <col min="9" max="9" width="22.6640625" customWidth="1"/>
    <col min="11" max="11" width="20" customWidth="1"/>
  </cols>
  <sheetData>
    <row r="1" spans="1:21" ht="17" thickBot="1" x14ac:dyDescent="0.25">
      <c r="F1" s="63"/>
      <c r="G1" s="64"/>
      <c r="H1" s="65"/>
      <c r="I1" s="65"/>
      <c r="J1" s="65"/>
      <c r="K1" s="65"/>
      <c r="L1" s="65"/>
      <c r="M1" s="66"/>
      <c r="U1" t="s">
        <v>142</v>
      </c>
    </row>
    <row r="2" spans="1:21" x14ac:dyDescent="0.2">
      <c r="F2" s="161" t="s">
        <v>143</v>
      </c>
      <c r="G2" s="162"/>
      <c r="H2" s="162"/>
      <c r="I2" s="162"/>
      <c r="J2" s="162"/>
      <c r="K2" s="162"/>
      <c r="L2" s="162"/>
      <c r="M2" s="163"/>
    </row>
    <row r="3" spans="1:21" ht="17" thickBot="1" x14ac:dyDescent="0.25">
      <c r="F3" s="164"/>
      <c r="G3" s="165"/>
      <c r="H3" s="165"/>
      <c r="I3" s="165"/>
      <c r="J3" s="165"/>
      <c r="K3" s="165"/>
      <c r="L3" s="165"/>
      <c r="M3" s="166"/>
    </row>
    <row r="4" spans="1:21" ht="25" thickBot="1" x14ac:dyDescent="0.25">
      <c r="F4" s="61"/>
      <c r="G4" s="61"/>
      <c r="H4" s="61"/>
      <c r="I4" s="61"/>
      <c r="J4" s="61"/>
      <c r="K4" s="61"/>
      <c r="L4" s="61"/>
      <c r="M4" s="61"/>
    </row>
    <row r="5" spans="1:21" ht="60" x14ac:dyDescent="0.2">
      <c r="F5" s="61"/>
      <c r="G5" s="61"/>
      <c r="H5" s="61"/>
      <c r="I5" s="103" t="s">
        <v>87</v>
      </c>
      <c r="J5" s="61"/>
      <c r="K5" s="71" t="s">
        <v>66</v>
      </c>
      <c r="L5" s="61"/>
      <c r="M5" s="61"/>
    </row>
    <row r="6" spans="1:21" ht="30" thickBot="1" x14ac:dyDescent="0.25">
      <c r="G6" s="67"/>
      <c r="H6" s="7"/>
      <c r="I6" s="105">
        <f>SUM(I56:M56)</f>
        <v>2769.02</v>
      </c>
      <c r="J6" s="69"/>
      <c r="K6" s="73">
        <f>I57+K57+M57</f>
        <v>2769.02</v>
      </c>
      <c r="L6" s="7"/>
    </row>
    <row r="7" spans="1:21" ht="24" x14ac:dyDescent="0.2">
      <c r="F7" s="61"/>
      <c r="G7" s="61"/>
      <c r="H7" s="61"/>
      <c r="I7" s="61"/>
      <c r="J7" s="61"/>
      <c r="K7" s="61"/>
      <c r="L7" s="61"/>
      <c r="M7" s="61"/>
    </row>
    <row r="8" spans="1:21" ht="46" x14ac:dyDescent="0.2">
      <c r="B8" s="52" t="s">
        <v>0</v>
      </c>
      <c r="C8" s="189" t="s">
        <v>238</v>
      </c>
      <c r="D8" s="55" t="s">
        <v>1</v>
      </c>
      <c r="E8" s="55" t="s">
        <v>82</v>
      </c>
      <c r="F8" s="56" t="s">
        <v>83</v>
      </c>
      <c r="G8" s="56" t="s">
        <v>88</v>
      </c>
      <c r="H8" s="57" t="s">
        <v>84</v>
      </c>
      <c r="I8" s="56" t="s">
        <v>2</v>
      </c>
      <c r="J8" s="58" t="s">
        <v>85</v>
      </c>
      <c r="K8" s="59" t="s">
        <v>3</v>
      </c>
      <c r="L8" s="60" t="s">
        <v>86</v>
      </c>
      <c r="M8" s="59" t="s">
        <v>4</v>
      </c>
      <c r="N8" s="55" t="s">
        <v>5</v>
      </c>
      <c r="P8" s="74" t="s">
        <v>59</v>
      </c>
      <c r="Q8" s="48" t="s">
        <v>53</v>
      </c>
      <c r="R8" s="49" t="s">
        <v>54</v>
      </c>
      <c r="S8" s="50" t="s">
        <v>55</v>
      </c>
      <c r="T8" s="88" t="s">
        <v>37</v>
      </c>
      <c r="U8" s="78" t="s">
        <v>89</v>
      </c>
    </row>
    <row r="9" spans="1:21" x14ac:dyDescent="0.2">
      <c r="A9" s="167"/>
      <c r="B9" s="11">
        <v>45539</v>
      </c>
      <c r="C9" s="11" t="s">
        <v>241</v>
      </c>
      <c r="D9" s="9" t="s">
        <v>16</v>
      </c>
      <c r="E9" s="9" t="s">
        <v>46</v>
      </c>
      <c r="F9" s="9"/>
      <c r="G9" s="3"/>
      <c r="H9" s="3" t="s">
        <v>46</v>
      </c>
      <c r="I9" s="32">
        <v>147</v>
      </c>
      <c r="J9" s="3"/>
      <c r="K9" s="51"/>
      <c r="L9" s="3"/>
      <c r="M9" s="30"/>
      <c r="N9" s="3"/>
      <c r="P9" s="16" t="s">
        <v>43</v>
      </c>
      <c r="Q9" s="22">
        <f>SUMIF(Tableau5579111315[$T],P9,Tableau5579111315[Thomas])</f>
        <v>0</v>
      </c>
      <c r="R9" s="22">
        <f>SUMIF(Tableau5579111315[$F],P9,Tableau5579111315[Flavie])</f>
        <v>0</v>
      </c>
      <c r="S9" s="22">
        <f>SUMIF(Tableau5579111315[$R],P9,Tableau5579111315[Raphaëlle])</f>
        <v>0</v>
      </c>
      <c r="T9" s="87">
        <f t="shared" ref="T9:T14" si="0">SUM(Q9:S9)</f>
        <v>0</v>
      </c>
      <c r="U9" s="79">
        <f t="shared" ref="U9:U14" si="1">(Q9+R9+S9)/1</f>
        <v>0</v>
      </c>
    </row>
    <row r="10" spans="1:21" x14ac:dyDescent="0.2">
      <c r="A10" s="167"/>
      <c r="B10" s="11"/>
      <c r="C10" s="11" t="s">
        <v>241</v>
      </c>
      <c r="D10" s="9"/>
      <c r="E10" s="9"/>
      <c r="F10" s="9"/>
      <c r="G10" s="7"/>
      <c r="H10" s="7"/>
      <c r="I10" s="32"/>
      <c r="J10" s="7"/>
      <c r="K10" s="51"/>
      <c r="L10" s="7"/>
      <c r="M10" s="51"/>
      <c r="N10" s="3"/>
      <c r="P10" s="17" t="s">
        <v>44</v>
      </c>
      <c r="Q10" s="22">
        <f>SUMIF(Tableau5579111315[$T],P10,Tableau5579111315[Thomas])</f>
        <v>0</v>
      </c>
      <c r="R10" s="22">
        <f>SUMIF(Tableau5579111315[$F],P10,Tableau5579111315[Flavie])</f>
        <v>0</v>
      </c>
      <c r="S10" s="22">
        <f>SUMIF(Tableau5579111315[$R],P10,Tableau5579111315[Raphaëlle])</f>
        <v>0</v>
      </c>
      <c r="T10" s="87">
        <f t="shared" si="0"/>
        <v>0</v>
      </c>
      <c r="U10" s="79">
        <f t="shared" si="1"/>
        <v>0</v>
      </c>
    </row>
    <row r="11" spans="1:21" x14ac:dyDescent="0.2">
      <c r="A11" s="167"/>
      <c r="B11" s="11"/>
      <c r="C11" s="11" t="s">
        <v>241</v>
      </c>
      <c r="D11" s="9"/>
      <c r="E11" s="9"/>
      <c r="F11" s="9"/>
      <c r="G11" s="3"/>
      <c r="H11" s="3"/>
      <c r="I11" s="51"/>
      <c r="J11" s="3"/>
      <c r="K11" s="51"/>
      <c r="L11" s="3"/>
      <c r="M11" s="32"/>
      <c r="N11" s="3"/>
      <c r="P11" s="18" t="s">
        <v>45</v>
      </c>
      <c r="Q11" s="22">
        <f>SUMIF(Tableau5579111315[$T],P11,Tableau5579111315[Thomas])</f>
        <v>0</v>
      </c>
      <c r="R11" s="22">
        <f>SUMIF(Tableau5579111315[$F],P11,Tableau5579111315[Flavie])</f>
        <v>0</v>
      </c>
      <c r="S11" s="22">
        <f>SUMIF(Tableau5579111315[$R],P11,Tableau5579111315[Raphaëlle])</f>
        <v>0</v>
      </c>
      <c r="T11" s="87">
        <f t="shared" si="0"/>
        <v>0</v>
      </c>
      <c r="U11" s="79">
        <f t="shared" si="1"/>
        <v>0</v>
      </c>
    </row>
    <row r="12" spans="1:21" x14ac:dyDescent="0.2">
      <c r="A12" s="167"/>
      <c r="B12" s="12"/>
      <c r="C12" s="11" t="s">
        <v>241</v>
      </c>
      <c r="D12" s="9"/>
      <c r="E12" s="9"/>
      <c r="F12" s="9"/>
      <c r="G12" s="3"/>
      <c r="H12" s="3"/>
      <c r="I12" s="32"/>
      <c r="J12" s="3"/>
      <c r="K12" s="51"/>
      <c r="L12" s="3"/>
      <c r="M12" s="32"/>
      <c r="N12" s="3"/>
      <c r="P12" s="4" t="s">
        <v>46</v>
      </c>
      <c r="Q12" s="22">
        <f>SUMIF(Tableau5579111315[$T],P12,Tableau5579111315[Thomas])</f>
        <v>446</v>
      </c>
      <c r="R12" s="22">
        <f>SUMIF(Tableau5579111315[$F],P12,Tableau5579111315[Flavie])</f>
        <v>0</v>
      </c>
      <c r="S12" s="22">
        <f>SUMIF(Tableau5579111315[$R],P12,Tableau5579111315[Raphaëlle])</f>
        <v>393.02</v>
      </c>
      <c r="T12" s="87">
        <f t="shared" si="0"/>
        <v>839.02</v>
      </c>
      <c r="U12" s="79">
        <f t="shared" si="1"/>
        <v>839.02</v>
      </c>
    </row>
    <row r="13" spans="1:21" x14ac:dyDescent="0.2">
      <c r="A13" s="167"/>
      <c r="B13" s="11"/>
      <c r="C13" s="11" t="s">
        <v>241</v>
      </c>
      <c r="D13" s="9"/>
      <c r="E13" s="9"/>
      <c r="F13" s="9"/>
      <c r="G13" s="3"/>
      <c r="H13" s="3"/>
      <c r="I13" s="51"/>
      <c r="J13" s="3"/>
      <c r="K13" s="51"/>
      <c r="L13" s="3"/>
      <c r="M13" s="32"/>
      <c r="N13" s="3"/>
      <c r="P13" s="76" t="s">
        <v>56</v>
      </c>
      <c r="Q13" s="22">
        <f>SUMIF(Tableau5579111315[$T],P13,Tableau5579111315[Thomas])</f>
        <v>0</v>
      </c>
      <c r="R13" s="22">
        <f>SUMIF(Tableau5579111315[$F],P13,Tableau5579111315[Flavie])</f>
        <v>0</v>
      </c>
      <c r="S13" s="22">
        <f>SUMIF(Tableau5579111315[$R],P13,Tableau5579111315[Raphaëlle])</f>
        <v>0</v>
      </c>
      <c r="T13" s="87">
        <f t="shared" si="0"/>
        <v>0</v>
      </c>
      <c r="U13" s="79">
        <f t="shared" si="1"/>
        <v>0</v>
      </c>
    </row>
    <row r="14" spans="1:21" x14ac:dyDescent="0.2">
      <c r="A14" s="106"/>
      <c r="B14" s="12">
        <v>45554</v>
      </c>
      <c r="C14" s="11" t="s">
        <v>241</v>
      </c>
      <c r="D14" s="9" t="s">
        <v>58</v>
      </c>
      <c r="E14" s="9" t="s">
        <v>98</v>
      </c>
      <c r="F14" s="9"/>
      <c r="G14" s="3"/>
      <c r="H14" s="3" t="s">
        <v>46</v>
      </c>
      <c r="I14" s="51">
        <v>299</v>
      </c>
      <c r="J14" s="3"/>
      <c r="K14" s="51"/>
      <c r="L14" s="3"/>
      <c r="M14" s="32"/>
      <c r="N14" s="3"/>
      <c r="P14" s="26" t="s">
        <v>61</v>
      </c>
      <c r="Q14" s="22">
        <f>SUMIF(Tableau5579111315[$T],P14,Tableau5579111315[Thomas])</f>
        <v>0</v>
      </c>
      <c r="R14" s="22">
        <f>SUMIF(Tableau5579111315[$F],P14,Tableau5579111315[Flavie])</f>
        <v>0</v>
      </c>
      <c r="S14" s="22">
        <f>SUMIF(Tableau5579111315[$R],P14,Tableau5579111315[Raphaëlle])</f>
        <v>0</v>
      </c>
      <c r="T14" s="87">
        <f t="shared" si="0"/>
        <v>0</v>
      </c>
      <c r="U14" s="79">
        <f t="shared" si="1"/>
        <v>0</v>
      </c>
    </row>
    <row r="15" spans="1:21" x14ac:dyDescent="0.2">
      <c r="A15" s="106"/>
      <c r="B15" s="12">
        <v>45554</v>
      </c>
      <c r="C15" s="11" t="s">
        <v>241</v>
      </c>
      <c r="D15" s="9" t="s">
        <v>38</v>
      </c>
      <c r="E15" s="9" t="s">
        <v>98</v>
      </c>
      <c r="F15" s="9"/>
      <c r="G15" s="3"/>
      <c r="H15" s="3"/>
      <c r="I15" s="32"/>
      <c r="J15" s="3"/>
      <c r="K15" s="51"/>
      <c r="L15" s="3" t="s">
        <v>46</v>
      </c>
      <c r="M15" s="32">
        <v>393.02</v>
      </c>
      <c r="N15" s="3"/>
      <c r="Q15" s="102">
        <f>SUM(Q9:Q14)</f>
        <v>446</v>
      </c>
      <c r="R15" s="85">
        <f>SUM(R9:R14)</f>
        <v>0</v>
      </c>
      <c r="S15" s="85">
        <f>SUM(S9:S14)</f>
        <v>393.02</v>
      </c>
    </row>
    <row r="16" spans="1:21" x14ac:dyDescent="0.2">
      <c r="A16" s="106"/>
      <c r="B16" s="12"/>
      <c r="C16" s="11" t="s">
        <v>241</v>
      </c>
      <c r="D16" s="9"/>
      <c r="E16" s="9"/>
      <c r="F16" s="9"/>
      <c r="G16" s="3"/>
      <c r="H16" s="3"/>
      <c r="I16" s="32"/>
      <c r="J16" s="32"/>
      <c r="K16" s="51"/>
      <c r="L16" s="32"/>
      <c r="M16" s="32"/>
      <c r="N16" s="5"/>
      <c r="P16" s="86" t="s">
        <v>89</v>
      </c>
      <c r="Q16" s="89">
        <f>(Q9+Q10+Q11+Q12+Q13+Q14)/1</f>
        <v>446</v>
      </c>
      <c r="R16" s="89">
        <f>(R9+R10+R11+R12+R13+R14)/1</f>
        <v>0</v>
      </c>
      <c r="S16" s="89">
        <f>(S9+S10+S11+S12+S13+S14)/1</f>
        <v>393.02</v>
      </c>
    </row>
    <row r="17" spans="1:14" x14ac:dyDescent="0.2">
      <c r="A17" s="106"/>
      <c r="B17" s="12"/>
      <c r="C17" s="11" t="s">
        <v>241</v>
      </c>
      <c r="D17" s="9"/>
      <c r="E17" s="9"/>
      <c r="F17" s="9"/>
      <c r="G17" s="3"/>
      <c r="H17" s="3"/>
      <c r="I17" s="51"/>
      <c r="J17" s="32"/>
      <c r="K17" s="51"/>
      <c r="L17" s="3"/>
      <c r="M17" s="32"/>
      <c r="N17" s="3"/>
    </row>
    <row r="18" spans="1:14" x14ac:dyDescent="0.2">
      <c r="A18" s="106"/>
      <c r="B18" s="12"/>
      <c r="C18" s="11" t="s">
        <v>241</v>
      </c>
      <c r="D18" s="9"/>
      <c r="E18" s="9"/>
      <c r="F18" s="9"/>
      <c r="G18" s="3"/>
      <c r="H18" s="3"/>
      <c r="I18" s="51"/>
      <c r="J18" s="32"/>
      <c r="K18" s="51"/>
      <c r="L18" s="32"/>
      <c r="M18" s="32"/>
      <c r="N18" s="5"/>
    </row>
    <row r="19" spans="1:14" x14ac:dyDescent="0.2">
      <c r="A19" s="106"/>
      <c r="B19" s="12"/>
      <c r="C19" s="11" t="s">
        <v>241</v>
      </c>
      <c r="D19" s="9"/>
      <c r="E19" s="9"/>
      <c r="F19" s="9"/>
      <c r="G19" s="3"/>
      <c r="H19" s="3"/>
      <c r="I19" s="51"/>
      <c r="J19" s="3"/>
      <c r="K19" s="51"/>
      <c r="L19" s="3"/>
      <c r="M19" s="32"/>
      <c r="N19" s="3"/>
    </row>
    <row r="20" spans="1:14" x14ac:dyDescent="0.2">
      <c r="A20" s="106"/>
      <c r="B20" s="12"/>
      <c r="C20" s="11" t="s">
        <v>241</v>
      </c>
      <c r="D20" s="9"/>
      <c r="E20" s="9"/>
      <c r="F20" s="9"/>
      <c r="G20" s="3"/>
      <c r="H20" s="3"/>
      <c r="I20" s="51"/>
      <c r="J20" s="3"/>
      <c r="K20" s="51"/>
      <c r="L20" s="3"/>
      <c r="M20" s="32"/>
      <c r="N20" s="3"/>
    </row>
    <row r="21" spans="1:14" x14ac:dyDescent="0.2">
      <c r="A21" s="106"/>
      <c r="B21" s="12"/>
      <c r="C21" s="11" t="s">
        <v>241</v>
      </c>
      <c r="D21" s="9"/>
      <c r="E21" s="9"/>
      <c r="F21" s="9"/>
      <c r="G21" s="3"/>
      <c r="H21" s="3"/>
      <c r="I21" s="51"/>
      <c r="J21" s="3"/>
      <c r="K21" s="51"/>
      <c r="L21" s="3"/>
      <c r="M21" s="32"/>
      <c r="N21" s="3"/>
    </row>
    <row r="22" spans="1:14" x14ac:dyDescent="0.2">
      <c r="A22" s="106"/>
      <c r="B22" s="12"/>
      <c r="C22" s="11" t="s">
        <v>241</v>
      </c>
      <c r="D22" s="9"/>
      <c r="E22" s="9"/>
      <c r="F22" s="9"/>
      <c r="G22" s="3"/>
      <c r="H22" s="3"/>
      <c r="I22" s="51"/>
      <c r="J22" s="32"/>
      <c r="K22" s="51"/>
      <c r="L22" s="32"/>
      <c r="M22" s="32"/>
      <c r="N22" s="5"/>
    </row>
    <row r="23" spans="1:14" x14ac:dyDescent="0.2">
      <c r="B23" s="12"/>
      <c r="C23" s="12" t="s">
        <v>241</v>
      </c>
      <c r="D23" s="9"/>
      <c r="E23" s="9"/>
      <c r="F23" s="9"/>
      <c r="G23" s="3"/>
      <c r="H23" s="3"/>
      <c r="I23" s="51"/>
      <c r="J23" s="3"/>
      <c r="K23" s="51"/>
      <c r="L23" s="3"/>
      <c r="M23" s="32"/>
      <c r="N23" s="3"/>
    </row>
    <row r="24" spans="1:14" x14ac:dyDescent="0.2">
      <c r="B24" s="12">
        <v>45571</v>
      </c>
      <c r="C24" s="12" t="s">
        <v>242</v>
      </c>
      <c r="D24" s="9" t="s">
        <v>111</v>
      </c>
      <c r="E24" s="9" t="s">
        <v>101</v>
      </c>
      <c r="F24" s="9"/>
      <c r="G24" s="3">
        <v>2</v>
      </c>
      <c r="H24" s="3"/>
      <c r="I24" s="51">
        <v>100</v>
      </c>
      <c r="J24" s="32"/>
      <c r="K24" s="51">
        <v>100</v>
      </c>
      <c r="L24" s="32"/>
      <c r="M24" s="32"/>
      <c r="N24" s="5"/>
    </row>
    <row r="25" spans="1:14" x14ac:dyDescent="0.2">
      <c r="B25" s="12"/>
      <c r="C25" s="12" t="s">
        <v>242</v>
      </c>
      <c r="D25" s="9"/>
      <c r="E25" s="9"/>
      <c r="F25" s="9"/>
      <c r="G25" s="3"/>
      <c r="H25" s="3"/>
      <c r="I25" s="32"/>
      <c r="J25" s="3"/>
      <c r="K25" s="51"/>
      <c r="L25" s="3"/>
      <c r="M25" s="32"/>
      <c r="N25" s="3"/>
    </row>
    <row r="26" spans="1:14" x14ac:dyDescent="0.2">
      <c r="B26" s="12"/>
      <c r="C26" s="12" t="s">
        <v>242</v>
      </c>
      <c r="D26" s="9"/>
      <c r="E26" s="9"/>
      <c r="F26" s="9"/>
      <c r="G26" s="3"/>
      <c r="H26" s="3"/>
      <c r="I26" s="32"/>
      <c r="J26" s="32"/>
      <c r="K26" s="51"/>
      <c r="L26" s="32"/>
      <c r="M26" s="32"/>
      <c r="N26" s="5"/>
    </row>
    <row r="27" spans="1:14" x14ac:dyDescent="0.2">
      <c r="B27" s="12"/>
      <c r="C27" s="12" t="s">
        <v>242</v>
      </c>
      <c r="D27" s="9"/>
      <c r="E27" s="9"/>
      <c r="F27" s="9"/>
      <c r="G27" s="3"/>
      <c r="H27" s="3"/>
      <c r="I27" s="32"/>
      <c r="J27" s="32"/>
      <c r="K27" s="51"/>
      <c r="L27" s="32"/>
      <c r="M27" s="32"/>
      <c r="N27" s="5"/>
    </row>
    <row r="28" spans="1:14" x14ac:dyDescent="0.2">
      <c r="B28" s="12">
        <v>45578</v>
      </c>
      <c r="C28" s="12" t="s">
        <v>242</v>
      </c>
      <c r="D28" s="9" t="s">
        <v>10</v>
      </c>
      <c r="E28" s="9"/>
      <c r="F28" s="9"/>
      <c r="G28" s="3">
        <v>4</v>
      </c>
      <c r="H28" s="3"/>
      <c r="I28" s="51">
        <v>300</v>
      </c>
      <c r="J28" s="3"/>
      <c r="K28" s="51">
        <v>300</v>
      </c>
      <c r="L28" s="3"/>
      <c r="M28" s="32"/>
      <c r="N28" s="3"/>
    </row>
    <row r="29" spans="1:14" x14ac:dyDescent="0.2">
      <c r="B29" s="12">
        <v>45578</v>
      </c>
      <c r="C29" s="12" t="s">
        <v>242</v>
      </c>
      <c r="D29" s="9" t="s">
        <v>38</v>
      </c>
      <c r="E29" s="9"/>
      <c r="F29" s="9"/>
      <c r="G29" s="3">
        <v>7</v>
      </c>
      <c r="H29" s="3"/>
      <c r="I29" s="51"/>
      <c r="J29" s="3"/>
      <c r="K29" s="32"/>
      <c r="L29" s="3"/>
      <c r="M29" s="51">
        <v>565</v>
      </c>
      <c r="N29" s="3"/>
    </row>
    <row r="30" spans="1:14" x14ac:dyDescent="0.2">
      <c r="B30" s="12"/>
      <c r="C30" s="12" t="s">
        <v>242</v>
      </c>
      <c r="D30" s="9"/>
      <c r="E30" s="9"/>
      <c r="F30" s="9"/>
      <c r="G30" s="3"/>
      <c r="H30" s="3"/>
      <c r="I30" s="51"/>
      <c r="J30" s="3"/>
      <c r="K30" s="51"/>
      <c r="L30" s="3"/>
      <c r="M30" s="32"/>
      <c r="N30" s="3"/>
    </row>
    <row r="31" spans="1:14" x14ac:dyDescent="0.2">
      <c r="B31" s="12"/>
      <c r="C31" s="12" t="s">
        <v>242</v>
      </c>
      <c r="D31" s="9"/>
      <c r="E31" s="9"/>
      <c r="F31" s="9"/>
      <c r="G31" s="3"/>
      <c r="H31" s="3"/>
      <c r="I31" s="51"/>
      <c r="J31" s="3"/>
      <c r="K31" s="51"/>
      <c r="L31" s="3"/>
      <c r="M31" s="32"/>
      <c r="N31" s="3"/>
    </row>
    <row r="32" spans="1:14" x14ac:dyDescent="0.2">
      <c r="B32" s="12">
        <v>45586</v>
      </c>
      <c r="C32" s="12" t="s">
        <v>242</v>
      </c>
      <c r="D32" s="9" t="s">
        <v>38</v>
      </c>
      <c r="E32" s="9"/>
      <c r="F32" s="9"/>
      <c r="G32" s="3">
        <v>7</v>
      </c>
      <c r="H32" s="3"/>
      <c r="I32" s="51">
        <v>565</v>
      </c>
      <c r="J32" s="3"/>
      <c r="K32" s="51"/>
      <c r="L32" s="3"/>
      <c r="M32" s="32"/>
      <c r="N32" s="3"/>
    </row>
    <row r="33" spans="2:14" x14ac:dyDescent="0.2">
      <c r="B33" s="12"/>
      <c r="C33" s="12" t="s">
        <v>242</v>
      </c>
      <c r="D33" s="9"/>
      <c r="E33" s="9"/>
      <c r="F33" s="9"/>
      <c r="G33" s="3"/>
      <c r="H33" s="3"/>
      <c r="I33" s="51"/>
      <c r="J33" s="3"/>
      <c r="K33" s="51"/>
      <c r="L33" s="3"/>
      <c r="M33" s="32"/>
      <c r="N33" s="3"/>
    </row>
    <row r="34" spans="2:14" x14ac:dyDescent="0.2">
      <c r="B34" s="12"/>
      <c r="C34" s="12" t="s">
        <v>242</v>
      </c>
      <c r="D34" s="9"/>
      <c r="E34" s="9"/>
      <c r="F34" s="9"/>
      <c r="G34" s="3"/>
      <c r="H34" s="3"/>
      <c r="I34" s="51"/>
      <c r="J34" s="3"/>
      <c r="K34" s="51"/>
      <c r="L34" s="3"/>
      <c r="M34" s="32"/>
      <c r="N34" s="3"/>
    </row>
    <row r="35" spans="2:14" x14ac:dyDescent="0.2">
      <c r="B35" s="12"/>
      <c r="C35" s="12" t="s">
        <v>242</v>
      </c>
      <c r="D35" s="9"/>
      <c r="E35" s="9"/>
      <c r="F35" s="9"/>
      <c r="G35" s="3"/>
      <c r="H35" s="3"/>
      <c r="I35" s="51"/>
      <c r="J35" s="3"/>
      <c r="K35" s="51"/>
      <c r="L35" s="3"/>
      <c r="M35" s="32"/>
      <c r="N35" s="3"/>
    </row>
    <row r="36" spans="2:14" x14ac:dyDescent="0.2">
      <c r="B36" s="12"/>
      <c r="C36" s="12" t="s">
        <v>242</v>
      </c>
      <c r="D36" s="9"/>
      <c r="E36" s="9"/>
      <c r="F36" s="9"/>
      <c r="G36" s="3"/>
      <c r="H36" s="3"/>
      <c r="I36" s="51"/>
      <c r="J36" s="32"/>
      <c r="K36" s="51"/>
      <c r="L36" s="32"/>
      <c r="M36" s="32"/>
      <c r="N36" s="5"/>
    </row>
    <row r="37" spans="2:14" x14ac:dyDescent="0.2">
      <c r="B37" s="12"/>
      <c r="C37" s="12" t="s">
        <v>242</v>
      </c>
      <c r="D37" s="9"/>
      <c r="E37" s="9"/>
      <c r="F37" s="9"/>
      <c r="G37" s="3"/>
      <c r="H37" s="3"/>
      <c r="I37" s="51"/>
      <c r="J37" s="3"/>
      <c r="K37" s="51"/>
      <c r="L37" s="3"/>
      <c r="M37" s="32"/>
      <c r="N37" s="3"/>
    </row>
    <row r="38" spans="2:14" x14ac:dyDescent="0.2">
      <c r="B38" s="12"/>
      <c r="C38" s="12" t="s">
        <v>242</v>
      </c>
      <c r="D38" s="9"/>
      <c r="E38" s="9"/>
      <c r="F38" s="9"/>
      <c r="G38" s="3"/>
      <c r="H38" s="3"/>
      <c r="I38" s="51"/>
      <c r="J38" s="3"/>
      <c r="K38" s="51"/>
      <c r="L38" s="3"/>
      <c r="M38" s="32"/>
      <c r="N38" s="3"/>
    </row>
    <row r="39" spans="2:14" x14ac:dyDescent="0.2">
      <c r="B39" s="12"/>
      <c r="C39" s="12" t="s">
        <v>242</v>
      </c>
      <c r="D39" s="9"/>
      <c r="E39" s="9"/>
      <c r="F39" s="9"/>
      <c r="G39" s="3"/>
      <c r="H39" s="3"/>
      <c r="I39" s="51"/>
      <c r="J39" s="32"/>
      <c r="K39" s="51"/>
      <c r="L39" s="32"/>
      <c r="M39" s="32"/>
      <c r="N39" s="5"/>
    </row>
    <row r="40" spans="2:14" x14ac:dyDescent="0.2">
      <c r="B40" s="12"/>
      <c r="C40" s="12" t="s">
        <v>242</v>
      </c>
      <c r="D40" s="9"/>
      <c r="E40" s="9"/>
      <c r="F40" s="9"/>
      <c r="G40" s="3"/>
      <c r="H40" s="3"/>
      <c r="I40" s="51"/>
      <c r="J40" s="32"/>
      <c r="K40" s="51"/>
      <c r="L40" s="32"/>
      <c r="M40" s="32"/>
      <c r="N40" s="5"/>
    </row>
    <row r="41" spans="2:14" x14ac:dyDescent="0.2">
      <c r="B41" s="12"/>
      <c r="C41" s="12" t="s">
        <v>242</v>
      </c>
      <c r="D41" s="9"/>
      <c r="E41" s="9"/>
      <c r="F41" s="9"/>
      <c r="G41" s="3"/>
      <c r="H41" s="3"/>
      <c r="I41" s="51"/>
      <c r="J41" s="3"/>
      <c r="K41" s="51"/>
      <c r="L41" s="3"/>
      <c r="M41" s="32"/>
      <c r="N41" s="3"/>
    </row>
    <row r="42" spans="2:14" x14ac:dyDescent="0.2">
      <c r="B42" s="12"/>
      <c r="C42" s="12" t="s">
        <v>242</v>
      </c>
      <c r="D42" s="9"/>
      <c r="E42" s="9"/>
      <c r="F42" s="9"/>
      <c r="G42" s="3"/>
      <c r="H42" s="3"/>
      <c r="I42" s="51"/>
      <c r="J42" s="3"/>
      <c r="K42" s="51"/>
      <c r="L42" s="3"/>
      <c r="M42" s="32"/>
      <c r="N42" s="3"/>
    </row>
    <row r="43" spans="2:14" x14ac:dyDescent="0.2">
      <c r="B43" s="12"/>
      <c r="C43" s="12" t="s">
        <v>242</v>
      </c>
      <c r="D43" s="9"/>
      <c r="E43" s="9"/>
      <c r="F43" s="9"/>
      <c r="G43" s="3"/>
      <c r="H43" s="3"/>
      <c r="I43" s="51"/>
      <c r="J43" s="3"/>
      <c r="K43" s="51"/>
      <c r="L43" s="3"/>
      <c r="M43" s="32"/>
      <c r="N43" s="3"/>
    </row>
    <row r="44" spans="2:14" x14ac:dyDescent="0.2">
      <c r="B44" s="12"/>
      <c r="C44" s="12" t="s">
        <v>242</v>
      </c>
      <c r="D44" s="9"/>
      <c r="E44" s="9"/>
      <c r="F44" s="9"/>
      <c r="G44" s="3"/>
      <c r="H44" s="3"/>
      <c r="I44" s="51"/>
      <c r="J44" s="32"/>
      <c r="K44" s="51"/>
      <c r="L44" s="32"/>
      <c r="M44" s="32"/>
      <c r="N44" s="5"/>
    </row>
    <row r="45" spans="2:14" x14ac:dyDescent="0.2">
      <c r="B45" s="13"/>
      <c r="C45" s="12" t="s">
        <v>242</v>
      </c>
      <c r="D45" s="9"/>
      <c r="E45" s="9"/>
      <c r="F45" s="9"/>
      <c r="G45" s="3"/>
      <c r="H45" s="3"/>
      <c r="I45" s="51"/>
      <c r="J45" s="3"/>
      <c r="K45" s="51"/>
      <c r="L45" s="3"/>
      <c r="M45" s="32"/>
      <c r="N45" s="3"/>
    </row>
    <row r="46" spans="2:14" x14ac:dyDescent="0.2">
      <c r="B46" s="13"/>
      <c r="C46" s="12" t="s">
        <v>242</v>
      </c>
      <c r="D46" s="9"/>
      <c r="E46" s="9"/>
      <c r="F46" s="9"/>
      <c r="G46" s="3"/>
      <c r="H46" s="3"/>
      <c r="I46" s="51"/>
      <c r="J46" s="3"/>
      <c r="K46" s="51"/>
      <c r="L46" s="3"/>
      <c r="M46" s="32"/>
      <c r="N46" s="3"/>
    </row>
    <row r="47" spans="2:14" x14ac:dyDescent="0.2">
      <c r="B47" s="12"/>
      <c r="C47" s="12" t="s">
        <v>242</v>
      </c>
      <c r="D47" s="9"/>
      <c r="E47" s="9"/>
      <c r="F47" s="9"/>
      <c r="G47" s="3"/>
      <c r="H47" s="3"/>
      <c r="I47" s="51"/>
      <c r="J47" s="32"/>
      <c r="K47" s="51"/>
      <c r="L47" s="32"/>
      <c r="M47" s="32"/>
      <c r="N47" s="5"/>
    </row>
    <row r="48" spans="2:14" x14ac:dyDescent="0.2">
      <c r="B48" s="12"/>
      <c r="C48" s="12" t="s">
        <v>242</v>
      </c>
      <c r="D48" s="9"/>
      <c r="E48" s="9"/>
      <c r="F48" s="9"/>
      <c r="G48" s="3"/>
      <c r="H48" s="3"/>
      <c r="I48" s="51"/>
      <c r="J48" s="3"/>
      <c r="K48" s="51"/>
      <c r="L48" s="3"/>
      <c r="M48" s="32"/>
      <c r="N48" s="3"/>
    </row>
    <row r="49" spans="2:14" x14ac:dyDescent="0.2">
      <c r="B49" s="12"/>
      <c r="C49" s="12" t="s">
        <v>242</v>
      </c>
      <c r="D49" s="9"/>
      <c r="E49" s="9"/>
      <c r="F49" s="9"/>
      <c r="G49" s="3"/>
      <c r="H49" s="3"/>
      <c r="I49" s="51"/>
      <c r="J49" s="32"/>
      <c r="K49" s="51"/>
      <c r="L49" s="32"/>
      <c r="M49" s="32"/>
      <c r="N49" s="5"/>
    </row>
    <row r="50" spans="2:14" x14ac:dyDescent="0.2">
      <c r="B50" s="12"/>
      <c r="C50" s="12" t="s">
        <v>242</v>
      </c>
      <c r="D50" s="9"/>
      <c r="E50" s="9"/>
      <c r="F50" s="9"/>
      <c r="G50" s="3"/>
      <c r="H50" s="3"/>
      <c r="I50" s="32"/>
      <c r="J50" s="32"/>
      <c r="K50" s="51"/>
      <c r="L50" s="32"/>
      <c r="M50" s="32"/>
      <c r="N50" s="5"/>
    </row>
    <row r="51" spans="2:14" x14ac:dyDescent="0.2">
      <c r="B51" s="14"/>
      <c r="C51" s="12" t="s">
        <v>242</v>
      </c>
      <c r="D51" s="10"/>
      <c r="E51" s="36"/>
      <c r="F51" s="36"/>
      <c r="G51" s="6"/>
      <c r="H51" s="6"/>
      <c r="I51" s="51"/>
      <c r="J51" s="6"/>
      <c r="K51" s="51"/>
      <c r="L51" s="6"/>
      <c r="M51" s="32"/>
      <c r="N51" s="5"/>
    </row>
    <row r="52" spans="2:14" x14ac:dyDescent="0.2">
      <c r="B52" s="14"/>
      <c r="C52" s="12" t="s">
        <v>242</v>
      </c>
      <c r="D52" s="10"/>
      <c r="E52" s="36"/>
      <c r="F52" s="36"/>
      <c r="G52" s="6"/>
      <c r="H52" s="6"/>
      <c r="I52" s="51"/>
      <c r="J52" s="6"/>
      <c r="K52" s="51"/>
      <c r="L52" s="6"/>
      <c r="M52" s="32"/>
      <c r="N52" s="5"/>
    </row>
    <row r="53" spans="2:14" x14ac:dyDescent="0.2">
      <c r="B53" s="12"/>
      <c r="C53" s="12" t="s">
        <v>242</v>
      </c>
      <c r="D53" s="9"/>
      <c r="E53" s="9"/>
      <c r="F53" s="9"/>
      <c r="G53" s="3"/>
      <c r="H53" s="3"/>
      <c r="I53" s="51"/>
      <c r="J53" s="3"/>
      <c r="K53" s="51"/>
      <c r="L53" s="3"/>
      <c r="M53" s="32"/>
      <c r="N53" s="3"/>
    </row>
    <row r="54" spans="2:14" x14ac:dyDescent="0.2">
      <c r="B54" s="12"/>
      <c r="C54" s="12" t="s">
        <v>242</v>
      </c>
      <c r="D54" s="9"/>
      <c r="E54" s="9"/>
      <c r="F54" s="9"/>
      <c r="G54" s="3"/>
      <c r="H54" s="3"/>
      <c r="I54" s="51"/>
      <c r="J54" s="3"/>
      <c r="K54" s="51"/>
      <c r="L54" s="3"/>
      <c r="M54" s="32"/>
      <c r="N54" s="5"/>
    </row>
    <row r="55" spans="2:14" x14ac:dyDescent="0.2">
      <c r="B55" s="12"/>
      <c r="C55" s="12" t="s">
        <v>242</v>
      </c>
      <c r="D55" s="9"/>
      <c r="E55" s="9"/>
      <c r="F55" s="9"/>
      <c r="G55" s="3"/>
      <c r="H55" s="3"/>
      <c r="I55" s="51"/>
      <c r="J55" s="3"/>
      <c r="K55" s="51"/>
      <c r="L55" s="3"/>
      <c r="M55" s="62"/>
      <c r="N55" s="5"/>
    </row>
    <row r="56" spans="2:14" ht="24" x14ac:dyDescent="0.2">
      <c r="B56" s="77" t="s">
        <v>37</v>
      </c>
      <c r="C56" s="77"/>
      <c r="D56" s="10"/>
      <c r="E56" s="10"/>
      <c r="F56" s="10"/>
      <c r="G56" s="10">
        <f>SUM(G15:G52)</f>
        <v>20</v>
      </c>
      <c r="H56" s="10"/>
      <c r="I56" s="28">
        <f>SUM(I9:I52)</f>
        <v>1411</v>
      </c>
      <c r="J56" s="28"/>
      <c r="K56" s="28">
        <f>SUM(K9:K52)</f>
        <v>400</v>
      </c>
      <c r="L56" s="29"/>
      <c r="M56" s="70">
        <f>SUM(M15:M53)</f>
        <v>958.02</v>
      </c>
      <c r="N56" s="84"/>
    </row>
    <row r="57" spans="2:14" x14ac:dyDescent="0.2">
      <c r="B57" s="78" t="s">
        <v>89</v>
      </c>
      <c r="C57" s="78"/>
      <c r="D57" s="78"/>
      <c r="E57" s="78"/>
      <c r="F57" s="78"/>
      <c r="G57" s="78"/>
      <c r="H57" s="78"/>
      <c r="I57" s="79">
        <f>I56</f>
        <v>1411</v>
      </c>
      <c r="J57" s="79"/>
      <c r="K57" s="79">
        <f>K56</f>
        <v>400</v>
      </c>
      <c r="L57" s="79"/>
      <c r="M57" s="81">
        <f>M56</f>
        <v>958.02</v>
      </c>
      <c r="N57" s="80"/>
    </row>
  </sheetData>
  <mergeCells count="2">
    <mergeCell ref="F2:M3"/>
    <mergeCell ref="A9:A13"/>
  </mergeCells>
  <conditionalFormatting sqref="J9:J16 L9:L55 H18:H55 J18:J55 H9:H16">
    <cfRule type="containsText" dxfId="203" priority="8" operator="containsText" text="CB">
      <formula>NOT(ISERROR(SEARCH("CB",H9)))</formula>
    </cfRule>
    <cfRule type="containsText" dxfId="202" priority="9" operator="containsText" text="Espèces">
      <formula>NOT(ISERROR(SEARCH("Espèces",H9)))</formula>
    </cfRule>
    <cfRule type="containsText" dxfId="201" priority="10" operator="containsText" text="Virement">
      <formula>NOT(ISERROR(SEARCH("Virement",H9)))</formula>
    </cfRule>
    <cfRule type="containsText" dxfId="200" priority="12" operator="containsText" text="Chèque">
      <formula>NOT(ISERROR(SEARCH("Chèque",H9)))</formula>
    </cfRule>
    <cfRule type="containsText" dxfId="199" priority="13" operator="containsText" text="GYG">
      <formula>NOT(ISERROR(SEARCH("GYG",H9)))</formula>
    </cfRule>
    <cfRule type="containsText" dxfId="198" priority="14" operator="containsText" text="Viator">
      <formula>NOT(ISERROR(SEARCH("Viator",H9)))</formula>
    </cfRule>
  </conditionalFormatting>
  <conditionalFormatting sqref="J9:J16 L9:L54 H18:H54 J18:J54 H9:H16">
    <cfRule type="containsText" dxfId="197" priority="11" operator="containsText" text="Chèque">
      <formula>NOT(ISERROR(SEARCH("Chèque",H9)))</formula>
    </cfRule>
  </conditionalFormatting>
  <conditionalFormatting sqref="J17 H17">
    <cfRule type="containsText" dxfId="196" priority="1" operator="containsText" text="CB">
      <formula>NOT(ISERROR(SEARCH("CB",H17)))</formula>
    </cfRule>
    <cfRule type="containsText" dxfId="195" priority="2" operator="containsText" text="Espèces">
      <formula>NOT(ISERROR(SEARCH("Espèces",H17)))</formula>
    </cfRule>
    <cfRule type="containsText" dxfId="194" priority="3" operator="containsText" text="Virement">
      <formula>NOT(ISERROR(SEARCH("Virement",H17)))</formula>
    </cfRule>
    <cfRule type="containsText" dxfId="193" priority="5" operator="containsText" text="Chèque">
      <formula>NOT(ISERROR(SEARCH("Chèque",H17)))</formula>
    </cfRule>
    <cfRule type="containsText" dxfId="192" priority="6" operator="containsText" text="GYG">
      <formula>NOT(ISERROR(SEARCH("GYG",H17)))</formula>
    </cfRule>
    <cfRule type="containsText" dxfId="191" priority="7" operator="containsText" text="Viator">
      <formula>NOT(ISERROR(SEARCH("Viator",H17)))</formula>
    </cfRule>
  </conditionalFormatting>
  <conditionalFormatting sqref="J17 H17">
    <cfRule type="containsText" dxfId="190" priority="4" operator="containsText" text="Chèque">
      <formula>NOT(ISERROR(SEARCH("Chèque",H17)))</formula>
    </cfRule>
  </conditionalFormatting>
  <dataValidations count="7">
    <dataValidation type="list" allowBlank="1" showInputMessage="1" showErrorMessage="1" sqref="E1:E3 D57:E57 D1:D7" xr:uid="{F2D52DA7-4CC7-FF47-AC92-022D17268242}">
      <formula1>"9h-11h, 9h-13h, 9h-17h, 9h30-11h30, 10h-12h, 11h30-13h30, 13h-17h, 14h-16h, 14h-18h, 16h30-18h30, "</formula1>
    </dataValidation>
    <dataValidation type="date" allowBlank="1" showInputMessage="1" showErrorMessage="1" sqref="B56:C56 B2:C7 O8:O54" xr:uid="{57621E7A-01B2-B74A-9A3D-6068B0591FF4}">
      <formula1>45352</formula1>
      <formula2>45412</formula2>
    </dataValidation>
    <dataValidation type="list" allowBlank="1" showInputMessage="1" showErrorMessage="1" promptTitle="Durée de la visite à sélectionne" sqref="H57 G9 G11:G12 G14:G57" xr:uid="{1D32598C-963A-8540-904E-7E4E6409E7AC}">
      <formula1>"1,2,3,4,5,6,7,8,9,10"</formula1>
    </dataValidation>
    <dataValidation type="list" allowBlank="1" showInputMessage="1" sqref="K12:K14" xr:uid="{CE23AFDA-830B-BC40-9A3E-53356B4EE414}">
      <formula1>Couleurs1</formula1>
    </dataValidation>
    <dataValidation allowBlank="1" showInputMessage="1" showErrorMessage="1" promptTitle="Durée de la visite à sélectionne" sqref="H56" xr:uid="{32A2812C-906F-9E43-B191-9B2D3BC90546}"/>
    <dataValidation type="list" allowBlank="1" showInputMessage="1" showErrorMessage="1" promptTitle="Durée de la visite à sélectionne" sqref="H9:H55 L9:L55 J9:J55" xr:uid="{54F835EF-21B9-334E-B310-84E6046ED57F}">
      <formula1>"Chèque, Espèces, Virement, Viator, CB, GYG"</formula1>
    </dataValidation>
    <dataValidation type="list" allowBlank="1" showInputMessage="1" showErrorMessage="1" sqref="C9:C55" xr:uid="{BC3B7F2C-FCB6-3542-8961-04CC19218692}">
      <formula1>"AVRIL, MAI, JUIN , JUILLET, AOUT, SEPT, OCT, NOV, DEC, JANV, FEV, MARS"</formula1>
    </dataValidation>
  </dataValidations>
  <pageMargins left="0.7" right="0.7" top="0.75" bottom="0.75" header="0.3" footer="0.3"/>
  <tableParts count="1">
    <tablePart r:id="rId1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91D532-76B1-6E4B-B6E5-C4F3A35F1E3C}">
  <sheetPr>
    <tabColor theme="5" tint="0.39997558519241921"/>
  </sheetPr>
  <dimension ref="B1:M36"/>
  <sheetViews>
    <sheetView workbookViewId="0">
      <selection activeCell="D16" sqref="D16:F16"/>
    </sheetView>
  </sheetViews>
  <sheetFormatPr baseColWidth="10" defaultRowHeight="16" x14ac:dyDescent="0.2"/>
  <cols>
    <col min="5" max="5" width="16" customWidth="1"/>
    <col min="6" max="6" width="17" customWidth="1"/>
    <col min="8" max="8" width="15.6640625" customWidth="1"/>
    <col min="11" max="11" width="18.1640625" customWidth="1"/>
  </cols>
  <sheetData>
    <row r="1" spans="2:13" x14ac:dyDescent="0.2">
      <c r="B1" s="170" t="s">
        <v>180</v>
      </c>
      <c r="C1" s="171"/>
      <c r="D1" s="171"/>
      <c r="E1" s="171"/>
      <c r="F1" s="171"/>
      <c r="G1" s="171"/>
      <c r="H1" s="171"/>
      <c r="I1" s="172"/>
    </row>
    <row r="2" spans="2:13" ht="17" thickBot="1" x14ac:dyDescent="0.25">
      <c r="B2" s="173"/>
      <c r="C2" s="174"/>
      <c r="D2" s="174"/>
      <c r="E2" s="174"/>
      <c r="F2" s="174"/>
      <c r="G2" s="174"/>
      <c r="H2" s="174"/>
      <c r="I2" s="175"/>
    </row>
    <row r="3" spans="2:13" ht="25" thickBot="1" x14ac:dyDescent="0.25">
      <c r="B3" s="42"/>
      <c r="C3" s="42"/>
      <c r="D3" s="42"/>
      <c r="E3" s="42"/>
      <c r="F3" s="42"/>
      <c r="G3" s="42"/>
      <c r="H3" s="42"/>
      <c r="I3" s="42"/>
    </row>
    <row r="4" spans="2:13" ht="24" x14ac:dyDescent="0.2">
      <c r="B4" s="42"/>
      <c r="C4" s="42"/>
      <c r="D4" s="42"/>
      <c r="E4" s="42"/>
      <c r="F4" s="176">
        <f>SUM(F7:F36)</f>
        <v>7701.5599999999995</v>
      </c>
      <c r="G4" s="42"/>
      <c r="H4" s="178">
        <f>SUM(H7:H36)</f>
        <v>4908.5599999999995</v>
      </c>
      <c r="I4" s="180">
        <f>SUM(I7:I36)</f>
        <v>0</v>
      </c>
    </row>
    <row r="5" spans="2:13" ht="25" thickBot="1" x14ac:dyDescent="0.25">
      <c r="B5" s="42"/>
      <c r="C5" s="42"/>
      <c r="D5" s="42"/>
      <c r="E5" s="42"/>
      <c r="F5" s="177"/>
      <c r="G5" s="42"/>
      <c r="H5" s="179"/>
      <c r="I5" s="181"/>
    </row>
    <row r="6" spans="2:13" ht="19" x14ac:dyDescent="0.2">
      <c r="B6" s="44" t="s">
        <v>0</v>
      </c>
      <c r="C6" s="44" t="s">
        <v>42</v>
      </c>
      <c r="D6" s="44" t="s">
        <v>39</v>
      </c>
      <c r="E6" s="44" t="s">
        <v>76</v>
      </c>
      <c r="F6" s="45" t="s">
        <v>77</v>
      </c>
      <c r="G6" s="47" t="s">
        <v>62</v>
      </c>
      <c r="H6" s="97" t="s">
        <v>78</v>
      </c>
      <c r="I6" s="98" t="s">
        <v>75</v>
      </c>
      <c r="J6" s="7"/>
    </row>
    <row r="7" spans="2:13" x14ac:dyDescent="0.2">
      <c r="B7" s="15"/>
      <c r="C7" s="15"/>
      <c r="D7" s="15" t="s">
        <v>67</v>
      </c>
      <c r="E7" s="15" t="s">
        <v>72</v>
      </c>
      <c r="F7" s="37">
        <v>544</v>
      </c>
      <c r="G7" s="33">
        <v>0</v>
      </c>
      <c r="H7" s="34">
        <f t="shared" ref="H7:H12" si="0">F7/(1+G7)</f>
        <v>544</v>
      </c>
      <c r="I7" s="43">
        <f t="shared" ref="I7:I12" si="1">F7-H7</f>
        <v>0</v>
      </c>
      <c r="J7" s="7"/>
      <c r="K7" s="96" t="s">
        <v>36</v>
      </c>
      <c r="L7" s="20">
        <f>SUMIF(Tableau33810121416[Mode de dépense],K7,Tableau33810121416[Charge TTC])</f>
        <v>5903</v>
      </c>
      <c r="M7" s="35">
        <f>L7</f>
        <v>5903</v>
      </c>
    </row>
    <row r="8" spans="2:13" x14ac:dyDescent="0.2">
      <c r="B8" s="15"/>
      <c r="C8" s="15"/>
      <c r="D8" s="15" t="s">
        <v>68</v>
      </c>
      <c r="E8" s="15" t="s">
        <v>72</v>
      </c>
      <c r="F8" s="37">
        <v>459.26</v>
      </c>
      <c r="G8" s="33">
        <v>0</v>
      </c>
      <c r="H8" s="34">
        <f t="shared" si="0"/>
        <v>459.26</v>
      </c>
      <c r="I8" s="43">
        <f t="shared" si="1"/>
        <v>0</v>
      </c>
      <c r="J8" s="7"/>
      <c r="K8" s="90" t="s">
        <v>47</v>
      </c>
      <c r="L8" s="20">
        <f>SUMIF(Tableau33810121416[Mode de dépense],K8,Tableau33810121416[Charge TTC])</f>
        <v>0</v>
      </c>
      <c r="M8" s="35">
        <f>L8/1.2</f>
        <v>0</v>
      </c>
    </row>
    <row r="9" spans="2:13" x14ac:dyDescent="0.2">
      <c r="B9" s="15"/>
      <c r="C9" s="15"/>
      <c r="D9" s="15" t="s">
        <v>69</v>
      </c>
      <c r="E9" s="15" t="s">
        <v>71</v>
      </c>
      <c r="F9" s="30">
        <v>24.8</v>
      </c>
      <c r="G9" s="33">
        <v>0</v>
      </c>
      <c r="H9" s="34">
        <f t="shared" si="0"/>
        <v>24.8</v>
      </c>
      <c r="I9" s="43">
        <f t="shared" si="1"/>
        <v>0</v>
      </c>
      <c r="J9" s="7"/>
      <c r="K9" s="91" t="s">
        <v>71</v>
      </c>
      <c r="L9" s="20">
        <f>SUMIF(Tableau33810121416[Mode de dépense],K9,Tableau33810121416[Charge TTC])</f>
        <v>795.3</v>
      </c>
      <c r="M9" s="35"/>
    </row>
    <row r="10" spans="2:13" x14ac:dyDescent="0.2">
      <c r="B10" s="15"/>
      <c r="C10" s="15"/>
      <c r="D10" s="15" t="s">
        <v>70</v>
      </c>
      <c r="E10" s="15" t="s">
        <v>71</v>
      </c>
      <c r="F10" s="30">
        <v>20.51</v>
      </c>
      <c r="G10" s="33">
        <v>0</v>
      </c>
      <c r="H10" s="34">
        <f t="shared" si="0"/>
        <v>20.51</v>
      </c>
      <c r="I10" s="43">
        <f t="shared" si="1"/>
        <v>0</v>
      </c>
      <c r="J10" s="7"/>
      <c r="K10" s="99" t="s">
        <v>48</v>
      </c>
      <c r="L10" s="20">
        <f>SUMIF(Tableau33810121416[Mode de dépense],K10,Tableau33810121416[Charge TTC])</f>
        <v>0</v>
      </c>
      <c r="M10" s="35">
        <f>L10/1.2</f>
        <v>0</v>
      </c>
    </row>
    <row r="11" spans="2:13" x14ac:dyDescent="0.2">
      <c r="B11" s="15"/>
      <c r="C11" s="15"/>
      <c r="D11" s="15" t="s">
        <v>70</v>
      </c>
      <c r="E11" s="15" t="s">
        <v>71</v>
      </c>
      <c r="F11" s="25">
        <v>19.989999999999998</v>
      </c>
      <c r="G11" s="33">
        <v>0</v>
      </c>
      <c r="H11" s="34">
        <f t="shared" si="0"/>
        <v>19.989999999999998</v>
      </c>
      <c r="I11" s="43">
        <f t="shared" si="1"/>
        <v>0</v>
      </c>
      <c r="J11" s="7"/>
      <c r="K11" s="100" t="s">
        <v>49</v>
      </c>
      <c r="L11" s="20">
        <f>SUMIF(Tableau33810121416[Mode de dépense],K11,Tableau33810121416[Charge TTC])</f>
        <v>0</v>
      </c>
      <c r="M11" s="35">
        <f>L11/1.2</f>
        <v>0</v>
      </c>
    </row>
    <row r="12" spans="2:13" x14ac:dyDescent="0.2">
      <c r="B12" s="19"/>
      <c r="C12" s="15"/>
      <c r="D12" s="15" t="s">
        <v>79</v>
      </c>
      <c r="E12" s="15" t="s">
        <v>71</v>
      </c>
      <c r="F12" s="25">
        <v>10</v>
      </c>
      <c r="G12" s="33">
        <v>0</v>
      </c>
      <c r="H12" s="34">
        <f t="shared" si="0"/>
        <v>10</v>
      </c>
      <c r="I12" s="43">
        <f t="shared" si="1"/>
        <v>0</v>
      </c>
      <c r="J12" s="7"/>
      <c r="K12" s="101" t="s">
        <v>50</v>
      </c>
      <c r="L12" s="20">
        <f>SUMIF(Tableau33810121416[Mode de dépense],K12,Tableau33810121416[Charge TTC])</f>
        <v>0</v>
      </c>
      <c r="M12" s="35">
        <f>L12/1.2</f>
        <v>0</v>
      </c>
    </row>
    <row r="13" spans="2:13" x14ac:dyDescent="0.2">
      <c r="B13" s="19"/>
      <c r="C13" s="15"/>
      <c r="D13" s="15" t="s">
        <v>3</v>
      </c>
      <c r="E13" s="15" t="s">
        <v>36</v>
      </c>
      <c r="F13" s="25">
        <v>2803</v>
      </c>
      <c r="G13" s="33">
        <v>0</v>
      </c>
      <c r="H13" s="34">
        <f>F12/(1+G13)</f>
        <v>10</v>
      </c>
      <c r="I13" s="43">
        <f>F12-H13</f>
        <v>0</v>
      </c>
      <c r="J13" s="7"/>
      <c r="K13" s="92" t="s">
        <v>52</v>
      </c>
      <c r="L13" s="20">
        <f>SUMIF(Tableau33810121416[Mode de dépense],K13,Tableau33810121416[Charge TTC])</f>
        <v>0</v>
      </c>
      <c r="M13" s="35">
        <f>L13</f>
        <v>0</v>
      </c>
    </row>
    <row r="14" spans="2:13" x14ac:dyDescent="0.2">
      <c r="B14" s="19"/>
      <c r="C14" s="15"/>
      <c r="D14" s="15" t="s">
        <v>4</v>
      </c>
      <c r="E14" s="15" t="s">
        <v>36</v>
      </c>
      <c r="F14" s="25">
        <v>2300</v>
      </c>
      <c r="G14" s="33">
        <v>0</v>
      </c>
      <c r="H14" s="34">
        <f>F14/(1+G14)</f>
        <v>2300</v>
      </c>
      <c r="I14" s="43">
        <f t="shared" ref="I14:I36" si="2">F14-H14</f>
        <v>0</v>
      </c>
      <c r="J14" s="7"/>
      <c r="K14" s="93" t="s">
        <v>51</v>
      </c>
      <c r="L14" s="20">
        <f>SUMIF(Tableau33810121416[Mode de dépense],K14,Tableau33810121416[Charge TTC])</f>
        <v>0</v>
      </c>
      <c r="M14" s="35">
        <f>L14/1.2</f>
        <v>0</v>
      </c>
    </row>
    <row r="15" spans="2:13" x14ac:dyDescent="0.2">
      <c r="B15" s="15"/>
      <c r="C15" s="15"/>
      <c r="D15" s="15" t="s">
        <v>2</v>
      </c>
      <c r="E15" s="15" t="s">
        <v>36</v>
      </c>
      <c r="F15" s="25">
        <v>800</v>
      </c>
      <c r="G15" s="33">
        <v>0</v>
      </c>
      <c r="H15" s="34">
        <f>F15/(1+G15)</f>
        <v>800</v>
      </c>
      <c r="I15" s="43">
        <f t="shared" si="2"/>
        <v>0</v>
      </c>
      <c r="J15" s="7"/>
      <c r="K15" s="94" t="s">
        <v>60</v>
      </c>
      <c r="L15" s="20">
        <f>SUMIF(Tableau33810121416[Mode de dépense],K15,Tableau33810121416[Charge TTC])</f>
        <v>0</v>
      </c>
      <c r="M15" s="35">
        <f>L15/1.2</f>
        <v>0</v>
      </c>
    </row>
    <row r="16" spans="2:13" x14ac:dyDescent="0.2">
      <c r="B16" s="15"/>
      <c r="C16" s="15"/>
      <c r="D16" s="160" t="s">
        <v>220</v>
      </c>
      <c r="E16" s="158" t="s">
        <v>71</v>
      </c>
      <c r="F16" s="159">
        <v>720</v>
      </c>
      <c r="G16" s="33">
        <v>0</v>
      </c>
      <c r="H16" s="34">
        <f t="shared" ref="H16:H36" si="3">F16/((1+G16))</f>
        <v>720</v>
      </c>
      <c r="I16" s="43">
        <f t="shared" si="2"/>
        <v>0</v>
      </c>
      <c r="J16" s="7"/>
      <c r="K16" s="95" t="s">
        <v>72</v>
      </c>
      <c r="L16" s="20">
        <f>SUMIF(Tableau33810121416[Mode de dépense],K16,Tableau33810121416[Charge TTC])</f>
        <v>1003.26</v>
      </c>
      <c r="M16" s="35">
        <f>L16/1.2</f>
        <v>836.05000000000007</v>
      </c>
    </row>
    <row r="17" spans="2:13" x14ac:dyDescent="0.2">
      <c r="B17" s="15"/>
      <c r="C17" s="15"/>
      <c r="D17" s="15"/>
      <c r="E17" s="15"/>
      <c r="F17" s="25"/>
      <c r="G17" s="33">
        <v>0</v>
      </c>
      <c r="H17" s="34">
        <f t="shared" si="3"/>
        <v>0</v>
      </c>
      <c r="I17" s="43">
        <f t="shared" si="2"/>
        <v>0</v>
      </c>
      <c r="J17" s="7"/>
      <c r="K17" s="1" t="s">
        <v>153</v>
      </c>
      <c r="L17" s="20">
        <f>SUMIF(Tableau33810121416[Mode de dépense],K17,Tableau33810121416[Charge TTC])</f>
        <v>0</v>
      </c>
      <c r="M17" s="35">
        <f>L17/1.2</f>
        <v>0</v>
      </c>
    </row>
    <row r="18" spans="2:13" x14ac:dyDescent="0.2">
      <c r="B18" s="15"/>
      <c r="C18" s="15"/>
      <c r="D18" s="15"/>
      <c r="E18" s="15"/>
      <c r="F18" s="25"/>
      <c r="G18" s="33">
        <v>0</v>
      </c>
      <c r="H18" s="34">
        <f t="shared" si="3"/>
        <v>0</v>
      </c>
      <c r="I18" s="43">
        <f t="shared" si="2"/>
        <v>0</v>
      </c>
      <c r="J18" s="7"/>
    </row>
    <row r="19" spans="2:13" x14ac:dyDescent="0.2">
      <c r="B19" s="15"/>
      <c r="C19" s="15"/>
      <c r="D19" s="15"/>
      <c r="E19" s="15"/>
      <c r="F19" s="25"/>
      <c r="G19" s="33">
        <v>0</v>
      </c>
      <c r="H19" s="34">
        <f t="shared" si="3"/>
        <v>0</v>
      </c>
      <c r="I19" s="43">
        <f t="shared" si="2"/>
        <v>0</v>
      </c>
      <c r="J19" s="7"/>
    </row>
    <row r="20" spans="2:13" x14ac:dyDescent="0.2">
      <c r="B20" s="15"/>
      <c r="C20" s="15"/>
      <c r="D20" s="15"/>
      <c r="E20" s="15"/>
      <c r="F20" s="25"/>
      <c r="G20" s="33">
        <v>0</v>
      </c>
      <c r="H20" s="34">
        <f t="shared" si="3"/>
        <v>0</v>
      </c>
      <c r="I20" s="43">
        <f t="shared" si="2"/>
        <v>0</v>
      </c>
      <c r="J20" s="7"/>
    </row>
    <row r="21" spans="2:13" x14ac:dyDescent="0.2">
      <c r="B21" s="15"/>
      <c r="C21" s="15"/>
      <c r="D21" s="15"/>
      <c r="E21" s="15"/>
      <c r="F21" s="25"/>
      <c r="G21" s="33">
        <v>0</v>
      </c>
      <c r="H21" s="34">
        <f t="shared" si="3"/>
        <v>0</v>
      </c>
      <c r="I21" s="43">
        <f t="shared" si="2"/>
        <v>0</v>
      </c>
      <c r="J21" s="7"/>
    </row>
    <row r="22" spans="2:13" x14ac:dyDescent="0.2">
      <c r="B22" s="15"/>
      <c r="C22" s="15"/>
      <c r="D22" s="15"/>
      <c r="E22" s="15"/>
      <c r="F22" s="25"/>
      <c r="G22" s="33">
        <v>0</v>
      </c>
      <c r="H22" s="34">
        <f t="shared" si="3"/>
        <v>0</v>
      </c>
      <c r="I22" s="43">
        <f t="shared" si="2"/>
        <v>0</v>
      </c>
      <c r="J22" s="7"/>
    </row>
    <row r="23" spans="2:13" x14ac:dyDescent="0.2">
      <c r="B23" s="15"/>
      <c r="C23" s="15"/>
      <c r="D23" s="15"/>
      <c r="E23" s="15"/>
      <c r="F23" s="25"/>
      <c r="G23" s="33">
        <v>0</v>
      </c>
      <c r="H23" s="34">
        <f t="shared" si="3"/>
        <v>0</v>
      </c>
      <c r="I23" s="43">
        <f t="shared" si="2"/>
        <v>0</v>
      </c>
      <c r="J23" s="7"/>
    </row>
    <row r="24" spans="2:13" x14ac:dyDescent="0.2">
      <c r="B24" s="15"/>
      <c r="C24" s="15"/>
      <c r="D24" s="15"/>
      <c r="E24" s="15"/>
      <c r="F24" s="25"/>
      <c r="G24" s="33">
        <v>0</v>
      </c>
      <c r="H24" s="34">
        <f t="shared" si="3"/>
        <v>0</v>
      </c>
      <c r="I24" s="43">
        <f t="shared" si="2"/>
        <v>0</v>
      </c>
      <c r="J24" s="7"/>
    </row>
    <row r="25" spans="2:13" x14ac:dyDescent="0.2">
      <c r="B25" s="15"/>
      <c r="C25" s="15"/>
      <c r="D25" s="15"/>
      <c r="E25" s="15"/>
      <c r="F25" s="25"/>
      <c r="G25" s="33">
        <v>0</v>
      </c>
      <c r="H25" s="34">
        <f t="shared" si="3"/>
        <v>0</v>
      </c>
      <c r="I25" s="43">
        <f t="shared" si="2"/>
        <v>0</v>
      </c>
      <c r="J25" s="7"/>
    </row>
    <row r="26" spans="2:13" x14ac:dyDescent="0.2">
      <c r="B26" s="15"/>
      <c r="C26" s="15"/>
      <c r="D26" s="15"/>
      <c r="E26" s="15"/>
      <c r="F26" s="25"/>
      <c r="G26" s="33">
        <v>0</v>
      </c>
      <c r="H26" s="34">
        <f t="shared" si="3"/>
        <v>0</v>
      </c>
      <c r="I26" s="43">
        <f t="shared" si="2"/>
        <v>0</v>
      </c>
      <c r="J26" s="7"/>
    </row>
    <row r="27" spans="2:13" x14ac:dyDescent="0.2">
      <c r="B27" s="15"/>
      <c r="C27" s="15"/>
      <c r="D27" s="15"/>
      <c r="E27" s="15"/>
      <c r="F27" s="25"/>
      <c r="G27" s="33">
        <v>0</v>
      </c>
      <c r="H27" s="34">
        <f t="shared" si="3"/>
        <v>0</v>
      </c>
      <c r="I27" s="43">
        <f t="shared" si="2"/>
        <v>0</v>
      </c>
      <c r="J27" s="7"/>
    </row>
    <row r="28" spans="2:13" x14ac:dyDescent="0.2">
      <c r="B28" s="15"/>
      <c r="C28" s="15"/>
      <c r="D28" s="15"/>
      <c r="E28" s="15"/>
      <c r="F28" s="25"/>
      <c r="G28" s="33">
        <v>0</v>
      </c>
      <c r="H28" s="34">
        <f t="shared" si="3"/>
        <v>0</v>
      </c>
      <c r="I28" s="43">
        <f t="shared" si="2"/>
        <v>0</v>
      </c>
      <c r="J28" s="7"/>
    </row>
    <row r="29" spans="2:13" x14ac:dyDescent="0.2">
      <c r="B29" s="15"/>
      <c r="C29" s="15"/>
      <c r="D29" s="15"/>
      <c r="E29" s="15"/>
      <c r="F29" s="25"/>
      <c r="G29" s="33">
        <v>0</v>
      </c>
      <c r="H29" s="34">
        <f t="shared" si="3"/>
        <v>0</v>
      </c>
      <c r="I29" s="43">
        <f t="shared" si="2"/>
        <v>0</v>
      </c>
      <c r="J29" s="7"/>
    </row>
    <row r="30" spans="2:13" x14ac:dyDescent="0.2">
      <c r="B30" s="15"/>
      <c r="C30" s="15"/>
      <c r="D30" s="15"/>
      <c r="E30" s="15"/>
      <c r="F30" s="25"/>
      <c r="G30" s="33">
        <v>0</v>
      </c>
      <c r="H30" s="34">
        <f t="shared" si="3"/>
        <v>0</v>
      </c>
      <c r="I30" s="43">
        <f t="shared" si="2"/>
        <v>0</v>
      </c>
      <c r="J30" s="7"/>
    </row>
    <row r="31" spans="2:13" x14ac:dyDescent="0.2">
      <c r="B31" s="15"/>
      <c r="C31" s="15"/>
      <c r="D31" s="15"/>
      <c r="E31" s="15"/>
      <c r="F31" s="25"/>
      <c r="G31" s="33">
        <v>0</v>
      </c>
      <c r="H31" s="34">
        <f t="shared" si="3"/>
        <v>0</v>
      </c>
      <c r="I31" s="43">
        <f t="shared" si="2"/>
        <v>0</v>
      </c>
      <c r="J31" s="7"/>
    </row>
    <row r="32" spans="2:13" x14ac:dyDescent="0.2">
      <c r="B32" s="15"/>
      <c r="C32" s="15"/>
      <c r="D32" s="15"/>
      <c r="E32" s="15"/>
      <c r="F32" s="25"/>
      <c r="G32" s="33">
        <v>0</v>
      </c>
      <c r="H32" s="34">
        <f t="shared" si="3"/>
        <v>0</v>
      </c>
      <c r="I32" s="43">
        <f t="shared" si="2"/>
        <v>0</v>
      </c>
      <c r="J32" s="7"/>
    </row>
    <row r="33" spans="2:10" x14ac:dyDescent="0.2">
      <c r="B33" s="15"/>
      <c r="C33" s="15"/>
      <c r="D33" s="15"/>
      <c r="E33" s="15"/>
      <c r="F33" s="25"/>
      <c r="G33" s="33">
        <v>0</v>
      </c>
      <c r="H33" s="34">
        <f t="shared" si="3"/>
        <v>0</v>
      </c>
      <c r="I33" s="43">
        <f t="shared" si="2"/>
        <v>0</v>
      </c>
      <c r="J33" s="7"/>
    </row>
    <row r="34" spans="2:10" x14ac:dyDescent="0.2">
      <c r="B34" s="19"/>
      <c r="C34" s="15"/>
      <c r="D34" s="15"/>
      <c r="E34" s="15"/>
      <c r="F34" s="25"/>
      <c r="G34" s="33">
        <v>0</v>
      </c>
      <c r="H34" s="34">
        <f t="shared" si="3"/>
        <v>0</v>
      </c>
      <c r="I34" s="43">
        <f t="shared" si="2"/>
        <v>0</v>
      </c>
      <c r="J34" s="7"/>
    </row>
    <row r="35" spans="2:10" x14ac:dyDescent="0.2">
      <c r="B35" s="19"/>
      <c r="C35" s="15"/>
      <c r="D35" s="15"/>
      <c r="E35" s="15"/>
      <c r="F35" s="25"/>
      <c r="G35" s="33">
        <v>0</v>
      </c>
      <c r="H35" s="34">
        <f t="shared" si="3"/>
        <v>0</v>
      </c>
      <c r="I35" s="43">
        <f t="shared" si="2"/>
        <v>0</v>
      </c>
    </row>
    <row r="36" spans="2:10" x14ac:dyDescent="0.2">
      <c r="B36" s="15"/>
      <c r="C36" s="15"/>
      <c r="D36" s="15"/>
      <c r="E36" s="15"/>
      <c r="F36" s="25"/>
      <c r="G36" s="33">
        <v>0</v>
      </c>
      <c r="H36" s="34">
        <f t="shared" si="3"/>
        <v>0</v>
      </c>
      <c r="I36" s="43">
        <f t="shared" si="2"/>
        <v>0</v>
      </c>
    </row>
  </sheetData>
  <mergeCells count="4">
    <mergeCell ref="B1:I2"/>
    <mergeCell ref="F4:F5"/>
    <mergeCell ref="H4:H5"/>
    <mergeCell ref="I4:I5"/>
  </mergeCells>
  <conditionalFormatting sqref="E7:E12 E17:E36">
    <cfRule type="containsText" dxfId="189" priority="31" operator="containsText" text="Emprunt/Crédit">
      <formula>NOT(ISERROR(SEARCH("Emprunt/Crédit",E7)))</formula>
    </cfRule>
    <cfRule type="containsText" dxfId="188" priority="32" operator="containsText" text="Garage">
      <formula>NOT(ISERROR(SEARCH("Garage",E7)))</formula>
    </cfRule>
    <cfRule type="containsText" dxfId="187" priority="34" operator="containsText" text="Visite JB Hub">
      <formula>NOT(ISERROR(SEARCH("Visite JB Hub",E7)))</formula>
    </cfRule>
    <cfRule type="containsText" dxfId="186" priority="35" operator="containsText" text="Repas">
      <formula>NOT(ISERROR(SEARCH("Repas",E7)))</formula>
    </cfRule>
    <cfRule type="containsText" dxfId="185" priority="36" operator="containsText" text="Communication">
      <formula>NOT(ISERROR(SEARCH("Communication",E7)))</formula>
    </cfRule>
    <cfRule type="containsText" dxfId="184" priority="37" operator="containsText" text="Jeep">
      <formula>NOT(ISERROR(SEARCH("Jeep",E7)))</formula>
    </cfRule>
    <cfRule type="containsText" dxfId="183" priority="38" operator="containsText" text="Structure">
      <formula>NOT(ISERROR(SEARCH("Structure",E7)))</formula>
    </cfRule>
    <cfRule type="containsText" dxfId="182" priority="39" operator="containsText" text="Essence">
      <formula>NOT(ISERROR(SEARCH("Essence",E7)))</formula>
    </cfRule>
    <cfRule type="containsText" dxfId="181" priority="40" operator="containsText" text="Salaire">
      <formula>NOT(ISERROR(SEARCH("Salaire",E7)))</formula>
    </cfRule>
  </conditionalFormatting>
  <conditionalFormatting sqref="E7:E12 E17:E36">
    <cfRule type="containsText" dxfId="180" priority="33" operator="containsText" text="Assurance">
      <formula>NOT(ISERROR(SEARCH("Assurance",E7)))</formula>
    </cfRule>
  </conditionalFormatting>
  <conditionalFormatting sqref="E13">
    <cfRule type="containsText" dxfId="179" priority="21" operator="containsText" text="Emprunt/Crédit">
      <formula>NOT(ISERROR(SEARCH("Emprunt/Crédit",E13)))</formula>
    </cfRule>
    <cfRule type="containsText" dxfId="178" priority="22" operator="containsText" text="Garage">
      <formula>NOT(ISERROR(SEARCH("Garage",E13)))</formula>
    </cfRule>
    <cfRule type="containsText" dxfId="177" priority="24" operator="containsText" text="Visite JB Hub">
      <formula>NOT(ISERROR(SEARCH("Visite JB Hub",E13)))</formula>
    </cfRule>
    <cfRule type="containsText" dxfId="176" priority="25" operator="containsText" text="Repas">
      <formula>NOT(ISERROR(SEARCH("Repas",E13)))</formula>
    </cfRule>
    <cfRule type="containsText" dxfId="175" priority="26" operator="containsText" text="Communication">
      <formula>NOT(ISERROR(SEARCH("Communication",E13)))</formula>
    </cfRule>
    <cfRule type="containsText" dxfId="174" priority="27" operator="containsText" text="Jeep">
      <formula>NOT(ISERROR(SEARCH("Jeep",E13)))</formula>
    </cfRule>
    <cfRule type="containsText" dxfId="173" priority="28" operator="containsText" text="Structure">
      <formula>NOT(ISERROR(SEARCH("Structure",E13)))</formula>
    </cfRule>
    <cfRule type="containsText" dxfId="172" priority="29" operator="containsText" text="Essence">
      <formula>NOT(ISERROR(SEARCH("Essence",E13)))</formula>
    </cfRule>
    <cfRule type="containsText" dxfId="171" priority="30" operator="containsText" text="Salaire">
      <formula>NOT(ISERROR(SEARCH("Salaire",E13)))</formula>
    </cfRule>
  </conditionalFormatting>
  <conditionalFormatting sqref="E13">
    <cfRule type="containsText" dxfId="170" priority="23" operator="containsText" text="Assurance">
      <formula>NOT(ISERROR(SEARCH("Assurance",E13)))</formula>
    </cfRule>
  </conditionalFormatting>
  <conditionalFormatting sqref="E14">
    <cfRule type="containsText" dxfId="169" priority="11" operator="containsText" text="Emprunt/Crédit">
      <formula>NOT(ISERROR(SEARCH("Emprunt/Crédit",E14)))</formula>
    </cfRule>
    <cfRule type="containsText" dxfId="168" priority="12" operator="containsText" text="Garage">
      <formula>NOT(ISERROR(SEARCH("Garage",E14)))</formula>
    </cfRule>
    <cfRule type="containsText" dxfId="167" priority="14" operator="containsText" text="Visite JB Hub">
      <formula>NOT(ISERROR(SEARCH("Visite JB Hub",E14)))</formula>
    </cfRule>
    <cfRule type="containsText" dxfId="166" priority="15" operator="containsText" text="Repas">
      <formula>NOT(ISERROR(SEARCH("Repas",E14)))</formula>
    </cfRule>
    <cfRule type="containsText" dxfId="165" priority="16" operator="containsText" text="Communication">
      <formula>NOT(ISERROR(SEARCH("Communication",E14)))</formula>
    </cfRule>
    <cfRule type="containsText" dxfId="164" priority="17" operator="containsText" text="Jeep">
      <formula>NOT(ISERROR(SEARCH("Jeep",E14)))</formula>
    </cfRule>
    <cfRule type="containsText" dxfId="163" priority="18" operator="containsText" text="Structure">
      <formula>NOT(ISERROR(SEARCH("Structure",E14)))</formula>
    </cfRule>
    <cfRule type="containsText" dxfId="162" priority="19" operator="containsText" text="Essence">
      <formula>NOT(ISERROR(SEARCH("Essence",E14)))</formula>
    </cfRule>
    <cfRule type="containsText" dxfId="161" priority="20" operator="containsText" text="Salaire">
      <formula>NOT(ISERROR(SEARCH("Salaire",E14)))</formula>
    </cfRule>
  </conditionalFormatting>
  <conditionalFormatting sqref="E14">
    <cfRule type="containsText" dxfId="160" priority="13" operator="containsText" text="Assurance">
      <formula>NOT(ISERROR(SEARCH("Assurance",E14)))</formula>
    </cfRule>
  </conditionalFormatting>
  <conditionalFormatting sqref="E15">
    <cfRule type="containsText" dxfId="159" priority="1" operator="containsText" text="Emprunt/Crédit">
      <formula>NOT(ISERROR(SEARCH("Emprunt/Crédit",E15)))</formula>
    </cfRule>
    <cfRule type="containsText" dxfId="158" priority="2" operator="containsText" text="Garage">
      <formula>NOT(ISERROR(SEARCH("Garage",E15)))</formula>
    </cfRule>
    <cfRule type="containsText" dxfId="157" priority="4" operator="containsText" text="Visite JB Hub">
      <formula>NOT(ISERROR(SEARCH("Visite JB Hub",E15)))</formula>
    </cfRule>
    <cfRule type="containsText" dxfId="156" priority="5" operator="containsText" text="Repas">
      <formula>NOT(ISERROR(SEARCH("Repas",E15)))</formula>
    </cfRule>
    <cfRule type="containsText" dxfId="155" priority="6" operator="containsText" text="Communication">
      <formula>NOT(ISERROR(SEARCH("Communication",E15)))</formula>
    </cfRule>
    <cfRule type="containsText" dxfId="154" priority="7" operator="containsText" text="Jeep">
      <formula>NOT(ISERROR(SEARCH("Jeep",E15)))</formula>
    </cfRule>
    <cfRule type="containsText" dxfId="153" priority="8" operator="containsText" text="Structure">
      <formula>NOT(ISERROR(SEARCH("Structure",E15)))</formula>
    </cfRule>
    <cfRule type="containsText" dxfId="152" priority="9" operator="containsText" text="Essence">
      <formula>NOT(ISERROR(SEARCH("Essence",E15)))</formula>
    </cfRule>
    <cfRule type="containsText" dxfId="151" priority="10" operator="containsText" text="Salaire">
      <formula>NOT(ISERROR(SEARCH("Salaire",E15)))</formula>
    </cfRule>
  </conditionalFormatting>
  <conditionalFormatting sqref="E15">
    <cfRule type="containsText" dxfId="150" priority="3" operator="containsText" text="Assurance">
      <formula>NOT(ISERROR(SEARCH("Assurance",E15)))</formula>
    </cfRule>
  </conditionalFormatting>
  <dataValidations count="3">
    <dataValidation allowBlank="1" showInputMessage="1" sqref="F7:F15 F17:F36" xr:uid="{E9788D93-4B83-C043-8992-14C9260D50A1}"/>
    <dataValidation type="list" allowBlank="1" showInputMessage="1" showErrorMessage="1" sqref="G7:G36" xr:uid="{711A9906-C9D5-0640-AA8E-8C97C43108F8}">
      <formula1>"0%, 20%"</formula1>
    </dataValidation>
    <dataValidation type="list" allowBlank="1" showInputMessage="1" showErrorMessage="1" sqref="E1:E15 E17:E1048576" xr:uid="{3A793A39-F01B-4343-8B19-29744E6A80A0}">
      <formula1>"Salaire, Essence, Structure, Jeep, Communication, Repas, Visite JB Hub, Assurance, Garage, Emprunt/Crédit, Bureau, URSSAF"</formula1>
    </dataValidation>
  </dataValidations>
  <pageMargins left="0.7" right="0.7" top="0.75" bottom="0.75" header="0.3" footer="0.3"/>
  <tableParts count="1">
    <tablePart r:id="rId1"/>
  </tablePart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0D1D99-21AB-0446-8FD6-9C271A23715A}">
  <sheetPr>
    <tabColor theme="5" tint="0.39997558519241921"/>
  </sheetPr>
  <dimension ref="B1:M36"/>
  <sheetViews>
    <sheetView workbookViewId="0">
      <selection activeCell="F8" sqref="F8"/>
    </sheetView>
  </sheetViews>
  <sheetFormatPr baseColWidth="10" defaultRowHeight="16" x14ac:dyDescent="0.2"/>
  <cols>
    <col min="4" max="4" width="16.1640625" customWidth="1"/>
    <col min="5" max="5" width="16" customWidth="1"/>
    <col min="6" max="6" width="17" customWidth="1"/>
    <col min="8" max="8" width="15.6640625" customWidth="1"/>
    <col min="11" max="11" width="18.1640625" customWidth="1"/>
  </cols>
  <sheetData>
    <row r="1" spans="2:13" x14ac:dyDescent="0.2">
      <c r="B1" s="170" t="s">
        <v>141</v>
      </c>
      <c r="C1" s="171"/>
      <c r="D1" s="171"/>
      <c r="E1" s="171"/>
      <c r="F1" s="171"/>
      <c r="G1" s="171"/>
      <c r="H1" s="171"/>
      <c r="I1" s="172"/>
    </row>
    <row r="2" spans="2:13" ht="17" thickBot="1" x14ac:dyDescent="0.25">
      <c r="B2" s="173"/>
      <c r="C2" s="174"/>
      <c r="D2" s="174"/>
      <c r="E2" s="174"/>
      <c r="F2" s="174"/>
      <c r="G2" s="174"/>
      <c r="H2" s="174"/>
      <c r="I2" s="175"/>
    </row>
    <row r="3" spans="2:13" ht="25" thickBot="1" x14ac:dyDescent="0.25">
      <c r="B3" s="42"/>
      <c r="C3" s="42"/>
      <c r="D3" s="42"/>
      <c r="E3" s="42"/>
      <c r="F3" s="42"/>
      <c r="G3" s="42"/>
      <c r="H3" s="42"/>
      <c r="I3" s="42"/>
    </row>
    <row r="4" spans="2:13" ht="24" x14ac:dyDescent="0.2">
      <c r="B4" s="42"/>
      <c r="C4" s="42"/>
      <c r="D4" s="42"/>
      <c r="E4" s="42"/>
      <c r="F4" s="176">
        <f>SUM(F7:F36)</f>
        <v>6381.5599999999995</v>
      </c>
      <c r="G4" s="42"/>
      <c r="H4" s="178">
        <f>SUM(H7:H36)</f>
        <v>4691.5599999999995</v>
      </c>
      <c r="I4" s="180">
        <f>SUM(I7:I36)</f>
        <v>0</v>
      </c>
    </row>
    <row r="5" spans="2:13" ht="25" thickBot="1" x14ac:dyDescent="0.25">
      <c r="B5" s="42"/>
      <c r="C5" s="42"/>
      <c r="D5" s="42"/>
      <c r="E5" s="42"/>
      <c r="F5" s="177"/>
      <c r="G5" s="42"/>
      <c r="H5" s="179"/>
      <c r="I5" s="181"/>
    </row>
    <row r="6" spans="2:13" ht="19" x14ac:dyDescent="0.2">
      <c r="B6" s="44" t="s">
        <v>0</v>
      </c>
      <c r="C6" s="44" t="s">
        <v>42</v>
      </c>
      <c r="D6" s="44" t="s">
        <v>39</v>
      </c>
      <c r="E6" s="44" t="s">
        <v>76</v>
      </c>
      <c r="F6" s="45" t="s">
        <v>77</v>
      </c>
      <c r="G6" s="47" t="s">
        <v>62</v>
      </c>
      <c r="H6" s="97" t="s">
        <v>78</v>
      </c>
      <c r="I6" s="98" t="s">
        <v>75</v>
      </c>
      <c r="J6" s="7"/>
    </row>
    <row r="7" spans="2:13" x14ac:dyDescent="0.2">
      <c r="B7" s="15"/>
      <c r="C7" s="15"/>
      <c r="D7" s="15" t="s">
        <v>67</v>
      </c>
      <c r="E7" s="15" t="s">
        <v>72</v>
      </c>
      <c r="F7" s="37">
        <v>544</v>
      </c>
      <c r="G7" s="33">
        <v>0</v>
      </c>
      <c r="H7" s="34">
        <f t="shared" ref="H7:H12" si="0">F7/(1+G7)</f>
        <v>544</v>
      </c>
      <c r="I7" s="43">
        <f t="shared" ref="I7:I12" si="1">F7-H7</f>
        <v>0</v>
      </c>
      <c r="J7" s="7"/>
      <c r="K7" s="96" t="s">
        <v>36</v>
      </c>
      <c r="L7" s="20">
        <f>SUMIF(Tableau3381012141617[Mode de dépense],K7,Tableau3381012141617[Charge TTC])</f>
        <v>3603</v>
      </c>
      <c r="M7" s="35">
        <f>L7</f>
        <v>3603</v>
      </c>
    </row>
    <row r="8" spans="2:13" x14ac:dyDescent="0.2">
      <c r="B8" s="15"/>
      <c r="C8" s="15"/>
      <c r="D8" s="15" t="s">
        <v>68</v>
      </c>
      <c r="E8" s="15" t="s">
        <v>72</v>
      </c>
      <c r="F8" s="37">
        <v>459.26</v>
      </c>
      <c r="G8" s="33">
        <v>0</v>
      </c>
      <c r="H8" s="34">
        <f t="shared" si="0"/>
        <v>459.26</v>
      </c>
      <c r="I8" s="43">
        <f t="shared" si="1"/>
        <v>0</v>
      </c>
      <c r="J8" s="7"/>
      <c r="K8" s="90" t="s">
        <v>47</v>
      </c>
      <c r="L8" s="20">
        <f>SUMIF(Tableau3381012141617[Mode de dépense],K8,Tableau3381012141617[Charge TTC])</f>
        <v>0</v>
      </c>
      <c r="M8" s="35">
        <f>L8/1.2</f>
        <v>0</v>
      </c>
    </row>
    <row r="9" spans="2:13" x14ac:dyDescent="0.2">
      <c r="B9" s="15"/>
      <c r="C9" s="15"/>
      <c r="D9" s="15" t="s">
        <v>69</v>
      </c>
      <c r="E9" s="15" t="s">
        <v>71</v>
      </c>
      <c r="F9" s="30">
        <v>24.8</v>
      </c>
      <c r="G9" s="33">
        <v>0</v>
      </c>
      <c r="H9" s="34">
        <f t="shared" si="0"/>
        <v>24.8</v>
      </c>
      <c r="I9" s="43">
        <f t="shared" si="1"/>
        <v>0</v>
      </c>
      <c r="J9" s="7"/>
      <c r="K9" s="91" t="s">
        <v>71</v>
      </c>
      <c r="L9" s="20">
        <f>SUMIF(Tableau3381012141617[Mode de dépense],K9,Tableau3381012141617[Charge TTC])</f>
        <v>75.3</v>
      </c>
      <c r="M9" s="35"/>
    </row>
    <row r="10" spans="2:13" x14ac:dyDescent="0.2">
      <c r="B10" s="15"/>
      <c r="C10" s="15"/>
      <c r="D10" s="15" t="s">
        <v>70</v>
      </c>
      <c r="E10" s="15" t="s">
        <v>71</v>
      </c>
      <c r="F10" s="30">
        <v>20.51</v>
      </c>
      <c r="G10" s="33">
        <v>0</v>
      </c>
      <c r="H10" s="34">
        <f t="shared" si="0"/>
        <v>20.51</v>
      </c>
      <c r="I10" s="43">
        <f t="shared" si="1"/>
        <v>0</v>
      </c>
      <c r="J10" s="7"/>
      <c r="K10" s="99" t="s">
        <v>48</v>
      </c>
      <c r="L10" s="20">
        <f>SUMIF(Tableau3381012141617[Mode de dépense],K10,Tableau3381012141617[Charge TTC])</f>
        <v>0</v>
      </c>
      <c r="M10" s="35">
        <f>L10/1.2</f>
        <v>0</v>
      </c>
    </row>
    <row r="11" spans="2:13" x14ac:dyDescent="0.2">
      <c r="B11" s="15"/>
      <c r="C11" s="15"/>
      <c r="D11" s="15" t="s">
        <v>70</v>
      </c>
      <c r="E11" s="15" t="s">
        <v>71</v>
      </c>
      <c r="F11" s="25">
        <v>19.989999999999998</v>
      </c>
      <c r="G11" s="33">
        <v>0</v>
      </c>
      <c r="H11" s="34">
        <f t="shared" si="0"/>
        <v>19.989999999999998</v>
      </c>
      <c r="I11" s="43">
        <f t="shared" si="1"/>
        <v>0</v>
      </c>
      <c r="J11" s="7"/>
      <c r="K11" s="100" t="s">
        <v>49</v>
      </c>
      <c r="L11" s="20">
        <f>SUMIF(Tableau3381012141617[Mode de dépense],K11,Tableau3381012141617[Charge TTC])</f>
        <v>0</v>
      </c>
      <c r="M11" s="35">
        <f>L11/1.2</f>
        <v>0</v>
      </c>
    </row>
    <row r="12" spans="2:13" x14ac:dyDescent="0.2">
      <c r="B12" s="19"/>
      <c r="C12" s="15"/>
      <c r="D12" s="15" t="s">
        <v>79</v>
      </c>
      <c r="E12" s="15" t="s">
        <v>71</v>
      </c>
      <c r="F12" s="25">
        <v>10</v>
      </c>
      <c r="G12" s="33">
        <v>0</v>
      </c>
      <c r="H12" s="34">
        <f t="shared" si="0"/>
        <v>10</v>
      </c>
      <c r="I12" s="43">
        <f t="shared" si="1"/>
        <v>0</v>
      </c>
      <c r="J12" s="7"/>
      <c r="K12" s="101" t="s">
        <v>50</v>
      </c>
      <c r="L12" s="20">
        <f>SUMIF(Tableau3381012141617[Mode de dépense],K12,Tableau3381012141617[Charge TTC])</f>
        <v>0</v>
      </c>
      <c r="M12" s="35">
        <f>L12/1.2</f>
        <v>0</v>
      </c>
    </row>
    <row r="13" spans="2:13" ht="51" x14ac:dyDescent="0.2">
      <c r="B13" s="19"/>
      <c r="C13" s="15"/>
      <c r="D13" s="122" t="s">
        <v>179</v>
      </c>
      <c r="E13" s="15" t="s">
        <v>153</v>
      </c>
      <c r="F13" s="25">
        <v>1700</v>
      </c>
      <c r="G13" s="33">
        <v>0</v>
      </c>
      <c r="H13" s="34">
        <f>F12/(1+G13)</f>
        <v>10</v>
      </c>
      <c r="I13" s="43">
        <f>F12-H13</f>
        <v>0</v>
      </c>
      <c r="J13" s="7"/>
      <c r="K13" s="92" t="s">
        <v>52</v>
      </c>
      <c r="L13" s="20">
        <f>SUMIF(Tableau3381012141617[Mode de dépense],K13,Tableau3381012141617[Charge TTC])</f>
        <v>0</v>
      </c>
      <c r="M13" s="35">
        <f>L13</f>
        <v>0</v>
      </c>
    </row>
    <row r="14" spans="2:13" x14ac:dyDescent="0.2">
      <c r="B14" s="19"/>
      <c r="C14" s="15"/>
      <c r="D14" s="15" t="s">
        <v>3</v>
      </c>
      <c r="E14" s="15" t="s">
        <v>36</v>
      </c>
      <c r="F14" s="25">
        <v>2803</v>
      </c>
      <c r="G14" s="33">
        <v>0</v>
      </c>
      <c r="H14" s="34">
        <f>F14/(1+G14)</f>
        <v>2803</v>
      </c>
      <c r="I14" s="43">
        <f t="shared" ref="I14:I36" si="2">F14-H14</f>
        <v>0</v>
      </c>
      <c r="J14" s="7"/>
      <c r="K14" s="93" t="s">
        <v>51</v>
      </c>
      <c r="L14" s="20">
        <f>SUMIF(Tableau3381012141617[Mode de dépense],K14,Tableau3381012141617[Charge TTC])</f>
        <v>0</v>
      </c>
      <c r="M14" s="35">
        <f>L14/1.2</f>
        <v>0</v>
      </c>
    </row>
    <row r="15" spans="2:13" x14ac:dyDescent="0.2">
      <c r="B15" s="15"/>
      <c r="C15" s="15"/>
      <c r="D15" s="15" t="s">
        <v>2</v>
      </c>
      <c r="E15" s="15" t="s">
        <v>36</v>
      </c>
      <c r="F15" s="25">
        <v>800</v>
      </c>
      <c r="G15" s="33">
        <v>0</v>
      </c>
      <c r="H15" s="34">
        <f>F15/(1+G15)</f>
        <v>800</v>
      </c>
      <c r="I15" s="43">
        <f t="shared" si="2"/>
        <v>0</v>
      </c>
      <c r="J15" s="7"/>
      <c r="K15" s="94" t="s">
        <v>60</v>
      </c>
      <c r="L15" s="20">
        <f>SUMIF(Tableau3381012141617[Mode de dépense],K15,Tableau3381012141617[Charge TTC])</f>
        <v>0</v>
      </c>
      <c r="M15" s="35">
        <f>L15/1.2</f>
        <v>0</v>
      </c>
    </row>
    <row r="16" spans="2:13" x14ac:dyDescent="0.2">
      <c r="B16" s="15"/>
      <c r="C16" s="15"/>
      <c r="D16" s="15"/>
      <c r="E16" s="15"/>
      <c r="F16" s="25"/>
      <c r="G16" s="33">
        <v>0</v>
      </c>
      <c r="H16" s="34">
        <f t="shared" ref="H16:H36" si="3">F16/((1+G16))</f>
        <v>0</v>
      </c>
      <c r="I16" s="43">
        <f t="shared" si="2"/>
        <v>0</v>
      </c>
      <c r="J16" s="7"/>
      <c r="K16" s="95" t="s">
        <v>72</v>
      </c>
      <c r="L16" s="20">
        <f>SUMIF(Tableau3381012141617[Mode de dépense],K16,Tableau3381012141617[Charge TTC])</f>
        <v>1003.26</v>
      </c>
      <c r="M16" s="35">
        <f>L16/1.2</f>
        <v>836.05000000000007</v>
      </c>
    </row>
    <row r="17" spans="2:13" x14ac:dyDescent="0.2">
      <c r="B17" s="15"/>
      <c r="C17" s="15"/>
      <c r="D17" s="15"/>
      <c r="E17" s="15"/>
      <c r="F17" s="25"/>
      <c r="G17" s="33">
        <v>0</v>
      </c>
      <c r="H17" s="34">
        <f t="shared" si="3"/>
        <v>0</v>
      </c>
      <c r="I17" s="43">
        <f t="shared" si="2"/>
        <v>0</v>
      </c>
      <c r="J17" s="7"/>
      <c r="K17" s="1" t="s">
        <v>153</v>
      </c>
      <c r="L17" s="20">
        <f>SUMIF(Tableau3381012141617[Mode de dépense],K17,Tableau3381012141617[Charge TTC])</f>
        <v>1700</v>
      </c>
      <c r="M17" s="35">
        <f>L17/1.2</f>
        <v>1416.6666666666667</v>
      </c>
    </row>
    <row r="18" spans="2:13" x14ac:dyDescent="0.2">
      <c r="B18" s="15"/>
      <c r="C18" s="15"/>
      <c r="D18" s="15"/>
      <c r="E18" s="15"/>
      <c r="F18" s="25"/>
      <c r="G18" s="33">
        <v>0</v>
      </c>
      <c r="H18" s="34">
        <f t="shared" si="3"/>
        <v>0</v>
      </c>
      <c r="I18" s="43">
        <f t="shared" si="2"/>
        <v>0</v>
      </c>
      <c r="J18" s="7"/>
    </row>
    <row r="19" spans="2:13" x14ac:dyDescent="0.2">
      <c r="B19" s="15"/>
      <c r="C19" s="15"/>
      <c r="D19" s="15"/>
      <c r="E19" s="15"/>
      <c r="F19" s="25"/>
      <c r="G19" s="33">
        <v>0</v>
      </c>
      <c r="H19" s="34">
        <f t="shared" si="3"/>
        <v>0</v>
      </c>
      <c r="I19" s="43">
        <f t="shared" si="2"/>
        <v>0</v>
      </c>
      <c r="J19" s="7"/>
    </row>
    <row r="20" spans="2:13" x14ac:dyDescent="0.2">
      <c r="B20" s="15"/>
      <c r="C20" s="15"/>
      <c r="D20" s="15"/>
      <c r="E20" s="15"/>
      <c r="F20" s="25"/>
      <c r="G20" s="33">
        <v>0</v>
      </c>
      <c r="H20" s="34">
        <f t="shared" si="3"/>
        <v>0</v>
      </c>
      <c r="I20" s="43">
        <f t="shared" si="2"/>
        <v>0</v>
      </c>
      <c r="J20" s="7"/>
    </row>
    <row r="21" spans="2:13" x14ac:dyDescent="0.2">
      <c r="B21" s="15"/>
      <c r="C21" s="15"/>
      <c r="D21" s="15"/>
      <c r="E21" s="15"/>
      <c r="F21" s="25"/>
      <c r="G21" s="33">
        <v>0</v>
      </c>
      <c r="H21" s="34">
        <f t="shared" si="3"/>
        <v>0</v>
      </c>
      <c r="I21" s="43">
        <f t="shared" si="2"/>
        <v>0</v>
      </c>
      <c r="J21" s="7"/>
    </row>
    <row r="22" spans="2:13" x14ac:dyDescent="0.2">
      <c r="B22" s="15"/>
      <c r="C22" s="15"/>
      <c r="D22" s="15"/>
      <c r="E22" s="15"/>
      <c r="F22" s="25"/>
      <c r="G22" s="33">
        <v>0</v>
      </c>
      <c r="H22" s="34">
        <f t="shared" si="3"/>
        <v>0</v>
      </c>
      <c r="I22" s="43">
        <f t="shared" si="2"/>
        <v>0</v>
      </c>
      <c r="J22" s="7"/>
    </row>
    <row r="23" spans="2:13" x14ac:dyDescent="0.2">
      <c r="B23" s="15"/>
      <c r="C23" s="15"/>
      <c r="D23" s="15"/>
      <c r="E23" s="15"/>
      <c r="F23" s="25"/>
      <c r="G23" s="33">
        <v>0</v>
      </c>
      <c r="H23" s="34">
        <f t="shared" si="3"/>
        <v>0</v>
      </c>
      <c r="I23" s="43">
        <f t="shared" si="2"/>
        <v>0</v>
      </c>
      <c r="J23" s="7"/>
    </row>
    <row r="24" spans="2:13" x14ac:dyDescent="0.2">
      <c r="B24" s="15"/>
      <c r="C24" s="15"/>
      <c r="D24" s="15"/>
      <c r="E24" s="15"/>
      <c r="F24" s="25"/>
      <c r="G24" s="33">
        <v>0</v>
      </c>
      <c r="H24" s="34">
        <f t="shared" si="3"/>
        <v>0</v>
      </c>
      <c r="I24" s="43">
        <f t="shared" si="2"/>
        <v>0</v>
      </c>
      <c r="J24" s="7"/>
    </row>
    <row r="25" spans="2:13" x14ac:dyDescent="0.2">
      <c r="B25" s="15"/>
      <c r="C25" s="15"/>
      <c r="D25" s="15"/>
      <c r="E25" s="15"/>
      <c r="F25" s="25"/>
      <c r="G25" s="33">
        <v>0</v>
      </c>
      <c r="H25" s="34">
        <f t="shared" si="3"/>
        <v>0</v>
      </c>
      <c r="I25" s="43">
        <f t="shared" si="2"/>
        <v>0</v>
      </c>
      <c r="J25" s="7"/>
    </row>
    <row r="26" spans="2:13" x14ac:dyDescent="0.2">
      <c r="B26" s="15"/>
      <c r="C26" s="15"/>
      <c r="D26" s="15"/>
      <c r="E26" s="15"/>
      <c r="F26" s="25"/>
      <c r="G26" s="33">
        <v>0</v>
      </c>
      <c r="H26" s="34">
        <f t="shared" si="3"/>
        <v>0</v>
      </c>
      <c r="I26" s="43">
        <f t="shared" si="2"/>
        <v>0</v>
      </c>
      <c r="J26" s="7"/>
    </row>
    <row r="27" spans="2:13" x14ac:dyDescent="0.2">
      <c r="B27" s="15"/>
      <c r="C27" s="15"/>
      <c r="D27" s="15"/>
      <c r="E27" s="15"/>
      <c r="F27" s="25"/>
      <c r="G27" s="33">
        <v>0</v>
      </c>
      <c r="H27" s="34">
        <f t="shared" si="3"/>
        <v>0</v>
      </c>
      <c r="I27" s="43">
        <f t="shared" si="2"/>
        <v>0</v>
      </c>
      <c r="J27" s="7"/>
    </row>
    <row r="28" spans="2:13" x14ac:dyDescent="0.2">
      <c r="B28" s="15"/>
      <c r="C28" s="15"/>
      <c r="D28" s="15"/>
      <c r="E28" s="15"/>
      <c r="F28" s="25"/>
      <c r="G28" s="33">
        <v>0</v>
      </c>
      <c r="H28" s="34">
        <f t="shared" si="3"/>
        <v>0</v>
      </c>
      <c r="I28" s="43">
        <f t="shared" si="2"/>
        <v>0</v>
      </c>
      <c r="J28" s="7"/>
    </row>
    <row r="29" spans="2:13" x14ac:dyDescent="0.2">
      <c r="B29" s="15"/>
      <c r="C29" s="15"/>
      <c r="D29" s="15"/>
      <c r="E29" s="15"/>
      <c r="F29" s="25"/>
      <c r="G29" s="33">
        <v>0</v>
      </c>
      <c r="H29" s="34">
        <f t="shared" si="3"/>
        <v>0</v>
      </c>
      <c r="I29" s="43">
        <f t="shared" si="2"/>
        <v>0</v>
      </c>
      <c r="J29" s="7"/>
    </row>
    <row r="30" spans="2:13" x14ac:dyDescent="0.2">
      <c r="B30" s="15"/>
      <c r="C30" s="15"/>
      <c r="D30" s="15"/>
      <c r="E30" s="15"/>
      <c r="F30" s="25"/>
      <c r="G30" s="33">
        <v>0</v>
      </c>
      <c r="H30" s="34">
        <f t="shared" si="3"/>
        <v>0</v>
      </c>
      <c r="I30" s="43">
        <f t="shared" si="2"/>
        <v>0</v>
      </c>
      <c r="J30" s="7"/>
    </row>
    <row r="31" spans="2:13" x14ac:dyDescent="0.2">
      <c r="B31" s="15"/>
      <c r="C31" s="15"/>
      <c r="D31" s="15"/>
      <c r="E31" s="15"/>
      <c r="F31" s="25"/>
      <c r="G31" s="33">
        <v>0</v>
      </c>
      <c r="H31" s="34">
        <f t="shared" si="3"/>
        <v>0</v>
      </c>
      <c r="I31" s="43">
        <f t="shared" si="2"/>
        <v>0</v>
      </c>
      <c r="J31" s="7"/>
    </row>
    <row r="32" spans="2:13" x14ac:dyDescent="0.2">
      <c r="B32" s="15"/>
      <c r="C32" s="15"/>
      <c r="D32" s="15"/>
      <c r="E32" s="15"/>
      <c r="F32" s="25"/>
      <c r="G32" s="33">
        <v>0</v>
      </c>
      <c r="H32" s="34">
        <f t="shared" si="3"/>
        <v>0</v>
      </c>
      <c r="I32" s="43">
        <f t="shared" si="2"/>
        <v>0</v>
      </c>
      <c r="J32" s="7"/>
    </row>
    <row r="33" spans="2:10" x14ac:dyDescent="0.2">
      <c r="B33" s="15"/>
      <c r="C33" s="15"/>
      <c r="D33" s="15"/>
      <c r="E33" s="15"/>
      <c r="F33" s="25"/>
      <c r="G33" s="33">
        <v>0</v>
      </c>
      <c r="H33" s="34">
        <f t="shared" si="3"/>
        <v>0</v>
      </c>
      <c r="I33" s="43">
        <f t="shared" si="2"/>
        <v>0</v>
      </c>
      <c r="J33" s="7"/>
    </row>
    <row r="34" spans="2:10" x14ac:dyDescent="0.2">
      <c r="B34" s="19"/>
      <c r="C34" s="15"/>
      <c r="D34" s="15"/>
      <c r="E34" s="15"/>
      <c r="F34" s="25"/>
      <c r="G34" s="33">
        <v>0</v>
      </c>
      <c r="H34" s="34">
        <f t="shared" si="3"/>
        <v>0</v>
      </c>
      <c r="I34" s="43">
        <f t="shared" si="2"/>
        <v>0</v>
      </c>
      <c r="J34" s="7"/>
    </row>
    <row r="35" spans="2:10" x14ac:dyDescent="0.2">
      <c r="B35" s="19"/>
      <c r="C35" s="15"/>
      <c r="D35" s="15"/>
      <c r="E35" s="15"/>
      <c r="F35" s="25"/>
      <c r="G35" s="33">
        <v>0</v>
      </c>
      <c r="H35" s="34">
        <f t="shared" si="3"/>
        <v>0</v>
      </c>
      <c r="I35" s="43">
        <f t="shared" si="2"/>
        <v>0</v>
      </c>
    </row>
    <row r="36" spans="2:10" x14ac:dyDescent="0.2">
      <c r="B36" s="15"/>
      <c r="C36" s="15"/>
      <c r="D36" s="15"/>
      <c r="E36" s="15"/>
      <c r="F36" s="25"/>
      <c r="G36" s="33">
        <v>0</v>
      </c>
      <c r="H36" s="34">
        <f t="shared" si="3"/>
        <v>0</v>
      </c>
      <c r="I36" s="43">
        <f t="shared" si="2"/>
        <v>0</v>
      </c>
    </row>
  </sheetData>
  <mergeCells count="4">
    <mergeCell ref="B1:I2"/>
    <mergeCell ref="F4:F5"/>
    <mergeCell ref="H4:H5"/>
    <mergeCell ref="I4:I5"/>
  </mergeCells>
  <conditionalFormatting sqref="E7:E13 E16:E36">
    <cfRule type="containsText" dxfId="149" priority="21" operator="containsText" text="Emprunt/Crédit">
      <formula>NOT(ISERROR(SEARCH("Emprunt/Crédit",E7)))</formula>
    </cfRule>
    <cfRule type="containsText" dxfId="148" priority="22" operator="containsText" text="Garage">
      <formula>NOT(ISERROR(SEARCH("Garage",E7)))</formula>
    </cfRule>
    <cfRule type="containsText" dxfId="147" priority="24" operator="containsText" text="Visite JB Hub">
      <formula>NOT(ISERROR(SEARCH("Visite JB Hub",E7)))</formula>
    </cfRule>
    <cfRule type="containsText" dxfId="146" priority="25" operator="containsText" text="Repas">
      <formula>NOT(ISERROR(SEARCH("Repas",E7)))</formula>
    </cfRule>
    <cfRule type="containsText" dxfId="145" priority="26" operator="containsText" text="Communication">
      <formula>NOT(ISERROR(SEARCH("Communication",E7)))</formula>
    </cfRule>
    <cfRule type="containsText" dxfId="144" priority="27" operator="containsText" text="Jeep">
      <formula>NOT(ISERROR(SEARCH("Jeep",E7)))</formula>
    </cfRule>
    <cfRule type="containsText" dxfId="143" priority="28" operator="containsText" text="Structure">
      <formula>NOT(ISERROR(SEARCH("Structure",E7)))</formula>
    </cfRule>
    <cfRule type="containsText" dxfId="142" priority="29" operator="containsText" text="Essence">
      <formula>NOT(ISERROR(SEARCH("Essence",E7)))</formula>
    </cfRule>
    <cfRule type="containsText" dxfId="141" priority="30" operator="containsText" text="Salaire">
      <formula>NOT(ISERROR(SEARCH("Salaire",E7)))</formula>
    </cfRule>
  </conditionalFormatting>
  <conditionalFormatting sqref="E7:E13 E16:E36">
    <cfRule type="containsText" dxfId="140" priority="23" operator="containsText" text="Assurance">
      <formula>NOT(ISERROR(SEARCH("Assurance",E7)))</formula>
    </cfRule>
  </conditionalFormatting>
  <conditionalFormatting sqref="E14">
    <cfRule type="containsText" dxfId="139" priority="11" operator="containsText" text="Emprunt/Crédit">
      <formula>NOT(ISERROR(SEARCH("Emprunt/Crédit",E14)))</formula>
    </cfRule>
    <cfRule type="containsText" dxfId="138" priority="12" operator="containsText" text="Garage">
      <formula>NOT(ISERROR(SEARCH("Garage",E14)))</formula>
    </cfRule>
    <cfRule type="containsText" dxfId="137" priority="14" operator="containsText" text="Visite JB Hub">
      <formula>NOT(ISERROR(SEARCH("Visite JB Hub",E14)))</formula>
    </cfRule>
    <cfRule type="containsText" dxfId="136" priority="15" operator="containsText" text="Repas">
      <formula>NOT(ISERROR(SEARCH("Repas",E14)))</formula>
    </cfRule>
    <cfRule type="containsText" dxfId="135" priority="16" operator="containsText" text="Communication">
      <formula>NOT(ISERROR(SEARCH("Communication",E14)))</formula>
    </cfRule>
    <cfRule type="containsText" dxfId="134" priority="17" operator="containsText" text="Jeep">
      <formula>NOT(ISERROR(SEARCH("Jeep",E14)))</formula>
    </cfRule>
    <cfRule type="containsText" dxfId="133" priority="18" operator="containsText" text="Structure">
      <formula>NOT(ISERROR(SEARCH("Structure",E14)))</formula>
    </cfRule>
    <cfRule type="containsText" dxfId="132" priority="19" operator="containsText" text="Essence">
      <formula>NOT(ISERROR(SEARCH("Essence",E14)))</formula>
    </cfRule>
    <cfRule type="containsText" dxfId="131" priority="20" operator="containsText" text="Salaire">
      <formula>NOT(ISERROR(SEARCH("Salaire",E14)))</formula>
    </cfRule>
  </conditionalFormatting>
  <conditionalFormatting sqref="E14">
    <cfRule type="containsText" dxfId="130" priority="13" operator="containsText" text="Assurance">
      <formula>NOT(ISERROR(SEARCH("Assurance",E14)))</formula>
    </cfRule>
  </conditionalFormatting>
  <conditionalFormatting sqref="E15">
    <cfRule type="containsText" dxfId="129" priority="1" operator="containsText" text="Emprunt/Crédit">
      <formula>NOT(ISERROR(SEARCH("Emprunt/Crédit",E15)))</formula>
    </cfRule>
    <cfRule type="containsText" dxfId="128" priority="2" operator="containsText" text="Garage">
      <formula>NOT(ISERROR(SEARCH("Garage",E15)))</formula>
    </cfRule>
    <cfRule type="containsText" dxfId="127" priority="4" operator="containsText" text="Visite JB Hub">
      <formula>NOT(ISERROR(SEARCH("Visite JB Hub",E15)))</formula>
    </cfRule>
    <cfRule type="containsText" dxfId="126" priority="5" operator="containsText" text="Repas">
      <formula>NOT(ISERROR(SEARCH("Repas",E15)))</formula>
    </cfRule>
    <cfRule type="containsText" dxfId="125" priority="6" operator="containsText" text="Communication">
      <formula>NOT(ISERROR(SEARCH("Communication",E15)))</formula>
    </cfRule>
    <cfRule type="containsText" dxfId="124" priority="7" operator="containsText" text="Jeep">
      <formula>NOT(ISERROR(SEARCH("Jeep",E15)))</formula>
    </cfRule>
    <cfRule type="containsText" dxfId="123" priority="8" operator="containsText" text="Structure">
      <formula>NOT(ISERROR(SEARCH("Structure",E15)))</formula>
    </cfRule>
    <cfRule type="containsText" dxfId="122" priority="9" operator="containsText" text="Essence">
      <formula>NOT(ISERROR(SEARCH("Essence",E15)))</formula>
    </cfRule>
    <cfRule type="containsText" dxfId="121" priority="10" operator="containsText" text="Salaire">
      <formula>NOT(ISERROR(SEARCH("Salaire",E15)))</formula>
    </cfRule>
  </conditionalFormatting>
  <conditionalFormatting sqref="E15">
    <cfRule type="containsText" dxfId="120" priority="3" operator="containsText" text="Assurance">
      <formula>NOT(ISERROR(SEARCH("Assurance",E15)))</formula>
    </cfRule>
  </conditionalFormatting>
  <dataValidations count="3">
    <dataValidation type="list" allowBlank="1" showInputMessage="1" showErrorMessage="1" sqref="E1:E1048576" xr:uid="{D705959C-B726-CC40-AA21-19E6FE7167F9}">
      <formula1>"Salaire, Essence, Structure, Jeep, Communication, Repas, Visite JB Hub, Assurance, Garage, Emprunt/Crédit, Bureau, URSSAF"</formula1>
    </dataValidation>
    <dataValidation type="list" allowBlank="1" showInputMessage="1" showErrorMessage="1" sqref="G7:G36" xr:uid="{66200AA6-E050-F644-91F4-BEB1CACA639A}">
      <formula1>"0%, 20%"</formula1>
    </dataValidation>
    <dataValidation allowBlank="1" showInputMessage="1" sqref="F14:F36 F7:F12" xr:uid="{07DF0116-4176-9349-AB41-140C85D0FD26}"/>
  </dataValidations>
  <pageMargins left="0.7" right="0.7" top="0.75" bottom="0.75" header="0.3" footer="0.3"/>
  <tableParts count="1">
    <tablePart r:id="rId1"/>
  </tablePart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383FE2-5EC9-464E-85FB-E1D46279A186}">
  <sheetPr>
    <tabColor theme="5" tint="0.39997558519241921"/>
  </sheetPr>
  <dimension ref="B1:M36"/>
  <sheetViews>
    <sheetView workbookViewId="0">
      <selection activeCell="F8" sqref="F8"/>
    </sheetView>
  </sheetViews>
  <sheetFormatPr baseColWidth="10" defaultRowHeight="16" x14ac:dyDescent="0.2"/>
  <cols>
    <col min="4" max="4" width="16.1640625" customWidth="1"/>
    <col min="5" max="5" width="16" customWidth="1"/>
    <col min="6" max="6" width="17" customWidth="1"/>
    <col min="8" max="8" width="15.6640625" customWidth="1"/>
    <col min="11" max="11" width="18.1640625" customWidth="1"/>
  </cols>
  <sheetData>
    <row r="1" spans="2:13" x14ac:dyDescent="0.2">
      <c r="B1" s="170" t="s">
        <v>141</v>
      </c>
      <c r="C1" s="171"/>
      <c r="D1" s="171"/>
      <c r="E1" s="171"/>
      <c r="F1" s="171"/>
      <c r="G1" s="171"/>
      <c r="H1" s="171"/>
      <c r="I1" s="172"/>
    </row>
    <row r="2" spans="2:13" ht="17" thickBot="1" x14ac:dyDescent="0.25">
      <c r="B2" s="173"/>
      <c r="C2" s="174"/>
      <c r="D2" s="174"/>
      <c r="E2" s="174"/>
      <c r="F2" s="174"/>
      <c r="G2" s="174"/>
      <c r="H2" s="174"/>
      <c r="I2" s="175"/>
    </row>
    <row r="3" spans="2:13" ht="25" thickBot="1" x14ac:dyDescent="0.25">
      <c r="B3" s="42"/>
      <c r="C3" s="42"/>
      <c r="D3" s="42"/>
      <c r="E3" s="42"/>
      <c r="F3" s="42"/>
      <c r="G3" s="42"/>
      <c r="H3" s="42"/>
      <c r="I3" s="42"/>
    </row>
    <row r="4" spans="2:13" ht="24" x14ac:dyDescent="0.2">
      <c r="B4" s="42"/>
      <c r="C4" s="42"/>
      <c r="D4" s="42"/>
      <c r="E4" s="42"/>
      <c r="F4" s="176">
        <f>SUM(F7:F36)</f>
        <v>4681.5599999999995</v>
      </c>
      <c r="G4" s="42"/>
      <c r="H4" s="178">
        <f>SUM(H7:H36)</f>
        <v>4681.5599999999995</v>
      </c>
      <c r="I4" s="180">
        <f>SUM(I7:I36)</f>
        <v>-2793</v>
      </c>
    </row>
    <row r="5" spans="2:13" ht="25" thickBot="1" x14ac:dyDescent="0.25">
      <c r="B5" s="42"/>
      <c r="C5" s="42"/>
      <c r="D5" s="42"/>
      <c r="E5" s="42"/>
      <c r="F5" s="177"/>
      <c r="G5" s="42"/>
      <c r="H5" s="179"/>
      <c r="I5" s="181"/>
    </row>
    <row r="6" spans="2:13" ht="19" x14ac:dyDescent="0.2">
      <c r="B6" s="44" t="s">
        <v>0</v>
      </c>
      <c r="C6" s="44" t="s">
        <v>42</v>
      </c>
      <c r="D6" s="44" t="s">
        <v>39</v>
      </c>
      <c r="E6" s="44" t="s">
        <v>76</v>
      </c>
      <c r="F6" s="45" t="s">
        <v>77</v>
      </c>
      <c r="G6" s="47" t="s">
        <v>62</v>
      </c>
      <c r="H6" s="97" t="s">
        <v>78</v>
      </c>
      <c r="I6" s="98" t="s">
        <v>75</v>
      </c>
      <c r="J6" s="7"/>
    </row>
    <row r="7" spans="2:13" x14ac:dyDescent="0.2">
      <c r="B7" s="15"/>
      <c r="C7" s="15"/>
      <c r="D7" s="15" t="s">
        <v>67</v>
      </c>
      <c r="E7" s="15" t="s">
        <v>72</v>
      </c>
      <c r="F7" s="37">
        <v>544</v>
      </c>
      <c r="G7" s="33">
        <v>0</v>
      </c>
      <c r="H7" s="34">
        <f t="shared" ref="H7:H15" si="0">F7/(1+G7)</f>
        <v>544</v>
      </c>
      <c r="I7" s="43">
        <f t="shared" ref="I7:I12" si="1">F7-H7</f>
        <v>0</v>
      </c>
      <c r="J7" s="7"/>
      <c r="K7" s="96" t="s">
        <v>36</v>
      </c>
      <c r="L7" s="20">
        <f>SUMIF(Tableau338101214161718[Mode de dépense],K7,Tableau338101214161718[Charge TTC])</f>
        <v>3603</v>
      </c>
      <c r="M7" s="35">
        <f>L7</f>
        <v>3603</v>
      </c>
    </row>
    <row r="8" spans="2:13" x14ac:dyDescent="0.2">
      <c r="B8" s="15"/>
      <c r="C8" s="15"/>
      <c r="D8" s="15" t="s">
        <v>68</v>
      </c>
      <c r="E8" s="15" t="s">
        <v>72</v>
      </c>
      <c r="F8" s="37">
        <v>459.26</v>
      </c>
      <c r="G8" s="33">
        <v>0</v>
      </c>
      <c r="H8" s="34">
        <f t="shared" si="0"/>
        <v>459.26</v>
      </c>
      <c r="I8" s="43">
        <f t="shared" si="1"/>
        <v>0</v>
      </c>
      <c r="J8" s="7"/>
      <c r="K8" s="90" t="s">
        <v>47</v>
      </c>
      <c r="L8" s="20">
        <f>SUMIF(Tableau338101214161718[Mode de dépense],K8,Tableau338101214161718[Charge TTC])</f>
        <v>0</v>
      </c>
      <c r="M8" s="35">
        <f>L8/1.2</f>
        <v>0</v>
      </c>
    </row>
    <row r="9" spans="2:13" x14ac:dyDescent="0.2">
      <c r="B9" s="15"/>
      <c r="C9" s="15"/>
      <c r="D9" s="15" t="s">
        <v>69</v>
      </c>
      <c r="E9" s="15" t="s">
        <v>71</v>
      </c>
      <c r="F9" s="30">
        <v>24.8</v>
      </c>
      <c r="G9" s="33">
        <v>0</v>
      </c>
      <c r="H9" s="34">
        <f t="shared" si="0"/>
        <v>24.8</v>
      </c>
      <c r="I9" s="43">
        <f t="shared" si="1"/>
        <v>0</v>
      </c>
      <c r="J9" s="7"/>
      <c r="K9" s="91" t="s">
        <v>71</v>
      </c>
      <c r="L9" s="20">
        <f>SUMIF(Tableau338101214161718[Mode de dépense],K9,Tableau338101214161718[Charge TTC])</f>
        <v>75.3</v>
      </c>
      <c r="M9" s="35"/>
    </row>
    <row r="10" spans="2:13" x14ac:dyDescent="0.2">
      <c r="B10" s="15"/>
      <c r="C10" s="15"/>
      <c r="D10" s="15" t="s">
        <v>70</v>
      </c>
      <c r="E10" s="15" t="s">
        <v>71</v>
      </c>
      <c r="F10" s="30">
        <v>20.51</v>
      </c>
      <c r="G10" s="33">
        <v>0</v>
      </c>
      <c r="H10" s="34">
        <f t="shared" si="0"/>
        <v>20.51</v>
      </c>
      <c r="I10" s="43">
        <f t="shared" si="1"/>
        <v>0</v>
      </c>
      <c r="J10" s="7"/>
      <c r="K10" s="99" t="s">
        <v>48</v>
      </c>
      <c r="L10" s="20">
        <f>SUMIF(Tableau338101214161718[Mode de dépense],K10,Tableau338101214161718[Charge TTC])</f>
        <v>0</v>
      </c>
      <c r="M10" s="35">
        <f>L10/1.2</f>
        <v>0</v>
      </c>
    </row>
    <row r="11" spans="2:13" x14ac:dyDescent="0.2">
      <c r="B11" s="15"/>
      <c r="C11" s="15"/>
      <c r="D11" s="15" t="s">
        <v>70</v>
      </c>
      <c r="E11" s="15" t="s">
        <v>71</v>
      </c>
      <c r="F11" s="25">
        <v>19.989999999999998</v>
      </c>
      <c r="G11" s="33">
        <v>0</v>
      </c>
      <c r="H11" s="34">
        <f t="shared" si="0"/>
        <v>19.989999999999998</v>
      </c>
      <c r="I11" s="43">
        <f t="shared" si="1"/>
        <v>0</v>
      </c>
      <c r="J11" s="7"/>
      <c r="K11" s="100" t="s">
        <v>49</v>
      </c>
      <c r="L11" s="20">
        <f>SUMIF(Tableau338101214161718[Mode de dépense],K11,Tableau338101214161718[Charge TTC])</f>
        <v>0</v>
      </c>
      <c r="M11" s="35">
        <f>L11/1.2</f>
        <v>0</v>
      </c>
    </row>
    <row r="12" spans="2:13" x14ac:dyDescent="0.2">
      <c r="B12" s="19"/>
      <c r="C12" s="15"/>
      <c r="D12" s="15" t="s">
        <v>79</v>
      </c>
      <c r="E12" s="15" t="s">
        <v>71</v>
      </c>
      <c r="F12" s="25">
        <v>10</v>
      </c>
      <c r="G12" s="33">
        <v>0</v>
      </c>
      <c r="H12" s="34">
        <f t="shared" si="0"/>
        <v>10</v>
      </c>
      <c r="I12" s="43">
        <f t="shared" si="1"/>
        <v>0</v>
      </c>
      <c r="J12" s="7"/>
      <c r="K12" s="101" t="s">
        <v>50</v>
      </c>
      <c r="L12" s="20">
        <f>SUMIF(Tableau338101214161718[Mode de dépense],K12,Tableau338101214161718[Charge TTC])</f>
        <v>0</v>
      </c>
      <c r="M12" s="35">
        <f>L12/1.2</f>
        <v>0</v>
      </c>
    </row>
    <row r="13" spans="2:13" x14ac:dyDescent="0.2">
      <c r="B13" s="19"/>
      <c r="C13" s="15"/>
      <c r="D13" s="15" t="s">
        <v>3</v>
      </c>
      <c r="E13" s="15" t="s">
        <v>36</v>
      </c>
      <c r="F13" s="25">
        <v>2803</v>
      </c>
      <c r="G13" s="33">
        <v>0</v>
      </c>
      <c r="H13" s="34">
        <f t="shared" si="0"/>
        <v>2803</v>
      </c>
      <c r="I13" s="43">
        <f>F12-H13</f>
        <v>-2793</v>
      </c>
      <c r="J13" s="7"/>
      <c r="K13" s="92" t="s">
        <v>52</v>
      </c>
      <c r="L13" s="20">
        <f>SUMIF(Tableau338101214161718[Mode de dépense],K13,Tableau338101214161718[Charge TTC])</f>
        <v>0</v>
      </c>
      <c r="M13" s="35">
        <f>L13</f>
        <v>0</v>
      </c>
    </row>
    <row r="14" spans="2:13" x14ac:dyDescent="0.2">
      <c r="B14" s="19"/>
      <c r="C14" s="15"/>
      <c r="D14" s="15" t="s">
        <v>2</v>
      </c>
      <c r="E14" s="15" t="s">
        <v>36</v>
      </c>
      <c r="F14" s="25">
        <v>800</v>
      </c>
      <c r="G14" s="33">
        <v>0</v>
      </c>
      <c r="H14" s="34">
        <f t="shared" si="0"/>
        <v>800</v>
      </c>
      <c r="I14" s="43">
        <f t="shared" ref="I14:I36" si="2">F14-H14</f>
        <v>0</v>
      </c>
      <c r="J14" s="7"/>
      <c r="K14" s="93" t="s">
        <v>51</v>
      </c>
      <c r="L14" s="20">
        <f>SUMIF(Tableau338101214161718[Mode de dépense],K14,Tableau338101214161718[Charge TTC])</f>
        <v>0</v>
      </c>
      <c r="M14" s="35">
        <f>L14/1.2</f>
        <v>0</v>
      </c>
    </row>
    <row r="15" spans="2:13" x14ac:dyDescent="0.2">
      <c r="B15" s="15"/>
      <c r="C15" s="15"/>
      <c r="D15" s="15"/>
      <c r="E15" s="15"/>
      <c r="F15" s="25"/>
      <c r="G15" s="33">
        <v>0</v>
      </c>
      <c r="H15" s="34">
        <f t="shared" si="0"/>
        <v>0</v>
      </c>
      <c r="I15" s="43">
        <f t="shared" si="2"/>
        <v>0</v>
      </c>
      <c r="J15" s="7"/>
      <c r="K15" s="94" t="s">
        <v>60</v>
      </c>
      <c r="L15" s="20">
        <f>SUMIF(Tableau338101214161718[Mode de dépense],K15,Tableau338101214161718[Charge TTC])</f>
        <v>0</v>
      </c>
      <c r="M15" s="35">
        <f>L15/1.2</f>
        <v>0</v>
      </c>
    </row>
    <row r="16" spans="2:13" x14ac:dyDescent="0.2">
      <c r="B16" s="15"/>
      <c r="C16" s="15"/>
      <c r="D16" s="15"/>
      <c r="E16" s="15"/>
      <c r="F16" s="25"/>
      <c r="G16" s="33">
        <v>0</v>
      </c>
      <c r="H16" s="34">
        <f t="shared" ref="H16:H36" si="3">F16/((1+G16))</f>
        <v>0</v>
      </c>
      <c r="I16" s="43">
        <f t="shared" si="2"/>
        <v>0</v>
      </c>
      <c r="J16" s="7"/>
      <c r="K16" s="95" t="s">
        <v>72</v>
      </c>
      <c r="L16" s="20">
        <f>SUMIF(Tableau338101214161718[Mode de dépense],K16,Tableau338101214161718[Charge TTC])</f>
        <v>1003.26</v>
      </c>
      <c r="M16" s="35">
        <f>L16/1.2</f>
        <v>836.05000000000007</v>
      </c>
    </row>
    <row r="17" spans="2:13" x14ac:dyDescent="0.2">
      <c r="B17" s="15"/>
      <c r="C17" s="15"/>
      <c r="D17" s="15"/>
      <c r="E17" s="15"/>
      <c r="F17" s="25"/>
      <c r="G17" s="33">
        <v>0</v>
      </c>
      <c r="H17" s="34">
        <f t="shared" si="3"/>
        <v>0</v>
      </c>
      <c r="I17" s="43">
        <f t="shared" si="2"/>
        <v>0</v>
      </c>
      <c r="J17" s="7"/>
      <c r="K17" s="1" t="s">
        <v>153</v>
      </c>
      <c r="L17" s="20">
        <f>SUMIF(Tableau338101214161718[Mode de dépense],K17,Tableau338101214161718[Charge TTC])</f>
        <v>0</v>
      </c>
      <c r="M17" s="35">
        <f>L17/1.2</f>
        <v>0</v>
      </c>
    </row>
    <row r="18" spans="2:13" x14ac:dyDescent="0.2">
      <c r="B18" s="15"/>
      <c r="C18" s="15"/>
      <c r="D18" s="15"/>
      <c r="E18" s="15"/>
      <c r="F18" s="25"/>
      <c r="G18" s="33">
        <v>0</v>
      </c>
      <c r="H18" s="34">
        <f t="shared" si="3"/>
        <v>0</v>
      </c>
      <c r="I18" s="43">
        <f t="shared" si="2"/>
        <v>0</v>
      </c>
      <c r="J18" s="7"/>
    </row>
    <row r="19" spans="2:13" x14ac:dyDescent="0.2">
      <c r="B19" s="15"/>
      <c r="C19" s="15"/>
      <c r="D19" s="15"/>
      <c r="E19" s="15"/>
      <c r="F19" s="25"/>
      <c r="G19" s="33">
        <v>0</v>
      </c>
      <c r="H19" s="34">
        <f t="shared" si="3"/>
        <v>0</v>
      </c>
      <c r="I19" s="43">
        <f t="shared" si="2"/>
        <v>0</v>
      </c>
      <c r="J19" s="7"/>
    </row>
    <row r="20" spans="2:13" x14ac:dyDescent="0.2">
      <c r="B20" s="15"/>
      <c r="C20" s="15"/>
      <c r="D20" s="15"/>
      <c r="E20" s="15"/>
      <c r="F20" s="25"/>
      <c r="G20" s="33">
        <v>0</v>
      </c>
      <c r="H20" s="34">
        <f t="shared" si="3"/>
        <v>0</v>
      </c>
      <c r="I20" s="43">
        <f t="shared" si="2"/>
        <v>0</v>
      </c>
      <c r="J20" s="7"/>
    </row>
    <row r="21" spans="2:13" x14ac:dyDescent="0.2">
      <c r="B21" s="15"/>
      <c r="C21" s="15"/>
      <c r="D21" s="15"/>
      <c r="E21" s="15"/>
      <c r="F21" s="25"/>
      <c r="G21" s="33">
        <v>0</v>
      </c>
      <c r="H21" s="34">
        <f t="shared" si="3"/>
        <v>0</v>
      </c>
      <c r="I21" s="43">
        <f t="shared" si="2"/>
        <v>0</v>
      </c>
      <c r="J21" s="7"/>
    </row>
    <row r="22" spans="2:13" x14ac:dyDescent="0.2">
      <c r="B22" s="15"/>
      <c r="C22" s="15"/>
      <c r="D22" s="15"/>
      <c r="E22" s="15"/>
      <c r="F22" s="25"/>
      <c r="G22" s="33">
        <v>0</v>
      </c>
      <c r="H22" s="34">
        <f t="shared" si="3"/>
        <v>0</v>
      </c>
      <c r="I22" s="43">
        <f t="shared" si="2"/>
        <v>0</v>
      </c>
      <c r="J22" s="7"/>
    </row>
    <row r="23" spans="2:13" x14ac:dyDescent="0.2">
      <c r="B23" s="15"/>
      <c r="C23" s="15"/>
      <c r="D23" s="15"/>
      <c r="E23" s="15"/>
      <c r="F23" s="25"/>
      <c r="G23" s="33">
        <v>0</v>
      </c>
      <c r="H23" s="34">
        <f t="shared" si="3"/>
        <v>0</v>
      </c>
      <c r="I23" s="43">
        <f t="shared" si="2"/>
        <v>0</v>
      </c>
      <c r="J23" s="7"/>
    </row>
    <row r="24" spans="2:13" x14ac:dyDescent="0.2">
      <c r="B24" s="15"/>
      <c r="C24" s="15"/>
      <c r="D24" s="15"/>
      <c r="E24" s="15"/>
      <c r="F24" s="25"/>
      <c r="G24" s="33">
        <v>0</v>
      </c>
      <c r="H24" s="34">
        <f t="shared" si="3"/>
        <v>0</v>
      </c>
      <c r="I24" s="43">
        <f t="shared" si="2"/>
        <v>0</v>
      </c>
      <c r="J24" s="7"/>
    </row>
    <row r="25" spans="2:13" x14ac:dyDescent="0.2">
      <c r="B25" s="15"/>
      <c r="C25" s="15"/>
      <c r="D25" s="15"/>
      <c r="E25" s="15"/>
      <c r="F25" s="25"/>
      <c r="G25" s="33">
        <v>0</v>
      </c>
      <c r="H25" s="34">
        <f t="shared" si="3"/>
        <v>0</v>
      </c>
      <c r="I25" s="43">
        <f t="shared" si="2"/>
        <v>0</v>
      </c>
      <c r="J25" s="7"/>
    </row>
    <row r="26" spans="2:13" x14ac:dyDescent="0.2">
      <c r="B26" s="15"/>
      <c r="C26" s="15"/>
      <c r="D26" s="15"/>
      <c r="E26" s="15"/>
      <c r="F26" s="25"/>
      <c r="G26" s="33">
        <v>0</v>
      </c>
      <c r="H26" s="34">
        <f t="shared" si="3"/>
        <v>0</v>
      </c>
      <c r="I26" s="43">
        <f t="shared" si="2"/>
        <v>0</v>
      </c>
      <c r="J26" s="7"/>
    </row>
    <row r="27" spans="2:13" x14ac:dyDescent="0.2">
      <c r="B27" s="15"/>
      <c r="C27" s="15"/>
      <c r="D27" s="15"/>
      <c r="E27" s="15"/>
      <c r="F27" s="25"/>
      <c r="G27" s="33">
        <v>0</v>
      </c>
      <c r="H27" s="34">
        <f t="shared" si="3"/>
        <v>0</v>
      </c>
      <c r="I27" s="43">
        <f t="shared" si="2"/>
        <v>0</v>
      </c>
      <c r="J27" s="7"/>
    </row>
    <row r="28" spans="2:13" x14ac:dyDescent="0.2">
      <c r="B28" s="15"/>
      <c r="C28" s="15"/>
      <c r="D28" s="15"/>
      <c r="E28" s="15"/>
      <c r="F28" s="25"/>
      <c r="G28" s="33">
        <v>0</v>
      </c>
      <c r="H28" s="34">
        <f t="shared" si="3"/>
        <v>0</v>
      </c>
      <c r="I28" s="43">
        <f t="shared" si="2"/>
        <v>0</v>
      </c>
      <c r="J28" s="7"/>
    </row>
    <row r="29" spans="2:13" x14ac:dyDescent="0.2">
      <c r="B29" s="15"/>
      <c r="C29" s="15"/>
      <c r="D29" s="15"/>
      <c r="E29" s="15"/>
      <c r="F29" s="25"/>
      <c r="G29" s="33">
        <v>0</v>
      </c>
      <c r="H29" s="34">
        <f t="shared" si="3"/>
        <v>0</v>
      </c>
      <c r="I29" s="43">
        <f t="shared" si="2"/>
        <v>0</v>
      </c>
      <c r="J29" s="7"/>
    </row>
    <row r="30" spans="2:13" x14ac:dyDescent="0.2">
      <c r="B30" s="15"/>
      <c r="C30" s="15"/>
      <c r="D30" s="15"/>
      <c r="E30" s="15"/>
      <c r="F30" s="25"/>
      <c r="G30" s="33">
        <v>0</v>
      </c>
      <c r="H30" s="34">
        <f t="shared" si="3"/>
        <v>0</v>
      </c>
      <c r="I30" s="43">
        <f t="shared" si="2"/>
        <v>0</v>
      </c>
      <c r="J30" s="7"/>
    </row>
    <row r="31" spans="2:13" x14ac:dyDescent="0.2">
      <c r="B31" s="15"/>
      <c r="C31" s="15"/>
      <c r="D31" s="15"/>
      <c r="E31" s="15"/>
      <c r="F31" s="25"/>
      <c r="G31" s="33">
        <v>0</v>
      </c>
      <c r="H31" s="34">
        <f t="shared" si="3"/>
        <v>0</v>
      </c>
      <c r="I31" s="43">
        <f t="shared" si="2"/>
        <v>0</v>
      </c>
      <c r="J31" s="7"/>
    </row>
    <row r="32" spans="2:13" x14ac:dyDescent="0.2">
      <c r="B32" s="15"/>
      <c r="C32" s="15"/>
      <c r="D32" s="15"/>
      <c r="E32" s="15"/>
      <c r="F32" s="25"/>
      <c r="G32" s="33">
        <v>0</v>
      </c>
      <c r="H32" s="34">
        <f t="shared" si="3"/>
        <v>0</v>
      </c>
      <c r="I32" s="43">
        <f t="shared" si="2"/>
        <v>0</v>
      </c>
      <c r="J32" s="7"/>
    </row>
    <row r="33" spans="2:10" x14ac:dyDescent="0.2">
      <c r="B33" s="15"/>
      <c r="C33" s="15"/>
      <c r="D33" s="15"/>
      <c r="E33" s="15"/>
      <c r="F33" s="25"/>
      <c r="G33" s="33">
        <v>0</v>
      </c>
      <c r="H33" s="34">
        <f t="shared" si="3"/>
        <v>0</v>
      </c>
      <c r="I33" s="43">
        <f t="shared" si="2"/>
        <v>0</v>
      </c>
      <c r="J33" s="7"/>
    </row>
    <row r="34" spans="2:10" x14ac:dyDescent="0.2">
      <c r="B34" s="19"/>
      <c r="C34" s="15"/>
      <c r="D34" s="15"/>
      <c r="E34" s="15"/>
      <c r="F34" s="25"/>
      <c r="G34" s="33">
        <v>0</v>
      </c>
      <c r="H34" s="34">
        <f t="shared" si="3"/>
        <v>0</v>
      </c>
      <c r="I34" s="43">
        <f t="shared" si="2"/>
        <v>0</v>
      </c>
      <c r="J34" s="7"/>
    </row>
    <row r="35" spans="2:10" x14ac:dyDescent="0.2">
      <c r="B35" s="19"/>
      <c r="C35" s="15"/>
      <c r="D35" s="15"/>
      <c r="E35" s="15"/>
      <c r="F35" s="25"/>
      <c r="G35" s="33">
        <v>0</v>
      </c>
      <c r="H35" s="34">
        <f t="shared" si="3"/>
        <v>0</v>
      </c>
      <c r="I35" s="43">
        <f t="shared" si="2"/>
        <v>0</v>
      </c>
    </row>
    <row r="36" spans="2:10" x14ac:dyDescent="0.2">
      <c r="B36" s="15"/>
      <c r="C36" s="15"/>
      <c r="D36" s="15"/>
      <c r="E36" s="15"/>
      <c r="F36" s="25"/>
      <c r="G36" s="33">
        <v>0</v>
      </c>
      <c r="H36" s="34">
        <f t="shared" si="3"/>
        <v>0</v>
      </c>
      <c r="I36" s="43">
        <f t="shared" si="2"/>
        <v>0</v>
      </c>
    </row>
  </sheetData>
  <mergeCells count="4">
    <mergeCell ref="B1:I2"/>
    <mergeCell ref="F4:F5"/>
    <mergeCell ref="H4:H5"/>
    <mergeCell ref="I4:I5"/>
  </mergeCells>
  <conditionalFormatting sqref="E7:E12 E15:E36">
    <cfRule type="containsText" dxfId="119" priority="21" operator="containsText" text="Emprunt/Crédit">
      <formula>NOT(ISERROR(SEARCH("Emprunt/Crédit",E7)))</formula>
    </cfRule>
    <cfRule type="containsText" dxfId="118" priority="22" operator="containsText" text="Garage">
      <formula>NOT(ISERROR(SEARCH("Garage",E7)))</formula>
    </cfRule>
    <cfRule type="containsText" dxfId="117" priority="24" operator="containsText" text="Visite JB Hub">
      <formula>NOT(ISERROR(SEARCH("Visite JB Hub",E7)))</formula>
    </cfRule>
    <cfRule type="containsText" dxfId="116" priority="25" operator="containsText" text="Repas">
      <formula>NOT(ISERROR(SEARCH("Repas",E7)))</formula>
    </cfRule>
    <cfRule type="containsText" dxfId="115" priority="26" operator="containsText" text="Communication">
      <formula>NOT(ISERROR(SEARCH("Communication",E7)))</formula>
    </cfRule>
    <cfRule type="containsText" dxfId="114" priority="27" operator="containsText" text="Jeep">
      <formula>NOT(ISERROR(SEARCH("Jeep",E7)))</formula>
    </cfRule>
    <cfRule type="containsText" dxfId="113" priority="28" operator="containsText" text="Structure">
      <formula>NOT(ISERROR(SEARCH("Structure",E7)))</formula>
    </cfRule>
    <cfRule type="containsText" dxfId="112" priority="29" operator="containsText" text="Essence">
      <formula>NOT(ISERROR(SEARCH("Essence",E7)))</formula>
    </cfRule>
    <cfRule type="containsText" dxfId="111" priority="30" operator="containsText" text="Salaire">
      <formula>NOT(ISERROR(SEARCH("Salaire",E7)))</formula>
    </cfRule>
  </conditionalFormatting>
  <conditionalFormatting sqref="E7:E12 E15:E36">
    <cfRule type="containsText" dxfId="110" priority="23" operator="containsText" text="Assurance">
      <formula>NOT(ISERROR(SEARCH("Assurance",E7)))</formula>
    </cfRule>
  </conditionalFormatting>
  <conditionalFormatting sqref="E13">
    <cfRule type="containsText" dxfId="109" priority="11" operator="containsText" text="Emprunt/Crédit">
      <formula>NOT(ISERROR(SEARCH("Emprunt/Crédit",E13)))</formula>
    </cfRule>
    <cfRule type="containsText" dxfId="108" priority="12" operator="containsText" text="Garage">
      <formula>NOT(ISERROR(SEARCH("Garage",E13)))</formula>
    </cfRule>
    <cfRule type="containsText" dxfId="107" priority="14" operator="containsText" text="Visite JB Hub">
      <formula>NOT(ISERROR(SEARCH("Visite JB Hub",E13)))</formula>
    </cfRule>
    <cfRule type="containsText" dxfId="106" priority="15" operator="containsText" text="Repas">
      <formula>NOT(ISERROR(SEARCH("Repas",E13)))</formula>
    </cfRule>
    <cfRule type="containsText" dxfId="105" priority="16" operator="containsText" text="Communication">
      <formula>NOT(ISERROR(SEARCH("Communication",E13)))</formula>
    </cfRule>
    <cfRule type="containsText" dxfId="104" priority="17" operator="containsText" text="Jeep">
      <formula>NOT(ISERROR(SEARCH("Jeep",E13)))</formula>
    </cfRule>
    <cfRule type="containsText" dxfId="103" priority="18" operator="containsText" text="Structure">
      <formula>NOT(ISERROR(SEARCH("Structure",E13)))</formula>
    </cfRule>
    <cfRule type="containsText" dxfId="102" priority="19" operator="containsText" text="Essence">
      <formula>NOT(ISERROR(SEARCH("Essence",E13)))</formula>
    </cfRule>
    <cfRule type="containsText" dxfId="101" priority="20" operator="containsText" text="Salaire">
      <formula>NOT(ISERROR(SEARCH("Salaire",E13)))</formula>
    </cfRule>
  </conditionalFormatting>
  <conditionalFormatting sqref="E13">
    <cfRule type="containsText" dxfId="100" priority="13" operator="containsText" text="Assurance">
      <formula>NOT(ISERROR(SEARCH("Assurance",E13)))</formula>
    </cfRule>
  </conditionalFormatting>
  <conditionalFormatting sqref="E14">
    <cfRule type="containsText" dxfId="99" priority="1" operator="containsText" text="Emprunt/Crédit">
      <formula>NOT(ISERROR(SEARCH("Emprunt/Crédit",E14)))</formula>
    </cfRule>
    <cfRule type="containsText" dxfId="98" priority="2" operator="containsText" text="Garage">
      <formula>NOT(ISERROR(SEARCH("Garage",E14)))</formula>
    </cfRule>
    <cfRule type="containsText" dxfId="97" priority="4" operator="containsText" text="Visite JB Hub">
      <formula>NOT(ISERROR(SEARCH("Visite JB Hub",E14)))</formula>
    </cfRule>
    <cfRule type="containsText" dxfId="96" priority="5" operator="containsText" text="Repas">
      <formula>NOT(ISERROR(SEARCH("Repas",E14)))</formula>
    </cfRule>
    <cfRule type="containsText" dxfId="95" priority="6" operator="containsText" text="Communication">
      <formula>NOT(ISERROR(SEARCH("Communication",E14)))</formula>
    </cfRule>
    <cfRule type="containsText" dxfId="94" priority="7" operator="containsText" text="Jeep">
      <formula>NOT(ISERROR(SEARCH("Jeep",E14)))</formula>
    </cfRule>
    <cfRule type="containsText" dxfId="93" priority="8" operator="containsText" text="Structure">
      <formula>NOT(ISERROR(SEARCH("Structure",E14)))</formula>
    </cfRule>
    <cfRule type="containsText" dxfId="92" priority="9" operator="containsText" text="Essence">
      <formula>NOT(ISERROR(SEARCH("Essence",E14)))</formula>
    </cfRule>
    <cfRule type="containsText" dxfId="91" priority="10" operator="containsText" text="Salaire">
      <formula>NOT(ISERROR(SEARCH("Salaire",E14)))</formula>
    </cfRule>
  </conditionalFormatting>
  <conditionalFormatting sqref="E14">
    <cfRule type="containsText" dxfId="90" priority="3" operator="containsText" text="Assurance">
      <formula>NOT(ISERROR(SEARCH("Assurance",E14)))</formula>
    </cfRule>
  </conditionalFormatting>
  <dataValidations count="3">
    <dataValidation allowBlank="1" showInputMessage="1" sqref="F7:F36" xr:uid="{D2EF5956-E04A-784D-99E3-548F0DCD8E7C}"/>
    <dataValidation type="list" allowBlank="1" showInputMessage="1" showErrorMessage="1" sqref="G7:G36" xr:uid="{B17E2B77-84C3-854C-B4AD-C4DC5DD35223}">
      <formula1>"0%, 20%"</formula1>
    </dataValidation>
    <dataValidation type="list" allowBlank="1" showInputMessage="1" showErrorMessage="1" sqref="E1:E1048576" xr:uid="{C00AA8A7-C642-654D-8734-54E47F9A9AEE}">
      <formula1>"Salaire, Essence, Structure, Jeep, Communication, Repas, Visite JB Hub, Assurance, Garage, Emprunt/Crédit, Bureau, URSSAF"</formula1>
    </dataValidation>
  </dataValidations>
  <pageMargins left="0.7" right="0.7" top="0.75" bottom="0.75" header="0.3" footer="0.3"/>
  <tableParts count="1">
    <tablePart r:id="rId1"/>
  </tablePart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D11A87-E7BA-0E4A-B9E6-8F03424423C1}">
  <sheetPr>
    <tabColor theme="5" tint="0.39997558519241921"/>
  </sheetPr>
  <dimension ref="B1:M36"/>
  <sheetViews>
    <sheetView workbookViewId="0">
      <selection activeCell="D15" sqref="D15:F15"/>
    </sheetView>
  </sheetViews>
  <sheetFormatPr baseColWidth="10" defaultRowHeight="16" x14ac:dyDescent="0.2"/>
  <cols>
    <col min="4" max="4" width="16.1640625" customWidth="1"/>
    <col min="5" max="5" width="16" customWidth="1"/>
    <col min="6" max="6" width="17" customWidth="1"/>
    <col min="8" max="8" width="15.6640625" customWidth="1"/>
    <col min="11" max="11" width="18.1640625" customWidth="1"/>
  </cols>
  <sheetData>
    <row r="1" spans="2:13" x14ac:dyDescent="0.2">
      <c r="B1" s="170" t="s">
        <v>141</v>
      </c>
      <c r="C1" s="171"/>
      <c r="D1" s="171"/>
      <c r="E1" s="171"/>
      <c r="F1" s="171"/>
      <c r="G1" s="171"/>
      <c r="H1" s="171"/>
      <c r="I1" s="172"/>
    </row>
    <row r="2" spans="2:13" ht="17" thickBot="1" x14ac:dyDescent="0.25">
      <c r="B2" s="173"/>
      <c r="C2" s="174"/>
      <c r="D2" s="174"/>
      <c r="E2" s="174"/>
      <c r="F2" s="174"/>
      <c r="G2" s="174"/>
      <c r="H2" s="174"/>
      <c r="I2" s="175"/>
    </row>
    <row r="3" spans="2:13" ht="25" thickBot="1" x14ac:dyDescent="0.25">
      <c r="B3" s="42"/>
      <c r="C3" s="42"/>
      <c r="D3" s="42"/>
      <c r="E3" s="42"/>
      <c r="F3" s="42"/>
      <c r="G3" s="42"/>
      <c r="H3" s="42"/>
      <c r="I3" s="42"/>
    </row>
    <row r="4" spans="2:13" ht="24" x14ac:dyDescent="0.2">
      <c r="B4" s="42"/>
      <c r="C4" s="42"/>
      <c r="D4" s="42"/>
      <c r="E4" s="42"/>
      <c r="F4" s="176">
        <f>SUM(F7:F36)</f>
        <v>5401.5599999999995</v>
      </c>
      <c r="G4" s="42"/>
      <c r="H4" s="178">
        <f>SUM(H7:H36)</f>
        <v>5401.5599999999995</v>
      </c>
      <c r="I4" s="180">
        <f>SUM(I7:I36)</f>
        <v>-2793</v>
      </c>
    </row>
    <row r="5" spans="2:13" ht="25" thickBot="1" x14ac:dyDescent="0.25">
      <c r="B5" s="42"/>
      <c r="C5" s="42"/>
      <c r="D5" s="42"/>
      <c r="E5" s="42"/>
      <c r="F5" s="177"/>
      <c r="G5" s="42"/>
      <c r="H5" s="179"/>
      <c r="I5" s="181"/>
    </row>
    <row r="6" spans="2:13" ht="19" x14ac:dyDescent="0.2">
      <c r="B6" s="44" t="s">
        <v>0</v>
      </c>
      <c r="C6" s="44" t="s">
        <v>42</v>
      </c>
      <c r="D6" s="44" t="s">
        <v>39</v>
      </c>
      <c r="E6" s="44" t="s">
        <v>76</v>
      </c>
      <c r="F6" s="45" t="s">
        <v>77</v>
      </c>
      <c r="G6" s="47" t="s">
        <v>62</v>
      </c>
      <c r="H6" s="97" t="s">
        <v>78</v>
      </c>
      <c r="I6" s="98" t="s">
        <v>75</v>
      </c>
      <c r="J6" s="7"/>
    </row>
    <row r="7" spans="2:13" x14ac:dyDescent="0.2">
      <c r="B7" s="15"/>
      <c r="C7" s="15"/>
      <c r="D7" s="15" t="s">
        <v>67</v>
      </c>
      <c r="E7" s="15" t="s">
        <v>72</v>
      </c>
      <c r="F7" s="37">
        <v>544</v>
      </c>
      <c r="G7" s="33">
        <v>0</v>
      </c>
      <c r="H7" s="34">
        <f t="shared" ref="H7:H15" si="0">F7/(1+G7)</f>
        <v>544</v>
      </c>
      <c r="I7" s="43">
        <f t="shared" ref="I7:I12" si="1">F7-H7</f>
        <v>0</v>
      </c>
      <c r="J7" s="7"/>
      <c r="K7" s="96" t="s">
        <v>36</v>
      </c>
      <c r="L7" s="20">
        <f>SUMIF(Tableau33810121416171819[Mode de dépense],K7,Tableau33810121416171819[Charge TTC])</f>
        <v>3603</v>
      </c>
      <c r="M7" s="35">
        <f>L7</f>
        <v>3603</v>
      </c>
    </row>
    <row r="8" spans="2:13" x14ac:dyDescent="0.2">
      <c r="B8" s="15"/>
      <c r="C8" s="15"/>
      <c r="D8" s="15" t="s">
        <v>68</v>
      </c>
      <c r="E8" s="15" t="s">
        <v>72</v>
      </c>
      <c r="F8" s="37">
        <v>459.26</v>
      </c>
      <c r="G8" s="33">
        <v>0</v>
      </c>
      <c r="H8" s="34">
        <f t="shared" si="0"/>
        <v>459.26</v>
      </c>
      <c r="I8" s="43">
        <f t="shared" si="1"/>
        <v>0</v>
      </c>
      <c r="J8" s="7"/>
      <c r="K8" s="90" t="s">
        <v>47</v>
      </c>
      <c r="L8" s="20">
        <f>SUMIF(Tableau33810121416171819[Mode de dépense],K8,Tableau33810121416171819[Charge TTC])</f>
        <v>0</v>
      </c>
      <c r="M8" s="35">
        <f>L8/1.2</f>
        <v>0</v>
      </c>
    </row>
    <row r="9" spans="2:13" x14ac:dyDescent="0.2">
      <c r="B9" s="15"/>
      <c r="C9" s="15"/>
      <c r="D9" s="15" t="s">
        <v>69</v>
      </c>
      <c r="E9" s="15" t="s">
        <v>71</v>
      </c>
      <c r="F9" s="30">
        <v>24.8</v>
      </c>
      <c r="G9" s="33">
        <v>0</v>
      </c>
      <c r="H9" s="34">
        <f t="shared" si="0"/>
        <v>24.8</v>
      </c>
      <c r="I9" s="43">
        <f t="shared" si="1"/>
        <v>0</v>
      </c>
      <c r="J9" s="7"/>
      <c r="K9" s="91" t="s">
        <v>71</v>
      </c>
      <c r="L9" s="20">
        <f>SUMIF(Tableau33810121416171819[Mode de dépense],K9,Tableau33810121416171819[Charge TTC])</f>
        <v>795.3</v>
      </c>
      <c r="M9" s="35"/>
    </row>
    <row r="10" spans="2:13" x14ac:dyDescent="0.2">
      <c r="B10" s="15"/>
      <c r="C10" s="15"/>
      <c r="D10" s="15" t="s">
        <v>70</v>
      </c>
      <c r="E10" s="15" t="s">
        <v>71</v>
      </c>
      <c r="F10" s="30">
        <v>20.51</v>
      </c>
      <c r="G10" s="33">
        <v>0</v>
      </c>
      <c r="H10" s="34">
        <f t="shared" si="0"/>
        <v>20.51</v>
      </c>
      <c r="I10" s="43">
        <f t="shared" si="1"/>
        <v>0</v>
      </c>
      <c r="J10" s="7"/>
      <c r="K10" s="99" t="s">
        <v>48</v>
      </c>
      <c r="L10" s="20">
        <f>SUMIF(Tableau33810121416171819[Mode de dépense],K10,Tableau33810121416171819[Charge TTC])</f>
        <v>0</v>
      </c>
      <c r="M10" s="35">
        <f>L10/1.2</f>
        <v>0</v>
      </c>
    </row>
    <row r="11" spans="2:13" x14ac:dyDescent="0.2">
      <c r="B11" s="15"/>
      <c r="C11" s="15"/>
      <c r="D11" s="15" t="s">
        <v>70</v>
      </c>
      <c r="E11" s="15" t="s">
        <v>71</v>
      </c>
      <c r="F11" s="25">
        <v>19.989999999999998</v>
      </c>
      <c r="G11" s="33">
        <v>0</v>
      </c>
      <c r="H11" s="34">
        <f t="shared" si="0"/>
        <v>19.989999999999998</v>
      </c>
      <c r="I11" s="43">
        <f t="shared" si="1"/>
        <v>0</v>
      </c>
      <c r="J11" s="7"/>
      <c r="K11" s="100" t="s">
        <v>49</v>
      </c>
      <c r="L11" s="20">
        <f>SUMIF(Tableau33810121416171819[Mode de dépense],K11,Tableau33810121416171819[Charge TTC])</f>
        <v>0</v>
      </c>
      <c r="M11" s="35">
        <f>L11/1.2</f>
        <v>0</v>
      </c>
    </row>
    <row r="12" spans="2:13" x14ac:dyDescent="0.2">
      <c r="B12" s="19"/>
      <c r="C12" s="15"/>
      <c r="D12" s="15" t="s">
        <v>79</v>
      </c>
      <c r="E12" s="15" t="s">
        <v>71</v>
      </c>
      <c r="F12" s="25">
        <v>10</v>
      </c>
      <c r="G12" s="33">
        <v>0</v>
      </c>
      <c r="H12" s="34">
        <f t="shared" si="0"/>
        <v>10</v>
      </c>
      <c r="I12" s="43">
        <f t="shared" si="1"/>
        <v>0</v>
      </c>
      <c r="J12" s="7"/>
      <c r="K12" s="101" t="s">
        <v>50</v>
      </c>
      <c r="L12" s="20">
        <f>SUMIF(Tableau33810121416171819[Mode de dépense],K12,Tableau33810121416171819[Charge TTC])</f>
        <v>0</v>
      </c>
      <c r="M12" s="35">
        <f>L12/1.2</f>
        <v>0</v>
      </c>
    </row>
    <row r="13" spans="2:13" x14ac:dyDescent="0.2">
      <c r="B13" s="19"/>
      <c r="C13" s="15"/>
      <c r="D13" s="15" t="s">
        <v>3</v>
      </c>
      <c r="E13" s="15" t="s">
        <v>36</v>
      </c>
      <c r="F13" s="25">
        <v>2803</v>
      </c>
      <c r="G13" s="33">
        <v>0</v>
      </c>
      <c r="H13" s="34">
        <f t="shared" si="0"/>
        <v>2803</v>
      </c>
      <c r="I13" s="43">
        <f>F12-H13</f>
        <v>-2793</v>
      </c>
      <c r="J13" s="7"/>
      <c r="K13" s="92" t="s">
        <v>52</v>
      </c>
      <c r="L13" s="20">
        <f>SUMIF(Tableau33810121416171819[Mode de dépense],K13,Tableau33810121416171819[Charge TTC])</f>
        <v>0</v>
      </c>
      <c r="M13" s="35">
        <f>L13</f>
        <v>0</v>
      </c>
    </row>
    <row r="14" spans="2:13" x14ac:dyDescent="0.2">
      <c r="B14" s="19"/>
      <c r="C14" s="15"/>
      <c r="D14" s="15" t="s">
        <v>2</v>
      </c>
      <c r="E14" s="15" t="s">
        <v>36</v>
      </c>
      <c r="F14" s="25">
        <v>800</v>
      </c>
      <c r="G14" s="33">
        <v>0</v>
      </c>
      <c r="H14" s="34">
        <f t="shared" si="0"/>
        <v>800</v>
      </c>
      <c r="I14" s="43">
        <f t="shared" ref="I14:I36" si="2">F14-H14</f>
        <v>0</v>
      </c>
      <c r="J14" s="7"/>
      <c r="K14" s="93" t="s">
        <v>51</v>
      </c>
      <c r="L14" s="20">
        <f>SUMIF(Tableau33810121416171819[Mode de dépense],K14,Tableau33810121416171819[Charge TTC])</f>
        <v>0</v>
      </c>
      <c r="M14" s="35">
        <f>L14/1.2</f>
        <v>0</v>
      </c>
    </row>
    <row r="15" spans="2:13" x14ac:dyDescent="0.2">
      <c r="B15" s="15"/>
      <c r="C15" s="15"/>
      <c r="D15" s="160" t="s">
        <v>220</v>
      </c>
      <c r="E15" s="158" t="s">
        <v>71</v>
      </c>
      <c r="F15" s="159">
        <v>720</v>
      </c>
      <c r="G15" s="33">
        <v>0</v>
      </c>
      <c r="H15" s="34">
        <f t="shared" si="0"/>
        <v>720</v>
      </c>
      <c r="I15" s="43">
        <f t="shared" si="2"/>
        <v>0</v>
      </c>
      <c r="J15" s="7"/>
      <c r="K15" s="94" t="s">
        <v>60</v>
      </c>
      <c r="L15" s="20">
        <f>SUMIF(Tableau33810121416171819[Mode de dépense],K15,Tableau33810121416171819[Charge TTC])</f>
        <v>0</v>
      </c>
      <c r="M15" s="35">
        <f>L15/1.2</f>
        <v>0</v>
      </c>
    </row>
    <row r="16" spans="2:13" x14ac:dyDescent="0.2">
      <c r="B16" s="15"/>
      <c r="C16" s="15"/>
      <c r="D16" s="15"/>
      <c r="E16" s="15"/>
      <c r="F16" s="25"/>
      <c r="G16" s="33">
        <v>0</v>
      </c>
      <c r="H16" s="34">
        <f t="shared" ref="H16:H36" si="3">F16/((1+G16))</f>
        <v>0</v>
      </c>
      <c r="I16" s="43">
        <f t="shared" si="2"/>
        <v>0</v>
      </c>
      <c r="J16" s="7"/>
      <c r="K16" s="95" t="s">
        <v>72</v>
      </c>
      <c r="L16" s="20">
        <f>SUMIF(Tableau33810121416171819[Mode de dépense],K16,Tableau33810121416171819[Charge TTC])</f>
        <v>1003.26</v>
      </c>
      <c r="M16" s="35">
        <f>L16/1.2</f>
        <v>836.05000000000007</v>
      </c>
    </row>
    <row r="17" spans="2:13" x14ac:dyDescent="0.2">
      <c r="B17" s="15"/>
      <c r="C17" s="15"/>
      <c r="D17" s="15"/>
      <c r="E17" s="15"/>
      <c r="F17" s="25"/>
      <c r="G17" s="33">
        <v>0</v>
      </c>
      <c r="H17" s="34">
        <f t="shared" si="3"/>
        <v>0</v>
      </c>
      <c r="I17" s="43">
        <f t="shared" si="2"/>
        <v>0</v>
      </c>
      <c r="J17" s="7"/>
      <c r="K17" s="1" t="s">
        <v>153</v>
      </c>
      <c r="L17" s="20">
        <f>SUMIF(Tableau33810121416171819[Mode de dépense],K17,Tableau33810121416171819[Charge TTC])</f>
        <v>0</v>
      </c>
      <c r="M17" s="35">
        <f>L17/1.2</f>
        <v>0</v>
      </c>
    </row>
    <row r="18" spans="2:13" x14ac:dyDescent="0.2">
      <c r="B18" s="15"/>
      <c r="C18" s="15"/>
      <c r="D18" s="15"/>
      <c r="E18" s="15"/>
      <c r="F18" s="25"/>
      <c r="G18" s="33">
        <v>0</v>
      </c>
      <c r="H18" s="34">
        <f t="shared" si="3"/>
        <v>0</v>
      </c>
      <c r="I18" s="43">
        <f t="shared" si="2"/>
        <v>0</v>
      </c>
      <c r="J18" s="7"/>
    </row>
    <row r="19" spans="2:13" x14ac:dyDescent="0.2">
      <c r="B19" s="15"/>
      <c r="C19" s="15"/>
      <c r="D19" s="15"/>
      <c r="E19" s="15"/>
      <c r="F19" s="25"/>
      <c r="G19" s="33">
        <v>0</v>
      </c>
      <c r="H19" s="34">
        <f t="shared" si="3"/>
        <v>0</v>
      </c>
      <c r="I19" s="43">
        <f t="shared" si="2"/>
        <v>0</v>
      </c>
      <c r="J19" s="7"/>
    </row>
    <row r="20" spans="2:13" x14ac:dyDescent="0.2">
      <c r="B20" s="15"/>
      <c r="C20" s="15"/>
      <c r="D20" s="15"/>
      <c r="E20" s="15"/>
      <c r="F20" s="25"/>
      <c r="G20" s="33">
        <v>0</v>
      </c>
      <c r="H20" s="34">
        <f t="shared" si="3"/>
        <v>0</v>
      </c>
      <c r="I20" s="43">
        <f t="shared" si="2"/>
        <v>0</v>
      </c>
      <c r="J20" s="7"/>
    </row>
    <row r="21" spans="2:13" x14ac:dyDescent="0.2">
      <c r="B21" s="15"/>
      <c r="C21" s="15"/>
      <c r="D21" s="15"/>
      <c r="E21" s="15"/>
      <c r="F21" s="25"/>
      <c r="G21" s="33">
        <v>0</v>
      </c>
      <c r="H21" s="34">
        <f t="shared" si="3"/>
        <v>0</v>
      </c>
      <c r="I21" s="43">
        <f t="shared" si="2"/>
        <v>0</v>
      </c>
      <c r="J21" s="7"/>
    </row>
    <row r="22" spans="2:13" x14ac:dyDescent="0.2">
      <c r="B22" s="15"/>
      <c r="C22" s="15"/>
      <c r="D22" s="15"/>
      <c r="E22" s="15"/>
      <c r="F22" s="25"/>
      <c r="G22" s="33">
        <v>0</v>
      </c>
      <c r="H22" s="34">
        <f t="shared" si="3"/>
        <v>0</v>
      </c>
      <c r="I22" s="43">
        <f t="shared" si="2"/>
        <v>0</v>
      </c>
      <c r="J22" s="7"/>
    </row>
    <row r="23" spans="2:13" x14ac:dyDescent="0.2">
      <c r="B23" s="15"/>
      <c r="C23" s="15"/>
      <c r="D23" s="15"/>
      <c r="E23" s="15"/>
      <c r="F23" s="25"/>
      <c r="G23" s="33">
        <v>0</v>
      </c>
      <c r="H23" s="34">
        <f t="shared" si="3"/>
        <v>0</v>
      </c>
      <c r="I23" s="43">
        <f t="shared" si="2"/>
        <v>0</v>
      </c>
      <c r="J23" s="7"/>
    </row>
    <row r="24" spans="2:13" x14ac:dyDescent="0.2">
      <c r="B24" s="15"/>
      <c r="C24" s="15"/>
      <c r="D24" s="15"/>
      <c r="E24" s="15"/>
      <c r="F24" s="25"/>
      <c r="G24" s="33">
        <v>0</v>
      </c>
      <c r="H24" s="34">
        <f t="shared" si="3"/>
        <v>0</v>
      </c>
      <c r="I24" s="43">
        <f t="shared" si="2"/>
        <v>0</v>
      </c>
      <c r="J24" s="7"/>
    </row>
    <row r="25" spans="2:13" x14ac:dyDescent="0.2">
      <c r="B25" s="15"/>
      <c r="C25" s="15"/>
      <c r="D25" s="15"/>
      <c r="E25" s="15"/>
      <c r="F25" s="25"/>
      <c r="G25" s="33">
        <v>0</v>
      </c>
      <c r="H25" s="34">
        <f t="shared" si="3"/>
        <v>0</v>
      </c>
      <c r="I25" s="43">
        <f t="shared" si="2"/>
        <v>0</v>
      </c>
      <c r="J25" s="7"/>
    </row>
    <row r="26" spans="2:13" x14ac:dyDescent="0.2">
      <c r="B26" s="15"/>
      <c r="C26" s="15"/>
      <c r="D26" s="15"/>
      <c r="E26" s="15"/>
      <c r="F26" s="25"/>
      <c r="G26" s="33">
        <v>0</v>
      </c>
      <c r="H26" s="34">
        <f t="shared" si="3"/>
        <v>0</v>
      </c>
      <c r="I26" s="43">
        <f t="shared" si="2"/>
        <v>0</v>
      </c>
      <c r="J26" s="7"/>
    </row>
    <row r="27" spans="2:13" x14ac:dyDescent="0.2">
      <c r="B27" s="15"/>
      <c r="C27" s="15"/>
      <c r="D27" s="15"/>
      <c r="E27" s="15"/>
      <c r="F27" s="25"/>
      <c r="G27" s="33">
        <v>0</v>
      </c>
      <c r="H27" s="34">
        <f t="shared" si="3"/>
        <v>0</v>
      </c>
      <c r="I27" s="43">
        <f t="shared" si="2"/>
        <v>0</v>
      </c>
      <c r="J27" s="7"/>
    </row>
    <row r="28" spans="2:13" x14ac:dyDescent="0.2">
      <c r="B28" s="15"/>
      <c r="C28" s="15"/>
      <c r="D28" s="15"/>
      <c r="E28" s="15"/>
      <c r="F28" s="25"/>
      <c r="G28" s="33">
        <v>0</v>
      </c>
      <c r="H28" s="34">
        <f t="shared" si="3"/>
        <v>0</v>
      </c>
      <c r="I28" s="43">
        <f t="shared" si="2"/>
        <v>0</v>
      </c>
      <c r="J28" s="7"/>
    </row>
    <row r="29" spans="2:13" x14ac:dyDescent="0.2">
      <c r="B29" s="15"/>
      <c r="C29" s="15"/>
      <c r="D29" s="15"/>
      <c r="E29" s="15"/>
      <c r="F29" s="25"/>
      <c r="G29" s="33">
        <v>0</v>
      </c>
      <c r="H29" s="34">
        <f t="shared" si="3"/>
        <v>0</v>
      </c>
      <c r="I29" s="43">
        <f t="shared" si="2"/>
        <v>0</v>
      </c>
      <c r="J29" s="7"/>
    </row>
    <row r="30" spans="2:13" x14ac:dyDescent="0.2">
      <c r="B30" s="15"/>
      <c r="C30" s="15"/>
      <c r="D30" s="15"/>
      <c r="E30" s="15"/>
      <c r="F30" s="25"/>
      <c r="G30" s="33">
        <v>0</v>
      </c>
      <c r="H30" s="34">
        <f t="shared" si="3"/>
        <v>0</v>
      </c>
      <c r="I30" s="43">
        <f t="shared" si="2"/>
        <v>0</v>
      </c>
      <c r="J30" s="7"/>
    </row>
    <row r="31" spans="2:13" x14ac:dyDescent="0.2">
      <c r="B31" s="15"/>
      <c r="C31" s="15"/>
      <c r="D31" s="15"/>
      <c r="E31" s="15"/>
      <c r="F31" s="25"/>
      <c r="G31" s="33">
        <v>0</v>
      </c>
      <c r="H31" s="34">
        <f t="shared" si="3"/>
        <v>0</v>
      </c>
      <c r="I31" s="43">
        <f t="shared" si="2"/>
        <v>0</v>
      </c>
      <c r="J31" s="7"/>
    </row>
    <row r="32" spans="2:13" x14ac:dyDescent="0.2">
      <c r="B32" s="15"/>
      <c r="C32" s="15"/>
      <c r="D32" s="15"/>
      <c r="E32" s="15"/>
      <c r="F32" s="25"/>
      <c r="G32" s="33">
        <v>0</v>
      </c>
      <c r="H32" s="34">
        <f t="shared" si="3"/>
        <v>0</v>
      </c>
      <c r="I32" s="43">
        <f t="shared" si="2"/>
        <v>0</v>
      </c>
      <c r="J32" s="7"/>
    </row>
    <row r="33" spans="2:10" x14ac:dyDescent="0.2">
      <c r="B33" s="15"/>
      <c r="C33" s="15"/>
      <c r="D33" s="15"/>
      <c r="E33" s="15"/>
      <c r="F33" s="25"/>
      <c r="G33" s="33">
        <v>0</v>
      </c>
      <c r="H33" s="34">
        <f t="shared" si="3"/>
        <v>0</v>
      </c>
      <c r="I33" s="43">
        <f t="shared" si="2"/>
        <v>0</v>
      </c>
      <c r="J33" s="7"/>
    </row>
    <row r="34" spans="2:10" x14ac:dyDescent="0.2">
      <c r="B34" s="19"/>
      <c r="C34" s="15"/>
      <c r="D34" s="15"/>
      <c r="E34" s="15"/>
      <c r="F34" s="25"/>
      <c r="G34" s="33">
        <v>0</v>
      </c>
      <c r="H34" s="34">
        <f t="shared" si="3"/>
        <v>0</v>
      </c>
      <c r="I34" s="43">
        <f t="shared" si="2"/>
        <v>0</v>
      </c>
      <c r="J34" s="7"/>
    </row>
    <row r="35" spans="2:10" x14ac:dyDescent="0.2">
      <c r="B35" s="19"/>
      <c r="C35" s="15"/>
      <c r="D35" s="15"/>
      <c r="E35" s="15"/>
      <c r="F35" s="25"/>
      <c r="G35" s="33">
        <v>0</v>
      </c>
      <c r="H35" s="34">
        <f t="shared" si="3"/>
        <v>0</v>
      </c>
      <c r="I35" s="43">
        <f t="shared" si="2"/>
        <v>0</v>
      </c>
    </row>
    <row r="36" spans="2:10" x14ac:dyDescent="0.2">
      <c r="B36" s="15"/>
      <c r="C36" s="15"/>
      <c r="D36" s="15"/>
      <c r="E36" s="15"/>
      <c r="F36" s="25"/>
      <c r="G36" s="33">
        <v>0</v>
      </c>
      <c r="H36" s="34">
        <f t="shared" si="3"/>
        <v>0</v>
      </c>
      <c r="I36" s="43">
        <f t="shared" si="2"/>
        <v>0</v>
      </c>
    </row>
  </sheetData>
  <mergeCells count="4">
    <mergeCell ref="B1:I2"/>
    <mergeCell ref="F4:F5"/>
    <mergeCell ref="H4:H5"/>
    <mergeCell ref="I4:I5"/>
  </mergeCells>
  <conditionalFormatting sqref="E7:E12 E16:E36">
    <cfRule type="containsText" dxfId="89" priority="21" operator="containsText" text="Emprunt/Crédit">
      <formula>NOT(ISERROR(SEARCH("Emprunt/Crédit",E7)))</formula>
    </cfRule>
    <cfRule type="containsText" dxfId="88" priority="22" operator="containsText" text="Garage">
      <formula>NOT(ISERROR(SEARCH("Garage",E7)))</formula>
    </cfRule>
    <cfRule type="containsText" dxfId="87" priority="24" operator="containsText" text="Visite JB Hub">
      <formula>NOT(ISERROR(SEARCH("Visite JB Hub",E7)))</formula>
    </cfRule>
    <cfRule type="containsText" dxfId="86" priority="25" operator="containsText" text="Repas">
      <formula>NOT(ISERROR(SEARCH("Repas",E7)))</formula>
    </cfRule>
    <cfRule type="containsText" dxfId="85" priority="26" operator="containsText" text="Communication">
      <formula>NOT(ISERROR(SEARCH("Communication",E7)))</formula>
    </cfRule>
    <cfRule type="containsText" dxfId="84" priority="27" operator="containsText" text="Jeep">
      <formula>NOT(ISERROR(SEARCH("Jeep",E7)))</formula>
    </cfRule>
    <cfRule type="containsText" dxfId="83" priority="28" operator="containsText" text="Structure">
      <formula>NOT(ISERROR(SEARCH("Structure",E7)))</formula>
    </cfRule>
    <cfRule type="containsText" dxfId="82" priority="29" operator="containsText" text="Essence">
      <formula>NOT(ISERROR(SEARCH("Essence",E7)))</formula>
    </cfRule>
    <cfRule type="containsText" dxfId="81" priority="30" operator="containsText" text="Salaire">
      <formula>NOT(ISERROR(SEARCH("Salaire",E7)))</formula>
    </cfRule>
  </conditionalFormatting>
  <conditionalFormatting sqref="E7:E12 E16:E36">
    <cfRule type="containsText" dxfId="80" priority="23" operator="containsText" text="Assurance">
      <formula>NOT(ISERROR(SEARCH("Assurance",E7)))</formula>
    </cfRule>
  </conditionalFormatting>
  <conditionalFormatting sqref="E13">
    <cfRule type="containsText" dxfId="79" priority="11" operator="containsText" text="Emprunt/Crédit">
      <formula>NOT(ISERROR(SEARCH("Emprunt/Crédit",E13)))</formula>
    </cfRule>
    <cfRule type="containsText" dxfId="78" priority="12" operator="containsText" text="Garage">
      <formula>NOT(ISERROR(SEARCH("Garage",E13)))</formula>
    </cfRule>
    <cfRule type="containsText" dxfId="77" priority="14" operator="containsText" text="Visite JB Hub">
      <formula>NOT(ISERROR(SEARCH("Visite JB Hub",E13)))</formula>
    </cfRule>
    <cfRule type="containsText" dxfId="76" priority="15" operator="containsText" text="Repas">
      <formula>NOT(ISERROR(SEARCH("Repas",E13)))</formula>
    </cfRule>
    <cfRule type="containsText" dxfId="75" priority="16" operator="containsText" text="Communication">
      <formula>NOT(ISERROR(SEARCH("Communication",E13)))</formula>
    </cfRule>
    <cfRule type="containsText" dxfId="74" priority="17" operator="containsText" text="Jeep">
      <formula>NOT(ISERROR(SEARCH("Jeep",E13)))</formula>
    </cfRule>
    <cfRule type="containsText" dxfId="73" priority="18" operator="containsText" text="Structure">
      <formula>NOT(ISERROR(SEARCH("Structure",E13)))</formula>
    </cfRule>
    <cfRule type="containsText" dxfId="72" priority="19" operator="containsText" text="Essence">
      <formula>NOT(ISERROR(SEARCH("Essence",E13)))</formula>
    </cfRule>
    <cfRule type="containsText" dxfId="71" priority="20" operator="containsText" text="Salaire">
      <formula>NOT(ISERROR(SEARCH("Salaire",E13)))</formula>
    </cfRule>
  </conditionalFormatting>
  <conditionalFormatting sqref="E13">
    <cfRule type="containsText" dxfId="70" priority="13" operator="containsText" text="Assurance">
      <formula>NOT(ISERROR(SEARCH("Assurance",E13)))</formula>
    </cfRule>
  </conditionalFormatting>
  <conditionalFormatting sqref="E14">
    <cfRule type="containsText" dxfId="69" priority="1" operator="containsText" text="Emprunt/Crédit">
      <formula>NOT(ISERROR(SEARCH("Emprunt/Crédit",E14)))</formula>
    </cfRule>
    <cfRule type="containsText" dxfId="68" priority="2" operator="containsText" text="Garage">
      <formula>NOT(ISERROR(SEARCH("Garage",E14)))</formula>
    </cfRule>
    <cfRule type="containsText" dxfId="67" priority="4" operator="containsText" text="Visite JB Hub">
      <formula>NOT(ISERROR(SEARCH("Visite JB Hub",E14)))</formula>
    </cfRule>
    <cfRule type="containsText" dxfId="66" priority="5" operator="containsText" text="Repas">
      <formula>NOT(ISERROR(SEARCH("Repas",E14)))</formula>
    </cfRule>
    <cfRule type="containsText" dxfId="65" priority="6" operator="containsText" text="Communication">
      <formula>NOT(ISERROR(SEARCH("Communication",E14)))</formula>
    </cfRule>
    <cfRule type="containsText" dxfId="64" priority="7" operator="containsText" text="Jeep">
      <formula>NOT(ISERROR(SEARCH("Jeep",E14)))</formula>
    </cfRule>
    <cfRule type="containsText" dxfId="63" priority="8" operator="containsText" text="Structure">
      <formula>NOT(ISERROR(SEARCH("Structure",E14)))</formula>
    </cfRule>
    <cfRule type="containsText" dxfId="62" priority="9" operator="containsText" text="Essence">
      <formula>NOT(ISERROR(SEARCH("Essence",E14)))</formula>
    </cfRule>
    <cfRule type="containsText" dxfId="61" priority="10" operator="containsText" text="Salaire">
      <formula>NOT(ISERROR(SEARCH("Salaire",E14)))</formula>
    </cfRule>
  </conditionalFormatting>
  <conditionalFormatting sqref="E14">
    <cfRule type="containsText" dxfId="60" priority="3" operator="containsText" text="Assurance">
      <formula>NOT(ISERROR(SEARCH("Assurance",E14)))</formula>
    </cfRule>
  </conditionalFormatting>
  <dataValidations count="3">
    <dataValidation type="list" allowBlank="1" showInputMessage="1" showErrorMessage="1" sqref="E1:E14 E16:E1048576" xr:uid="{F8AA64F1-D6B0-D74A-9E26-51E6123DFCA2}">
      <formula1>"Salaire, Essence, Structure, Jeep, Communication, Repas, Visite JB Hub, Assurance, Garage, Emprunt/Crédit, Bureau, URSSAF"</formula1>
    </dataValidation>
    <dataValidation type="list" allowBlank="1" showInputMessage="1" showErrorMessage="1" sqref="G7:G36" xr:uid="{95B025C3-5EE4-A242-A210-12D6E0DB4080}">
      <formula1>"0%, 20%"</formula1>
    </dataValidation>
    <dataValidation allowBlank="1" showInputMessage="1" sqref="F7:F14 F16:F36" xr:uid="{1878E81C-89D7-3F48-9150-452C9135F003}"/>
  </dataValidations>
  <pageMargins left="0.7" right="0.7" top="0.75" bottom="0.75" header="0.3" footer="0.3"/>
  <tableParts count="1">
    <tablePart r:id="rId1"/>
  </tablePart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30FBC0-65B0-BE45-BD13-BB727812C80D}">
  <sheetPr>
    <tabColor theme="5" tint="0.39997558519241921"/>
  </sheetPr>
  <dimension ref="B1:M36"/>
  <sheetViews>
    <sheetView workbookViewId="0">
      <selection activeCell="F8" sqref="F8"/>
    </sheetView>
  </sheetViews>
  <sheetFormatPr baseColWidth="10" defaultRowHeight="16" x14ac:dyDescent="0.2"/>
  <cols>
    <col min="4" max="4" width="16.1640625" customWidth="1"/>
    <col min="5" max="5" width="16" customWidth="1"/>
    <col min="6" max="6" width="17" customWidth="1"/>
    <col min="8" max="8" width="15.6640625" customWidth="1"/>
    <col min="11" max="11" width="18.1640625" customWidth="1"/>
  </cols>
  <sheetData>
    <row r="1" spans="2:13" x14ac:dyDescent="0.2">
      <c r="B1" s="170" t="s">
        <v>141</v>
      </c>
      <c r="C1" s="171"/>
      <c r="D1" s="171"/>
      <c r="E1" s="171"/>
      <c r="F1" s="171"/>
      <c r="G1" s="171"/>
      <c r="H1" s="171"/>
      <c r="I1" s="172"/>
    </row>
    <row r="2" spans="2:13" ht="17" thickBot="1" x14ac:dyDescent="0.25">
      <c r="B2" s="173"/>
      <c r="C2" s="174"/>
      <c r="D2" s="174"/>
      <c r="E2" s="174"/>
      <c r="F2" s="174"/>
      <c r="G2" s="174"/>
      <c r="H2" s="174"/>
      <c r="I2" s="175"/>
    </row>
    <row r="3" spans="2:13" ht="25" thickBot="1" x14ac:dyDescent="0.25">
      <c r="B3" s="42"/>
      <c r="C3" s="42"/>
      <c r="D3" s="42"/>
      <c r="E3" s="42"/>
      <c r="F3" s="42"/>
      <c r="G3" s="42"/>
      <c r="H3" s="42"/>
      <c r="I3" s="42"/>
    </row>
    <row r="4" spans="2:13" ht="24" x14ac:dyDescent="0.2">
      <c r="B4" s="42"/>
      <c r="C4" s="42"/>
      <c r="D4" s="42"/>
      <c r="E4" s="42"/>
      <c r="F4" s="176">
        <f>SUM(F7:F36)</f>
        <v>4681.5599999999995</v>
      </c>
      <c r="G4" s="42"/>
      <c r="H4" s="178">
        <f>SUM(H7:H36)</f>
        <v>4681.5599999999995</v>
      </c>
      <c r="I4" s="180">
        <f>SUM(I7:I36)</f>
        <v>-2793</v>
      </c>
    </row>
    <row r="5" spans="2:13" ht="25" thickBot="1" x14ac:dyDescent="0.25">
      <c r="B5" s="42"/>
      <c r="C5" s="42"/>
      <c r="D5" s="42"/>
      <c r="E5" s="42"/>
      <c r="F5" s="177"/>
      <c r="G5" s="42"/>
      <c r="H5" s="179"/>
      <c r="I5" s="181"/>
    </row>
    <row r="6" spans="2:13" ht="19" x14ac:dyDescent="0.2">
      <c r="B6" s="44" t="s">
        <v>0</v>
      </c>
      <c r="C6" s="44" t="s">
        <v>42</v>
      </c>
      <c r="D6" s="44" t="s">
        <v>39</v>
      </c>
      <c r="E6" s="44" t="s">
        <v>76</v>
      </c>
      <c r="F6" s="45" t="s">
        <v>77</v>
      </c>
      <c r="G6" s="47" t="s">
        <v>62</v>
      </c>
      <c r="H6" s="97" t="s">
        <v>78</v>
      </c>
      <c r="I6" s="98" t="s">
        <v>75</v>
      </c>
      <c r="J6" s="7"/>
    </row>
    <row r="7" spans="2:13" x14ac:dyDescent="0.2">
      <c r="B7" s="15"/>
      <c r="C7" s="15"/>
      <c r="D7" s="15" t="s">
        <v>67</v>
      </c>
      <c r="E7" s="15" t="s">
        <v>72</v>
      </c>
      <c r="F7" s="37">
        <v>544</v>
      </c>
      <c r="G7" s="33">
        <v>0</v>
      </c>
      <c r="H7" s="34">
        <f t="shared" ref="H7:H15" si="0">F7/(1+G7)</f>
        <v>544</v>
      </c>
      <c r="I7" s="43">
        <f t="shared" ref="I7:I12" si="1">F7-H7</f>
        <v>0</v>
      </c>
      <c r="J7" s="7"/>
      <c r="K7" s="96" t="s">
        <v>36</v>
      </c>
      <c r="L7" s="20">
        <f>SUMIF(Tableau3381012141617181920[Mode de dépense],K7,Tableau3381012141617181920[Charge TTC])</f>
        <v>3603</v>
      </c>
      <c r="M7" s="35">
        <f>L7</f>
        <v>3603</v>
      </c>
    </row>
    <row r="8" spans="2:13" x14ac:dyDescent="0.2">
      <c r="B8" s="15"/>
      <c r="C8" s="15"/>
      <c r="D8" s="15" t="s">
        <v>68</v>
      </c>
      <c r="E8" s="15" t="s">
        <v>72</v>
      </c>
      <c r="F8" s="37">
        <v>459.26</v>
      </c>
      <c r="G8" s="33">
        <v>0</v>
      </c>
      <c r="H8" s="34">
        <f t="shared" si="0"/>
        <v>459.26</v>
      </c>
      <c r="I8" s="43">
        <f t="shared" si="1"/>
        <v>0</v>
      </c>
      <c r="J8" s="7"/>
      <c r="K8" s="90" t="s">
        <v>47</v>
      </c>
      <c r="L8" s="20">
        <f>SUMIF(Tableau3381012141617181920[Mode de dépense],K8,Tableau3381012141617181920[Charge TTC])</f>
        <v>0</v>
      </c>
      <c r="M8" s="35">
        <f>L8/1.2</f>
        <v>0</v>
      </c>
    </row>
    <row r="9" spans="2:13" x14ac:dyDescent="0.2">
      <c r="B9" s="15"/>
      <c r="C9" s="15"/>
      <c r="D9" s="15" t="s">
        <v>69</v>
      </c>
      <c r="E9" s="15" t="s">
        <v>71</v>
      </c>
      <c r="F9" s="30">
        <v>24.8</v>
      </c>
      <c r="G9" s="33">
        <v>0</v>
      </c>
      <c r="H9" s="34">
        <f t="shared" si="0"/>
        <v>24.8</v>
      </c>
      <c r="I9" s="43">
        <f t="shared" si="1"/>
        <v>0</v>
      </c>
      <c r="J9" s="7"/>
      <c r="K9" s="91" t="s">
        <v>71</v>
      </c>
      <c r="L9" s="20">
        <f>SUMIF(Tableau3381012141617181920[Mode de dépense],K9,Tableau3381012141617181920[Charge TTC])</f>
        <v>75.3</v>
      </c>
      <c r="M9" s="35"/>
    </row>
    <row r="10" spans="2:13" x14ac:dyDescent="0.2">
      <c r="B10" s="15"/>
      <c r="C10" s="15"/>
      <c r="D10" s="15" t="s">
        <v>70</v>
      </c>
      <c r="E10" s="15" t="s">
        <v>71</v>
      </c>
      <c r="F10" s="30">
        <v>20.51</v>
      </c>
      <c r="G10" s="33">
        <v>0</v>
      </c>
      <c r="H10" s="34">
        <f t="shared" si="0"/>
        <v>20.51</v>
      </c>
      <c r="I10" s="43">
        <f t="shared" si="1"/>
        <v>0</v>
      </c>
      <c r="J10" s="7"/>
      <c r="K10" s="99" t="s">
        <v>48</v>
      </c>
      <c r="L10" s="20">
        <f>SUMIF(Tableau3381012141617181920[Mode de dépense],K10,Tableau3381012141617181920[Charge TTC])</f>
        <v>0</v>
      </c>
      <c r="M10" s="35">
        <f>L10/1.2</f>
        <v>0</v>
      </c>
    </row>
    <row r="11" spans="2:13" x14ac:dyDescent="0.2">
      <c r="B11" s="15"/>
      <c r="C11" s="15"/>
      <c r="D11" s="15" t="s">
        <v>70</v>
      </c>
      <c r="E11" s="15" t="s">
        <v>71</v>
      </c>
      <c r="F11" s="25">
        <v>19.989999999999998</v>
      </c>
      <c r="G11" s="33">
        <v>0</v>
      </c>
      <c r="H11" s="34">
        <f t="shared" si="0"/>
        <v>19.989999999999998</v>
      </c>
      <c r="I11" s="43">
        <f t="shared" si="1"/>
        <v>0</v>
      </c>
      <c r="J11" s="7"/>
      <c r="K11" s="100" t="s">
        <v>49</v>
      </c>
      <c r="L11" s="20">
        <f>SUMIF(Tableau3381012141617181920[Mode de dépense],K11,Tableau3381012141617181920[Charge TTC])</f>
        <v>0</v>
      </c>
      <c r="M11" s="35">
        <f>L11/1.2</f>
        <v>0</v>
      </c>
    </row>
    <row r="12" spans="2:13" x14ac:dyDescent="0.2">
      <c r="B12" s="19"/>
      <c r="C12" s="15"/>
      <c r="D12" s="15" t="s">
        <v>79</v>
      </c>
      <c r="E12" s="15" t="s">
        <v>71</v>
      </c>
      <c r="F12" s="25">
        <v>10</v>
      </c>
      <c r="G12" s="33">
        <v>0</v>
      </c>
      <c r="H12" s="34">
        <f t="shared" si="0"/>
        <v>10</v>
      </c>
      <c r="I12" s="43">
        <f t="shared" si="1"/>
        <v>0</v>
      </c>
      <c r="J12" s="7"/>
      <c r="K12" s="101" t="s">
        <v>50</v>
      </c>
      <c r="L12" s="20">
        <f>SUMIF(Tableau3381012141617181920[Mode de dépense],K12,Tableau3381012141617181920[Charge TTC])</f>
        <v>0</v>
      </c>
      <c r="M12" s="35">
        <f>L12/1.2</f>
        <v>0</v>
      </c>
    </row>
    <row r="13" spans="2:13" x14ac:dyDescent="0.2">
      <c r="B13" s="19"/>
      <c r="C13" s="15"/>
      <c r="D13" s="15" t="s">
        <v>3</v>
      </c>
      <c r="E13" s="15" t="s">
        <v>36</v>
      </c>
      <c r="F13" s="25">
        <v>2803</v>
      </c>
      <c r="G13" s="33">
        <v>0</v>
      </c>
      <c r="H13" s="34">
        <f t="shared" si="0"/>
        <v>2803</v>
      </c>
      <c r="I13" s="43">
        <f>F12-H13</f>
        <v>-2793</v>
      </c>
      <c r="J13" s="7"/>
      <c r="K13" s="92" t="s">
        <v>52</v>
      </c>
      <c r="L13" s="20">
        <f>SUMIF(Tableau3381012141617181920[Mode de dépense],K13,Tableau3381012141617181920[Charge TTC])</f>
        <v>0</v>
      </c>
      <c r="M13" s="35">
        <f>L13</f>
        <v>0</v>
      </c>
    </row>
    <row r="14" spans="2:13" x14ac:dyDescent="0.2">
      <c r="B14" s="19"/>
      <c r="C14" s="15"/>
      <c r="D14" s="15" t="s">
        <v>2</v>
      </c>
      <c r="E14" s="15" t="s">
        <v>36</v>
      </c>
      <c r="F14" s="25">
        <v>800</v>
      </c>
      <c r="G14" s="33">
        <v>0</v>
      </c>
      <c r="H14" s="34">
        <f t="shared" si="0"/>
        <v>800</v>
      </c>
      <c r="I14" s="43">
        <f t="shared" ref="I14:I36" si="2">F14-H14</f>
        <v>0</v>
      </c>
      <c r="J14" s="7"/>
      <c r="K14" s="93" t="s">
        <v>51</v>
      </c>
      <c r="L14" s="20">
        <f>SUMIF(Tableau3381012141617181920[Mode de dépense],K14,Tableau3381012141617181920[Charge TTC])</f>
        <v>0</v>
      </c>
      <c r="M14" s="35">
        <f>L14/1.2</f>
        <v>0</v>
      </c>
    </row>
    <row r="15" spans="2:13" x14ac:dyDescent="0.2">
      <c r="B15" s="15"/>
      <c r="C15" s="15"/>
      <c r="D15" s="15"/>
      <c r="E15" s="15"/>
      <c r="F15" s="25"/>
      <c r="G15" s="33">
        <v>0</v>
      </c>
      <c r="H15" s="34">
        <f t="shared" si="0"/>
        <v>0</v>
      </c>
      <c r="I15" s="43">
        <f t="shared" si="2"/>
        <v>0</v>
      </c>
      <c r="J15" s="7"/>
      <c r="K15" s="94" t="s">
        <v>60</v>
      </c>
      <c r="L15" s="20">
        <f>SUMIF(Tableau3381012141617181920[Mode de dépense],K15,Tableau3381012141617181920[Charge TTC])</f>
        <v>0</v>
      </c>
      <c r="M15" s="35">
        <f>L15/1.2</f>
        <v>0</v>
      </c>
    </row>
    <row r="16" spans="2:13" x14ac:dyDescent="0.2">
      <c r="B16" s="15"/>
      <c r="C16" s="15"/>
      <c r="D16" s="15"/>
      <c r="E16" s="15"/>
      <c r="F16" s="25"/>
      <c r="G16" s="33">
        <v>0</v>
      </c>
      <c r="H16" s="34">
        <f t="shared" ref="H16:H36" si="3">F16/((1+G16))</f>
        <v>0</v>
      </c>
      <c r="I16" s="43">
        <f t="shared" si="2"/>
        <v>0</v>
      </c>
      <c r="J16" s="7"/>
      <c r="K16" s="95" t="s">
        <v>72</v>
      </c>
      <c r="L16" s="20">
        <f>SUMIF(Tableau3381012141617181920[Mode de dépense],K16,Tableau3381012141617181920[Charge TTC])</f>
        <v>1003.26</v>
      </c>
      <c r="M16" s="35">
        <f>L16/1.2</f>
        <v>836.05000000000007</v>
      </c>
    </row>
    <row r="17" spans="2:13" x14ac:dyDescent="0.2">
      <c r="B17" s="15"/>
      <c r="C17" s="15"/>
      <c r="D17" s="15"/>
      <c r="E17" s="15"/>
      <c r="F17" s="25"/>
      <c r="G17" s="33">
        <v>0</v>
      </c>
      <c r="H17" s="34">
        <f t="shared" si="3"/>
        <v>0</v>
      </c>
      <c r="I17" s="43">
        <f t="shared" si="2"/>
        <v>0</v>
      </c>
      <c r="J17" s="7"/>
      <c r="K17" s="1" t="s">
        <v>153</v>
      </c>
      <c r="L17" s="20">
        <f>SUMIF(Tableau3381012141617181920[Mode de dépense],K17,Tableau3381012141617181920[Charge TTC])</f>
        <v>0</v>
      </c>
      <c r="M17" s="35">
        <f>L17/1.2</f>
        <v>0</v>
      </c>
    </row>
    <row r="18" spans="2:13" x14ac:dyDescent="0.2">
      <c r="B18" s="15"/>
      <c r="C18" s="15"/>
      <c r="D18" s="15"/>
      <c r="E18" s="15"/>
      <c r="F18" s="25"/>
      <c r="G18" s="33">
        <v>0</v>
      </c>
      <c r="H18" s="34">
        <f t="shared" si="3"/>
        <v>0</v>
      </c>
      <c r="I18" s="43">
        <f t="shared" si="2"/>
        <v>0</v>
      </c>
      <c r="J18" s="7"/>
    </row>
    <row r="19" spans="2:13" x14ac:dyDescent="0.2">
      <c r="B19" s="15"/>
      <c r="C19" s="15"/>
      <c r="D19" s="15"/>
      <c r="E19" s="15"/>
      <c r="F19" s="25"/>
      <c r="G19" s="33">
        <v>0</v>
      </c>
      <c r="H19" s="34">
        <f t="shared" si="3"/>
        <v>0</v>
      </c>
      <c r="I19" s="43">
        <f t="shared" si="2"/>
        <v>0</v>
      </c>
      <c r="J19" s="7"/>
    </row>
    <row r="20" spans="2:13" x14ac:dyDescent="0.2">
      <c r="B20" s="15"/>
      <c r="C20" s="15"/>
      <c r="D20" s="15"/>
      <c r="E20" s="15"/>
      <c r="F20" s="25"/>
      <c r="G20" s="33">
        <v>0</v>
      </c>
      <c r="H20" s="34">
        <f t="shared" si="3"/>
        <v>0</v>
      </c>
      <c r="I20" s="43">
        <f t="shared" si="2"/>
        <v>0</v>
      </c>
      <c r="J20" s="7"/>
    </row>
    <row r="21" spans="2:13" x14ac:dyDescent="0.2">
      <c r="B21" s="15"/>
      <c r="C21" s="15"/>
      <c r="D21" s="15"/>
      <c r="E21" s="15"/>
      <c r="F21" s="25"/>
      <c r="G21" s="33">
        <v>0</v>
      </c>
      <c r="H21" s="34">
        <f t="shared" si="3"/>
        <v>0</v>
      </c>
      <c r="I21" s="43">
        <f t="shared" si="2"/>
        <v>0</v>
      </c>
      <c r="J21" s="7"/>
    </row>
    <row r="22" spans="2:13" x14ac:dyDescent="0.2">
      <c r="B22" s="15"/>
      <c r="C22" s="15"/>
      <c r="D22" s="15"/>
      <c r="E22" s="15"/>
      <c r="F22" s="25"/>
      <c r="G22" s="33">
        <v>0</v>
      </c>
      <c r="H22" s="34">
        <f t="shared" si="3"/>
        <v>0</v>
      </c>
      <c r="I22" s="43">
        <f t="shared" si="2"/>
        <v>0</v>
      </c>
      <c r="J22" s="7"/>
    </row>
    <row r="23" spans="2:13" x14ac:dyDescent="0.2">
      <c r="B23" s="15"/>
      <c r="C23" s="15"/>
      <c r="D23" s="15"/>
      <c r="E23" s="15"/>
      <c r="F23" s="25"/>
      <c r="G23" s="33">
        <v>0</v>
      </c>
      <c r="H23" s="34">
        <f t="shared" si="3"/>
        <v>0</v>
      </c>
      <c r="I23" s="43">
        <f t="shared" si="2"/>
        <v>0</v>
      </c>
      <c r="J23" s="7"/>
    </row>
    <row r="24" spans="2:13" x14ac:dyDescent="0.2">
      <c r="B24" s="15"/>
      <c r="C24" s="15"/>
      <c r="D24" s="15"/>
      <c r="E24" s="15"/>
      <c r="F24" s="25"/>
      <c r="G24" s="33">
        <v>0</v>
      </c>
      <c r="H24" s="34">
        <f t="shared" si="3"/>
        <v>0</v>
      </c>
      <c r="I24" s="43">
        <f t="shared" si="2"/>
        <v>0</v>
      </c>
      <c r="J24" s="7"/>
    </row>
    <row r="25" spans="2:13" x14ac:dyDescent="0.2">
      <c r="B25" s="15"/>
      <c r="C25" s="15"/>
      <c r="D25" s="15"/>
      <c r="E25" s="15"/>
      <c r="F25" s="25"/>
      <c r="G25" s="33">
        <v>0</v>
      </c>
      <c r="H25" s="34">
        <f t="shared" si="3"/>
        <v>0</v>
      </c>
      <c r="I25" s="43">
        <f t="shared" si="2"/>
        <v>0</v>
      </c>
      <c r="J25" s="7"/>
    </row>
    <row r="26" spans="2:13" x14ac:dyDescent="0.2">
      <c r="B26" s="15"/>
      <c r="C26" s="15"/>
      <c r="D26" s="15"/>
      <c r="E26" s="15"/>
      <c r="F26" s="25"/>
      <c r="G26" s="33">
        <v>0</v>
      </c>
      <c r="H26" s="34">
        <f t="shared" si="3"/>
        <v>0</v>
      </c>
      <c r="I26" s="43">
        <f t="shared" si="2"/>
        <v>0</v>
      </c>
      <c r="J26" s="7"/>
    </row>
    <row r="27" spans="2:13" x14ac:dyDescent="0.2">
      <c r="B27" s="15"/>
      <c r="C27" s="15"/>
      <c r="D27" s="15"/>
      <c r="E27" s="15"/>
      <c r="F27" s="25"/>
      <c r="G27" s="33">
        <v>0</v>
      </c>
      <c r="H27" s="34">
        <f t="shared" si="3"/>
        <v>0</v>
      </c>
      <c r="I27" s="43">
        <f t="shared" si="2"/>
        <v>0</v>
      </c>
      <c r="J27" s="7"/>
    </row>
    <row r="28" spans="2:13" x14ac:dyDescent="0.2">
      <c r="B28" s="15"/>
      <c r="C28" s="15"/>
      <c r="D28" s="15"/>
      <c r="E28" s="15"/>
      <c r="F28" s="25"/>
      <c r="G28" s="33">
        <v>0</v>
      </c>
      <c r="H28" s="34">
        <f t="shared" si="3"/>
        <v>0</v>
      </c>
      <c r="I28" s="43">
        <f t="shared" si="2"/>
        <v>0</v>
      </c>
      <c r="J28" s="7"/>
    </row>
    <row r="29" spans="2:13" x14ac:dyDescent="0.2">
      <c r="B29" s="15"/>
      <c r="C29" s="15"/>
      <c r="D29" s="15"/>
      <c r="E29" s="15"/>
      <c r="F29" s="25"/>
      <c r="G29" s="33">
        <v>0</v>
      </c>
      <c r="H29" s="34">
        <f t="shared" si="3"/>
        <v>0</v>
      </c>
      <c r="I29" s="43">
        <f t="shared" si="2"/>
        <v>0</v>
      </c>
      <c r="J29" s="7"/>
    </row>
    <row r="30" spans="2:13" x14ac:dyDescent="0.2">
      <c r="B30" s="15"/>
      <c r="C30" s="15"/>
      <c r="D30" s="15"/>
      <c r="E30" s="15"/>
      <c r="F30" s="25"/>
      <c r="G30" s="33">
        <v>0</v>
      </c>
      <c r="H30" s="34">
        <f t="shared" si="3"/>
        <v>0</v>
      </c>
      <c r="I30" s="43">
        <f t="shared" si="2"/>
        <v>0</v>
      </c>
      <c r="J30" s="7"/>
    </row>
    <row r="31" spans="2:13" x14ac:dyDescent="0.2">
      <c r="B31" s="15"/>
      <c r="C31" s="15"/>
      <c r="D31" s="15"/>
      <c r="E31" s="15"/>
      <c r="F31" s="25"/>
      <c r="G31" s="33">
        <v>0</v>
      </c>
      <c r="H31" s="34">
        <f t="shared" si="3"/>
        <v>0</v>
      </c>
      <c r="I31" s="43">
        <f t="shared" si="2"/>
        <v>0</v>
      </c>
      <c r="J31" s="7"/>
    </row>
    <row r="32" spans="2:13" x14ac:dyDescent="0.2">
      <c r="B32" s="15"/>
      <c r="C32" s="15"/>
      <c r="D32" s="15"/>
      <c r="E32" s="15"/>
      <c r="F32" s="25"/>
      <c r="G32" s="33">
        <v>0</v>
      </c>
      <c r="H32" s="34">
        <f t="shared" si="3"/>
        <v>0</v>
      </c>
      <c r="I32" s="43">
        <f t="shared" si="2"/>
        <v>0</v>
      </c>
      <c r="J32" s="7"/>
    </row>
    <row r="33" spans="2:10" x14ac:dyDescent="0.2">
      <c r="B33" s="15"/>
      <c r="C33" s="15"/>
      <c r="D33" s="15"/>
      <c r="E33" s="15"/>
      <c r="F33" s="25"/>
      <c r="G33" s="33">
        <v>0</v>
      </c>
      <c r="H33" s="34">
        <f t="shared" si="3"/>
        <v>0</v>
      </c>
      <c r="I33" s="43">
        <f t="shared" si="2"/>
        <v>0</v>
      </c>
      <c r="J33" s="7"/>
    </row>
    <row r="34" spans="2:10" x14ac:dyDescent="0.2">
      <c r="B34" s="19"/>
      <c r="C34" s="15"/>
      <c r="D34" s="15"/>
      <c r="E34" s="15"/>
      <c r="F34" s="25"/>
      <c r="G34" s="33">
        <v>0</v>
      </c>
      <c r="H34" s="34">
        <f t="shared" si="3"/>
        <v>0</v>
      </c>
      <c r="I34" s="43">
        <f t="shared" si="2"/>
        <v>0</v>
      </c>
      <c r="J34" s="7"/>
    </row>
    <row r="35" spans="2:10" x14ac:dyDescent="0.2">
      <c r="B35" s="19"/>
      <c r="C35" s="15"/>
      <c r="D35" s="15"/>
      <c r="E35" s="15"/>
      <c r="F35" s="25"/>
      <c r="G35" s="33">
        <v>0</v>
      </c>
      <c r="H35" s="34">
        <f t="shared" si="3"/>
        <v>0</v>
      </c>
      <c r="I35" s="43">
        <f t="shared" si="2"/>
        <v>0</v>
      </c>
    </row>
    <row r="36" spans="2:10" x14ac:dyDescent="0.2">
      <c r="B36" s="15"/>
      <c r="C36" s="15"/>
      <c r="D36" s="15"/>
      <c r="E36" s="15"/>
      <c r="F36" s="25"/>
      <c r="G36" s="33">
        <v>0</v>
      </c>
      <c r="H36" s="34">
        <f t="shared" si="3"/>
        <v>0</v>
      </c>
      <c r="I36" s="43">
        <f t="shared" si="2"/>
        <v>0</v>
      </c>
    </row>
  </sheetData>
  <mergeCells count="4">
    <mergeCell ref="B1:I2"/>
    <mergeCell ref="F4:F5"/>
    <mergeCell ref="H4:H5"/>
    <mergeCell ref="I4:I5"/>
  </mergeCells>
  <conditionalFormatting sqref="E7:E12 E15:E36">
    <cfRule type="containsText" dxfId="59" priority="21" operator="containsText" text="Emprunt/Crédit">
      <formula>NOT(ISERROR(SEARCH("Emprunt/Crédit",E7)))</formula>
    </cfRule>
    <cfRule type="containsText" dxfId="58" priority="22" operator="containsText" text="Garage">
      <formula>NOT(ISERROR(SEARCH("Garage",E7)))</formula>
    </cfRule>
    <cfRule type="containsText" dxfId="57" priority="24" operator="containsText" text="Visite JB Hub">
      <formula>NOT(ISERROR(SEARCH("Visite JB Hub",E7)))</formula>
    </cfRule>
    <cfRule type="containsText" dxfId="56" priority="25" operator="containsText" text="Repas">
      <formula>NOT(ISERROR(SEARCH("Repas",E7)))</formula>
    </cfRule>
    <cfRule type="containsText" dxfId="55" priority="26" operator="containsText" text="Communication">
      <formula>NOT(ISERROR(SEARCH("Communication",E7)))</formula>
    </cfRule>
    <cfRule type="containsText" dxfId="54" priority="27" operator="containsText" text="Jeep">
      <formula>NOT(ISERROR(SEARCH("Jeep",E7)))</formula>
    </cfRule>
    <cfRule type="containsText" dxfId="53" priority="28" operator="containsText" text="Structure">
      <formula>NOT(ISERROR(SEARCH("Structure",E7)))</formula>
    </cfRule>
    <cfRule type="containsText" dxfId="52" priority="29" operator="containsText" text="Essence">
      <formula>NOT(ISERROR(SEARCH("Essence",E7)))</formula>
    </cfRule>
    <cfRule type="containsText" dxfId="51" priority="30" operator="containsText" text="Salaire">
      <formula>NOT(ISERROR(SEARCH("Salaire",E7)))</formula>
    </cfRule>
  </conditionalFormatting>
  <conditionalFormatting sqref="E7:E12 E15:E36">
    <cfRule type="containsText" dxfId="50" priority="23" operator="containsText" text="Assurance">
      <formula>NOT(ISERROR(SEARCH("Assurance",E7)))</formula>
    </cfRule>
  </conditionalFormatting>
  <conditionalFormatting sqref="E13">
    <cfRule type="containsText" dxfId="49" priority="11" operator="containsText" text="Emprunt/Crédit">
      <formula>NOT(ISERROR(SEARCH("Emprunt/Crédit",E13)))</formula>
    </cfRule>
    <cfRule type="containsText" dxfId="48" priority="12" operator="containsText" text="Garage">
      <formula>NOT(ISERROR(SEARCH("Garage",E13)))</formula>
    </cfRule>
    <cfRule type="containsText" dxfId="47" priority="14" operator="containsText" text="Visite JB Hub">
      <formula>NOT(ISERROR(SEARCH("Visite JB Hub",E13)))</formula>
    </cfRule>
    <cfRule type="containsText" dxfId="46" priority="15" operator="containsText" text="Repas">
      <formula>NOT(ISERROR(SEARCH("Repas",E13)))</formula>
    </cfRule>
    <cfRule type="containsText" dxfId="45" priority="16" operator="containsText" text="Communication">
      <formula>NOT(ISERROR(SEARCH("Communication",E13)))</formula>
    </cfRule>
    <cfRule type="containsText" dxfId="44" priority="17" operator="containsText" text="Jeep">
      <formula>NOT(ISERROR(SEARCH("Jeep",E13)))</formula>
    </cfRule>
    <cfRule type="containsText" dxfId="43" priority="18" operator="containsText" text="Structure">
      <formula>NOT(ISERROR(SEARCH("Structure",E13)))</formula>
    </cfRule>
    <cfRule type="containsText" dxfId="42" priority="19" operator="containsText" text="Essence">
      <formula>NOT(ISERROR(SEARCH("Essence",E13)))</formula>
    </cfRule>
    <cfRule type="containsText" dxfId="41" priority="20" operator="containsText" text="Salaire">
      <formula>NOT(ISERROR(SEARCH("Salaire",E13)))</formula>
    </cfRule>
  </conditionalFormatting>
  <conditionalFormatting sqref="E13">
    <cfRule type="containsText" dxfId="40" priority="13" operator="containsText" text="Assurance">
      <formula>NOT(ISERROR(SEARCH("Assurance",E13)))</formula>
    </cfRule>
  </conditionalFormatting>
  <conditionalFormatting sqref="E14">
    <cfRule type="containsText" dxfId="39" priority="1" operator="containsText" text="Emprunt/Crédit">
      <formula>NOT(ISERROR(SEARCH("Emprunt/Crédit",E14)))</formula>
    </cfRule>
    <cfRule type="containsText" dxfId="38" priority="2" operator="containsText" text="Garage">
      <formula>NOT(ISERROR(SEARCH("Garage",E14)))</formula>
    </cfRule>
    <cfRule type="containsText" dxfId="37" priority="4" operator="containsText" text="Visite JB Hub">
      <formula>NOT(ISERROR(SEARCH("Visite JB Hub",E14)))</formula>
    </cfRule>
    <cfRule type="containsText" dxfId="36" priority="5" operator="containsText" text="Repas">
      <formula>NOT(ISERROR(SEARCH("Repas",E14)))</formula>
    </cfRule>
    <cfRule type="containsText" dxfId="35" priority="6" operator="containsText" text="Communication">
      <formula>NOT(ISERROR(SEARCH("Communication",E14)))</formula>
    </cfRule>
    <cfRule type="containsText" dxfId="34" priority="7" operator="containsText" text="Jeep">
      <formula>NOT(ISERROR(SEARCH("Jeep",E14)))</formula>
    </cfRule>
    <cfRule type="containsText" dxfId="33" priority="8" operator="containsText" text="Structure">
      <formula>NOT(ISERROR(SEARCH("Structure",E14)))</formula>
    </cfRule>
    <cfRule type="containsText" dxfId="32" priority="9" operator="containsText" text="Essence">
      <formula>NOT(ISERROR(SEARCH("Essence",E14)))</formula>
    </cfRule>
    <cfRule type="containsText" dxfId="31" priority="10" operator="containsText" text="Salaire">
      <formula>NOT(ISERROR(SEARCH("Salaire",E14)))</formula>
    </cfRule>
  </conditionalFormatting>
  <conditionalFormatting sqref="E14">
    <cfRule type="containsText" dxfId="30" priority="3" operator="containsText" text="Assurance">
      <formula>NOT(ISERROR(SEARCH("Assurance",E14)))</formula>
    </cfRule>
  </conditionalFormatting>
  <dataValidations count="3">
    <dataValidation allowBlank="1" showInputMessage="1" sqref="F7:F36" xr:uid="{CE4C1139-2D66-8E4F-8FB4-23B7A3822C07}"/>
    <dataValidation type="list" allowBlank="1" showInputMessage="1" showErrorMessage="1" sqref="G7:G36" xr:uid="{FF824143-6A47-F249-9F2E-10EFA4272C4C}">
      <formula1>"0%, 20%"</formula1>
    </dataValidation>
    <dataValidation type="list" allowBlank="1" showInputMessage="1" showErrorMessage="1" sqref="E1:E1048576" xr:uid="{792EDB37-8A48-F042-B046-AEBA0BAC2956}">
      <formula1>"Salaire, Essence, Structure, Jeep, Communication, Repas, Visite JB Hub, Assurance, Garage, Emprunt/Crédit, Bureau, URSSAF"</formula1>
    </dataValidation>
  </dataValidations>
  <pageMargins left="0.7" right="0.7" top="0.75" bottom="0.75" header="0.3" footer="0.3"/>
  <tableParts count="1">
    <tablePart r:id="rId1"/>
  </tableParts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EC1C56-09B4-2C48-9D2A-106D96A7E5C5}">
  <sheetPr>
    <tabColor theme="5" tint="0.39997558519241921"/>
  </sheetPr>
  <dimension ref="B1:M36"/>
  <sheetViews>
    <sheetView workbookViewId="0">
      <selection activeCell="F8" sqref="F8"/>
    </sheetView>
  </sheetViews>
  <sheetFormatPr baseColWidth="10" defaultRowHeight="16" x14ac:dyDescent="0.2"/>
  <cols>
    <col min="4" max="4" width="16.1640625" customWidth="1"/>
    <col min="5" max="5" width="16" customWidth="1"/>
    <col min="6" max="6" width="17" customWidth="1"/>
    <col min="8" max="8" width="15.6640625" customWidth="1"/>
    <col min="11" max="11" width="18.1640625" customWidth="1"/>
  </cols>
  <sheetData>
    <row r="1" spans="2:13" x14ac:dyDescent="0.2">
      <c r="B1" s="170" t="s">
        <v>141</v>
      </c>
      <c r="C1" s="171"/>
      <c r="D1" s="171"/>
      <c r="E1" s="171"/>
      <c r="F1" s="171"/>
      <c r="G1" s="171"/>
      <c r="H1" s="171"/>
      <c r="I1" s="172"/>
    </row>
    <row r="2" spans="2:13" ht="17" thickBot="1" x14ac:dyDescent="0.25">
      <c r="B2" s="173"/>
      <c r="C2" s="174"/>
      <c r="D2" s="174"/>
      <c r="E2" s="174"/>
      <c r="F2" s="174"/>
      <c r="G2" s="174"/>
      <c r="H2" s="174"/>
      <c r="I2" s="175"/>
    </row>
    <row r="3" spans="2:13" ht="25" thickBot="1" x14ac:dyDescent="0.25">
      <c r="B3" s="42"/>
      <c r="C3" s="42"/>
      <c r="D3" s="42"/>
      <c r="E3" s="42"/>
      <c r="F3" s="42"/>
      <c r="G3" s="42"/>
      <c r="H3" s="42"/>
      <c r="I3" s="42"/>
    </row>
    <row r="4" spans="2:13" ht="24" x14ac:dyDescent="0.2">
      <c r="B4" s="42"/>
      <c r="C4" s="42"/>
      <c r="D4" s="42"/>
      <c r="E4" s="42"/>
      <c r="F4" s="176">
        <f>SUM(F7:F36)</f>
        <v>4681.5599999999995</v>
      </c>
      <c r="G4" s="42"/>
      <c r="H4" s="178">
        <f>SUM(H7:H36)</f>
        <v>4681.5599999999995</v>
      </c>
      <c r="I4" s="180">
        <f>SUM(I7:I36)</f>
        <v>-2793</v>
      </c>
    </row>
    <row r="5" spans="2:13" ht="25" thickBot="1" x14ac:dyDescent="0.25">
      <c r="B5" s="42"/>
      <c r="C5" s="42"/>
      <c r="D5" s="42"/>
      <c r="E5" s="42"/>
      <c r="F5" s="177"/>
      <c r="G5" s="42"/>
      <c r="H5" s="179"/>
      <c r="I5" s="181"/>
    </row>
    <row r="6" spans="2:13" ht="19" x14ac:dyDescent="0.2">
      <c r="B6" s="44" t="s">
        <v>0</v>
      </c>
      <c r="C6" s="44" t="s">
        <v>42</v>
      </c>
      <c r="D6" s="44" t="s">
        <v>39</v>
      </c>
      <c r="E6" s="44" t="s">
        <v>76</v>
      </c>
      <c r="F6" s="45" t="s">
        <v>77</v>
      </c>
      <c r="G6" s="47" t="s">
        <v>62</v>
      </c>
      <c r="H6" s="97" t="s">
        <v>78</v>
      </c>
      <c r="I6" s="98" t="s">
        <v>75</v>
      </c>
      <c r="J6" s="7"/>
    </row>
    <row r="7" spans="2:13" x14ac:dyDescent="0.2">
      <c r="B7" s="15"/>
      <c r="C7" s="15"/>
      <c r="D7" s="15" t="s">
        <v>67</v>
      </c>
      <c r="E7" s="15" t="s">
        <v>72</v>
      </c>
      <c r="F7" s="37">
        <v>544</v>
      </c>
      <c r="G7" s="33">
        <v>0</v>
      </c>
      <c r="H7" s="34">
        <f t="shared" ref="H7:H15" si="0">F7/(1+G7)</f>
        <v>544</v>
      </c>
      <c r="I7" s="43">
        <f t="shared" ref="I7:I12" si="1">F7-H7</f>
        <v>0</v>
      </c>
      <c r="J7" s="7"/>
      <c r="K7" s="96" t="s">
        <v>36</v>
      </c>
      <c r="L7" s="20">
        <f>SUMIF(Tableau338101214161718192021[Mode de dépense],K7,Tableau338101214161718192021[Charge TTC])</f>
        <v>3603</v>
      </c>
      <c r="M7" s="35">
        <f>L7</f>
        <v>3603</v>
      </c>
    </row>
    <row r="8" spans="2:13" x14ac:dyDescent="0.2">
      <c r="B8" s="15"/>
      <c r="C8" s="15"/>
      <c r="D8" s="15" t="s">
        <v>68</v>
      </c>
      <c r="E8" s="15" t="s">
        <v>72</v>
      </c>
      <c r="F8" s="37">
        <v>459.26</v>
      </c>
      <c r="G8" s="33">
        <v>0</v>
      </c>
      <c r="H8" s="34">
        <f t="shared" si="0"/>
        <v>459.26</v>
      </c>
      <c r="I8" s="43">
        <f t="shared" si="1"/>
        <v>0</v>
      </c>
      <c r="J8" s="7"/>
      <c r="K8" s="90" t="s">
        <v>47</v>
      </c>
      <c r="L8" s="20">
        <f>SUMIF(Tableau338101214161718192021[Mode de dépense],K8,Tableau338101214161718192021[Charge TTC])</f>
        <v>0</v>
      </c>
      <c r="M8" s="35">
        <f>L8/1.2</f>
        <v>0</v>
      </c>
    </row>
    <row r="9" spans="2:13" x14ac:dyDescent="0.2">
      <c r="B9" s="15"/>
      <c r="C9" s="15"/>
      <c r="D9" s="15" t="s">
        <v>69</v>
      </c>
      <c r="E9" s="15" t="s">
        <v>71</v>
      </c>
      <c r="F9" s="30">
        <v>24.8</v>
      </c>
      <c r="G9" s="33">
        <v>0</v>
      </c>
      <c r="H9" s="34">
        <f t="shared" si="0"/>
        <v>24.8</v>
      </c>
      <c r="I9" s="43">
        <f t="shared" si="1"/>
        <v>0</v>
      </c>
      <c r="J9" s="7"/>
      <c r="K9" s="91" t="s">
        <v>71</v>
      </c>
      <c r="L9" s="20">
        <f>SUMIF(Tableau338101214161718192021[Mode de dépense],K9,Tableau338101214161718192021[Charge TTC])</f>
        <v>75.3</v>
      </c>
      <c r="M9" s="35"/>
    </row>
    <row r="10" spans="2:13" x14ac:dyDescent="0.2">
      <c r="B10" s="15"/>
      <c r="C10" s="15"/>
      <c r="D10" s="15" t="s">
        <v>70</v>
      </c>
      <c r="E10" s="15" t="s">
        <v>71</v>
      </c>
      <c r="F10" s="30">
        <v>20.51</v>
      </c>
      <c r="G10" s="33">
        <v>0</v>
      </c>
      <c r="H10" s="34">
        <f t="shared" si="0"/>
        <v>20.51</v>
      </c>
      <c r="I10" s="43">
        <f t="shared" si="1"/>
        <v>0</v>
      </c>
      <c r="J10" s="7"/>
      <c r="K10" s="99" t="s">
        <v>48</v>
      </c>
      <c r="L10" s="20">
        <f>SUMIF(Tableau338101214161718192021[Mode de dépense],K10,Tableau338101214161718192021[Charge TTC])</f>
        <v>0</v>
      </c>
      <c r="M10" s="35">
        <f>L10/1.2</f>
        <v>0</v>
      </c>
    </row>
    <row r="11" spans="2:13" x14ac:dyDescent="0.2">
      <c r="B11" s="15"/>
      <c r="C11" s="15"/>
      <c r="D11" s="15" t="s">
        <v>70</v>
      </c>
      <c r="E11" s="15" t="s">
        <v>71</v>
      </c>
      <c r="F11" s="25">
        <v>19.989999999999998</v>
      </c>
      <c r="G11" s="33">
        <v>0</v>
      </c>
      <c r="H11" s="34">
        <f t="shared" si="0"/>
        <v>19.989999999999998</v>
      </c>
      <c r="I11" s="43">
        <f t="shared" si="1"/>
        <v>0</v>
      </c>
      <c r="J11" s="7"/>
      <c r="K11" s="100" t="s">
        <v>49</v>
      </c>
      <c r="L11" s="20">
        <f>SUMIF(Tableau338101214161718192021[Mode de dépense],K11,Tableau338101214161718192021[Charge TTC])</f>
        <v>0</v>
      </c>
      <c r="M11" s="35">
        <f>L11/1.2</f>
        <v>0</v>
      </c>
    </row>
    <row r="12" spans="2:13" x14ac:dyDescent="0.2">
      <c r="B12" s="19"/>
      <c r="C12" s="15"/>
      <c r="D12" s="15" t="s">
        <v>79</v>
      </c>
      <c r="E12" s="15" t="s">
        <v>71</v>
      </c>
      <c r="F12" s="25">
        <v>10</v>
      </c>
      <c r="G12" s="33">
        <v>0</v>
      </c>
      <c r="H12" s="34">
        <f t="shared" si="0"/>
        <v>10</v>
      </c>
      <c r="I12" s="43">
        <f t="shared" si="1"/>
        <v>0</v>
      </c>
      <c r="J12" s="7"/>
      <c r="K12" s="101" t="s">
        <v>50</v>
      </c>
      <c r="L12" s="20">
        <f>SUMIF(Tableau338101214161718192021[Mode de dépense],K12,Tableau338101214161718192021[Charge TTC])</f>
        <v>0</v>
      </c>
      <c r="M12" s="35">
        <f>L12/1.2</f>
        <v>0</v>
      </c>
    </row>
    <row r="13" spans="2:13" x14ac:dyDescent="0.2">
      <c r="B13" s="19"/>
      <c r="C13" s="15"/>
      <c r="D13" s="15" t="s">
        <v>3</v>
      </c>
      <c r="E13" s="15" t="s">
        <v>36</v>
      </c>
      <c r="F13" s="25">
        <v>2803</v>
      </c>
      <c r="G13" s="33">
        <v>0</v>
      </c>
      <c r="H13" s="34">
        <f t="shared" si="0"/>
        <v>2803</v>
      </c>
      <c r="I13" s="43">
        <f>F12-H13</f>
        <v>-2793</v>
      </c>
      <c r="J13" s="7"/>
      <c r="K13" s="92" t="s">
        <v>52</v>
      </c>
      <c r="L13" s="20">
        <f>SUMIF(Tableau338101214161718192021[Mode de dépense],K13,Tableau338101214161718192021[Charge TTC])</f>
        <v>0</v>
      </c>
      <c r="M13" s="35">
        <f>L13</f>
        <v>0</v>
      </c>
    </row>
    <row r="14" spans="2:13" x14ac:dyDescent="0.2">
      <c r="B14" s="19"/>
      <c r="C14" s="15"/>
      <c r="D14" s="15" t="s">
        <v>2</v>
      </c>
      <c r="E14" s="15" t="s">
        <v>36</v>
      </c>
      <c r="F14" s="25">
        <v>800</v>
      </c>
      <c r="G14" s="33">
        <v>0</v>
      </c>
      <c r="H14" s="34">
        <f t="shared" si="0"/>
        <v>800</v>
      </c>
      <c r="I14" s="43">
        <f t="shared" ref="I14:I36" si="2">F14-H14</f>
        <v>0</v>
      </c>
      <c r="J14" s="7"/>
      <c r="K14" s="93" t="s">
        <v>51</v>
      </c>
      <c r="L14" s="20">
        <f>SUMIF(Tableau338101214161718192021[Mode de dépense],K14,Tableau338101214161718192021[Charge TTC])</f>
        <v>0</v>
      </c>
      <c r="M14" s="35">
        <f>L14/1.2</f>
        <v>0</v>
      </c>
    </row>
    <row r="15" spans="2:13" x14ac:dyDescent="0.2">
      <c r="B15" s="15"/>
      <c r="C15" s="15"/>
      <c r="D15" s="15"/>
      <c r="E15" s="15"/>
      <c r="F15" s="25"/>
      <c r="G15" s="33">
        <v>0</v>
      </c>
      <c r="H15" s="34">
        <f t="shared" si="0"/>
        <v>0</v>
      </c>
      <c r="I15" s="43">
        <f t="shared" si="2"/>
        <v>0</v>
      </c>
      <c r="J15" s="7"/>
      <c r="K15" s="94" t="s">
        <v>60</v>
      </c>
      <c r="L15" s="20">
        <f>SUMIF(Tableau338101214161718192021[Mode de dépense],K15,Tableau338101214161718192021[Charge TTC])</f>
        <v>0</v>
      </c>
      <c r="M15" s="35">
        <f>L15/1.2</f>
        <v>0</v>
      </c>
    </row>
    <row r="16" spans="2:13" x14ac:dyDescent="0.2">
      <c r="B16" s="15"/>
      <c r="C16" s="15"/>
      <c r="D16" s="15"/>
      <c r="E16" s="15"/>
      <c r="F16" s="25"/>
      <c r="G16" s="33">
        <v>0</v>
      </c>
      <c r="H16" s="34">
        <f t="shared" ref="H16:H36" si="3">F16/((1+G16))</f>
        <v>0</v>
      </c>
      <c r="I16" s="43">
        <f t="shared" si="2"/>
        <v>0</v>
      </c>
      <c r="J16" s="7"/>
      <c r="K16" s="95" t="s">
        <v>72</v>
      </c>
      <c r="L16" s="20">
        <f>SUMIF(Tableau338101214161718192021[Mode de dépense],K16,Tableau338101214161718192021[Charge TTC])</f>
        <v>1003.26</v>
      </c>
      <c r="M16" s="35">
        <f>L16/1.2</f>
        <v>836.05000000000007</v>
      </c>
    </row>
    <row r="17" spans="2:13" x14ac:dyDescent="0.2">
      <c r="B17" s="15"/>
      <c r="C17" s="15"/>
      <c r="D17" s="15"/>
      <c r="E17" s="15"/>
      <c r="F17" s="25"/>
      <c r="G17" s="33">
        <v>0</v>
      </c>
      <c r="H17" s="34">
        <f t="shared" si="3"/>
        <v>0</v>
      </c>
      <c r="I17" s="43">
        <f t="shared" si="2"/>
        <v>0</v>
      </c>
      <c r="J17" s="7"/>
      <c r="K17" s="1" t="s">
        <v>153</v>
      </c>
      <c r="L17" s="20">
        <f>SUMIF(Tableau338101214161718192021[Mode de dépense],K17,Tableau338101214161718192021[Charge TTC])</f>
        <v>0</v>
      </c>
      <c r="M17" s="35">
        <f>L17/1.2</f>
        <v>0</v>
      </c>
    </row>
    <row r="18" spans="2:13" x14ac:dyDescent="0.2">
      <c r="B18" s="15"/>
      <c r="C18" s="15"/>
      <c r="D18" s="15"/>
      <c r="E18" s="15"/>
      <c r="F18" s="25"/>
      <c r="G18" s="33">
        <v>0</v>
      </c>
      <c r="H18" s="34">
        <f t="shared" si="3"/>
        <v>0</v>
      </c>
      <c r="I18" s="43">
        <f t="shared" si="2"/>
        <v>0</v>
      </c>
      <c r="J18" s="7"/>
    </row>
    <row r="19" spans="2:13" x14ac:dyDescent="0.2">
      <c r="B19" s="15"/>
      <c r="C19" s="15"/>
      <c r="D19" s="15"/>
      <c r="E19" s="15"/>
      <c r="F19" s="25"/>
      <c r="G19" s="33">
        <v>0</v>
      </c>
      <c r="H19" s="34">
        <f t="shared" si="3"/>
        <v>0</v>
      </c>
      <c r="I19" s="43">
        <f t="shared" si="2"/>
        <v>0</v>
      </c>
      <c r="J19" s="7"/>
    </row>
    <row r="20" spans="2:13" x14ac:dyDescent="0.2">
      <c r="B20" s="15"/>
      <c r="C20" s="15"/>
      <c r="D20" s="15"/>
      <c r="E20" s="15"/>
      <c r="F20" s="25"/>
      <c r="G20" s="33">
        <v>0</v>
      </c>
      <c r="H20" s="34">
        <f t="shared" si="3"/>
        <v>0</v>
      </c>
      <c r="I20" s="43">
        <f t="shared" si="2"/>
        <v>0</v>
      </c>
      <c r="J20" s="7"/>
    </row>
    <row r="21" spans="2:13" x14ac:dyDescent="0.2">
      <c r="B21" s="15"/>
      <c r="C21" s="15"/>
      <c r="D21" s="15"/>
      <c r="E21" s="15"/>
      <c r="F21" s="25"/>
      <c r="G21" s="33">
        <v>0</v>
      </c>
      <c r="H21" s="34">
        <f t="shared" si="3"/>
        <v>0</v>
      </c>
      <c r="I21" s="43">
        <f t="shared" si="2"/>
        <v>0</v>
      </c>
      <c r="J21" s="7"/>
    </row>
    <row r="22" spans="2:13" x14ac:dyDescent="0.2">
      <c r="B22" s="15"/>
      <c r="C22" s="15"/>
      <c r="D22" s="15"/>
      <c r="E22" s="15"/>
      <c r="F22" s="25"/>
      <c r="G22" s="33">
        <v>0</v>
      </c>
      <c r="H22" s="34">
        <f t="shared" si="3"/>
        <v>0</v>
      </c>
      <c r="I22" s="43">
        <f t="shared" si="2"/>
        <v>0</v>
      </c>
      <c r="J22" s="7"/>
    </row>
    <row r="23" spans="2:13" x14ac:dyDescent="0.2">
      <c r="B23" s="15"/>
      <c r="C23" s="15"/>
      <c r="D23" s="15"/>
      <c r="E23" s="15"/>
      <c r="F23" s="25"/>
      <c r="G23" s="33">
        <v>0</v>
      </c>
      <c r="H23" s="34">
        <f t="shared" si="3"/>
        <v>0</v>
      </c>
      <c r="I23" s="43">
        <f t="shared" si="2"/>
        <v>0</v>
      </c>
      <c r="J23" s="7"/>
    </row>
    <row r="24" spans="2:13" x14ac:dyDescent="0.2">
      <c r="B24" s="15"/>
      <c r="C24" s="15"/>
      <c r="D24" s="15"/>
      <c r="E24" s="15"/>
      <c r="F24" s="25"/>
      <c r="G24" s="33">
        <v>0</v>
      </c>
      <c r="H24" s="34">
        <f t="shared" si="3"/>
        <v>0</v>
      </c>
      <c r="I24" s="43">
        <f t="shared" si="2"/>
        <v>0</v>
      </c>
      <c r="J24" s="7"/>
    </row>
    <row r="25" spans="2:13" x14ac:dyDescent="0.2">
      <c r="B25" s="15"/>
      <c r="C25" s="15"/>
      <c r="D25" s="15"/>
      <c r="E25" s="15"/>
      <c r="F25" s="25"/>
      <c r="G25" s="33">
        <v>0</v>
      </c>
      <c r="H25" s="34">
        <f t="shared" si="3"/>
        <v>0</v>
      </c>
      <c r="I25" s="43">
        <f t="shared" si="2"/>
        <v>0</v>
      </c>
      <c r="J25" s="7"/>
    </row>
    <row r="26" spans="2:13" x14ac:dyDescent="0.2">
      <c r="B26" s="15"/>
      <c r="C26" s="15"/>
      <c r="D26" s="15"/>
      <c r="E26" s="15"/>
      <c r="F26" s="25"/>
      <c r="G26" s="33">
        <v>0</v>
      </c>
      <c r="H26" s="34">
        <f t="shared" si="3"/>
        <v>0</v>
      </c>
      <c r="I26" s="43">
        <f t="shared" si="2"/>
        <v>0</v>
      </c>
      <c r="J26" s="7"/>
    </row>
    <row r="27" spans="2:13" x14ac:dyDescent="0.2">
      <c r="B27" s="15"/>
      <c r="C27" s="15"/>
      <c r="D27" s="15"/>
      <c r="E27" s="15"/>
      <c r="F27" s="25"/>
      <c r="G27" s="33">
        <v>0</v>
      </c>
      <c r="H27" s="34">
        <f t="shared" si="3"/>
        <v>0</v>
      </c>
      <c r="I27" s="43">
        <f t="shared" si="2"/>
        <v>0</v>
      </c>
      <c r="J27" s="7"/>
    </row>
    <row r="28" spans="2:13" x14ac:dyDescent="0.2">
      <c r="B28" s="15"/>
      <c r="C28" s="15"/>
      <c r="D28" s="15"/>
      <c r="E28" s="15"/>
      <c r="F28" s="25"/>
      <c r="G28" s="33">
        <v>0</v>
      </c>
      <c r="H28" s="34">
        <f t="shared" si="3"/>
        <v>0</v>
      </c>
      <c r="I28" s="43">
        <f t="shared" si="2"/>
        <v>0</v>
      </c>
      <c r="J28" s="7"/>
    </row>
    <row r="29" spans="2:13" x14ac:dyDescent="0.2">
      <c r="B29" s="15"/>
      <c r="C29" s="15"/>
      <c r="D29" s="15"/>
      <c r="E29" s="15"/>
      <c r="F29" s="25"/>
      <c r="G29" s="33">
        <v>0</v>
      </c>
      <c r="H29" s="34">
        <f t="shared" si="3"/>
        <v>0</v>
      </c>
      <c r="I29" s="43">
        <f t="shared" si="2"/>
        <v>0</v>
      </c>
      <c r="J29" s="7"/>
    </row>
    <row r="30" spans="2:13" x14ac:dyDescent="0.2">
      <c r="B30" s="15"/>
      <c r="C30" s="15"/>
      <c r="D30" s="15"/>
      <c r="E30" s="15"/>
      <c r="F30" s="25"/>
      <c r="G30" s="33">
        <v>0</v>
      </c>
      <c r="H30" s="34">
        <f t="shared" si="3"/>
        <v>0</v>
      </c>
      <c r="I30" s="43">
        <f t="shared" si="2"/>
        <v>0</v>
      </c>
      <c r="J30" s="7"/>
    </row>
    <row r="31" spans="2:13" x14ac:dyDescent="0.2">
      <c r="B31" s="15"/>
      <c r="C31" s="15"/>
      <c r="D31" s="15"/>
      <c r="E31" s="15"/>
      <c r="F31" s="25"/>
      <c r="G31" s="33">
        <v>0</v>
      </c>
      <c r="H31" s="34">
        <f t="shared" si="3"/>
        <v>0</v>
      </c>
      <c r="I31" s="43">
        <f t="shared" si="2"/>
        <v>0</v>
      </c>
      <c r="J31" s="7"/>
    </row>
    <row r="32" spans="2:13" x14ac:dyDescent="0.2">
      <c r="B32" s="15"/>
      <c r="C32" s="15"/>
      <c r="D32" s="15"/>
      <c r="E32" s="15"/>
      <c r="F32" s="25"/>
      <c r="G32" s="33">
        <v>0</v>
      </c>
      <c r="H32" s="34">
        <f t="shared" si="3"/>
        <v>0</v>
      </c>
      <c r="I32" s="43">
        <f t="shared" si="2"/>
        <v>0</v>
      </c>
      <c r="J32" s="7"/>
    </row>
    <row r="33" spans="2:10" x14ac:dyDescent="0.2">
      <c r="B33" s="15"/>
      <c r="C33" s="15"/>
      <c r="D33" s="15"/>
      <c r="E33" s="15"/>
      <c r="F33" s="25"/>
      <c r="G33" s="33">
        <v>0</v>
      </c>
      <c r="H33" s="34">
        <f t="shared" si="3"/>
        <v>0</v>
      </c>
      <c r="I33" s="43">
        <f t="shared" si="2"/>
        <v>0</v>
      </c>
      <c r="J33" s="7"/>
    </row>
    <row r="34" spans="2:10" x14ac:dyDescent="0.2">
      <c r="B34" s="19"/>
      <c r="C34" s="15"/>
      <c r="D34" s="15"/>
      <c r="E34" s="15"/>
      <c r="F34" s="25"/>
      <c r="G34" s="33">
        <v>0</v>
      </c>
      <c r="H34" s="34">
        <f t="shared" si="3"/>
        <v>0</v>
      </c>
      <c r="I34" s="43">
        <f t="shared" si="2"/>
        <v>0</v>
      </c>
      <c r="J34" s="7"/>
    </row>
    <row r="35" spans="2:10" x14ac:dyDescent="0.2">
      <c r="B35" s="19"/>
      <c r="C35" s="15"/>
      <c r="D35" s="15"/>
      <c r="E35" s="15"/>
      <c r="F35" s="25"/>
      <c r="G35" s="33">
        <v>0</v>
      </c>
      <c r="H35" s="34">
        <f t="shared" si="3"/>
        <v>0</v>
      </c>
      <c r="I35" s="43">
        <f t="shared" si="2"/>
        <v>0</v>
      </c>
    </row>
    <row r="36" spans="2:10" x14ac:dyDescent="0.2">
      <c r="B36" s="15"/>
      <c r="C36" s="15"/>
      <c r="D36" s="15"/>
      <c r="E36" s="15"/>
      <c r="F36" s="25"/>
      <c r="G36" s="33">
        <v>0</v>
      </c>
      <c r="H36" s="34">
        <f t="shared" si="3"/>
        <v>0</v>
      </c>
      <c r="I36" s="43">
        <f t="shared" si="2"/>
        <v>0</v>
      </c>
    </row>
  </sheetData>
  <mergeCells count="4">
    <mergeCell ref="B1:I2"/>
    <mergeCell ref="F4:F5"/>
    <mergeCell ref="H4:H5"/>
    <mergeCell ref="I4:I5"/>
  </mergeCells>
  <conditionalFormatting sqref="E7:E12 E15:E36">
    <cfRule type="containsText" dxfId="29" priority="21" operator="containsText" text="Emprunt/Crédit">
      <formula>NOT(ISERROR(SEARCH("Emprunt/Crédit",E7)))</formula>
    </cfRule>
    <cfRule type="containsText" dxfId="28" priority="22" operator="containsText" text="Garage">
      <formula>NOT(ISERROR(SEARCH("Garage",E7)))</formula>
    </cfRule>
    <cfRule type="containsText" dxfId="27" priority="24" operator="containsText" text="Visite JB Hub">
      <formula>NOT(ISERROR(SEARCH("Visite JB Hub",E7)))</formula>
    </cfRule>
    <cfRule type="containsText" dxfId="26" priority="25" operator="containsText" text="Repas">
      <formula>NOT(ISERROR(SEARCH("Repas",E7)))</formula>
    </cfRule>
    <cfRule type="containsText" dxfId="25" priority="26" operator="containsText" text="Communication">
      <formula>NOT(ISERROR(SEARCH("Communication",E7)))</formula>
    </cfRule>
    <cfRule type="containsText" dxfId="24" priority="27" operator="containsText" text="Jeep">
      <formula>NOT(ISERROR(SEARCH("Jeep",E7)))</formula>
    </cfRule>
    <cfRule type="containsText" dxfId="23" priority="28" operator="containsText" text="Structure">
      <formula>NOT(ISERROR(SEARCH("Structure",E7)))</formula>
    </cfRule>
    <cfRule type="containsText" dxfId="22" priority="29" operator="containsText" text="Essence">
      <formula>NOT(ISERROR(SEARCH("Essence",E7)))</formula>
    </cfRule>
    <cfRule type="containsText" dxfId="21" priority="30" operator="containsText" text="Salaire">
      <formula>NOT(ISERROR(SEARCH("Salaire",E7)))</formula>
    </cfRule>
  </conditionalFormatting>
  <conditionalFormatting sqref="E7:E12 E15:E36">
    <cfRule type="containsText" dxfId="20" priority="23" operator="containsText" text="Assurance">
      <formula>NOT(ISERROR(SEARCH("Assurance",E7)))</formula>
    </cfRule>
  </conditionalFormatting>
  <conditionalFormatting sqref="E13">
    <cfRule type="containsText" dxfId="19" priority="11" operator="containsText" text="Emprunt/Crédit">
      <formula>NOT(ISERROR(SEARCH("Emprunt/Crédit",E13)))</formula>
    </cfRule>
    <cfRule type="containsText" dxfId="18" priority="12" operator="containsText" text="Garage">
      <formula>NOT(ISERROR(SEARCH("Garage",E13)))</formula>
    </cfRule>
    <cfRule type="containsText" dxfId="17" priority="14" operator="containsText" text="Visite JB Hub">
      <formula>NOT(ISERROR(SEARCH("Visite JB Hub",E13)))</formula>
    </cfRule>
    <cfRule type="containsText" dxfId="16" priority="15" operator="containsText" text="Repas">
      <formula>NOT(ISERROR(SEARCH("Repas",E13)))</formula>
    </cfRule>
    <cfRule type="containsText" dxfId="15" priority="16" operator="containsText" text="Communication">
      <formula>NOT(ISERROR(SEARCH("Communication",E13)))</formula>
    </cfRule>
    <cfRule type="containsText" dxfId="14" priority="17" operator="containsText" text="Jeep">
      <formula>NOT(ISERROR(SEARCH("Jeep",E13)))</formula>
    </cfRule>
    <cfRule type="containsText" dxfId="13" priority="18" operator="containsText" text="Structure">
      <formula>NOT(ISERROR(SEARCH("Structure",E13)))</formula>
    </cfRule>
    <cfRule type="containsText" dxfId="12" priority="19" operator="containsText" text="Essence">
      <formula>NOT(ISERROR(SEARCH("Essence",E13)))</formula>
    </cfRule>
    <cfRule type="containsText" dxfId="11" priority="20" operator="containsText" text="Salaire">
      <formula>NOT(ISERROR(SEARCH("Salaire",E13)))</formula>
    </cfRule>
  </conditionalFormatting>
  <conditionalFormatting sqref="E13">
    <cfRule type="containsText" dxfId="10" priority="13" operator="containsText" text="Assurance">
      <formula>NOT(ISERROR(SEARCH("Assurance",E13)))</formula>
    </cfRule>
  </conditionalFormatting>
  <conditionalFormatting sqref="E14">
    <cfRule type="containsText" dxfId="9" priority="1" operator="containsText" text="Emprunt/Crédit">
      <formula>NOT(ISERROR(SEARCH("Emprunt/Crédit",E14)))</formula>
    </cfRule>
    <cfRule type="containsText" dxfId="8" priority="2" operator="containsText" text="Garage">
      <formula>NOT(ISERROR(SEARCH("Garage",E14)))</formula>
    </cfRule>
    <cfRule type="containsText" dxfId="7" priority="4" operator="containsText" text="Visite JB Hub">
      <formula>NOT(ISERROR(SEARCH("Visite JB Hub",E14)))</formula>
    </cfRule>
    <cfRule type="containsText" dxfId="6" priority="5" operator="containsText" text="Repas">
      <formula>NOT(ISERROR(SEARCH("Repas",E14)))</formula>
    </cfRule>
    <cfRule type="containsText" dxfId="5" priority="6" operator="containsText" text="Communication">
      <formula>NOT(ISERROR(SEARCH("Communication",E14)))</formula>
    </cfRule>
    <cfRule type="containsText" dxfId="4" priority="7" operator="containsText" text="Jeep">
      <formula>NOT(ISERROR(SEARCH("Jeep",E14)))</formula>
    </cfRule>
    <cfRule type="containsText" dxfId="3" priority="8" operator="containsText" text="Structure">
      <formula>NOT(ISERROR(SEARCH("Structure",E14)))</formula>
    </cfRule>
    <cfRule type="containsText" dxfId="2" priority="9" operator="containsText" text="Essence">
      <formula>NOT(ISERROR(SEARCH("Essence",E14)))</formula>
    </cfRule>
    <cfRule type="containsText" dxfId="1" priority="10" operator="containsText" text="Salaire">
      <formula>NOT(ISERROR(SEARCH("Salaire",E14)))</formula>
    </cfRule>
  </conditionalFormatting>
  <conditionalFormatting sqref="E14">
    <cfRule type="containsText" dxfId="0" priority="3" operator="containsText" text="Assurance">
      <formula>NOT(ISERROR(SEARCH("Assurance",E14)))</formula>
    </cfRule>
  </conditionalFormatting>
  <dataValidations count="3">
    <dataValidation type="list" allowBlank="1" showInputMessage="1" showErrorMessage="1" sqref="E1:E1048576" xr:uid="{3F63DCD4-9D01-4641-BCFB-620BCC557A64}">
      <formula1>"Salaire, Essence, Structure, Jeep, Communication, Repas, Visite JB Hub, Assurance, Garage, Emprunt/Crédit, Bureau, URSSAF"</formula1>
    </dataValidation>
    <dataValidation type="list" allowBlank="1" showInputMessage="1" showErrorMessage="1" sqref="G7:G36" xr:uid="{8634A454-5F20-1247-95F4-A7AD67B1F533}">
      <formula1>"0%, 20%"</formula1>
    </dataValidation>
    <dataValidation allowBlank="1" showInputMessage="1" sqref="F7:F36" xr:uid="{7C5594E8-8BC8-9E43-A74E-68EEDC6A389E}"/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20</vt:i4>
      </vt:variant>
    </vt:vector>
  </HeadingPairs>
  <TitlesOfParts>
    <vt:vector size="20" baseType="lpstr">
      <vt:lpstr>TOTAL</vt:lpstr>
      <vt:lpstr>AVRIL CA</vt:lpstr>
      <vt:lpstr>AVRIL D</vt:lpstr>
      <vt:lpstr>MAI CA</vt:lpstr>
      <vt:lpstr>MAI D</vt:lpstr>
      <vt:lpstr>JUIN CA</vt:lpstr>
      <vt:lpstr>JUIN D</vt:lpstr>
      <vt:lpstr>JUILLET CA</vt:lpstr>
      <vt:lpstr>JUILLET D</vt:lpstr>
      <vt:lpstr>AOUT CA</vt:lpstr>
      <vt:lpstr>AOUT D</vt:lpstr>
      <vt:lpstr>SEPT CA</vt:lpstr>
      <vt:lpstr>SEPT D</vt:lpstr>
      <vt:lpstr>OCT CA</vt:lpstr>
      <vt:lpstr>OCT D</vt:lpstr>
      <vt:lpstr>NOV D</vt:lpstr>
      <vt:lpstr>DEC D</vt:lpstr>
      <vt:lpstr>JANV D</vt:lpstr>
      <vt:lpstr>FEV D</vt:lpstr>
      <vt:lpstr>MARS 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Flavie Poisson</dc:creator>
  <cp:lastModifiedBy>Flavie Poisson</cp:lastModifiedBy>
  <dcterms:created xsi:type="dcterms:W3CDTF">2024-02-27T09:47:28Z</dcterms:created>
  <dcterms:modified xsi:type="dcterms:W3CDTF">2024-04-16T19:43:35Z</dcterms:modified>
</cp:coreProperties>
</file>