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001" i="1"/>
  <c r="B1000"/>
  <c r="B999"/>
  <c r="B998"/>
  <c r="B997"/>
  <c r="B996"/>
  <c r="B995"/>
  <c r="B987"/>
  <c r="B986"/>
  <c r="B985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1"/>
  <c r="B540"/>
  <c r="B539"/>
  <c r="B536"/>
  <c r="B535"/>
  <c r="B534"/>
  <c r="B533"/>
  <c r="B532"/>
  <c r="B531"/>
  <c r="B530"/>
  <c r="B529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6"/>
  <c r="B194"/>
  <c r="B193"/>
  <c r="B192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4"/>
  <c r="B153"/>
  <c r="B152"/>
  <c r="B151"/>
  <c r="B150"/>
  <c r="B149"/>
  <c r="B148"/>
  <c r="B147"/>
  <c r="B146"/>
  <c r="B145"/>
  <c r="B144"/>
  <c r="B143"/>
  <c r="B142"/>
  <c r="B141"/>
  <c r="B140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</calcChain>
</file>

<file path=xl/sharedStrings.xml><?xml version="1.0" encoding="utf-8"?>
<sst xmlns="http://schemas.openxmlformats.org/spreadsheetml/2006/main" count="4044" uniqueCount="2488">
  <si>
    <t>TM000300</t>
  </si>
  <si>
    <t>-999.USPTT</t>
  </si>
  <si>
    <t>FICHE TEL</t>
  </si>
  <si>
    <t>FICHE TEL MALE US</t>
  </si>
  <si>
    <t>TM000301</t>
  </si>
  <si>
    <t>-999.USPTTF</t>
  </si>
  <si>
    <t>FICHE PTT</t>
  </si>
  <si>
    <t>FICHE PTT US FEMELLE</t>
  </si>
  <si>
    <t>TM000302</t>
  </si>
  <si>
    <t>-999.VARIATEUR</t>
  </si>
  <si>
    <t>VARIATEUR</t>
  </si>
  <si>
    <t>VARIATEUR POUR HALOGENE</t>
  </si>
  <si>
    <t>TM000303</t>
  </si>
  <si>
    <t>-999.VIS3X30</t>
  </si>
  <si>
    <t>VIS A</t>
  </si>
  <si>
    <t>VIS A AGGLO POZ 3X30 LE %</t>
  </si>
  <si>
    <t>TM000304</t>
  </si>
  <si>
    <t>-999.VIS4X25</t>
  </si>
  <si>
    <t>VIS A BOIS</t>
  </si>
  <si>
    <t>VIS A BOIS 4X25 LE %</t>
  </si>
  <si>
    <t>TM000305</t>
  </si>
  <si>
    <t>-999.VIS4X30</t>
  </si>
  <si>
    <t>VIS A BOIS 4X30 LE %</t>
  </si>
  <si>
    <t>TM000306</t>
  </si>
  <si>
    <t>-999.VIS4X35</t>
  </si>
  <si>
    <t>VIS A BOIS 4X35 LE %</t>
  </si>
  <si>
    <t>TM000307</t>
  </si>
  <si>
    <t>-999.VISTETE</t>
  </si>
  <si>
    <t>VIS TETE</t>
  </si>
  <si>
    <t>VIS TETE ERGOT 6X20</t>
  </si>
  <si>
    <t>TM000308</t>
  </si>
  <si>
    <t>-999.WP445</t>
  </si>
  <si>
    <t>PLASTRON</t>
  </si>
  <si>
    <t>PLASTRON 45X45 RJ45/110</t>
  </si>
  <si>
    <t>TM000309</t>
  </si>
  <si>
    <t>INTER</t>
  </si>
  <si>
    <t>INTER MODULAIRE 4X32A E223-40</t>
  </si>
  <si>
    <t>ABB</t>
  </si>
  <si>
    <t>TM000310</t>
  </si>
  <si>
    <t>TRANSFO</t>
  </si>
  <si>
    <t>TRANSFO ABB TM30 12/24V</t>
  </si>
  <si>
    <t>TM000311</t>
  </si>
  <si>
    <t>TRANSFO MOD TM 40/24</t>
  </si>
  <si>
    <t>TM000312</t>
  </si>
  <si>
    <t>BOBINE ABB</t>
  </si>
  <si>
    <t>BOBINE ABB KB 16</t>
  </si>
  <si>
    <t>TM000313</t>
  </si>
  <si>
    <t>ROULEAU</t>
  </si>
  <si>
    <t>ROULEAU ADHESIF 50X50 ARGENT</t>
  </si>
  <si>
    <t>ADV</t>
  </si>
  <si>
    <t>TM000314</t>
  </si>
  <si>
    <t>ROULEAU ISOLANT AT34 19MMX20M</t>
  </si>
  <si>
    <t>TM000315</t>
  </si>
  <si>
    <t>ROULEAU ADHESIF TOUTE COULEUR</t>
  </si>
  <si>
    <t>TM000316</t>
  </si>
  <si>
    <t>SOUFFLANT</t>
  </si>
  <si>
    <t>SOUFFLANT SDB 2000W AIRELEC</t>
  </si>
  <si>
    <t>AIR</t>
  </si>
  <si>
    <t>TM000317</t>
  </si>
  <si>
    <t>BATTERIE</t>
  </si>
  <si>
    <t>BATTERIE ALARME 12V 7 AH</t>
  </si>
  <si>
    <t>ALA</t>
  </si>
  <si>
    <t>TM000318</t>
  </si>
  <si>
    <t>IR PORTEE</t>
  </si>
  <si>
    <t>IR PORTEE 12M AVEC COMPTAGE</t>
  </si>
  <si>
    <t>TM000319</t>
  </si>
  <si>
    <t>CLAVIER</t>
  </si>
  <si>
    <t>CLAVIER EXTERIEUR 2 RELAIS</t>
  </si>
  <si>
    <t>TM000320</t>
  </si>
  <si>
    <t>BATTERIE 12V 2 AH ETANCHE</t>
  </si>
  <si>
    <t>TM000321</t>
  </si>
  <si>
    <t>BATTERIE 6V 4 AMP ETANCHE</t>
  </si>
  <si>
    <t>TM000322</t>
  </si>
  <si>
    <t>BOITE 8</t>
  </si>
  <si>
    <t>BOITE 8 BORNES NFA2P</t>
  </si>
  <si>
    <t>TM000323</t>
  </si>
  <si>
    <t>PARAFOUDRE</t>
  </si>
  <si>
    <t>PARAFOUDRE POUR TELEPHONE BPFT</t>
  </si>
  <si>
    <t>TM000324</t>
  </si>
  <si>
    <t>BUZZER 12V</t>
  </si>
  <si>
    <t>TM000325</t>
  </si>
  <si>
    <t>MODULE</t>
  </si>
  <si>
    <t>MODULE TEMPORISE POUR R</t>
  </si>
  <si>
    <t>TM000326</t>
  </si>
  <si>
    <t>CONTACT DE</t>
  </si>
  <si>
    <t>CONTACT DE CHOC A MASSELO</t>
  </si>
  <si>
    <t>TM000327</t>
  </si>
  <si>
    <t>DETECTEUR</t>
  </si>
  <si>
    <t>DETECTEUR IR PASSIF COLT 15M</t>
  </si>
  <si>
    <t>TM000328</t>
  </si>
  <si>
    <t>CONTACT</t>
  </si>
  <si>
    <t>CONTACT D'OUVERTURE</t>
  </si>
  <si>
    <t>TM000329</t>
  </si>
  <si>
    <t>CENTRALE</t>
  </si>
  <si>
    <t>CENTRALE DOMOPHONE 1</t>
  </si>
  <si>
    <t>TM000330</t>
  </si>
  <si>
    <t>CABLE</t>
  </si>
  <si>
    <t>CABLE ALARME 10 PAIRES</t>
  </si>
  <si>
    <t>TM000331</t>
  </si>
  <si>
    <t>CABLE ALARME 4 PAIRES</t>
  </si>
  <si>
    <t>TM000332</t>
  </si>
  <si>
    <t>CABLE ALARME 6 PAIRES</t>
  </si>
  <si>
    <t>TM000333</t>
  </si>
  <si>
    <t>SIRENE</t>
  </si>
  <si>
    <t>SIRENE EXTERIEURE PIEZZO</t>
  </si>
  <si>
    <t>TM000334</t>
  </si>
  <si>
    <t>-ALA.SRE2688+</t>
  </si>
  <si>
    <t>SIRENE ALARME EXT. AUTOALIM</t>
  </si>
  <si>
    <t>TM000335</t>
  </si>
  <si>
    <t>TRANSMETTE</t>
  </si>
  <si>
    <t>TRANSMETTEUR TR VOX</t>
  </si>
  <si>
    <t>TM000336</t>
  </si>
  <si>
    <t>LAMPE</t>
  </si>
  <si>
    <t>LAMPE MINIATURE 220V NEON E10</t>
  </si>
  <si>
    <t>LAM</t>
  </si>
  <si>
    <t>TM000337</t>
  </si>
  <si>
    <t>BOITE DE</t>
  </si>
  <si>
    <t>BOITE DE CENTRE LUSTRE</t>
  </si>
  <si>
    <t>ALO</t>
  </si>
  <si>
    <t>TM000338</t>
  </si>
  <si>
    <t>BOITE</t>
  </si>
  <si>
    <t>BOITE APPLIQUE MACONNERIE</t>
  </si>
  <si>
    <t>TM000339</t>
  </si>
  <si>
    <t>PRISE 2P+T</t>
  </si>
  <si>
    <t>PRISE 2P+T ECLIPS ETOILE ALO</t>
  </si>
  <si>
    <t>TM000340</t>
  </si>
  <si>
    <t>FIXATION</t>
  </si>
  <si>
    <t>FIXATION MURALE ANTENNE+SAT</t>
  </si>
  <si>
    <t>ANT</t>
  </si>
  <si>
    <t>TM000341</t>
  </si>
  <si>
    <t>BRAS DE</t>
  </si>
  <si>
    <t>BRAS DE DEPORT PARABOLE EN 40</t>
  </si>
  <si>
    <t>TM000342</t>
  </si>
  <si>
    <t>BRAS DE DEPORT PARABOLE COURTE</t>
  </si>
  <si>
    <t>TM000343</t>
  </si>
  <si>
    <t>PARABOLE</t>
  </si>
  <si>
    <t>PARABOLE VISIO 60CM FIBRE+LNB</t>
  </si>
  <si>
    <t>TM000344</t>
  </si>
  <si>
    <t>SUPPORT 6</t>
  </si>
  <si>
    <t>SUPPORT 6ª VISIOSAT</t>
  </si>
  <si>
    <t>TM000345</t>
  </si>
  <si>
    <t>BRAS DEPOR</t>
  </si>
  <si>
    <t>BRAS DEPORT PARABOLE EN 50</t>
  </si>
  <si>
    <t>TM000346</t>
  </si>
  <si>
    <t>ALIMENTATI</t>
  </si>
  <si>
    <t>ALIMENTATION 24V 100MA 2 SORT.</t>
  </si>
  <si>
    <t>TM000347</t>
  </si>
  <si>
    <t>COUPLEUR-S</t>
  </si>
  <si>
    <t>COUPLEUR-SEPARATEUR TV/SAT</t>
  </si>
  <si>
    <t>TM000348</t>
  </si>
  <si>
    <t>AMPLI</t>
  </si>
  <si>
    <t>AMPLI APPART.2X18DB FAGOR</t>
  </si>
  <si>
    <t>TM000349</t>
  </si>
  <si>
    <t>RALLONGE</t>
  </si>
  <si>
    <t>RALLONGE TV 5M</t>
  </si>
  <si>
    <t>TM000350</t>
  </si>
  <si>
    <t>CORDON F/F</t>
  </si>
  <si>
    <t>CORDON F/F RAPIDE 1.50M</t>
  </si>
  <si>
    <t>TM000351</t>
  </si>
  <si>
    <t>ROULEAU ISOLANT ADVANCE AT77</t>
  </si>
  <si>
    <t>TM000352</t>
  </si>
  <si>
    <t>SIRENE EXT</t>
  </si>
  <si>
    <t>SIRENE EXT FLASH 903</t>
  </si>
  <si>
    <t>TM000353</t>
  </si>
  <si>
    <t>RADAR</t>
  </si>
  <si>
    <t>RADAR INFRAROUGE APOLLO 12METR</t>
  </si>
  <si>
    <t>TM000354</t>
  </si>
  <si>
    <t>BATTERIE 12V 6AH ETANCHE</t>
  </si>
  <si>
    <t>TM000355</t>
  </si>
  <si>
    <t>BOITE 5</t>
  </si>
  <si>
    <t>BOITE 5 BORNES NF A2P</t>
  </si>
  <si>
    <t>TM000356</t>
  </si>
  <si>
    <t>PARAFOUDRE POUR SECTEUR BPF220</t>
  </si>
  <si>
    <t>TM000357</t>
  </si>
  <si>
    <t>CENTRALE RADIO RACAL GUARDALL</t>
  </si>
  <si>
    <t>TM000358</t>
  </si>
  <si>
    <t>CLAVIER A</t>
  </si>
  <si>
    <t>CLAVIER A LEDS POUR BALMORAL</t>
  </si>
  <si>
    <t>TM000359</t>
  </si>
  <si>
    <t>CLE ELECTR</t>
  </si>
  <si>
    <t>CLE ELECTRONIQUE BALMORAL</t>
  </si>
  <si>
    <t>TM000360</t>
  </si>
  <si>
    <t>IR +HYPER</t>
  </si>
  <si>
    <t>IR +HYPER  VOLUMETRIQUE 15M</t>
  </si>
  <si>
    <t>TM000361</t>
  </si>
  <si>
    <t>EMETTEUR 2</t>
  </si>
  <si>
    <t>EMETTEUR 2 CANAUX MINIATURE</t>
  </si>
  <si>
    <t>TM000362</t>
  </si>
  <si>
    <t>EMETTEUR 4</t>
  </si>
  <si>
    <t>EMETTEUR 4 CANAUX  NICE 30875m</t>
  </si>
  <si>
    <t>TM000363</t>
  </si>
  <si>
    <t>RECEPTEUR</t>
  </si>
  <si>
    <t>RECEPTEUR RADIO NICE 2 CANAUX</t>
  </si>
  <si>
    <t>TM000364</t>
  </si>
  <si>
    <t>SERRURE</t>
  </si>
  <si>
    <t>SERRURE MARCHE ARRET 2 CLEFS</t>
  </si>
  <si>
    <t>TM000365</t>
  </si>
  <si>
    <t>CABLE ALARME 8 PAIRES</t>
  </si>
  <si>
    <t>TM000366</t>
  </si>
  <si>
    <t>MODULE ALARME SURV.BATT.</t>
  </si>
  <si>
    <t>TM000367</t>
  </si>
  <si>
    <t>BOITE ALOMBARD ENCASTREE</t>
  </si>
  <si>
    <t>TM000368</t>
  </si>
  <si>
    <t>POUSSOIR A</t>
  </si>
  <si>
    <t>POUSSOIR A VOYANT ALOMBARD</t>
  </si>
  <si>
    <t>TM000369</t>
  </si>
  <si>
    <t>PLAQUE</t>
  </si>
  <si>
    <t>PLAQUE DOUBLE ALOMBARD</t>
  </si>
  <si>
    <t>TM000370</t>
  </si>
  <si>
    <t>BRAS DE DEPORT PARABOLE EN 50</t>
  </si>
  <si>
    <t>TM000371</t>
  </si>
  <si>
    <t>FIXATION BALCON ACIER</t>
  </si>
  <si>
    <t>TM000372</t>
  </si>
  <si>
    <t>KIT CONNEC</t>
  </si>
  <si>
    <t>KIT CONNECTIQUE SAT</t>
  </si>
  <si>
    <t>TM000373</t>
  </si>
  <si>
    <t>PARABOLE VISIOSAT 60+LNB</t>
  </si>
  <si>
    <t>TM000374</t>
  </si>
  <si>
    <t>FIXATION MURALE ERARD 0862</t>
  </si>
  <si>
    <t>TM000375</t>
  </si>
  <si>
    <t>FIXATION DE BALCON</t>
  </si>
  <si>
    <t>TM000376</t>
  </si>
  <si>
    <t>ANTENNE</t>
  </si>
  <si>
    <t>ANTENNE INT AMPLIFIEE SEDEA</t>
  </si>
  <si>
    <t>TM000377</t>
  </si>
  <si>
    <t>AMPLI DE</t>
  </si>
  <si>
    <t>AMPLI DE PUISSANCE FAGOR</t>
  </si>
  <si>
    <t>TM000378</t>
  </si>
  <si>
    <t>AMPLI COLLECTIF SELECTIF PLUS</t>
  </si>
  <si>
    <t>TM000379</t>
  </si>
  <si>
    <t>RALLONGE TV 3M</t>
  </si>
  <si>
    <t>TM000380</t>
  </si>
  <si>
    <t>PREAMPLIFI</t>
  </si>
  <si>
    <t>PREAMPLIFICATEUR TV 30DB IARE</t>
  </si>
  <si>
    <t>TM000381</t>
  </si>
  <si>
    <t>CAPUCHON</t>
  </si>
  <si>
    <t>CAPUCHON ETANCHE WATERLOCK</t>
  </si>
  <si>
    <t>TM000382</t>
  </si>
  <si>
    <t>BRAS DE DEPORT MURAL DIAM/40</t>
  </si>
  <si>
    <t>TM000383</t>
  </si>
  <si>
    <t>FIXATION MURALE COURTE</t>
  </si>
  <si>
    <t>TM000384</t>
  </si>
  <si>
    <t>DIGISENDER</t>
  </si>
  <si>
    <t>DIGISENDER BANDE 3 MODUL PLL</t>
  </si>
  <si>
    <t>TM000385</t>
  </si>
  <si>
    <t>EMETTEUR</t>
  </si>
  <si>
    <t>EMETTEUR RADIO 2.4GHZ AV-SHARE</t>
  </si>
  <si>
    <t>TM000386</t>
  </si>
  <si>
    <t>FIXATION MURALE EN U</t>
  </si>
  <si>
    <t>TM000387</t>
  </si>
  <si>
    <t>ETRIER</t>
  </si>
  <si>
    <t>ETRIER ERARD</t>
  </si>
  <si>
    <t>TM000388</t>
  </si>
  <si>
    <t>FICHE TV</t>
  </si>
  <si>
    <t>FICHE TV COAX MALE/FEMELLE</t>
  </si>
  <si>
    <t>TM000389</t>
  </si>
  <si>
    <t>KIT AMPLI</t>
  </si>
  <si>
    <t>KIT AMPLI 40DB BLINDE VENTOUX</t>
  </si>
  <si>
    <t>TM000390</t>
  </si>
  <si>
    <t>ATTENUATEU</t>
  </si>
  <si>
    <t>ATTENUATEUR TV 10DB BLANC</t>
  </si>
  <si>
    <t>TM000391</t>
  </si>
  <si>
    <t>ATTENUATEUR 6DB 12DB 20DB</t>
  </si>
  <si>
    <t>TM000392</t>
  </si>
  <si>
    <t>KIT SAT</t>
  </si>
  <si>
    <t>KIT SAT NUM 80 + LNB</t>
  </si>
  <si>
    <t>TM000393</t>
  </si>
  <si>
    <t>TERMINAL</t>
  </si>
  <si>
    <t>TERMINAL ANALOGIQUE NUMERIQUE</t>
  </si>
  <si>
    <t>TM000394</t>
  </si>
  <si>
    <t>CHEVILLE</t>
  </si>
  <si>
    <t>CHEVILLE PLOMB 10MM</t>
  </si>
  <si>
    <t>TM000395</t>
  </si>
  <si>
    <t>REPARTITEU</t>
  </si>
  <si>
    <t>REPARTITEUR 3D AVEC PC</t>
  </si>
  <si>
    <t>TM000396</t>
  </si>
  <si>
    <t>REPARTITEUR 3D 5-2500MHZ F</t>
  </si>
  <si>
    <t>TM000397</t>
  </si>
  <si>
    <t>FICHE COAX</t>
  </si>
  <si>
    <t>FICHE COAX FEMELLE 9.52</t>
  </si>
  <si>
    <t>TM000398</t>
  </si>
  <si>
    <t>FICHE COAX MALE 9.52</t>
  </si>
  <si>
    <t>TM000399</t>
  </si>
  <si>
    <t>FICHE F</t>
  </si>
  <si>
    <t>FICHE F DOUBLE SERRAGE</t>
  </si>
  <si>
    <t>TM000400</t>
  </si>
  <si>
    <t>AMPLI APPARTEMENT 2S 23DB</t>
  </si>
  <si>
    <t>TM000401</t>
  </si>
  <si>
    <t>AMPLI TV</t>
  </si>
  <si>
    <t>AMPLI TV APPARTEMENT 1 SORTIE</t>
  </si>
  <si>
    <t>TM000402</t>
  </si>
  <si>
    <t>DECOUPLEUR</t>
  </si>
  <si>
    <t>DECOUPLEUR SAT/TV</t>
  </si>
  <si>
    <t>TM000403</t>
  </si>
  <si>
    <t>REPARTITEUR 4D ULB+PC+FICHE F</t>
  </si>
  <si>
    <t>TM000404</t>
  </si>
  <si>
    <t>KIT 1</t>
  </si>
  <si>
    <t>KIT 1 UNIVERSEL 86 CM ALU</t>
  </si>
  <si>
    <t>TM000405</t>
  </si>
  <si>
    <t>KIT SATELL</t>
  </si>
  <si>
    <t>KIT SATELLITE 80 LNB UNIVERS</t>
  </si>
  <si>
    <t>TM000406</t>
  </si>
  <si>
    <t>KIT SAT FTE80+LNB+DEMO MONT600</t>
  </si>
  <si>
    <t>TM000407</t>
  </si>
  <si>
    <t>ENSEMBLE</t>
  </si>
  <si>
    <t>ENSEMBLE NUMERIQUE ALU 80CM</t>
  </si>
  <si>
    <t>TM000408</t>
  </si>
  <si>
    <t>TETE UNIVE</t>
  </si>
  <si>
    <t>TETE UNIVERSELLE FB 0.8DB</t>
  </si>
  <si>
    <t>TM000409</t>
  </si>
  <si>
    <t>MAT 1M</t>
  </si>
  <si>
    <t>MAT  1M  DIAM 50</t>
  </si>
  <si>
    <t>TM000410</t>
  </si>
  <si>
    <t>DEMODULATE</t>
  </si>
  <si>
    <t>DEMODULATEUR MONTEREY 600CX</t>
  </si>
  <si>
    <t>TM000411</t>
  </si>
  <si>
    <t>RACCORD</t>
  </si>
  <si>
    <t>RACCORD COAX ETANCHE</t>
  </si>
  <si>
    <t>TM000412</t>
  </si>
  <si>
    <t>CORDON</t>
  </si>
  <si>
    <t>CORDON PERITEL 2.50M</t>
  </si>
  <si>
    <t>SON</t>
  </si>
  <si>
    <t>TM000413</t>
  </si>
  <si>
    <t>PIED POUR</t>
  </si>
  <si>
    <t>PIED POUR ANTENNE SATELLITE</t>
  </si>
  <si>
    <t>TM000414</t>
  </si>
  <si>
    <t>REPARTITEUR 2D AVEC P.C.</t>
  </si>
  <si>
    <t>TM000415</t>
  </si>
  <si>
    <t>REPARTITEUR 3D AVEC P.C.</t>
  </si>
  <si>
    <t>TM000416</t>
  </si>
  <si>
    <t>REPARTITEUR 6 D FICHE F</t>
  </si>
  <si>
    <t>TM000417</t>
  </si>
  <si>
    <t>BOULON</t>
  </si>
  <si>
    <t>BOULON RAWL DE 10</t>
  </si>
  <si>
    <t>TM000418</t>
  </si>
  <si>
    <t>FICHE RCA</t>
  </si>
  <si>
    <t>FICHE RCA MALE</t>
  </si>
  <si>
    <t>TM000419</t>
  </si>
  <si>
    <t>REPARTITEUR 3 DIRECTIONS</t>
  </si>
  <si>
    <t>TM000420</t>
  </si>
  <si>
    <t>REPARTITEUR TV DE MAT 2 SORT.</t>
  </si>
  <si>
    <t>TM000421</t>
  </si>
  <si>
    <t>REPARTITEUR 2 DIRECTIONS F</t>
  </si>
  <si>
    <t>TM000422</t>
  </si>
  <si>
    <t>REPARTITEUR 3 DIRECTIONS F</t>
  </si>
  <si>
    <t>TM000423</t>
  </si>
  <si>
    <t>ADAPT</t>
  </si>
  <si>
    <t>ADAPT 9.5MM/9MM TV</t>
  </si>
  <si>
    <t>TM000424</t>
  </si>
  <si>
    <t>COMMUTATEU</t>
  </si>
  <si>
    <t>COMMUTATEUR 22 KHZ</t>
  </si>
  <si>
    <t>TM000425</t>
  </si>
  <si>
    <t>TONE SWITC</t>
  </si>
  <si>
    <t>TONE SWITCH</t>
  </si>
  <si>
    <t>TM000426</t>
  </si>
  <si>
    <t>PRISE TV</t>
  </si>
  <si>
    <t>PRISE TV SAT RADIO AVEC CADRE</t>
  </si>
  <si>
    <t>TM000427</t>
  </si>
  <si>
    <t>RECEPTEUR SAT SKY DIGIBOX</t>
  </si>
  <si>
    <t>TM000428</t>
  </si>
  <si>
    <t>FIXATION TERRASSE PARABOLE</t>
  </si>
  <si>
    <t>TM000429</t>
  </si>
  <si>
    <t>COUPLEUR/D</t>
  </si>
  <si>
    <t>COUPLEUR/DECOUPLEUR SAT/TV</t>
  </si>
  <si>
    <t>TM000430</t>
  </si>
  <si>
    <t>ANTENNE UHF 21-69 13DB ALCAD</t>
  </si>
  <si>
    <t>TM000431</t>
  </si>
  <si>
    <t>CORDON PERI 10M</t>
  </si>
  <si>
    <t>TM000432</t>
  </si>
  <si>
    <t>WATERLOCK</t>
  </si>
  <si>
    <t>WATERLOCK CAPUCHON ETANCHE SAT</t>
  </si>
  <si>
    <t>TM000433</t>
  </si>
  <si>
    <t>PLAQUE ARNOULD 2M TITANE</t>
  </si>
  <si>
    <t>ARN</t>
  </si>
  <si>
    <t>TM000434</t>
  </si>
  <si>
    <t>BOITE ENCAST IGLOO SIMPLE</t>
  </si>
  <si>
    <t>TM000435</t>
  </si>
  <si>
    <t>BOITE DE CENTRE IGLOO</t>
  </si>
  <si>
    <t>TM000436</t>
  </si>
  <si>
    <t>BOITE ENCAST IGLOO APPLIQUE</t>
  </si>
  <si>
    <t>TM000437</t>
  </si>
  <si>
    <t>BIPLITE</t>
  </si>
  <si>
    <t>BIPLITE PTT L1 L2 ARNOULD</t>
  </si>
  <si>
    <t>TM000438</t>
  </si>
  <si>
    <t>-ATE.DOCE+</t>
  </si>
  <si>
    <t>PHOTOCELLU</t>
  </si>
  <si>
    <t>PHOTOCELLULE EN APPLIQUE</t>
  </si>
  <si>
    <t>ATE</t>
  </si>
  <si>
    <t>TM000439</t>
  </si>
  <si>
    <t>POTELET</t>
  </si>
  <si>
    <t>POTELET DOC L  CELLULE 50 CM</t>
  </si>
  <si>
    <t>TM000440</t>
  </si>
  <si>
    <t>ANTENNE RECEPTEUR FK2</t>
  </si>
  <si>
    <t>TM000441</t>
  </si>
  <si>
    <t>EMETTEUR TFM 2 CANAUX 30.9MHZ</t>
  </si>
  <si>
    <t>TM000442</t>
  </si>
  <si>
    <t>EMETTEUR T222M</t>
  </si>
  <si>
    <t>TM000443</t>
  </si>
  <si>
    <t>EMETTEUR CAME TOP 2 CX MINI</t>
  </si>
  <si>
    <t>TM000444</t>
  </si>
  <si>
    <t>ANTENNE 30.9MHZ CAME SANS CABL</t>
  </si>
  <si>
    <t>TM000445</t>
  </si>
  <si>
    <t>ANTENNE TA433 CAME</t>
  </si>
  <si>
    <t>TM000446</t>
  </si>
  <si>
    <t>EMETTEUR 2CX POCHE CAME 433MHZ</t>
  </si>
  <si>
    <t>TM000447</t>
  </si>
  <si>
    <t>RECEPTEUR EXTENS 1-4 CX 30.9MH</t>
  </si>
  <si>
    <t>TM000448</t>
  </si>
  <si>
    <t>MODULE CANAL SUP TOP-ER CAME</t>
  </si>
  <si>
    <t>TM000449</t>
  </si>
  <si>
    <t>KIT OPERAT</t>
  </si>
  <si>
    <t>KIT OPERATEUR PORTE GARAGE</t>
  </si>
  <si>
    <t>TM000450</t>
  </si>
  <si>
    <t>CARTE</t>
  </si>
  <si>
    <t>CARTE COMMANDE ZA3 CAME</t>
  </si>
  <si>
    <t>TM000451</t>
  </si>
  <si>
    <t>TREPIED</t>
  </si>
  <si>
    <t>TREPIED CHAUFFE EAU ATLANTIC</t>
  </si>
  <si>
    <t>ATL</t>
  </si>
  <si>
    <t>TM000452</t>
  </si>
  <si>
    <t>DISJONCTEU</t>
  </si>
  <si>
    <t>DISJONCTEUR ABONNE TETRA 30-60</t>
  </si>
  <si>
    <t>BAC</t>
  </si>
  <si>
    <t>TM000453</t>
  </si>
  <si>
    <t>DISJ.ABON.</t>
  </si>
  <si>
    <t>DISJ.ABON.10/30A NON DIFF.BACO</t>
  </si>
  <si>
    <t>TM000454</t>
  </si>
  <si>
    <t>APR.P41002/117</t>
  </si>
  <si>
    <t>CABLE ELECTRIQUE 1m NM</t>
  </si>
  <si>
    <t>APR</t>
  </si>
  <si>
    <t>TM000455</t>
  </si>
  <si>
    <t>LINESTRA</t>
  </si>
  <si>
    <t>LINESTRA 500mm 60w</t>
  </si>
  <si>
    <t>BLD</t>
  </si>
  <si>
    <t>TM000456</t>
  </si>
  <si>
    <t>EXTENSEUR</t>
  </si>
  <si>
    <t>EXTENSEUR UNIVERSEL POWER LINK</t>
  </si>
  <si>
    <t>TM000457</t>
  </si>
  <si>
    <t>PARABOLE DIAM78 ACIER TELECIEL</t>
  </si>
  <si>
    <t>TM000458</t>
  </si>
  <si>
    <t>FICHE COAX TV MALE 9.5</t>
  </si>
  <si>
    <t>TM000459</t>
  </si>
  <si>
    <t>ALIMENTATION 12V 100MA 2 SORT</t>
  </si>
  <si>
    <t>TM000460</t>
  </si>
  <si>
    <t>PREAMPLI</t>
  </si>
  <si>
    <t>PREAMPLI 32DB IARE +SEUL+</t>
  </si>
  <si>
    <t>TM000461</t>
  </si>
  <si>
    <t>PRISE TV SAT RADIO</t>
  </si>
  <si>
    <t>TM000462</t>
  </si>
  <si>
    <t>ATTENUATEUR TV 20DB ROUGE</t>
  </si>
  <si>
    <t>TM000463</t>
  </si>
  <si>
    <t>ATTENUATEUR TV 6DB BLEU</t>
  </si>
  <si>
    <t>TM000464</t>
  </si>
  <si>
    <t>COUPLEUR</t>
  </si>
  <si>
    <t>COUPLEUR SAT TV</t>
  </si>
  <si>
    <t>TM000465</t>
  </si>
  <si>
    <t>COMMUTATEUR 2 ENTREES NUM</t>
  </si>
  <si>
    <t>TM000466</t>
  </si>
  <si>
    <t>DEMO NUMER</t>
  </si>
  <si>
    <t>DEMO NUMERIQUE SANS LECTEUR</t>
  </si>
  <si>
    <t>TM000467</t>
  </si>
  <si>
    <t>REPARTITEUR 2D AVEC PC</t>
  </si>
  <si>
    <t>TM000468</t>
  </si>
  <si>
    <t>CAPUCHON ETANCHE FICHE F</t>
  </si>
  <si>
    <t>TM000469</t>
  </si>
  <si>
    <t>BLISTER</t>
  </si>
  <si>
    <t>BLISTER 2FICHE F + CAPUCHON</t>
  </si>
  <si>
    <t>TM000470</t>
  </si>
  <si>
    <t>FICHE COAX MALE</t>
  </si>
  <si>
    <t>TM000471</t>
  </si>
  <si>
    <t>TM000472</t>
  </si>
  <si>
    <t>FICHE</t>
  </si>
  <si>
    <t>FICHE FEMELLE 9.52 LONGUE</t>
  </si>
  <si>
    <t>TM000473</t>
  </si>
  <si>
    <t>CHEVILLE FONTE 8MM PARABOLE</t>
  </si>
  <si>
    <t>TM000474</t>
  </si>
  <si>
    <t>KIT 4</t>
  </si>
  <si>
    <t>KIT 4 CHEVILLES+VIS PARABOLE</t>
  </si>
  <si>
    <t>TM000475</t>
  </si>
  <si>
    <t>VOIR ANT</t>
  </si>
  <si>
    <t>VOIR ANT GKA273 CABLE COAX SATELLITE</t>
  </si>
  <si>
    <t>TM000476</t>
  </si>
  <si>
    <t>AMPLI TV APPARTEMENT 4 SORTIE</t>
  </si>
  <si>
    <t>TM000477</t>
  </si>
  <si>
    <t>KIT 1 UNIVERSEL ALU</t>
  </si>
  <si>
    <t>TM000478</t>
  </si>
  <si>
    <t>KIT UNIVER</t>
  </si>
  <si>
    <t>KIT UNIVERSEL ALU 65CM</t>
  </si>
  <si>
    <t>TM000479</t>
  </si>
  <si>
    <t>KITJ2 1</t>
  </si>
  <si>
    <t>KITJ2 1 UNIVERSEL 86CM ACIER</t>
  </si>
  <si>
    <t>TM000480</t>
  </si>
  <si>
    <t>PARABOLE 60CM + LNB MTI</t>
  </si>
  <si>
    <t>TM000481</t>
  </si>
  <si>
    <t>MAT 0.50</t>
  </si>
  <si>
    <t>MAT  0.50 DIAM 50</t>
  </si>
  <si>
    <t>TM000482</t>
  </si>
  <si>
    <t>PARABOLE WISI 75CM FIBRE+LNB</t>
  </si>
  <si>
    <t>TM000483</t>
  </si>
  <si>
    <t>KIT SAT NUM D65 + LNB</t>
  </si>
  <si>
    <t>TM000484</t>
  </si>
  <si>
    <t>CORDON PERI UNIV.21BR 1.20M</t>
  </si>
  <si>
    <t>TM000485</t>
  </si>
  <si>
    <t>CORDON PERITEL HAUTE QUALITE</t>
  </si>
  <si>
    <t>TM000486</t>
  </si>
  <si>
    <t>REPARTITEUR 2D F SATELLITE</t>
  </si>
  <si>
    <t>TM000487</t>
  </si>
  <si>
    <t>RACCORD COAXIAL ANTENNE DIVERS</t>
  </si>
  <si>
    <t>TM000488</t>
  </si>
  <si>
    <t>RACCORD F</t>
  </si>
  <si>
    <t>TM000489</t>
  </si>
  <si>
    <t>FICHE RCA FEMELLE</t>
  </si>
  <si>
    <t>TM000490</t>
  </si>
  <si>
    <t>-ANT.RCAF/2RCAM</t>
  </si>
  <si>
    <t>ADAPTATEUR</t>
  </si>
  <si>
    <t>ADAPTATEUR RCA F/2RCA M</t>
  </si>
  <si>
    <t>TM000491</t>
  </si>
  <si>
    <t>REPARTITEUR 2 DIRECTIONS</t>
  </si>
  <si>
    <t>TM000492</t>
  </si>
  <si>
    <t>REPARTITEUR 2 DIR 5-2150MHZ CC</t>
  </si>
  <si>
    <t>TM000493</t>
  </si>
  <si>
    <t>REPARTITEUR 4 DIRECTIONS</t>
  </si>
  <si>
    <t>TM000494</t>
  </si>
  <si>
    <t>-ANT.RF3+</t>
  </si>
  <si>
    <t>REPARTITEUR 3 DIR CONN F FUBA</t>
  </si>
  <si>
    <t>TM000495</t>
  </si>
  <si>
    <t>REPARTITEUR 4 DIRECTIONS F</t>
  </si>
  <si>
    <t>TM000496</t>
  </si>
  <si>
    <t>-ANT.RMFE+</t>
  </si>
  <si>
    <t>ADAPT 9MM/9.5MM TV</t>
  </si>
  <si>
    <t>TM000497</t>
  </si>
  <si>
    <t>COMMUTATEUR SAT 2LNB + TERREST</t>
  </si>
  <si>
    <t>TM000498</t>
  </si>
  <si>
    <t>COMMUTATEUR DISECQ NUMERIQUE</t>
  </si>
  <si>
    <t>TM000499</t>
  </si>
  <si>
    <t>REPARTITEUR 2D 5/2300 MHZ F</t>
  </si>
  <si>
    <t>TM000500</t>
  </si>
  <si>
    <t>REPARTITEUR 3D 5/2300 MHZ F</t>
  </si>
  <si>
    <t>TM000501</t>
  </si>
  <si>
    <t>REPARTITEUR 4D 5/2300 MHZ F</t>
  </si>
  <si>
    <t>TM000502</t>
  </si>
  <si>
    <t>TE COAXIAL</t>
  </si>
  <si>
    <t>TM000503</t>
  </si>
  <si>
    <t>DEMODULATEUR ANALOGIQUE TELEVE</t>
  </si>
  <si>
    <t>TM000504</t>
  </si>
  <si>
    <t>VIS RAWL</t>
  </si>
  <si>
    <t>TM000505</t>
  </si>
  <si>
    <t>DEROULEUR</t>
  </si>
  <si>
    <t>DEROULEUR CABLEBOX VIDE</t>
  </si>
  <si>
    <t>TM000506</t>
  </si>
  <si>
    <t>TUBE 125W</t>
  </si>
  <si>
    <t>TUBE 125W CULOTS LATERAUX ARIC 25X750</t>
  </si>
  <si>
    <t>ARI</t>
  </si>
  <si>
    <t>TM000507</t>
  </si>
  <si>
    <t>APPLIQUE</t>
  </si>
  <si>
    <t>APPLIQUE LINO INTER+PC+DIFFUS</t>
  </si>
  <si>
    <t>TM000508</t>
  </si>
  <si>
    <t>APPLIQUE LINO PC 2P+T 16A</t>
  </si>
  <si>
    <t>TM000509</t>
  </si>
  <si>
    <t>BARRE 2</t>
  </si>
  <si>
    <t>BARRE 2 SPOTS BLANC MANTA 80</t>
  </si>
  <si>
    <t>TM000510</t>
  </si>
  <si>
    <t>APPLIQUE 3606H BLANC R7S 150W</t>
  </si>
  <si>
    <t>TM000511</t>
  </si>
  <si>
    <t>VOIR LEG.0</t>
  </si>
  <si>
    <t>VOIR LEG.089344               BOITE</t>
  </si>
  <si>
    <t>ENCAST IGLOO DOUBLE HORI</t>
  </si>
  <si>
    <t>TM000512</t>
  </si>
  <si>
    <t>TIRE FILS</t>
  </si>
  <si>
    <t>TIRE FILS 20M NYLON</t>
  </si>
  <si>
    <t>TM000513</t>
  </si>
  <si>
    <t>COUSSIN</t>
  </si>
  <si>
    <t>COUSSIN CHAUFFANT</t>
  </si>
  <si>
    <t>PAM</t>
  </si>
  <si>
    <t>TM000514</t>
  </si>
  <si>
    <t>CARTE RADIO CAME</t>
  </si>
  <si>
    <t>TM000515</t>
  </si>
  <si>
    <t>ANTENNE RECEPTEUR RADIO NICE</t>
  </si>
  <si>
    <t>TM000516</t>
  </si>
  <si>
    <t>JEU DE</t>
  </si>
  <si>
    <t>JEU DE CELLULES PORTAIL SAILLI</t>
  </si>
  <si>
    <t>TM000517</t>
  </si>
  <si>
    <t>PHOTOCELLULE EN ENCASTRE</t>
  </si>
  <si>
    <t>TM000518</t>
  </si>
  <si>
    <t>EMETTEUR STANDARD KMF.T1</t>
  </si>
  <si>
    <t>TM000519</t>
  </si>
  <si>
    <t>EMETTEUR MINI 2 CANAUX KMFT2P</t>
  </si>
  <si>
    <t>TM000520</t>
  </si>
  <si>
    <t>COFFRET</t>
  </si>
  <si>
    <t>COFFRET CARTE COMMANDE CAME</t>
  </si>
  <si>
    <t>TM000521</t>
  </si>
  <si>
    <t>MODULE RELAIS BISTABLE</t>
  </si>
  <si>
    <t>TM000522</t>
  </si>
  <si>
    <t>RECEPTEUR MODULAIRE TFM 30.9MH</t>
  </si>
  <si>
    <t>TM000523</t>
  </si>
  <si>
    <t>ARMOIRE DE</t>
  </si>
  <si>
    <t>ARMOIRE DE COMMANDE DE PORTAIL</t>
  </si>
  <si>
    <t>TM000524</t>
  </si>
  <si>
    <t>CONVECTEUR</t>
  </si>
  <si>
    <t>CONVECTEUR ATLANTIC 1000W F17</t>
  </si>
  <si>
    <t>TM000525</t>
  </si>
  <si>
    <t>CONVECTEUR 1500W ATLANTIC F17</t>
  </si>
  <si>
    <t>TM000526</t>
  </si>
  <si>
    <t>CONVECTEUR 2000w ATLANTIC F117</t>
  </si>
  <si>
    <t>TM000527</t>
  </si>
  <si>
    <t>INTER DIFF</t>
  </si>
  <si>
    <t>INTER DIFF 2X40A 30MA BACO</t>
  </si>
  <si>
    <t>TM000528</t>
  </si>
  <si>
    <t>INTER DIFF 2X25 30MA  BACO</t>
  </si>
  <si>
    <t>TM000529</t>
  </si>
  <si>
    <t>INTER DIFF 2X63A 30MA BACO</t>
  </si>
  <si>
    <t>TM000530</t>
  </si>
  <si>
    <t>DISJ ABONN</t>
  </si>
  <si>
    <t>DISJ ABONNE 4P 10/30A 500MA</t>
  </si>
  <si>
    <t>TM000531</t>
  </si>
  <si>
    <t>DISJ.ABONN</t>
  </si>
  <si>
    <t>DISJ.ABONNE TETRA SELEC 10/30A</t>
  </si>
  <si>
    <t>TM000532</t>
  </si>
  <si>
    <t>B22 LAITON</t>
  </si>
  <si>
    <t>B22 LAITON 11MM PAST PORCEL DB</t>
  </si>
  <si>
    <t>TM000533</t>
  </si>
  <si>
    <t>B22 ACIER</t>
  </si>
  <si>
    <t>B22 ACIER LAITONNE 10mm PAST</t>
  </si>
  <si>
    <t>TM000534</t>
  </si>
  <si>
    <t>VOIR BLD.0</t>
  </si>
  <si>
    <t>VOIR BLD.016291</t>
  </si>
  <si>
    <t>TM000535</t>
  </si>
  <si>
    <t>FSF FICHE</t>
  </si>
  <si>
    <t>FSF FICHE ELEC FEMELLE 3 BROCH</t>
  </si>
  <si>
    <t>TM000536</t>
  </si>
  <si>
    <t>BLOC MENAG</t>
  </si>
  <si>
    <t>BLOC MENAGER PRO 6 SORTIES</t>
  </si>
  <si>
    <t>TM000537</t>
  </si>
  <si>
    <t>APPLI</t>
  </si>
  <si>
    <t>APPLI LINOLITE PRISE10A +T+INT</t>
  </si>
  <si>
    <t>TM000538</t>
  </si>
  <si>
    <t>RALLONGE PTT 10M FICHE GIGOGNE</t>
  </si>
  <si>
    <t>TM000539</t>
  </si>
  <si>
    <t>BLOC MULTI</t>
  </si>
  <si>
    <t>BLOC MULTIPRISES 5PC 2P+T</t>
  </si>
  <si>
    <t>TM000540</t>
  </si>
  <si>
    <t>BLOC MENAGER 5PC 2P+T +INTER</t>
  </si>
  <si>
    <t>TM000541</t>
  </si>
  <si>
    <t>BLOC MENAGER 6PC 2P+T</t>
  </si>
  <si>
    <t>TM000542</t>
  </si>
  <si>
    <t>TRIPLITE</t>
  </si>
  <si>
    <t>TRIPLITE 6A</t>
  </si>
  <si>
    <t>TM000543</t>
  </si>
  <si>
    <t>TRIDIS</t>
  </si>
  <si>
    <t>TRIDIS 2P+TERRE 10/16A NN</t>
  </si>
  <si>
    <t>TM000544</t>
  </si>
  <si>
    <t>ADAPTATEUR 20A 2P+T/NN/CE</t>
  </si>
  <si>
    <t>TM000545</t>
  </si>
  <si>
    <t>ADAPTEUR</t>
  </si>
  <si>
    <t>ADAPTEUR 20A/1X16A</t>
  </si>
  <si>
    <t>TM000546</t>
  </si>
  <si>
    <t>BRIQUET</t>
  </si>
  <si>
    <t>BRIQUET M3L TOKAI GM TRANSPARE</t>
  </si>
  <si>
    <t>TM000547</t>
  </si>
  <si>
    <t>ADAPTATEUR DOUILLE B22 EN E27</t>
  </si>
  <si>
    <t>TM000548</t>
  </si>
  <si>
    <t>VEILLEUSE</t>
  </si>
  <si>
    <t>VEILLEUSE TRIPLITE NN</t>
  </si>
  <si>
    <t>TM000549</t>
  </si>
  <si>
    <t>LOT 2</t>
  </si>
  <si>
    <t>LOT 2 TOURNEVIS TESTEURS</t>
  </si>
  <si>
    <t>TM000550</t>
  </si>
  <si>
    <t>FICHE MALE</t>
  </si>
  <si>
    <t>FICHE MALE 6A NOIRE</t>
  </si>
  <si>
    <t>TM000551</t>
  </si>
  <si>
    <t>ADAPT 220/110 ET 110/220V 85W</t>
  </si>
  <si>
    <t>TM000552</t>
  </si>
  <si>
    <t>DOUILLE</t>
  </si>
  <si>
    <t>DOUILLE E14 FILETEE PLAST NOIR</t>
  </si>
  <si>
    <t>TM000553</t>
  </si>
  <si>
    <t>DOUILLE VLM E14 DB NOIRE</t>
  </si>
  <si>
    <t>TM000554</t>
  </si>
  <si>
    <t>DOUILLE VLM E14 DB BLANCHE</t>
  </si>
  <si>
    <t>TM000555</t>
  </si>
  <si>
    <t>DOUILLE VLM E14 DB OR</t>
  </si>
  <si>
    <t>TM000556</t>
  </si>
  <si>
    <t>BAGUE 43MM</t>
  </si>
  <si>
    <t>BAGUE 43MM NOIRE</t>
  </si>
  <si>
    <t>TM000557</t>
  </si>
  <si>
    <t>FICHE MALE ETANCHE 10/16A</t>
  </si>
  <si>
    <t>TM000558</t>
  </si>
  <si>
    <t>PATTE</t>
  </si>
  <si>
    <t>PATTE EQUERRE RENTREE AV. BORN</t>
  </si>
  <si>
    <t>TM000559</t>
  </si>
  <si>
    <t>CORDON FLEXICORD 16A 3G1</t>
  </si>
  <si>
    <t>TM000560</t>
  </si>
  <si>
    <t>MULTICORD</t>
  </si>
  <si>
    <t>MULTICORD 8 SORTIES 6A+INTER</t>
  </si>
  <si>
    <t>TM000561</t>
  </si>
  <si>
    <t>VOIR BLD.010151</t>
  </si>
  <si>
    <t>TM000562</t>
  </si>
  <si>
    <t>VOIR BLD.016030</t>
  </si>
  <si>
    <t>TM000563</t>
  </si>
  <si>
    <t>FSM FICHE</t>
  </si>
  <si>
    <t>FSM FICHE ELEC MALE 3 BROCHES</t>
  </si>
  <si>
    <t>TM000564</t>
  </si>
  <si>
    <t>THEBEN</t>
  </si>
  <si>
    <t>THEBEN TIMER 3500W</t>
  </si>
  <si>
    <t>TM000565</t>
  </si>
  <si>
    <t>INTER FIL</t>
  </si>
  <si>
    <t>INTER FIL SOUPLE UNIPOLAIRE B.</t>
  </si>
  <si>
    <t>TM000566</t>
  </si>
  <si>
    <t>INTER LMP</t>
  </si>
  <si>
    <t>INTER LMP GM NOIR</t>
  </si>
  <si>
    <t>TM000567</t>
  </si>
  <si>
    <t>ADAPTATEUR GB/EUROPE 10/16A</t>
  </si>
  <si>
    <t>TM000568</t>
  </si>
  <si>
    <t>FICHE F/GB</t>
  </si>
  <si>
    <t>FICHE F/GB AVEC FUSIBLE/NN/CE</t>
  </si>
  <si>
    <t>TM000569</t>
  </si>
  <si>
    <t>RALLONGE 2P+T 10M</t>
  </si>
  <si>
    <t>TM000570</t>
  </si>
  <si>
    <t>RALLONGE PTT EN 10M</t>
  </si>
  <si>
    <t>TM000571</t>
  </si>
  <si>
    <t>RALLONGE TV 10M</t>
  </si>
  <si>
    <t>TM000572</t>
  </si>
  <si>
    <t>BLOC MENAGER 3PC 2P+T NOIR</t>
  </si>
  <si>
    <t>TM000573</t>
  </si>
  <si>
    <t>BLOC 16A/4</t>
  </si>
  <si>
    <t>BLOC 16A/4 SORTIES/8128/33231</t>
  </si>
  <si>
    <t>TM000574</t>
  </si>
  <si>
    <t>TRIPLITE 16A 2P+T</t>
  </si>
  <si>
    <t>TM000575</t>
  </si>
  <si>
    <t>TRIDIS 16A</t>
  </si>
  <si>
    <t>TRIDIS 16A 2P+T A ECLIPS/27041</t>
  </si>
  <si>
    <t>TM000576</t>
  </si>
  <si>
    <t>TRIPLITE EN TRIANGLE 16A 2P+T</t>
  </si>
  <si>
    <t>TM000577</t>
  </si>
  <si>
    <t>THERMOPLON</t>
  </si>
  <si>
    <t>THERMOPLONGEUR ETUI 300W</t>
  </si>
  <si>
    <t>TM000578</t>
  </si>
  <si>
    <t>LAMPE FLUO</t>
  </si>
  <si>
    <t>LAMPE FLUO COMPACT 11W E27</t>
  </si>
  <si>
    <t>TM000579</t>
  </si>
  <si>
    <t>BIPLITE PTT/TM/2TF/74222</t>
  </si>
  <si>
    <t>TM000580</t>
  </si>
  <si>
    <t>VEILLEUSE SIMPLE 0.5W230V/1525</t>
  </si>
  <si>
    <t>TM000581</t>
  </si>
  <si>
    <t>CLE POLYG</t>
  </si>
  <si>
    <t>CLE POLYG 6 A17 AF x6/SACHET</t>
  </si>
  <si>
    <t>TM000582</t>
  </si>
  <si>
    <t>EMBOUT</t>
  </si>
  <si>
    <t>EMBOUT BOITE RONDE 23 PIECES</t>
  </si>
  <si>
    <t>TM000583</t>
  </si>
  <si>
    <t>VOIR BLD.2</t>
  </si>
  <si>
    <t>VOIR BLD.201036</t>
  </si>
  <si>
    <t>TM000584</t>
  </si>
  <si>
    <t>BAGUE 43MM  BLANCHE</t>
  </si>
  <si>
    <t>TM000585</t>
  </si>
  <si>
    <t>BAGUE 43MM OR</t>
  </si>
  <si>
    <t>TM000586</t>
  </si>
  <si>
    <t>PROLONGATE</t>
  </si>
  <si>
    <t>PROLONGATEUR NN/CE 16A</t>
  </si>
  <si>
    <t>TM000587</t>
  </si>
  <si>
    <t>DOUILLE VLM E27 SB blanche</t>
  </si>
  <si>
    <t>TM000588</t>
  </si>
  <si>
    <t>LAMPE FLUOCOMPACT 23W E27</t>
  </si>
  <si>
    <t>TM000589</t>
  </si>
  <si>
    <t>RACCORD 6</t>
  </si>
  <si>
    <t>RACCORD 6 PANS NYLON B. M:10X1</t>
  </si>
  <si>
    <t>TM000590</t>
  </si>
  <si>
    <t>INTER A</t>
  </si>
  <si>
    <t>INTER A POUSSOIR 2A CC</t>
  </si>
  <si>
    <t>TM000591</t>
  </si>
  <si>
    <t>BAGUE</t>
  </si>
  <si>
    <t>BAGUE PLAST. BLANC H.7</t>
  </si>
  <si>
    <t>TM000592</t>
  </si>
  <si>
    <t>INTER A TIRETTE PLAQUE 2 TROUS</t>
  </si>
  <si>
    <t>TM000593</t>
  </si>
  <si>
    <t>CONTACTEUR</t>
  </si>
  <si>
    <t>CONTACTEUR POUR MEUBLES</t>
  </si>
  <si>
    <t>TM000594</t>
  </si>
  <si>
    <t>CORDON FER</t>
  </si>
  <si>
    <t>CORDON FER 3M/3X1/1067</t>
  </si>
  <si>
    <t>TM000595</t>
  </si>
  <si>
    <t>VOIR BLD.260621</t>
  </si>
  <si>
    <t>TM000596</t>
  </si>
  <si>
    <t>DOUILLE ETRIER 140*14*43MM</t>
  </si>
  <si>
    <t>TM000597</t>
  </si>
  <si>
    <t>DOUILLE ETRIER 140x14x43MM</t>
  </si>
  <si>
    <t>TM000598</t>
  </si>
  <si>
    <t>CORDON MENAGER/ALIM 3 POLES</t>
  </si>
  <si>
    <t>TM000599</t>
  </si>
  <si>
    <t>RALLONGE 2M 2POLES</t>
  </si>
  <si>
    <t>TM000600</t>
  </si>
  <si>
    <t>BRIQUET TOKAI FIRE BOY GM3R</t>
  </si>
  <si>
    <t>TM000601</t>
  </si>
  <si>
    <t>BLOC MENAGER CARRE S/CORDON</t>
  </si>
  <si>
    <t>TM000602</t>
  </si>
  <si>
    <t>BLOC MENAGER CARRE + CORDON</t>
  </si>
  <si>
    <t>TM000603</t>
  </si>
  <si>
    <t>TALON 75MM</t>
  </si>
  <si>
    <t>TM000604</t>
  </si>
  <si>
    <t>RALLONGE 2P+T EN 3M</t>
  </si>
  <si>
    <t>TM000605</t>
  </si>
  <si>
    <t>RALLONGE 3M 2 POLES</t>
  </si>
  <si>
    <t>TM000606</t>
  </si>
  <si>
    <t>RALLONGE DE JARDIN 20M 2X1MM2</t>
  </si>
  <si>
    <t>TM000607</t>
  </si>
  <si>
    <t>BALLAST</t>
  </si>
  <si>
    <t>BALLAST 1X58w/65w NC</t>
  </si>
  <si>
    <t>TM000608</t>
  </si>
  <si>
    <t>CLE MALE/M</t>
  </si>
  <si>
    <t>CLE MALE/MONTUREx8 TYPE TORX</t>
  </si>
  <si>
    <t>TM000609</t>
  </si>
  <si>
    <t>DOUILLE VERROUILLABLE SIMPLE</t>
  </si>
  <si>
    <t>TM000610</t>
  </si>
  <si>
    <t>DOUILLE VERROUILLABLE SUPPORT</t>
  </si>
  <si>
    <t>TM000611</t>
  </si>
  <si>
    <t>RALLONGE 4M 2 POLES</t>
  </si>
  <si>
    <t>TM000612</t>
  </si>
  <si>
    <t>PRISE IEC</t>
  </si>
  <si>
    <t>PRISE IEC CHASSIS M/M</t>
  </si>
  <si>
    <t>TM000613</t>
  </si>
  <si>
    <t>CORDON 1.5M FICHE MALE 2P+T</t>
  </si>
  <si>
    <t>TM000614</t>
  </si>
  <si>
    <t>RALLONGE DE JARDIN 20M 3X1MM2</t>
  </si>
  <si>
    <t>TM000615</t>
  </si>
  <si>
    <t>PROGRAMMAT</t>
  </si>
  <si>
    <t>PROGRAMMATEUR MECANIQUE PROMO</t>
  </si>
  <si>
    <t>TM000616</t>
  </si>
  <si>
    <t>COLLE</t>
  </si>
  <si>
    <t>COLLE SUPERGLUE X 2</t>
  </si>
  <si>
    <t>TM000617</t>
  </si>
  <si>
    <t>RALLONGE 2P+T EN 5M</t>
  </si>
  <si>
    <t>TM000618</t>
  </si>
  <si>
    <t>RALLONGE 2</t>
  </si>
  <si>
    <t>RALLONGE 2 POLES EN 5M</t>
  </si>
  <si>
    <t>TM000619</t>
  </si>
  <si>
    <t>RALLONGE PTT EN 5M+GIGOGNE</t>
  </si>
  <si>
    <t>TM000620</t>
  </si>
  <si>
    <t>CORDON SPIRALE PTT 5M</t>
  </si>
  <si>
    <t>TM000621</t>
  </si>
  <si>
    <t>8.5X23/10A</t>
  </si>
  <si>
    <t>8.5x23/10A/STD/PROMO. PAR 100</t>
  </si>
  <si>
    <t>TM000622</t>
  </si>
  <si>
    <t>VOIR 625.1</t>
  </si>
  <si>
    <t>VOIR 625.16P</t>
  </si>
  <si>
    <t>TM000623</t>
  </si>
  <si>
    <t>10.3*25.8/</t>
  </si>
  <si>
    <t>10.3*25.8/10A/STD/PROMO PAR100</t>
  </si>
  <si>
    <t>TM000624</t>
  </si>
  <si>
    <t>FUSIBLE</t>
  </si>
  <si>
    <t>FUSIBLE 10.3x25.8/16A/STD</t>
  </si>
  <si>
    <t>TM000625</t>
  </si>
  <si>
    <t>FUSIBLE 8.5x31.5 4A/72304</t>
  </si>
  <si>
    <t>TM000626</t>
  </si>
  <si>
    <t>ADAPTATEUR UNIVERSEL MONDIAL</t>
  </si>
  <si>
    <t>TM000627</t>
  </si>
  <si>
    <t>BIPLITE TEL 8 PLOTS</t>
  </si>
  <si>
    <t>TM000628</t>
  </si>
  <si>
    <t>FUSIBLE 8.5x23 16A/71318</t>
  </si>
  <si>
    <t>TM000629</t>
  </si>
  <si>
    <t>VOIR BLD.7</t>
  </si>
  <si>
    <t>VOIR BLD.72783</t>
  </si>
  <si>
    <t>TM000630</t>
  </si>
  <si>
    <t>ALIMENTATION UNIVERSELLE 500MA</t>
  </si>
  <si>
    <t>TM000631</t>
  </si>
  <si>
    <t>VOIR BLD.2614246W</t>
  </si>
  <si>
    <t>TM000632</t>
  </si>
  <si>
    <t>DOUILLE UNIVERSELLE A VIS</t>
  </si>
  <si>
    <t>TM000633</t>
  </si>
  <si>
    <t>DOUILLE GY6.35 STD</t>
  </si>
  <si>
    <t>TM000634</t>
  </si>
  <si>
    <t>DOUILLE UNIVERSELLE</t>
  </si>
  <si>
    <t>TM000635</t>
  </si>
  <si>
    <t>PITON</t>
  </si>
  <si>
    <t>PITON BASCULE FERM+</t>
  </si>
  <si>
    <t>TM000636</t>
  </si>
  <si>
    <t>BLOC MENAGER 3PC+T+2PC2P BRUN</t>
  </si>
  <si>
    <t>TM000637</t>
  </si>
  <si>
    <t>BLOC 3PC</t>
  </si>
  <si>
    <t>BLOC 3PC 2P+T</t>
  </si>
  <si>
    <t>TM000638</t>
  </si>
  <si>
    <t>BLOC MENAGER 4PC+T BRUN</t>
  </si>
  <si>
    <t>TM000639</t>
  </si>
  <si>
    <t>CONNECTEUR</t>
  </si>
  <si>
    <t>CONNECTEUR SOCLE MOBILE</t>
  </si>
  <si>
    <t>TM000640</t>
  </si>
  <si>
    <t>CONNECTEUR PRISE MOBILE 120ª</t>
  </si>
  <si>
    <t>TM000641</t>
  </si>
  <si>
    <t>TALON</t>
  </si>
  <si>
    <t>TALON LUMINAIRE 40mm</t>
  </si>
  <si>
    <t>TM000642</t>
  </si>
  <si>
    <t>BARRETTE</t>
  </si>
  <si>
    <t>BARRETTE DE 35MM2 BRUN</t>
  </si>
  <si>
    <t>TM000643</t>
  </si>
  <si>
    <t>BLOC MENAGER 5PC 2P+T FAAC</t>
  </si>
  <si>
    <t>TM000644</t>
  </si>
  <si>
    <t>BLOC 16A/5</t>
  </si>
  <si>
    <t>BLOC 16A/5 SORTIES+INTER/34331</t>
  </si>
  <si>
    <t>TM000645</t>
  </si>
  <si>
    <t>RALLONGE 4M 2P+T</t>
  </si>
  <si>
    <t>TM000646</t>
  </si>
  <si>
    <t>PROJECTEUR</t>
  </si>
  <si>
    <t>PROJECTEUR DE CHANTIER EBENOID</t>
  </si>
  <si>
    <t>TM000647</t>
  </si>
  <si>
    <t>RALLONGE PTT 5M FLEXIBLE</t>
  </si>
  <si>
    <t>TM000648</t>
  </si>
  <si>
    <t>BLOC MENAGER 5PRISES+ INTER</t>
  </si>
  <si>
    <t>TM000649</t>
  </si>
  <si>
    <t>8.5*23/10A</t>
  </si>
  <si>
    <t>8.5*23/10A/STD</t>
  </si>
  <si>
    <t>TM000650</t>
  </si>
  <si>
    <t>TORCHE</t>
  </si>
  <si>
    <t>TORCHE COULEUR VARTA 2xR20</t>
  </si>
  <si>
    <t>TM000651</t>
  </si>
  <si>
    <t>FUSIBLE 8.5x31.5 6A/72306</t>
  </si>
  <si>
    <t>TM000652</t>
  </si>
  <si>
    <t>FUSIBLE 8.5x31.5 8A/72308</t>
  </si>
  <si>
    <t>TM000653</t>
  </si>
  <si>
    <t>FUSIBLE 8.5x31.5 12A/72312</t>
  </si>
  <si>
    <t>TM000654</t>
  </si>
  <si>
    <t>8.5*31.5/1</t>
  </si>
  <si>
    <t>8.5*31.5/16A/STD PROMO PAR 100</t>
  </si>
  <si>
    <t>TM000655</t>
  </si>
  <si>
    <t>8.5*31.5/2</t>
  </si>
  <si>
    <t>8.5*31.5/20A/STD PROMO PAR 100</t>
  </si>
  <si>
    <t>TM000656</t>
  </si>
  <si>
    <t>PROGRAMMATEUR SUR PRISE 16A</t>
  </si>
  <si>
    <t>TM000657</t>
  </si>
  <si>
    <t>PINCE</t>
  </si>
  <si>
    <t>PINCE COSSE 200MM/BLISTER</t>
  </si>
  <si>
    <t>TM000658</t>
  </si>
  <si>
    <t>LAMPE BUREAU FRANKY NEON VERTE</t>
  </si>
  <si>
    <t>TM000659</t>
  </si>
  <si>
    <t>BLOC 16A/4 SORTIE + INTER</t>
  </si>
  <si>
    <t>TM000660</t>
  </si>
  <si>
    <t>ENTREE</t>
  </si>
  <si>
    <t>ENTREE PLUG/SORTIE 2 PLUG/USM</t>
  </si>
  <si>
    <t>TM000661</t>
  </si>
  <si>
    <t>INTER BIPOLAIRE 16A/GM/ROUGE</t>
  </si>
  <si>
    <t>TM000662</t>
  </si>
  <si>
    <t>BLOC MENAGER 8 PC 2 POLES</t>
  </si>
  <si>
    <t>TM000663</t>
  </si>
  <si>
    <t>FUSIBLE TEMPORISE 5X20 5A</t>
  </si>
  <si>
    <t>TM000664</t>
  </si>
  <si>
    <t>TESTEUR</t>
  </si>
  <si>
    <t>TESTEUR FUSIBLES LUMINEUX</t>
  </si>
  <si>
    <t>TM000665</t>
  </si>
  <si>
    <t>REDUCTEUR</t>
  </si>
  <si>
    <t>REDUCTEUR ABAT-JOUR</t>
  </si>
  <si>
    <t>TM000666</t>
  </si>
  <si>
    <t>VOIR BLD.7718P</t>
  </si>
  <si>
    <t>TM000667</t>
  </si>
  <si>
    <t>FICHE FEMELLE PTT PLUG/</t>
  </si>
  <si>
    <t>TM000668</t>
  </si>
  <si>
    <t>FICHE MALE PTT PLUG/USF/TG8</t>
  </si>
  <si>
    <t>TM000669</t>
  </si>
  <si>
    <t>INTER BIPOLAIRE 16A/GM/VERT</t>
  </si>
  <si>
    <t>TM000670</t>
  </si>
  <si>
    <t>PLUG/RJ</t>
  </si>
  <si>
    <t>PLUG/RJ 11/USM6/6</t>
  </si>
  <si>
    <t>TM000671</t>
  </si>
  <si>
    <t>BARRETTES</t>
  </si>
  <si>
    <t>BARRETTES 10MM2/26010</t>
  </si>
  <si>
    <t>TM000672</t>
  </si>
  <si>
    <t>COUTEAU 13</t>
  </si>
  <si>
    <t>COUTEAU 13 FONCTIONS + ETUI</t>
  </si>
  <si>
    <t>TM000673</t>
  </si>
  <si>
    <t>VOIR BLD.9</t>
  </si>
  <si>
    <t>VOIR BLD.92001</t>
  </si>
  <si>
    <t>TM000674</t>
  </si>
  <si>
    <t>FUSIBLE TEMPORISE 5*20 1.250A</t>
  </si>
  <si>
    <t>TM000675</t>
  </si>
  <si>
    <t>FUSIBLE TEMPORISE 5X20 1.6A</t>
  </si>
  <si>
    <t>TM000676</t>
  </si>
  <si>
    <t>FUSIBLE TEMPORISE 5X20 2A</t>
  </si>
  <si>
    <t>TM000677</t>
  </si>
  <si>
    <t>LAMPE FLUO COMPACT 9W E27</t>
  </si>
  <si>
    <t>TM000678</t>
  </si>
  <si>
    <t>ADAPTATEUR B22 / E27</t>
  </si>
  <si>
    <t>TM000679</t>
  </si>
  <si>
    <t>DOUILLE B15</t>
  </si>
  <si>
    <t>TM000680</t>
  </si>
  <si>
    <t>DOUILLE LAITON B22 SB</t>
  </si>
  <si>
    <t>TM000681</t>
  </si>
  <si>
    <t>DOUILLE B22 ACIER LAITONNE SB</t>
  </si>
  <si>
    <t>TM000682</t>
  </si>
  <si>
    <t>INTER BIFILAIRE TTES COULEURS</t>
  </si>
  <si>
    <t>TM000683</t>
  </si>
  <si>
    <t>BIPLITE PTT</t>
  </si>
  <si>
    <t>TM000684</t>
  </si>
  <si>
    <t>-BLD.BL/2F/07</t>
  </si>
  <si>
    <t>HO3 2F</t>
  </si>
  <si>
    <t>HO3 2F 2X0.75 BLANC LE M</t>
  </si>
  <si>
    <t>TM000685</t>
  </si>
  <si>
    <t>CHASSE</t>
  </si>
  <si>
    <t>CHASSE NUISIBLES SUR PRISE</t>
  </si>
  <si>
    <t>TM000686</t>
  </si>
  <si>
    <t>BLOC MENAGER 3 PRISES 2p+T</t>
  </si>
  <si>
    <t>TM000687</t>
  </si>
  <si>
    <t>BLOC MENAGER 4PRISES + INTER</t>
  </si>
  <si>
    <t>TM000688</t>
  </si>
  <si>
    <t>VOIR BLD.D</t>
  </si>
  <si>
    <t>VOIR BLD.DE30315</t>
  </si>
  <si>
    <t>TM000689</t>
  </si>
  <si>
    <t>BLOC MENAGER 6PC + T</t>
  </si>
  <si>
    <t>TM000690</t>
  </si>
  <si>
    <t>VOIR BLD.DE30318</t>
  </si>
  <si>
    <t>TM000691</t>
  </si>
  <si>
    <t>BIPLITE PTT BLD BEIGE</t>
  </si>
  <si>
    <t>TM000692</t>
  </si>
  <si>
    <t>RALLONGE 2M 2P+T BLD</t>
  </si>
  <si>
    <t>TM000693</t>
  </si>
  <si>
    <t>RALLONGE 3M 2P+T  BLD</t>
  </si>
  <si>
    <t>TM000694</t>
  </si>
  <si>
    <t>BLISTER 1</t>
  </si>
  <si>
    <t>BLISTER 1 PILE SALINE 9V</t>
  </si>
  <si>
    <t>TM000695</t>
  </si>
  <si>
    <t>VOIR BLD.E</t>
  </si>
  <si>
    <t>VOIR BLD.E5036</t>
  </si>
  <si>
    <t>TM000696</t>
  </si>
  <si>
    <t>FLUO COMPA</t>
  </si>
  <si>
    <t>FLUO COMPACTE 15W BLISTER</t>
  </si>
  <si>
    <t>TM000697</t>
  </si>
  <si>
    <t>TORCHE PRO</t>
  </si>
  <si>
    <t>TORCHE PRO G-TECH LR03 PORTCLE</t>
  </si>
  <si>
    <t>TM000698</t>
  </si>
  <si>
    <t>PANACELL</t>
  </si>
  <si>
    <t>PANACELL ALCALINE LR03X 4</t>
  </si>
  <si>
    <t>TM000699</t>
  </si>
  <si>
    <t>TESTEUR TOUS TYPES DE PILES</t>
  </si>
  <si>
    <t>TM000700</t>
  </si>
  <si>
    <t>MINI R6 MG</t>
  </si>
  <si>
    <t>MINI R6 MG BLEU</t>
  </si>
  <si>
    <t>TM000701</t>
  </si>
  <si>
    <t>DOUILLE B22 D/BAGUE ACIER</t>
  </si>
  <si>
    <t>TM000702</t>
  </si>
  <si>
    <t>DOUILLE B22 PLASTIQUE</t>
  </si>
  <si>
    <t>TM000703</t>
  </si>
  <si>
    <t>BOUTON</t>
  </si>
  <si>
    <t>BOUTON POUSSOIR CHROME ROND</t>
  </si>
  <si>
    <t>TM000704</t>
  </si>
  <si>
    <t>VOIR BLD.DE30309</t>
  </si>
  <si>
    <t>TM000705</t>
  </si>
  <si>
    <t>RALLONGE PTT 5M MALE/FEM</t>
  </si>
  <si>
    <t>TM000706</t>
  </si>
  <si>
    <t>BLISTER 4</t>
  </si>
  <si>
    <t>BLISTER 4 PILES SALINES R3</t>
  </si>
  <si>
    <t>TM000707</t>
  </si>
  <si>
    <t>FLUO COMPACTE 20W BLISTER</t>
  </si>
  <si>
    <t>TM000708</t>
  </si>
  <si>
    <t>FLUO COMPACTE STD 15W BLISTER</t>
  </si>
  <si>
    <t>TM000709</t>
  </si>
  <si>
    <t>VOIR BLD.L</t>
  </si>
  <si>
    <t>VOIR BLD.LD2114PH</t>
  </si>
  <si>
    <t>TM000710</t>
  </si>
  <si>
    <t>HO3 2F 2*0.75 NOIR LE M</t>
  </si>
  <si>
    <t>TM000711</t>
  </si>
  <si>
    <t>PANACELL SALINE 6F22B X1</t>
  </si>
  <si>
    <t>TM000712</t>
  </si>
  <si>
    <t>PROJECTEUR ABS AVEC PILE PORTO</t>
  </si>
  <si>
    <t>TM000713</t>
  </si>
  <si>
    <t>TUBE ECHEL</t>
  </si>
  <si>
    <t>TUBE ECHELLE 25W E14 115mm230v</t>
  </si>
  <si>
    <t>TM000714</t>
  </si>
  <si>
    <t>CORDON TV</t>
  </si>
  <si>
    <t>CORDON TV 5m/9.52mm/TVM500TVM</t>
  </si>
  <si>
    <t>TM000715</t>
  </si>
  <si>
    <t>ADAPT SECTEUR US FR/ RESER EXP</t>
  </si>
  <si>
    <t>TM000716</t>
  </si>
  <si>
    <t>RASOIR</t>
  </si>
  <si>
    <t>RASOIR BRAUN FLEX CONTROL 4005</t>
  </si>
  <si>
    <t>TM000717</t>
  </si>
  <si>
    <t>RASOIR BRAUN 5015 FLEX INT</t>
  </si>
  <si>
    <t>TM000718</t>
  </si>
  <si>
    <t>FIL EN</t>
  </si>
  <si>
    <t>FIL EN 10MM2 LES 3 COULEURS</t>
  </si>
  <si>
    <t>CAB</t>
  </si>
  <si>
    <t>TM000719</t>
  </si>
  <si>
    <t>CABLE PTT</t>
  </si>
  <si>
    <t>CABLE PTT EN 10P 0.6 LEM</t>
  </si>
  <si>
    <t>TM000720</t>
  </si>
  <si>
    <t>FIL EN 16MM2 LES 3 COULEURS</t>
  </si>
  <si>
    <t>TM000721</t>
  </si>
  <si>
    <t>FIL 16MM2</t>
  </si>
  <si>
    <t>FIL 16MM2 SOUPLE</t>
  </si>
  <si>
    <t>TM000722</t>
  </si>
  <si>
    <t>FIL EN 2.5</t>
  </si>
  <si>
    <t>FIL EN 2.5 AMIANTE</t>
  </si>
  <si>
    <t>TM000723</t>
  </si>
  <si>
    <t>CABLE SON</t>
  </si>
  <si>
    <t>CABLE SON BLINDE 2X0.14 PLAT</t>
  </si>
  <si>
    <t>TM000724</t>
  </si>
  <si>
    <t>CABLE TELEPHONE PTT 4p0.6 PLAT BLANC</t>
  </si>
  <si>
    <t>TM000725</t>
  </si>
  <si>
    <t>CABLE COAXIAL 50 OHMS FIN</t>
  </si>
  <si>
    <t>TM000726</t>
  </si>
  <si>
    <t>CABLE TELEPHONE PTT 5PAIRES  0.6 LE M</t>
  </si>
  <si>
    <t>TM000727</t>
  </si>
  <si>
    <t>CABLE TELEPHONE PTT 5 PAIRES 0.9MM2</t>
  </si>
  <si>
    <t>BLINDE</t>
  </si>
  <si>
    <t>TM000728</t>
  </si>
  <si>
    <t>FIL 6MM2</t>
  </si>
  <si>
    <t>FIL 6MM2 TOUTES COULEURS</t>
  </si>
  <si>
    <t>TM000729</t>
  </si>
  <si>
    <t>FIL SOUPLE</t>
  </si>
  <si>
    <t>FIL SOUPLE EN 6MM2</t>
  </si>
  <si>
    <t>TM000730</t>
  </si>
  <si>
    <t>CABLE PTT 7P0.6</t>
  </si>
  <si>
    <t>TM000731</t>
  </si>
  <si>
    <t>CABLE BLEU</t>
  </si>
  <si>
    <t>CABLE BLEU SOUPLE 4G2.5</t>
  </si>
  <si>
    <t>TM000732</t>
  </si>
  <si>
    <t>CABLE ILLUMINATION LE M</t>
  </si>
  <si>
    <t>TM000733</t>
  </si>
  <si>
    <t>FIL MICRO</t>
  </si>
  <si>
    <t>FIL MICRO ROND 3 fils 3x0.50</t>
  </si>
  <si>
    <t>TM000734</t>
  </si>
  <si>
    <t>CABLE SCIND.NM 2X0.5</t>
  </si>
  <si>
    <t>TM000735</t>
  </si>
  <si>
    <t>CABLE MEPLAT 2X0.75</t>
  </si>
  <si>
    <t>TM000736</t>
  </si>
  <si>
    <t>RALLONGE 2M 2P+T</t>
  </si>
  <si>
    <t>TM000737</t>
  </si>
  <si>
    <t>HO3 2F 2*0.75 MARRON LE M</t>
  </si>
  <si>
    <t>TM000738</t>
  </si>
  <si>
    <t>PANACELL SALINE R03X4</t>
  </si>
  <si>
    <t>TM000739</t>
  </si>
  <si>
    <t>PANACELL ALCALINE LR03X4</t>
  </si>
  <si>
    <t>TM000740</t>
  </si>
  <si>
    <t>CORDON RASOIR EXTENSIBLE</t>
  </si>
  <si>
    <t>TM000741</t>
  </si>
  <si>
    <t>REVEIL</t>
  </si>
  <si>
    <t>REVEIL PROMO AVEC ALARME</t>
  </si>
  <si>
    <t>TM000742</t>
  </si>
  <si>
    <t>FIL SILICO</t>
  </si>
  <si>
    <t>FIL SILICONE BLEU ou MARRON</t>
  </si>
  <si>
    <t>TM000743</t>
  </si>
  <si>
    <t>CORDON TV 2m/9.52mm/TVM200TVM</t>
  </si>
  <si>
    <t>TM000744</t>
  </si>
  <si>
    <t>CORDON TV 3mm/9.52mm/TVM300</t>
  </si>
  <si>
    <t>TM000745</t>
  </si>
  <si>
    <t>VENTILATEU</t>
  </si>
  <si>
    <t>VENTILATEUR PORTABLE A PILES</t>
  </si>
  <si>
    <t>TM000746</t>
  </si>
  <si>
    <t>HYDROPULSE</t>
  </si>
  <si>
    <t>HYDROPULSEUR MD31 BRAUUN</t>
  </si>
  <si>
    <t>TM000747</t>
  </si>
  <si>
    <t>FIL 1.5 EN</t>
  </si>
  <si>
    <t>FIL 1.5 EN 100M LES 3 COUL</t>
  </si>
  <si>
    <t>TM000748</t>
  </si>
  <si>
    <t>FIL 1.5</t>
  </si>
  <si>
    <t>FIL 1.5 AMIANTE LE M</t>
  </si>
  <si>
    <t>TM000749</t>
  </si>
  <si>
    <t>FIL EN 1.5</t>
  </si>
  <si>
    <t>FIL EN 1.5 SOUPLE LE M</t>
  </si>
  <si>
    <t>TM000750</t>
  </si>
  <si>
    <t>FIL SOUPLE EN 10MM2</t>
  </si>
  <si>
    <t>TM000751</t>
  </si>
  <si>
    <t>FIL EN 2.5MM2</t>
  </si>
  <si>
    <t>TM000752</t>
  </si>
  <si>
    <t>FIL EN 2.5 SOUPLE</t>
  </si>
  <si>
    <t>TM000753</t>
  </si>
  <si>
    <t>CABLE PTT 2PAIRES 0.6</t>
  </si>
  <si>
    <t>TM000754</t>
  </si>
  <si>
    <t>FIL SCINDL</t>
  </si>
  <si>
    <t>FIL SCINDLEX 2X0.5MM2</t>
  </si>
  <si>
    <t>TM000755</t>
  </si>
  <si>
    <t>FIL SCINDLEX 2X0.75 LE M</t>
  </si>
  <si>
    <t>TM000756</t>
  </si>
  <si>
    <t>CABLE HIFI</t>
  </si>
  <si>
    <t>CABLE HIFI 2 X 2.5 MM2 NOIR</t>
  </si>
  <si>
    <t>TM000757</t>
  </si>
  <si>
    <t>CABLE PTT 3 PAIRES 0.6</t>
  </si>
  <si>
    <t>TM000758</t>
  </si>
  <si>
    <t>FIL AMIANT</t>
  </si>
  <si>
    <t>FIL AMIANTE EN 4MM2</t>
  </si>
  <si>
    <t>TM000759</t>
  </si>
  <si>
    <t>FIL SOUPLE EN 4MM2 LE M</t>
  </si>
  <si>
    <t>TM000760</t>
  </si>
  <si>
    <t>CABLE TELEPHONE PTT 4 PAIRES 0.6 LE M</t>
  </si>
  <si>
    <t>TM000761</t>
  </si>
  <si>
    <t>CABLE PLAT</t>
  </si>
  <si>
    <t>CABLE PLAT 4P BLINDE INFORMAT</t>
  </si>
  <si>
    <t>TM000762</t>
  </si>
  <si>
    <t>CABLE SOUPLE NOIR 12X1.5</t>
  </si>
  <si>
    <t>TM000763</t>
  </si>
  <si>
    <t>VOIR CAB.C</t>
  </si>
  <si>
    <t>VOIR CAB.CABLETTE25</t>
  </si>
  <si>
    <t>TM000764</t>
  </si>
  <si>
    <t>CABLE INFOR+NUMERIQUE PLAT 8</t>
  </si>
  <si>
    <t>TM000765</t>
  </si>
  <si>
    <t>FIL MICRO ROND 3fils 3x0.22</t>
  </si>
  <si>
    <t>TM000766</t>
  </si>
  <si>
    <t>CABLE SOUPLE NOIR 2X2.5</t>
  </si>
  <si>
    <t>TM000767</t>
  </si>
  <si>
    <t>CABLE SOUPLE 3X1.5 LE M</t>
  </si>
  <si>
    <t>TM000768</t>
  </si>
  <si>
    <t>CABLE SOUPLE 2X1.5 LE M</t>
  </si>
  <si>
    <t>TM000769</t>
  </si>
  <si>
    <t>CABLE SOUPLE 2X2.5 LE M</t>
  </si>
  <si>
    <t>TM000770</t>
  </si>
  <si>
    <t>CABLE SOUPLE 3X1 LE M</t>
  </si>
  <si>
    <t>TM000771</t>
  </si>
  <si>
    <t>CABLE SOUPLE 3X2.5 LE M</t>
  </si>
  <si>
    <t>TM000772</t>
  </si>
  <si>
    <t>CABLE SOUPLE 4X1.5 LE M</t>
  </si>
  <si>
    <t>TM000773</t>
  </si>
  <si>
    <t>CABLE SOUPLE 4X1MM2 LE M</t>
  </si>
  <si>
    <t>TM000774</t>
  </si>
  <si>
    <t>CABLE SOUPLE 5X1.5 LE M</t>
  </si>
  <si>
    <t>TM000775</t>
  </si>
  <si>
    <t>CABLE SOUPLE NOIR INDUST 5G2.5</t>
  </si>
  <si>
    <t>TM000776</t>
  </si>
  <si>
    <t>CABLE SOUPLE NOIR 2X1.5 LE M</t>
  </si>
  <si>
    <t>TM000777</t>
  </si>
  <si>
    <t>TM000778</t>
  </si>
  <si>
    <t>CABLE SOUPLE NOIR 3X2.5</t>
  </si>
  <si>
    <t>TM000779</t>
  </si>
  <si>
    <t>CABLE SOUPLE NOIR 3X4 LE M</t>
  </si>
  <si>
    <t>TM000780</t>
  </si>
  <si>
    <t>CABLE SOUPLE NOIR 3X6</t>
  </si>
  <si>
    <t>TM000781</t>
  </si>
  <si>
    <t>CABLE SOUPLE NOIR HO7 5G6</t>
  </si>
  <si>
    <t>TM000782</t>
  </si>
  <si>
    <t>CABLE SOUPLE NOIR 5X1.5 LE M</t>
  </si>
  <si>
    <t>TM000783</t>
  </si>
  <si>
    <t>CABLE SOUPLE NOIR 5X10MM2</t>
  </si>
  <si>
    <t>TM000784</t>
  </si>
  <si>
    <t>CABLE SOUPLE NOIR 5X16 LE M</t>
  </si>
  <si>
    <t>TM000785</t>
  </si>
  <si>
    <t>CABLE SOUPLE NOIR 5X25MM2</t>
  </si>
  <si>
    <t>TM000786</t>
  </si>
  <si>
    <t>CABLE SOUPLE NOIR 5X6MM2 LE M</t>
  </si>
  <si>
    <t>TM000787</t>
  </si>
  <si>
    <t>FIL REPERE</t>
  </si>
  <si>
    <t>FIL REPERE 2X0.75</t>
  </si>
  <si>
    <t>TM000788</t>
  </si>
  <si>
    <t>MORPION</t>
  </si>
  <si>
    <t>MORPION RACCORD CABLETTE</t>
  </si>
  <si>
    <t>TM000789</t>
  </si>
  <si>
    <t>CABLE RIGIDE 5X2.5</t>
  </si>
  <si>
    <t>TM000790</t>
  </si>
  <si>
    <t>CABLE R2V</t>
  </si>
  <si>
    <t>CABLE R2V 1 X 2.5 MM2</t>
  </si>
  <si>
    <t>TM000791</t>
  </si>
  <si>
    <t>CABLE NOIR</t>
  </si>
  <si>
    <t>CABLE NOIR R2V2X1.5</t>
  </si>
  <si>
    <t>TM000792</t>
  </si>
  <si>
    <t>CABLE NOIR R2V 2X10</t>
  </si>
  <si>
    <t>TM000793</t>
  </si>
  <si>
    <t>CABLE NOIR 2X16MM2 LE M</t>
  </si>
  <si>
    <t>TM000794</t>
  </si>
  <si>
    <t>CABLE NOIR RIGIDE 2X2.5 LE M</t>
  </si>
  <si>
    <t>TM000795</t>
  </si>
  <si>
    <t>CABLE NOIR 2X25MM2</t>
  </si>
  <si>
    <t>TM000796</t>
  </si>
  <si>
    <t>CABLE NOIR 2X4MM2 LE M</t>
  </si>
  <si>
    <t>TM000797</t>
  </si>
  <si>
    <t>CABLE NOIR R2V 2x50</t>
  </si>
  <si>
    <t>TM000798</t>
  </si>
  <si>
    <t>CABLE INDUST RIGIDE U 1000 R2V</t>
  </si>
  <si>
    <t>TM000799</t>
  </si>
  <si>
    <t>CABLE NOIR 3X1.5 SANS VERT JAU</t>
  </si>
  <si>
    <t>TM000800</t>
  </si>
  <si>
    <t>CABLE NOIR R2V 3X4MM2</t>
  </si>
  <si>
    <t>TM000801</t>
  </si>
  <si>
    <t>CABLE NOIR R2V 3X6 LE M</t>
  </si>
  <si>
    <t>TM000802</t>
  </si>
  <si>
    <t>CABLE NOIR R2V 4X1.5</t>
  </si>
  <si>
    <t>TM000803</t>
  </si>
  <si>
    <t>CABLE NOIR 4X16 SANS V/JAUNE</t>
  </si>
  <si>
    <t>TM000804</t>
  </si>
  <si>
    <t>CABLE NOIR 4X2.5 LE M</t>
  </si>
  <si>
    <t>TM000805</t>
  </si>
  <si>
    <t>CABLE NOIR R2V4X25 LE M</t>
  </si>
  <si>
    <t>TM000806</t>
  </si>
  <si>
    <t>CABLE NOIR 4X4MM2 LE M</t>
  </si>
  <si>
    <t>TM000807</t>
  </si>
  <si>
    <t>CABLE NOIR 5X1.5 LE M</t>
  </si>
  <si>
    <t>TM000808</t>
  </si>
  <si>
    <t>CABLE NOIR RIGIDE 5X10</t>
  </si>
  <si>
    <t>TM000809</t>
  </si>
  <si>
    <t>CABLE NOIR RIGIDE 7X1.5 LE M</t>
  </si>
  <si>
    <t>TM000810</t>
  </si>
  <si>
    <t>CABLE INFORMATIQUE/VIDEO</t>
  </si>
  <si>
    <t>TM000811</t>
  </si>
  <si>
    <t>CABLE SOUPLE INDUSTRIEL 12G1.5</t>
  </si>
  <si>
    <t>TM000812</t>
  </si>
  <si>
    <t>CABLE INDUST SOUPLE H 07 RN-F</t>
  </si>
  <si>
    <t>TM000813</t>
  </si>
  <si>
    <t>CABLE NOIR SOUDURE 25MM2</t>
  </si>
  <si>
    <t>TM000814</t>
  </si>
  <si>
    <t>PANNEAU</t>
  </si>
  <si>
    <t>PANNEAU TRIPHASE MINIMIX</t>
  </si>
  <si>
    <t>CAH</t>
  </si>
  <si>
    <t>TM000815</t>
  </si>
  <si>
    <t>SOCLE S20</t>
  </si>
  <si>
    <t>SOCLE  S20  CAHORS POUR COFFRET MINIMIXT</t>
  </si>
  <si>
    <t>TM000816</t>
  </si>
  <si>
    <t>CONDENSATE</t>
  </si>
  <si>
    <t>CONDENSATEUR 30M</t>
  </si>
  <si>
    <t>CAP</t>
  </si>
  <si>
    <t>TM000817</t>
  </si>
  <si>
    <t>CONDENSATEUR 8MF</t>
  </si>
  <si>
    <t>TM000818</t>
  </si>
  <si>
    <t>BOITE CAPRICLIP ENCASTRE PLACO</t>
  </si>
  <si>
    <t>TM000819</t>
  </si>
  <si>
    <t>CONDENSATEUR PERMANENT 8MF/400</t>
  </si>
  <si>
    <t>TM000820</t>
  </si>
  <si>
    <t>CONDENSATEUR 10 MF 400V</t>
  </si>
  <si>
    <t>TM000821</t>
  </si>
  <si>
    <t>PROJECTEUR IODURE METAL 150W</t>
  </si>
  <si>
    <t>CAR</t>
  </si>
  <si>
    <t>TM000822</t>
  </si>
  <si>
    <t>TROUSSE</t>
  </si>
  <si>
    <t>TROUSSE JONCTION AVEC RESINE</t>
  </si>
  <si>
    <t>CEL</t>
  </si>
  <si>
    <t>TM000823</t>
  </si>
  <si>
    <t>BOITE DE JONCTION ETANCHE</t>
  </si>
  <si>
    <t>TM000824</t>
  </si>
  <si>
    <t>PROTECTION</t>
  </si>
  <si>
    <t>PROTECTION CABLE 60X60 GALVA</t>
  </si>
  <si>
    <t>CES</t>
  </si>
  <si>
    <t>TM000825</t>
  </si>
  <si>
    <t>PROTECTION CABLE 90X90 GALVA</t>
  </si>
  <si>
    <t>TM000826</t>
  </si>
  <si>
    <t>SOUFFLANT SDB VORTICE 1000/200</t>
  </si>
  <si>
    <t>CH</t>
  </si>
  <si>
    <t>TM000827</t>
  </si>
  <si>
    <t>PMB.EYU1202</t>
  </si>
  <si>
    <t>12V 2A</t>
  </si>
  <si>
    <t>BATTERIE ETANCHE 12v 2.1 Ah YUASA</t>
  </si>
  <si>
    <t>TM000828</t>
  </si>
  <si>
    <t>ACCUMULATE</t>
  </si>
  <si>
    <t>ACCUMULATEUR 4KW MECA-LIGHT</t>
  </si>
  <si>
    <t>TM000829</t>
  </si>
  <si>
    <t>SECHE</t>
  </si>
  <si>
    <t>SECHE SERVIETTE NEPTUNE 1000W</t>
  </si>
  <si>
    <t>TM000830</t>
  </si>
  <si>
    <t>RADIA BAIN</t>
  </si>
  <si>
    <t>RADIA BAIN HUILE SUPRA 2000W</t>
  </si>
  <si>
    <t>TM000831</t>
  </si>
  <si>
    <t>CONVECT</t>
  </si>
  <si>
    <t>CONVECT MOBILE DELONGHI 2000W</t>
  </si>
  <si>
    <t>TM000832</t>
  </si>
  <si>
    <t>SOUFFLANT SDB èERM.PROG PHILI</t>
  </si>
  <si>
    <t>TM000833</t>
  </si>
  <si>
    <t>INFRAROUGE</t>
  </si>
  <si>
    <t>INFRAROUGE 1800W 3 ALL.PHILIPS</t>
  </si>
  <si>
    <t>TM000834</t>
  </si>
  <si>
    <t>THERMOSTAT</t>
  </si>
  <si>
    <t>THERMOSTAT IND +20+140 CAP 2M</t>
  </si>
  <si>
    <t>TM000835</t>
  </si>
  <si>
    <t>SOUFFLANT SDB 2000W</t>
  </si>
  <si>
    <t>TM000836</t>
  </si>
  <si>
    <t>IL.LR-3MC1411C</t>
  </si>
  <si>
    <t>BASSE CONS</t>
  </si>
  <si>
    <t>E14 11W 27</t>
  </si>
  <si>
    <t>Basse Consommation 3 tubes micro</t>
  </si>
  <si>
    <t>E14 11W 2700K A 10K</t>
  </si>
  <si>
    <t>IL</t>
  </si>
  <si>
    <t>TM000837</t>
  </si>
  <si>
    <t>IL.LR-GM1407C</t>
  </si>
  <si>
    <t>E14 7W 270</t>
  </si>
  <si>
    <t>Basse Consommation Mini Globe</t>
  </si>
  <si>
    <t>E14 7W 2700K A 10K</t>
  </si>
  <si>
    <t>TM000838</t>
  </si>
  <si>
    <t>SOUFFLANT ENO 2000W MINUTERIE</t>
  </si>
  <si>
    <t>TM000839</t>
  </si>
  <si>
    <t>CONVECTEUR SAUTER 500W BLANC</t>
  </si>
  <si>
    <t>TM000840</t>
  </si>
  <si>
    <t>SOUFFLANT SDB AIRELEC</t>
  </si>
  <si>
    <t>TM000841</t>
  </si>
  <si>
    <t>-CAB.HO5-5X1.5</t>
  </si>
  <si>
    <t>CABLE BLANC HO5 5X1.5</t>
  </si>
  <si>
    <t>TM000842</t>
  </si>
  <si>
    <t>CABLE SOUPLE 2X0.75 LE M</t>
  </si>
  <si>
    <t>TM000843</t>
  </si>
  <si>
    <t>CABLE SOUPLE 2X1MM2 LE M</t>
  </si>
  <si>
    <t>TM000844</t>
  </si>
  <si>
    <t>CABLE SOUPLE NOIR 2X1MM2</t>
  </si>
  <si>
    <t>TM000845</t>
  </si>
  <si>
    <t>CABLE SOUPLE 2X4MM2</t>
  </si>
  <si>
    <t>TM000846</t>
  </si>
  <si>
    <t>CABLE SOUPLE 3X0.75 LE M</t>
  </si>
  <si>
    <t>TM000847</t>
  </si>
  <si>
    <t>CABLE SOUPLE NOIR 3 X 1 MM2</t>
  </si>
  <si>
    <t>TM000848</t>
  </si>
  <si>
    <t>CABLE SOUPLE 3X4 LE M</t>
  </si>
  <si>
    <t>TM000849</t>
  </si>
  <si>
    <t>CABLE SOUPLE GRIS 4X0.75 LE M</t>
  </si>
  <si>
    <t>TM000850</t>
  </si>
  <si>
    <t>CABLE SOUPLE 4X2.5 LE M</t>
  </si>
  <si>
    <t>TM000851</t>
  </si>
  <si>
    <t>CABLE SOUPLE GRIS 4X4 LE M</t>
  </si>
  <si>
    <t>TM000852</t>
  </si>
  <si>
    <t>CABLE SOUPLE 5X2.5 LE M</t>
  </si>
  <si>
    <t>TM000853</t>
  </si>
  <si>
    <t>CABLE SOUPLE GRIS 5X4 LE M</t>
  </si>
  <si>
    <t>TM000854</t>
  </si>
  <si>
    <t>CABLE SOUPLE GRIS 5X6 LE M</t>
  </si>
  <si>
    <t>TM000855</t>
  </si>
  <si>
    <t>CABLE SOUPLE NOIR 2x1.5</t>
  </si>
  <si>
    <t>TM000856</t>
  </si>
  <si>
    <t>CABLE SOUPLE NOIR 3 G 6 MM2</t>
  </si>
  <si>
    <t>TM000857</t>
  </si>
  <si>
    <t>CABLE SOUPLE NOIR 2X6 LE M</t>
  </si>
  <si>
    <t>TM000858</t>
  </si>
  <si>
    <t>CABLE SOUPLE NOIR 3X1.5</t>
  </si>
  <si>
    <t>TM000859</t>
  </si>
  <si>
    <t>CABLE SOUPLE NOIR 4X1.5 LE</t>
  </si>
  <si>
    <t>TM000860</t>
  </si>
  <si>
    <t>CABLE SOUPLE NOIR 4X16</t>
  </si>
  <si>
    <t>TM000861</t>
  </si>
  <si>
    <t>VOIR CAB.R</t>
  </si>
  <si>
    <t>VOIR CAB.RNF4G2.5</t>
  </si>
  <si>
    <t>TM000862</t>
  </si>
  <si>
    <t>CABLE SOUPLE NOIR HO7RNF4X25</t>
  </si>
  <si>
    <t>TM000863</t>
  </si>
  <si>
    <t>CABLE SOUPLE NOIR 4X4 LE M</t>
  </si>
  <si>
    <t>TM000864</t>
  </si>
  <si>
    <t>CABLE SOUPLE NOIR 5X2.5</t>
  </si>
  <si>
    <t>TM000865</t>
  </si>
  <si>
    <t>CABLE SOUPLE NOIR 5X4 LE M</t>
  </si>
  <si>
    <t>TM000866</t>
  </si>
  <si>
    <t>CABLE SOUPLE NOIR 7X1.5</t>
  </si>
  <si>
    <t>TM000867</t>
  </si>
  <si>
    <t>FIL HO7 VR</t>
  </si>
  <si>
    <t>FIL HO7 VR 25mm2 ttes couleurs</t>
  </si>
  <si>
    <t>TM000868</t>
  </si>
  <si>
    <t>FIL HP</t>
  </si>
  <si>
    <t>FIL HP  HI-FI  TRANSP/NOIR/ROUGE 2x2.5</t>
  </si>
  <si>
    <t>le M</t>
  </si>
  <si>
    <t>TM000869</t>
  </si>
  <si>
    <t>CABLE INFORM 100 OHMS 4PAIRES</t>
  </si>
  <si>
    <t>TM000870</t>
  </si>
  <si>
    <t>CABLE PLAT MULTIPAIRES</t>
  </si>
  <si>
    <t>TM000871</t>
  </si>
  <si>
    <t>CABLE AERIEN TORSADE4X16 INVUL</t>
  </si>
  <si>
    <t>TM000872</t>
  </si>
  <si>
    <t>CABLE INFOR/TELEP 12X022 SOUPL</t>
  </si>
  <si>
    <t>TM000873</t>
  </si>
  <si>
    <t>CABLE SOUPLE HTE TEMP 2X1.5 C1</t>
  </si>
  <si>
    <t>TM000874</t>
  </si>
  <si>
    <t>CABLE HTE</t>
  </si>
  <si>
    <t>CABLE HTE TEMP 180ª SILICONE</t>
  </si>
  <si>
    <t>TM000875</t>
  </si>
  <si>
    <t>CABLE NOIR 2X6MM2 LE M</t>
  </si>
  <si>
    <t>TM000876</t>
  </si>
  <si>
    <t>CABLE NOIR R2V 3X1.5</t>
  </si>
  <si>
    <t>TM000877</t>
  </si>
  <si>
    <t>CABLE NOIR RIGIDE 3X10 LE M</t>
  </si>
  <si>
    <t>TM000878</t>
  </si>
  <si>
    <t>CABLE NOIR 3X16MM2</t>
  </si>
  <si>
    <t>TM000879</t>
  </si>
  <si>
    <t>CABLE NOIR 3X2.5 LE M</t>
  </si>
  <si>
    <t>TM000880</t>
  </si>
  <si>
    <t>CABLE NOIR 3X25 AVEC LA TERRE</t>
  </si>
  <si>
    <t>TM000881</t>
  </si>
  <si>
    <t>CABLE NOIR RIGIDE 4G4 LE M</t>
  </si>
  <si>
    <t>TM000882</t>
  </si>
  <si>
    <t>CABLE NOIR 4X1.5 SANS V/JAUNE</t>
  </si>
  <si>
    <t>TM000883</t>
  </si>
  <si>
    <t>CABLE NOIR R2V 4X10MM2</t>
  </si>
  <si>
    <t>TM000884</t>
  </si>
  <si>
    <t>CABLE NOIR RIGIDE 4X35 LE M</t>
  </si>
  <si>
    <t>TM000885</t>
  </si>
  <si>
    <t>CABLE R2V 4X50MM2</t>
  </si>
  <si>
    <t>TM000886</t>
  </si>
  <si>
    <t>CABLE NOIR 4X6 SV/JAUNE</t>
  </si>
  <si>
    <t>TM000887</t>
  </si>
  <si>
    <t>CABLE NOIR RIGIDE 5X16</t>
  </si>
  <si>
    <t>TM000888</t>
  </si>
  <si>
    <t>CABLE NOIR 5X2.5 LE M</t>
  </si>
  <si>
    <t>TM000889</t>
  </si>
  <si>
    <t>CABLE NOIR 5X4 LE M</t>
  </si>
  <si>
    <t>TM000890</t>
  </si>
  <si>
    <t>CABLE NOIR R2V 5X6</t>
  </si>
  <si>
    <t>TM000891</t>
  </si>
  <si>
    <t>FIL RAYONN</t>
  </si>
  <si>
    <t>FIL RAYONNE OR NOIR OU BLANC</t>
  </si>
  <si>
    <t>TM000892</t>
  </si>
  <si>
    <t>-CAB.RJ45*120H</t>
  </si>
  <si>
    <t>CABLE INFORMAT. 8FILS 120 OHMS</t>
  </si>
  <si>
    <t>TM000893</t>
  </si>
  <si>
    <t>CABLE SOUPLE INDUSTRIEL 4G4</t>
  </si>
  <si>
    <t>TM000894</t>
  </si>
  <si>
    <t>CABLE TELEREPORT ARME NOIR 2P6</t>
  </si>
  <si>
    <t>TM000895</t>
  </si>
  <si>
    <t>CABLE PLAT TELEPHONE</t>
  </si>
  <si>
    <t>TM000896</t>
  </si>
  <si>
    <t>FIL TORSAD</t>
  </si>
  <si>
    <t>FIL TORSADE 3 CONDUCTEURS RAYO</t>
  </si>
  <si>
    <t>TM000897</t>
  </si>
  <si>
    <t>CABLE TWINAX LE M</t>
  </si>
  <si>
    <t>TM000898</t>
  </si>
  <si>
    <t>COFFRET CAHORS EDF MONO 252819</t>
  </si>
  <si>
    <t>TM000899</t>
  </si>
  <si>
    <t>MINIMIXT</t>
  </si>
  <si>
    <t>MINIMIXT EDF TRI</t>
  </si>
  <si>
    <t>TM000900</t>
  </si>
  <si>
    <t>COFFRET DISJONCTEUR S20 MONO/TRI</t>
  </si>
  <si>
    <t>TM000901</t>
  </si>
  <si>
    <t>TABLEAU</t>
  </si>
  <si>
    <t>TABLEAU ABONNE EDF 600X250</t>
  </si>
  <si>
    <t>TM000902</t>
  </si>
  <si>
    <t>SERRURE TRIANGULAIRE</t>
  </si>
  <si>
    <t>TM000903</t>
  </si>
  <si>
    <t>CONDENSATEUR 16MF PERMANENT</t>
  </si>
  <si>
    <t>TM000904</t>
  </si>
  <si>
    <t>CONDENSATEUR 20 MF</t>
  </si>
  <si>
    <t>TM000905</t>
  </si>
  <si>
    <t>CONDENSATEUR 25 MF</t>
  </si>
  <si>
    <t>TM000906</t>
  </si>
  <si>
    <t>CONDENSATEUR 12MF</t>
  </si>
  <si>
    <t>TM000907</t>
  </si>
  <si>
    <t>BOITE PAVILLONNAIRE CAPRI</t>
  </si>
  <si>
    <t>TM000908</t>
  </si>
  <si>
    <t>TM000909</t>
  </si>
  <si>
    <t>SACHET</t>
  </si>
  <si>
    <t>SACHET RESINE 286CM3 410G</t>
  </si>
  <si>
    <t>TM000910</t>
  </si>
  <si>
    <t>SOUFFLANT CALOR 1000/2000+TURB</t>
  </si>
  <si>
    <t>TM000911</t>
  </si>
  <si>
    <t>SECHE SERV.ATLANTIC 900W A9E</t>
  </si>
  <si>
    <t>TM000912</t>
  </si>
  <si>
    <t>SECHE SERVIETTE 750W NEPTUNE</t>
  </si>
  <si>
    <t>TM000913</t>
  </si>
  <si>
    <t>RESISTANCE</t>
  </si>
  <si>
    <t>RESISTANCE BLINDEE</t>
  </si>
  <si>
    <t>TM000914</t>
  </si>
  <si>
    <t>CONVECT DELONGHI MOBILE 1500W</t>
  </si>
  <si>
    <t>TM000915</t>
  </si>
  <si>
    <t>CONV MOBIL</t>
  </si>
  <si>
    <t>CONV MOBILE 1000/2000W +TURBO</t>
  </si>
  <si>
    <t>TM000916</t>
  </si>
  <si>
    <t>SECHE SERV.EQUAT.70W AIRELEC</t>
  </si>
  <si>
    <t>TM000917</t>
  </si>
  <si>
    <t>CHAUFFAGE</t>
  </si>
  <si>
    <t>CHAUFFAGE SDB HONEYWELL  500w</t>
  </si>
  <si>
    <t>TM000918</t>
  </si>
  <si>
    <t>RAD.CATALY</t>
  </si>
  <si>
    <t>RAD.CATALYSE SUPRA GC3000</t>
  </si>
  <si>
    <t>TM000919</t>
  </si>
  <si>
    <t>BAIN DHUIL</t>
  </si>
  <si>
    <t>BAIN D'HUILE 9 ELEMNETS 2000W</t>
  </si>
  <si>
    <t>TM000920</t>
  </si>
  <si>
    <t>CONV.PHILI</t>
  </si>
  <si>
    <t>CONV.PHILIPS 3 ALL 2000W</t>
  </si>
  <si>
    <t>TM000921</t>
  </si>
  <si>
    <t>CONVECTEUR MOB.2000W+TUR.3ALL</t>
  </si>
  <si>
    <t>TM000922</t>
  </si>
  <si>
    <t>RADIAT.SOU</t>
  </si>
  <si>
    <t>RADIAT.SOUF.1/2000W è PHILIPS</t>
  </si>
  <si>
    <t>TM000923</t>
  </si>
  <si>
    <t>THERMOSTAT JAEGER A BULBE</t>
  </si>
  <si>
    <t>TM000924</t>
  </si>
  <si>
    <t>IL.LA-TR2499</t>
  </si>
  <si>
    <t>ALIMENTATE</t>
  </si>
  <si>
    <t>PLC 2 PIN</t>
  </si>
  <si>
    <t>Alimentateur pour DL-2499</t>
  </si>
  <si>
    <t>PLC 2 PIN 2X13W MAX</t>
  </si>
  <si>
    <t>TM000925</t>
  </si>
  <si>
    <t>IL.LR-PLC413F</t>
  </si>
  <si>
    <t>G24Q 4 PIN</t>
  </si>
  <si>
    <t>Basse Consommation PLC 2 tubes</t>
  </si>
  <si>
    <t>G24q 4 pin 13W 6400K A 10K</t>
  </si>
  <si>
    <t>TM000926</t>
  </si>
  <si>
    <t>IL.LR-PLC418C</t>
  </si>
  <si>
    <t>G24q 4 pin 18W 2700K A 10K</t>
  </si>
  <si>
    <t>TM000927</t>
  </si>
  <si>
    <t>IL.LR-PLC418F</t>
  </si>
  <si>
    <t>G24q 4 pin 18W 6400K A 10K</t>
  </si>
  <si>
    <t>TM000928</t>
  </si>
  <si>
    <t>SOUFFLANT 2000W</t>
  </si>
  <si>
    <t>TM000929</t>
  </si>
  <si>
    <t>SOUFFLANT SALLE DE BAIN 2000W</t>
  </si>
  <si>
    <t>TM000930</t>
  </si>
  <si>
    <t>CONVECT SAUT/èERM 2000W BLANC</t>
  </si>
  <si>
    <t>TM000931</t>
  </si>
  <si>
    <t>CONVECT.EE</t>
  </si>
  <si>
    <t>CONVECT.èERMOR EVIDENCE 1000W</t>
  </si>
  <si>
    <t>TM000932</t>
  </si>
  <si>
    <t>CONVECT.èERMOR EVIDENCE 2000W</t>
  </si>
  <si>
    <t>TM000933</t>
  </si>
  <si>
    <t>THERMOSTAT CONVECTEUR A BULBE</t>
  </si>
  <si>
    <t>TM000934</t>
  </si>
  <si>
    <t>LAMPE DICHROIQUE 50MM 50W</t>
  </si>
  <si>
    <t>CLA</t>
  </si>
  <si>
    <t>TM000935</t>
  </si>
  <si>
    <t>FACETTE 50</t>
  </si>
  <si>
    <t>FACETTE 50 40 W 230E14</t>
  </si>
  <si>
    <t>TM000936</t>
  </si>
  <si>
    <t>LAMPE PAR</t>
  </si>
  <si>
    <t>LAMPE PAR 25 HALO 75W E27</t>
  </si>
  <si>
    <t>TM000937</t>
  </si>
  <si>
    <t>FACETTE 80</t>
  </si>
  <si>
    <t>FACETTE 80 75W 230E27</t>
  </si>
  <si>
    <t>TM000938</t>
  </si>
  <si>
    <t>TUBE FLUO</t>
  </si>
  <si>
    <t>TUBE FLUO 8W MINIATURE</t>
  </si>
  <si>
    <t>TM000939</t>
  </si>
  <si>
    <t>SPOT R55</t>
  </si>
  <si>
    <t>SPOT R55 PATERE BLANC</t>
  </si>
  <si>
    <t>TM000940</t>
  </si>
  <si>
    <t>LAMPE SODIUM 250W E40</t>
  </si>
  <si>
    <t>TM000941</t>
  </si>
  <si>
    <t>CL VEILLEU</t>
  </si>
  <si>
    <t>CL VEILLEUSE OP 10W 230B22</t>
  </si>
  <si>
    <t>TM000942</t>
  </si>
  <si>
    <t>RAIL TBT</t>
  </si>
  <si>
    <t>RAIL TBT 32 1M BLANC</t>
  </si>
  <si>
    <t>TM000943</t>
  </si>
  <si>
    <t>LAMPE HALOGENE 100W 12V GY6.35</t>
  </si>
  <si>
    <t>TM000944</t>
  </si>
  <si>
    <t>LAMPE HALOG R63 75W GU10</t>
  </si>
  <si>
    <t>TM000945</t>
  </si>
  <si>
    <t>LAMPE ORYX</t>
  </si>
  <si>
    <t>LAMPE ORYX D13W/84</t>
  </si>
  <si>
    <t>TM000946</t>
  </si>
  <si>
    <t>LAMPE PHYTO REFLECTEUR E40</t>
  </si>
  <si>
    <t>TM000947</t>
  </si>
  <si>
    <t>CHANDELLE</t>
  </si>
  <si>
    <t>CHANDELLE 120MM</t>
  </si>
  <si>
    <t>TM000948</t>
  </si>
  <si>
    <t>PTT 5M</t>
  </si>
  <si>
    <t>PTT 5M GIGOGNE/TG 500 TF</t>
  </si>
  <si>
    <t>TM000949</t>
  </si>
  <si>
    <t>LOT 5</t>
  </si>
  <si>
    <t>LOT 5 TOURNEVIS PRO</t>
  </si>
  <si>
    <t>TM000950</t>
  </si>
  <si>
    <t>EMBOUT TOURNEVIS BOITE x 9</t>
  </si>
  <si>
    <t>TM000951</t>
  </si>
  <si>
    <t>AUTOCOLLAN</t>
  </si>
  <si>
    <t>AUTOCOLLANT SORTIE DE SECOURS</t>
  </si>
  <si>
    <t>ECL</t>
  </si>
  <si>
    <t>TM000952</t>
  </si>
  <si>
    <t>SPOT ENCAS</t>
  </si>
  <si>
    <t>SPOT ENCASTRE MEUBLE BL 12V20W</t>
  </si>
  <si>
    <t>TM000953</t>
  </si>
  <si>
    <t>MEUSE40</t>
  </si>
  <si>
    <t>MEUSE_40 SPOT TIGE DE 40</t>
  </si>
  <si>
    <t>TM000954</t>
  </si>
  <si>
    <t>MEUSE10</t>
  </si>
  <si>
    <t>MEUSE_10 SPOT TIGE 10</t>
  </si>
  <si>
    <t>TM000955</t>
  </si>
  <si>
    <t>BLOC FLUO</t>
  </si>
  <si>
    <t>BLOC FLUO ETANCHE DUKE 15W</t>
  </si>
  <si>
    <t>TM000956</t>
  </si>
  <si>
    <t>BLOC FLUO ETANCHE 36W DUKE</t>
  </si>
  <si>
    <t>TM000957</t>
  </si>
  <si>
    <t>HUBLOT 400</t>
  </si>
  <si>
    <t>Hublot 400</t>
  </si>
  <si>
    <t>TM000958</t>
  </si>
  <si>
    <t>PROJECTEUR IODURE 150W LANZINI</t>
  </si>
  <si>
    <t>TM000959</t>
  </si>
  <si>
    <t>BALLAST SHP 400</t>
  </si>
  <si>
    <t>TM000960</t>
  </si>
  <si>
    <t>BALLAST 1X20W</t>
  </si>
  <si>
    <t>TM000961</t>
  </si>
  <si>
    <t>BALLAST 1x58W</t>
  </si>
  <si>
    <t>TM000962</t>
  </si>
  <si>
    <t>BALLAST 1X65W</t>
  </si>
  <si>
    <t>TM000963</t>
  </si>
  <si>
    <t>COFFRET REGULUX EXPO RDC 5012</t>
  </si>
  <si>
    <t>TM000964</t>
  </si>
  <si>
    <t>ECLAIRAGE</t>
  </si>
  <si>
    <t>ECLAIRAGE DE BALISAGE èORN</t>
  </si>
  <si>
    <t>TM000965</t>
  </si>
  <si>
    <t>STARTER FS</t>
  </si>
  <si>
    <t>STARTER FS 11 DE 22 A 80W</t>
  </si>
  <si>
    <t>TM000966</t>
  </si>
  <si>
    <t>SPOT ENCASTRE ORIENT BLANC 12V</t>
  </si>
  <si>
    <t>TM000967</t>
  </si>
  <si>
    <t>BLOC SECOU</t>
  </si>
  <si>
    <t>BLOC SECOURS 60 LUMENS LUMINOX</t>
  </si>
  <si>
    <t>TM000968</t>
  </si>
  <si>
    <t>REGLETTE</t>
  </si>
  <si>
    <t>REGLETTE 1X18W MONOLINE CLAUDE</t>
  </si>
  <si>
    <t>TM000969</t>
  </si>
  <si>
    <t>REGLETTE 1X58W MONOLINE CLAUDE</t>
  </si>
  <si>
    <t>TM000970</t>
  </si>
  <si>
    <t>PROJECTEUR QUARTZ 2000W</t>
  </si>
  <si>
    <t>TM000971</t>
  </si>
  <si>
    <t>PLAFONNIER</t>
  </si>
  <si>
    <t>PLAFONNIER PROFIL 1X18W</t>
  </si>
  <si>
    <t>TM000972</t>
  </si>
  <si>
    <t>PLAFONNIER PROFIL 1X36W</t>
  </si>
  <si>
    <t>TM000973</t>
  </si>
  <si>
    <t>PROJECTEUR ETANCHE 1000W</t>
  </si>
  <si>
    <t>TM000974</t>
  </si>
  <si>
    <t>REGLETTE ETANCHE 1X18W</t>
  </si>
  <si>
    <t>TM000975</t>
  </si>
  <si>
    <t>REGLETTE ETANCHE 1X36W CLAUDE</t>
  </si>
  <si>
    <t>TM000976</t>
  </si>
  <si>
    <t>REGLETTE ETANCHE 2X18W</t>
  </si>
  <si>
    <t>TM000977</t>
  </si>
  <si>
    <t>REGLETTE ETANCHE 2X58W RAFT</t>
  </si>
  <si>
    <t>TM000978</t>
  </si>
  <si>
    <t>REGLETTE 8W NUE AVEC INTER</t>
  </si>
  <si>
    <t>TM000979</t>
  </si>
  <si>
    <t>EMBASES</t>
  </si>
  <si>
    <t>EMBASES ADHESIVES 19X19</t>
  </si>
  <si>
    <t>ELE</t>
  </si>
  <si>
    <t>TM000980</t>
  </si>
  <si>
    <t>EMBASE A</t>
  </si>
  <si>
    <t>EMBASE A CHEVILLE P COLLIERS</t>
  </si>
  <si>
    <t>TM000981</t>
  </si>
  <si>
    <t>SOUFFLANT SDB 1000/2000W+PROG</t>
  </si>
  <si>
    <t>TM000982</t>
  </si>
  <si>
    <t>SOUFFLANT SDB 1000/2000W</t>
  </si>
  <si>
    <t>TM000983</t>
  </si>
  <si>
    <t>CONVECT.</t>
  </si>
  <si>
    <t>CONVECT. SAUT/èERM 1000W BLAN</t>
  </si>
  <si>
    <t>TM000984</t>
  </si>
  <si>
    <t>CONVECT SAUT/èERM 1250W BLANC</t>
  </si>
  <si>
    <t>TM000985</t>
  </si>
  <si>
    <t>CHANDELLE 40CM</t>
  </si>
  <si>
    <t>TM000986</t>
  </si>
  <si>
    <t>CHANDELLE 60CM</t>
  </si>
  <si>
    <t>TM000987</t>
  </si>
  <si>
    <t>MEUSE20</t>
  </si>
  <si>
    <t>MEUSE_20 SPOT TIGE 20</t>
  </si>
  <si>
    <t>TM000988</t>
  </si>
  <si>
    <t>DUKE DLOC</t>
  </si>
  <si>
    <t>DUKE    DLOC FLUO ETANCHE 18W</t>
  </si>
  <si>
    <t>TM000989</t>
  </si>
  <si>
    <t>TRANSFO 12V 200VA</t>
  </si>
  <si>
    <t>TM000990</t>
  </si>
  <si>
    <t>PLAFONNIER 2X18 ETANCHE</t>
  </si>
  <si>
    <t>TM000991</t>
  </si>
  <si>
    <t>PROJECTEUR IODURE 400W NOIR</t>
  </si>
  <si>
    <t>TM000992</t>
  </si>
  <si>
    <t>ALIMENTATION REGULUX 50W</t>
  </si>
  <si>
    <t>TM000993</t>
  </si>
  <si>
    <t>SPOT R80</t>
  </si>
  <si>
    <t>SPOT R80 BLANC PATERE 100w</t>
  </si>
  <si>
    <t>TM000994</t>
  </si>
  <si>
    <t>PLAFONNIER PROFIL 1X58W PARALU</t>
  </si>
  <si>
    <t>TM000995</t>
  </si>
  <si>
    <t>DOUILLE ES50 GU10SP DICHRO 220</t>
  </si>
  <si>
    <t>TM000996</t>
  </si>
  <si>
    <t>AMORCEUR</t>
  </si>
  <si>
    <t>AMORCEUR HSI</t>
  </si>
  <si>
    <t>TM000997</t>
  </si>
  <si>
    <t>BALLAST 1X40W</t>
  </si>
  <si>
    <t>TM000998</t>
  </si>
  <si>
    <t>STARTER</t>
  </si>
  <si>
    <t>STARTER FS22 DE 4 A 22W</t>
  </si>
  <si>
    <t>TM000999</t>
  </si>
  <si>
    <t>REGLETTE 1X36W MONOLINE CLAUDE</t>
  </si>
  <si>
    <t>TM001000</t>
  </si>
  <si>
    <t>REGLETTE MONOLINE 8W S22</t>
  </si>
  <si>
    <t>TM001001</t>
  </si>
  <si>
    <t>PLAFONNIER PROFIL 1X58W</t>
  </si>
  <si>
    <t>TM001002</t>
  </si>
  <si>
    <t>PLAFONNIER PROFIL 2X36W</t>
  </si>
  <si>
    <t>TM001003</t>
  </si>
  <si>
    <t>PLAFONNIER  2X58W</t>
  </si>
  <si>
    <t>TM001004</t>
  </si>
  <si>
    <t>PROJECTEUR HALOGENE SUR PIED</t>
  </si>
  <si>
    <t>TM001005</t>
  </si>
  <si>
    <t>REGLETTE ETANCHE 1X58W RAFT</t>
  </si>
  <si>
    <t>TM001006</t>
  </si>
  <si>
    <t>REGLETTE ETANCHE 2X36W 6J 850ª</t>
  </si>
  <si>
    <t>TM001007</t>
  </si>
  <si>
    <t>REGLETTE MINIATURE 6W</t>
  </si>
  <si>
    <t>TM001008</t>
  </si>
  <si>
    <t>PLATINE</t>
  </si>
  <si>
    <t>PLATINE REGULUX 5012</t>
  </si>
  <si>
    <t>TM001009</t>
  </si>
  <si>
    <t>SHUNTS 12V</t>
  </si>
  <si>
    <t>SHUNTS 12V REGULUX</t>
  </si>
  <si>
    <t>TM001010</t>
  </si>
  <si>
    <t>PLAFONNIER 1,20m 2x36 GRILLE</t>
  </si>
  <si>
    <t>TM001011</t>
  </si>
  <si>
    <t>PLAFONNIER 1,50m 2x58 GRIlle</t>
  </si>
  <si>
    <t>TM001012</t>
  </si>
  <si>
    <t>COLLIER</t>
  </si>
  <si>
    <t>COLLIER CABLAGE NYLON 130X2.6</t>
  </si>
  <si>
    <t>TM001013</t>
  </si>
  <si>
    <t>VARIATEUR DE VITESSE ELGE</t>
  </si>
  <si>
    <t>ELG</t>
  </si>
  <si>
    <t>TM001014</t>
  </si>
  <si>
    <t>FLEXIBLE</t>
  </si>
  <si>
    <t>FLEXIBLE GAINE 80mm  VMC LE M</t>
  </si>
  <si>
    <t>TM001015</t>
  </si>
  <si>
    <t>CENTRIFUGE</t>
  </si>
  <si>
    <t>CENTRIFUGE COND. VCM200AX</t>
  </si>
  <si>
    <t>TM001016</t>
  </si>
  <si>
    <t>VENTILAT.A</t>
  </si>
  <si>
    <t>VENTILAT.AM250 N4 220V</t>
  </si>
  <si>
    <t>TM001017</t>
  </si>
  <si>
    <t>VMC SIMPLE</t>
  </si>
  <si>
    <t>VMC SIMPLE FLUX 2/5 SORTIE</t>
  </si>
  <si>
    <t>TM001018</t>
  </si>
  <si>
    <t>SUPPORT</t>
  </si>
  <si>
    <t>SUPPORT LAT.SUP2AX</t>
  </si>
  <si>
    <t>TM001019</t>
  </si>
  <si>
    <t>T 160GCR</t>
  </si>
  <si>
    <t>TM001020</t>
  </si>
  <si>
    <t>BA 55</t>
  </si>
  <si>
    <t>TM001021</t>
  </si>
  <si>
    <t>AEROEERME</t>
  </si>
  <si>
    <t>AEROèERME AE 2.6/4M 220V MONO</t>
  </si>
  <si>
    <t>TM001022</t>
  </si>
  <si>
    <t>CLIMATISEU</t>
  </si>
  <si>
    <t>CLIMATISEUR SPLIT 3.75KW FROID</t>
  </si>
  <si>
    <t>TM001023</t>
  </si>
  <si>
    <t>CLIMATISEUR SPLIT 2.5KW REVERS</t>
  </si>
  <si>
    <t>TM001024</t>
  </si>
  <si>
    <t>CLIMATISEUR SPLIT 3KW REVERSIB</t>
  </si>
  <si>
    <t>TM001025</t>
  </si>
  <si>
    <t>CLIMATISEUR SPLIT 4KW REVERSIB</t>
  </si>
  <si>
    <t>TM001026</t>
  </si>
  <si>
    <t>LIAISON</t>
  </si>
  <si>
    <t>LIAISON FRIGO 3M 3/8 -  1/4</t>
  </si>
  <si>
    <t>TM001027</t>
  </si>
  <si>
    <t>LIAISON FRIGO 7M 1/2 1/4</t>
  </si>
  <si>
    <t>TM001028</t>
  </si>
  <si>
    <t>CLIMATISEUR SPLIT 3KW FROID</t>
  </si>
  <si>
    <t>TM001029</t>
  </si>
  <si>
    <t>CLIMATISEUR SPLIT 3.8KW FROID</t>
  </si>
  <si>
    <t>TM001030</t>
  </si>
  <si>
    <t>CLIMATISEUR SPLIT 3.4KW REVERS</t>
  </si>
  <si>
    <t>TM001031</t>
  </si>
  <si>
    <t>GROUPE</t>
  </si>
  <si>
    <t>GROUPE ASPIRANT 1000M3H</t>
  </si>
  <si>
    <t>TM001032</t>
  </si>
  <si>
    <t>AERATEUR</t>
  </si>
  <si>
    <t>AERATEUR WC SDB 100M3H</t>
  </si>
  <si>
    <t>TM001033</t>
  </si>
  <si>
    <t>AERATEUR SDB PTE CUISINE 170M3</t>
  </si>
  <si>
    <t>TM001034</t>
  </si>
  <si>
    <t>BOUCHE</t>
  </si>
  <si>
    <t>BOUCHE B125 LK</t>
  </si>
  <si>
    <t>TM001035</t>
  </si>
  <si>
    <t>BOUCHE EXTRACTION EN 125</t>
  </si>
  <si>
    <t>TM001036</t>
  </si>
  <si>
    <t>EXTRACTEUR</t>
  </si>
  <si>
    <t>EXTRACTEUR 600M3/H ELGE BLANC</t>
  </si>
  <si>
    <t>TM001037</t>
  </si>
  <si>
    <t>VENTILATEUR DE PLAFOND 90</t>
  </si>
  <si>
    <t>TM001038</t>
  </si>
  <si>
    <t>GAINE ELGE</t>
  </si>
  <si>
    <t>GAINE ELGE T82B</t>
  </si>
  <si>
    <t>TM001039</t>
  </si>
  <si>
    <t>TE DIAM</t>
  </si>
  <si>
    <t>TE DIAM 125</t>
  </si>
  <si>
    <t>TM001040</t>
  </si>
  <si>
    <t>VENTILATEUR ELGE VCO 100</t>
  </si>
  <si>
    <t>TM001041</t>
  </si>
  <si>
    <t>VARIATEUR ELECTRONIQUE VEM200</t>
  </si>
  <si>
    <t>TM001042</t>
  </si>
  <si>
    <t>ETRIER 2</t>
  </si>
  <si>
    <t>ETRIER 2 ECROUS</t>
  </si>
  <si>
    <t>ERA</t>
  </si>
  <si>
    <t>TM001043</t>
  </si>
  <si>
    <t>PATTE A</t>
  </si>
  <si>
    <t>PATTE A SCELLEMENT LE JEU</t>
  </si>
  <si>
    <t>TM001044</t>
  </si>
  <si>
    <t>PATTES A</t>
  </si>
  <si>
    <t>PATTES A SCELLEMENT 400MM</t>
  </si>
  <si>
    <t>TM001045</t>
  </si>
  <si>
    <t>FIXATION MURALE LE PAQUET</t>
  </si>
  <si>
    <t>TM001046</t>
  </si>
  <si>
    <t>BRAS DE DEPORT PARABOLE</t>
  </si>
  <si>
    <t>TM001047</t>
  </si>
  <si>
    <t>FIXATION MURALE COUDEE EN 50</t>
  </si>
  <si>
    <t>TM001048</t>
  </si>
  <si>
    <t>FIXATION UNIVERSELLE</t>
  </si>
  <si>
    <t>TM001049</t>
  </si>
  <si>
    <t>MAT  1M DIAM 40</t>
  </si>
  <si>
    <t>TM001050</t>
  </si>
  <si>
    <t>MAT 1M DIAM 50</t>
  </si>
  <si>
    <t>TM001051</t>
  </si>
  <si>
    <t>FEUILLARD</t>
  </si>
  <si>
    <t>FEUILLARD ACIER GALVA 5M</t>
  </si>
  <si>
    <t>TM001052</t>
  </si>
  <si>
    <t>TM001053</t>
  </si>
  <si>
    <t>PLAQUE DE</t>
  </si>
  <si>
    <t>PLAQUE DE FIXATION</t>
  </si>
  <si>
    <t>TM001054</t>
  </si>
  <si>
    <t>BRAS DE DEPORT</t>
  </si>
  <si>
    <t>TM001055</t>
  </si>
  <si>
    <t>MAT  1M DIAM:35</t>
  </si>
  <si>
    <t>TM001056</t>
  </si>
  <si>
    <t>MAT 1.50M</t>
  </si>
  <si>
    <t>MAT  1.50M DIAM 35</t>
  </si>
  <si>
    <t>TM001057</t>
  </si>
  <si>
    <t>SUPPORT UNIV SUPERPOSABLE NOIR</t>
  </si>
  <si>
    <t>TM001058</t>
  </si>
  <si>
    <t>GRILLE</t>
  </si>
  <si>
    <t>GRILLE PROTECTION PHYTO REFLEC</t>
  </si>
  <si>
    <t>TM001059</t>
  </si>
  <si>
    <t>VASQUE</t>
  </si>
  <si>
    <t>VASQUE OPALE DF 136</t>
  </si>
  <si>
    <t>TM001060</t>
  </si>
  <si>
    <t>PLAFONNIER POUR LAMPE ORYX L</t>
  </si>
  <si>
    <t>TM001061</t>
  </si>
  <si>
    <t>PROJECTEUR DE PISCINES</t>
  </si>
  <si>
    <t>TM001062</t>
  </si>
  <si>
    <t>PLATINE 4X18W DF CLAUDE</t>
  </si>
  <si>
    <t>TM001063</t>
  </si>
  <si>
    <t>JONCTION</t>
  </si>
  <si>
    <t>JONCTION LINEAIRE MINITONDO 32</t>
  </si>
  <si>
    <t>TM001064</t>
  </si>
  <si>
    <t>SPOT C58</t>
  </si>
  <si>
    <t>SPOT C58 TBT ADAPT BLC 12V 50W</t>
  </si>
  <si>
    <t>TM001065</t>
  </si>
  <si>
    <t>PLAF.ENCAS</t>
  </si>
  <si>
    <t>PLAF.ENCASTRE 4X18W P.MAILLES</t>
  </si>
  <si>
    <t>TM001066</t>
  </si>
  <si>
    <t>PLAFONNIER ENCASTRE 4X18W</t>
  </si>
  <si>
    <t>TM001067</t>
  </si>
  <si>
    <t>PLAFONNIER DEUG 2X18W</t>
  </si>
  <si>
    <t>TM001068</t>
  </si>
  <si>
    <t>REGLETTE 2X58W + REFLECTEUR</t>
  </si>
  <si>
    <t>TM001069</t>
  </si>
  <si>
    <t>RAFT 118</t>
  </si>
  <si>
    <t>TM001070</t>
  </si>
  <si>
    <t>PLAFONNIER ETANCHE RAFT 158</t>
  </si>
  <si>
    <t>TM001071</t>
  </si>
  <si>
    <t>FLUOLINE</t>
  </si>
  <si>
    <t>FLUOLINE 4590 CLAUDE</t>
  </si>
  <si>
    <t>TM001072</t>
  </si>
  <si>
    <t>LAMPE SPH</t>
  </si>
  <si>
    <t>LAMPE SPH SIGNAL 40W B22</t>
  </si>
  <si>
    <t>TM001073</t>
  </si>
  <si>
    <t>LAMPE FLAMME CL 60W B22 CLAUDE</t>
  </si>
  <si>
    <t>TM001074</t>
  </si>
  <si>
    <t>LAMPE FLAMME TORSADEE GEANTE</t>
  </si>
  <si>
    <t>TM001075</t>
  </si>
  <si>
    <t>TUBE CL</t>
  </si>
  <si>
    <t>TUBE CL 40W  E14</t>
  </si>
  <si>
    <t>TM001076</t>
  </si>
  <si>
    <t>TUBE CL 60W E14</t>
  </si>
  <si>
    <t>TM001077</t>
  </si>
  <si>
    <t>CONDENSATEUR C20</t>
  </si>
  <si>
    <t>TM001078</t>
  </si>
  <si>
    <t>LIAISON FRIGO BITUBE 1/4 1/2</t>
  </si>
  <si>
    <t>CLI</t>
  </si>
  <si>
    <t>TM001079</t>
  </si>
  <si>
    <t>LIAISON FLARE 10M CLIM DELCHI</t>
  </si>
  <si>
    <t>TM001080</t>
  </si>
  <si>
    <t>CLIMATISEUR BISPLIT FROID SEUL</t>
  </si>
  <si>
    <t>TM001081</t>
  </si>
  <si>
    <t>CLIMATISAT</t>
  </si>
  <si>
    <t>CLIMATISATION PORTABLE</t>
  </si>
  <si>
    <t>TM001082</t>
  </si>
  <si>
    <t>CLIMATISEUR SPLIT PORTABLE</t>
  </si>
  <si>
    <t>TM001083</t>
  </si>
  <si>
    <t>VENTILATEUR 23CM 2 VITESSES</t>
  </si>
  <si>
    <t>TM001084</t>
  </si>
  <si>
    <t>VENTILATEUR SUR PIED 40CM</t>
  </si>
  <si>
    <t>TM001085</t>
  </si>
  <si>
    <t>VENTILATEUR D17 NOIR PHILIPS</t>
  </si>
  <si>
    <t>TM001086</t>
  </si>
  <si>
    <t>BOX FAN</t>
  </si>
  <si>
    <t>BOX FAN D30 GRILLE ROTATIVE</t>
  </si>
  <si>
    <t>TM001087</t>
  </si>
  <si>
    <t>VENTILATEUR D40</t>
  </si>
  <si>
    <t>TM001088</t>
  </si>
  <si>
    <t>LIAISON PRECHARGEE 9M</t>
  </si>
  <si>
    <t>TM001089</t>
  </si>
  <si>
    <t>CLIMATISEUR SUPRA BLIZ R 2800W</t>
  </si>
  <si>
    <t>TM001090</t>
  </si>
  <si>
    <t>VENTILATEUR 30CM 3VIT TABLE</t>
  </si>
  <si>
    <t>TM001091</t>
  </si>
  <si>
    <t>KIT PORTIE</t>
  </si>
  <si>
    <t>KIT PORTIER AUDIO 5FILS ENCAST</t>
  </si>
  <si>
    <t>CMT</t>
  </si>
  <si>
    <t>TM001092</t>
  </si>
  <si>
    <t>KIT PORTIER AUDIO SAILLIE 2 FI</t>
  </si>
  <si>
    <t>TM001093</t>
  </si>
  <si>
    <t>BALLAST ORYX 7/9/11W</t>
  </si>
  <si>
    <t>COD</t>
  </si>
  <si>
    <t>TM001094</t>
  </si>
  <si>
    <t>TUBE RETRE</t>
  </si>
  <si>
    <t>TUBE RETREINT 15w B22 BALISAGE</t>
  </si>
  <si>
    <t>TM001095</t>
  </si>
  <si>
    <t>SPOT MK10</t>
  </si>
  <si>
    <t>TM001096</t>
  </si>
  <si>
    <t>LAMPE HI</t>
  </si>
  <si>
    <t>LAMPE HI SPOT 50W 230V VOIR SLI.021071</t>
  </si>
  <si>
    <t>TM001097</t>
  </si>
  <si>
    <t>PROJECTEUR PLUS SODIUM 250WE40</t>
  </si>
  <si>
    <t>TM001098</t>
  </si>
  <si>
    <t>LAMPE HALO</t>
  </si>
  <si>
    <t>LAMPE HALO RETRO 240V 650W DYR</t>
  </si>
  <si>
    <t>TM001099</t>
  </si>
  <si>
    <t>TRANSFO ELECTRONIC 60VA BOXER</t>
  </si>
  <si>
    <t>TM001100</t>
  </si>
  <si>
    <t>DOUILLE HI</t>
  </si>
  <si>
    <t>DOUILLE HI SPOT</t>
  </si>
  <si>
    <t>TM001101</t>
  </si>
  <si>
    <t>LAMPE SIGNAL STD 10X28 E10</t>
  </si>
  <si>
    <t>TM001102</t>
  </si>
  <si>
    <t>LPE PROJ</t>
  </si>
  <si>
    <t>LPE PROJ DIAPO 115V 300W BA</t>
  </si>
  <si>
    <t>TM001103</t>
  </si>
  <si>
    <t>LAMPE PL-S</t>
  </si>
  <si>
    <t>LAMPE PL-S 2P 7W/840 G23</t>
  </si>
  <si>
    <t>TM001104</t>
  </si>
  <si>
    <t>DOUILLE IODURE 250W</t>
  </si>
  <si>
    <t>TM001105</t>
  </si>
  <si>
    <t>TUBE FLUO GERMICIDE 15W G15T8</t>
  </si>
  <si>
    <t>TM001106</t>
  </si>
  <si>
    <t>LAMPE TUBE</t>
  </si>
  <si>
    <t>LAMPE TUBE ECHELLE 25w E14</t>
  </si>
  <si>
    <t>TM001107</t>
  </si>
  <si>
    <t>SPOT IODUR</t>
  </si>
  <si>
    <t>SPOT IODURE FIXE SECTRA 70W</t>
  </si>
  <si>
    <t>TM001108</t>
  </si>
  <si>
    <t>PLAQUE RUE</t>
  </si>
  <si>
    <t>PLAQUE RUE 2 BOUTONS TERSYSTEM</t>
  </si>
  <si>
    <t>COF</t>
  </si>
  <si>
    <t>TM001109</t>
  </si>
  <si>
    <t>PORTIER</t>
  </si>
  <si>
    <t>PORTIER SFERA COFREL INOX</t>
  </si>
  <si>
    <t>TM001110</t>
  </si>
  <si>
    <t>KIT PORTIER APPARENT 2FILS CK2</t>
  </si>
  <si>
    <t>TM001111</t>
  </si>
  <si>
    <t>KIT PORTIER DE VILLA COFREL</t>
  </si>
  <si>
    <t>TM001112</t>
  </si>
  <si>
    <t>KIT PORTIER DE VILLA 2 FILS</t>
  </si>
  <si>
    <t>TM001113</t>
  </si>
  <si>
    <t>SONNERIE</t>
  </si>
  <si>
    <t>SONNERIE TELEPHONE  PTT 48-70V</t>
  </si>
  <si>
    <t>TM001114</t>
  </si>
  <si>
    <t>EMETTEUR 2 CX MINI DAAC</t>
  </si>
  <si>
    <t>DAA</t>
  </si>
  <si>
    <t>TM001115</t>
  </si>
  <si>
    <t>THERMOSTAT INVERSEUR</t>
  </si>
  <si>
    <t>DIF</t>
  </si>
  <si>
    <t>TM001116</t>
  </si>
  <si>
    <t>THERMOST.</t>
  </si>
  <si>
    <t>THERMOST. CE A VIS TUS 270MM</t>
  </si>
  <si>
    <t>TM001117</t>
  </si>
  <si>
    <t>THERMOSTAT CE A VIS LONG=370</t>
  </si>
  <si>
    <t>TM001118</t>
  </si>
  <si>
    <t>THERMOSTAT TSE EMBROCHABLE 270</t>
  </si>
  <si>
    <t>TM001119</t>
  </si>
  <si>
    <t>THERMOSTAT CE TRI 450mm</t>
  </si>
  <si>
    <t>TM001120</t>
  </si>
  <si>
    <t>RESISTANCE STEAT 2400W</t>
  </si>
  <si>
    <t>TM001121</t>
  </si>
  <si>
    <t>C 160 G</t>
  </si>
  <si>
    <t>TM001122</t>
  </si>
  <si>
    <t>MA 1P</t>
  </si>
  <si>
    <t>TM001123</t>
  </si>
  <si>
    <t>RMT 160</t>
  </si>
  <si>
    <t>TM001124</t>
  </si>
  <si>
    <t>TE A 90</t>
  </si>
  <si>
    <t>TE A 90 TE200 ELGE</t>
  </si>
  <si>
    <t>TM001125</t>
  </si>
  <si>
    <t>AEROèERME 4.5KW</t>
  </si>
  <si>
    <t>TM001126</t>
  </si>
  <si>
    <t>AEROèERME AE 6 N1 TRI 380V</t>
  </si>
  <si>
    <t>TM001127</t>
  </si>
  <si>
    <t>CLIMATISEUR SPLIT 2.3KW FROID</t>
  </si>
  <si>
    <t>TM001128</t>
  </si>
  <si>
    <t>TM001129</t>
  </si>
  <si>
    <t>CLIMATISEUR SPLIT 2.2KW FROID</t>
  </si>
  <si>
    <t>TM001130</t>
  </si>
  <si>
    <t>CLIMATISEUR SPLIT 2.3KW REVERS</t>
  </si>
  <si>
    <t>TM001131</t>
  </si>
  <si>
    <t>LIAISON FRIGO 3M 1/2 - 1/4</t>
  </si>
  <si>
    <t>TM001132</t>
  </si>
  <si>
    <t>LIAISON FRIGO 5M 1/2 1/4</t>
  </si>
  <si>
    <t>TM001133</t>
  </si>
  <si>
    <t>SUPPORT UNITE EXTERIEURE SE420</t>
  </si>
  <si>
    <t>TM001134</t>
  </si>
  <si>
    <t>CLIMATISEUR SPLIT 4.2KW REVERS</t>
  </si>
  <si>
    <t>TM001135</t>
  </si>
  <si>
    <t>AERATEUR AM 100 TIMER</t>
  </si>
  <si>
    <t>TM001136</t>
  </si>
  <si>
    <t>AERATEUR CUISINE 380M3H</t>
  </si>
  <si>
    <t>TM001137</t>
  </si>
  <si>
    <t>VENTILATEUR INDUSTRIEL AM250N4</t>
  </si>
  <si>
    <t>TM001138</t>
  </si>
  <si>
    <t>AERATEUR AVM 150A ELGE</t>
  </si>
  <si>
    <t>TM001139</t>
  </si>
  <si>
    <t>GROUPE ELGE GEF 350</t>
  </si>
  <si>
    <t>TM001140</t>
  </si>
  <si>
    <t>VENTILATEUR DE PLAFOND PAL 140</t>
  </si>
  <si>
    <t>TM001141</t>
  </si>
  <si>
    <t>CAISSON</t>
  </si>
  <si>
    <t>CAISSON 320M3 VCM 320 ELGE</t>
  </si>
  <si>
    <t>TM001142</t>
  </si>
  <si>
    <t>VENTILATEUR CENTRIFUGE ELGE</t>
  </si>
  <si>
    <t>TM001143</t>
  </si>
  <si>
    <t>GROUPE EXTRACTION SIMPLE FLUX</t>
  </si>
  <si>
    <t>TM001144</t>
  </si>
  <si>
    <t>VENTILATEUR ELGE AM 120 G</t>
  </si>
  <si>
    <t>TM001145</t>
  </si>
  <si>
    <t>VARIATEUR ELECTRONIQUE VEM100</t>
  </si>
  <si>
    <t>TM001146</t>
  </si>
  <si>
    <t>BORNE DE</t>
  </si>
  <si>
    <t>BORNE DE JONCTION M1010 ENTRE</t>
  </si>
  <si>
    <t>ENT</t>
  </si>
  <si>
    <t>TM001147</t>
  </si>
  <si>
    <t>TIRE-FOND</t>
  </si>
  <si>
    <t>TIRE-FOND DIAM:8</t>
  </si>
  <si>
    <t>TM001148</t>
  </si>
  <si>
    <t>PIED TERRA</t>
  </si>
  <si>
    <t>PIED TERRASSE</t>
  </si>
  <si>
    <t>TM001149</t>
  </si>
  <si>
    <t>FIXATION MURALE DEPORT 9CM</t>
  </si>
  <si>
    <t>TM001150</t>
  </si>
  <si>
    <t>FIXATION MURALE</t>
  </si>
  <si>
    <t>TM001151</t>
  </si>
  <si>
    <t>CERCLAGE</t>
  </si>
  <si>
    <t>CERCLAGE SIMPLE ERARD</t>
  </si>
  <si>
    <t>TM001152</t>
  </si>
  <si>
    <t>MAT  1.50M  DIAM 50</t>
  </si>
  <si>
    <t>TM001153</t>
  </si>
  <si>
    <t>CERCLAGE DOUBLE LES 2 ELEMENTS</t>
  </si>
  <si>
    <t>TM001154</t>
  </si>
  <si>
    <t>MAT  1.50M DIAM 40</t>
  </si>
  <si>
    <t>TM001155</t>
  </si>
  <si>
    <t>MAT 2M</t>
  </si>
  <si>
    <t>MAT 2M DIAM 35</t>
  </si>
  <si>
    <t>TM001156</t>
  </si>
  <si>
    <t>MAT  2M DIAM 40</t>
  </si>
  <si>
    <t>TM001157</t>
  </si>
  <si>
    <t>BRAS DE DEPORT ERARD 925 PM</t>
  </si>
  <si>
    <t>TM001158</t>
  </si>
  <si>
    <t>TRANSFO 2X24V 160VA EREA</t>
  </si>
  <si>
    <t>ERE</t>
  </si>
  <si>
    <t>TM001159</t>
  </si>
  <si>
    <t>TRANSFO CAPOT 230/24 100V EREA</t>
  </si>
  <si>
    <t>TM001160</t>
  </si>
  <si>
    <t>SNAPCLIPS</t>
  </si>
  <si>
    <t>SNAPCLIPS SCA1220 ERICO</t>
  </si>
  <si>
    <t>ERI</t>
  </si>
  <si>
    <t>TM001161</t>
  </si>
  <si>
    <t>INTERPHONE</t>
  </si>
  <si>
    <t>INTERPHONE FM LA PAIRE</t>
  </si>
  <si>
    <t>ERS</t>
  </si>
  <si>
    <t>TM001162</t>
  </si>
  <si>
    <t>INTERPHONE SECTEUR LE JEU DE 2</t>
  </si>
  <si>
    <t>TM001163</t>
  </si>
  <si>
    <t>MINUT/TELE</t>
  </si>
  <si>
    <t>MINUT/TELERUPT MULTI FONCT 16A</t>
  </si>
  <si>
    <t>FIN</t>
  </si>
  <si>
    <t>TM001164</t>
  </si>
  <si>
    <t>RELAIS</t>
  </si>
  <si>
    <t>RELAIS 12V/AC 4RT AVEC SOCLE</t>
  </si>
  <si>
    <t>TM001165</t>
  </si>
  <si>
    <t>TELERUPTEU</t>
  </si>
  <si>
    <t>TELERUPTEUR UNI 12V 16A</t>
  </si>
  <si>
    <t>TM001166</t>
  </si>
  <si>
    <t>CONVECT SAUT/èERM 1750W BLANC</t>
  </si>
  <si>
    <t>TM001167</t>
  </si>
  <si>
    <t>CONVECTEUR èERMOR 1500w BLANC</t>
  </si>
  <si>
    <t>TM001168</t>
  </si>
  <si>
    <t>58W D26</t>
  </si>
  <si>
    <t>58W D26 CLAUDLUX BL84 001G13</t>
  </si>
  <si>
    <t>TM001169</t>
  </si>
  <si>
    <t>FACETTE 63</t>
  </si>
  <si>
    <t>FACETTE 63 50W EXT 25 230E27</t>
  </si>
  <si>
    <t>TM001170</t>
  </si>
  <si>
    <t>LAMPE KRYPTON 60W E27</t>
  </si>
  <si>
    <t>TM001171</t>
  </si>
  <si>
    <t>LAMPE FLAMME CL TORS DEP60WE14</t>
  </si>
  <si>
    <t>TM001172</t>
  </si>
  <si>
    <t>LAMPE TUBE 230V B22</t>
  </si>
  <si>
    <t>TM001173</t>
  </si>
  <si>
    <t>CL TUBE</t>
  </si>
  <si>
    <t>CL TUBE 2580 40 230E</t>
  </si>
  <si>
    <t>TM001174</t>
  </si>
  <si>
    <t>CL TUBE 2580 40 230B22</t>
  </si>
  <si>
    <t>TM001175</t>
  </si>
  <si>
    <t>LINOLITE</t>
  </si>
  <si>
    <t>LINOLITE DEP 38310 40 230S19</t>
  </si>
  <si>
    <t>TM001176</t>
  </si>
  <si>
    <t>LAMPE PAR 38 80W E27 240V D120</t>
  </si>
  <si>
    <t>TM001177</t>
  </si>
  <si>
    <t>LAMPE PAR 16 40W E14</t>
  </si>
  <si>
    <t>TM001178</t>
  </si>
  <si>
    <t>LAMPE FLUO 13W CULOT G24D ORYX</t>
  </si>
  <si>
    <t>TM001179</t>
  </si>
  <si>
    <t>CONDENSATEUR C30</t>
  </si>
  <si>
    <t>TM001180</t>
  </si>
  <si>
    <t>VASQUE 4X18W CLAUDGLASS DF</t>
  </si>
  <si>
    <t>TM001181</t>
  </si>
  <si>
    <t>SUSPENSION</t>
  </si>
  <si>
    <t>SUSPENSION LA PAIRE</t>
  </si>
  <si>
    <t>TM001182</t>
  </si>
  <si>
    <t>CABLE ALIMENTATION MULTICLAUDE</t>
  </si>
  <si>
    <t>TM001183</t>
  </si>
  <si>
    <t>PLATINE DF</t>
  </si>
  <si>
    <t>PLATINE DF 136PC</t>
  </si>
  <si>
    <t>TM001184</t>
  </si>
  <si>
    <t>PLAFONNIER DEUG VISUAL DO 236</t>
  </si>
  <si>
    <t>TM001185</t>
  </si>
  <si>
    <t>PLAFONNIER DEUG VISUAL 258</t>
  </si>
  <si>
    <t>TM001186</t>
  </si>
  <si>
    <t>PLAFONNIER 4X18W  SAILLIE DEUG</t>
  </si>
  <si>
    <t>TM001187</t>
  </si>
  <si>
    <t>PLAFONNIER DEUG 1X58W</t>
  </si>
  <si>
    <t>TM001188</t>
  </si>
  <si>
    <t>REFLECTEUR</t>
  </si>
  <si>
    <t>REFLECTEUR INDUSTRIEL 136PC</t>
  </si>
  <si>
    <t>TM001189</t>
  </si>
  <si>
    <t>REFLECTEUR IND. 2X36W CLAUDE</t>
  </si>
  <si>
    <t>TM001190</t>
  </si>
  <si>
    <t>PLAFONNIER ETANCHE RAFT 158PC</t>
  </si>
  <si>
    <t>TM001191</t>
  </si>
  <si>
    <t>RAFT 258</t>
  </si>
  <si>
    <t>RAFT 258 PC</t>
  </si>
  <si>
    <t>TM001192</t>
  </si>
  <si>
    <t>FLUOLINE 3060 CLAUDE</t>
  </si>
  <si>
    <t>TM001193</t>
  </si>
  <si>
    <t>ETRIER DE</t>
  </si>
  <si>
    <t>ETRIER DE SUSPENSION FLUOLINE</t>
  </si>
  <si>
    <t>TM001194</t>
  </si>
  <si>
    <t>EMBOUTS</t>
  </si>
  <si>
    <t>EMBOUTS FLUOLINE LA PAIRE</t>
  </si>
  <si>
    <t>TM001195</t>
  </si>
  <si>
    <t>FIX/RACCOR</t>
  </si>
  <si>
    <t>FIX/RACCORD LUMINAIRE FLUOLINE</t>
  </si>
  <si>
    <t>TM001196</t>
  </si>
  <si>
    <t>PROFIL</t>
  </si>
  <si>
    <t>PROFIL RECOUVREMENT 1.5M FLUOL</t>
  </si>
  <si>
    <t>TM001197</t>
  </si>
  <si>
    <t>REGLETTE MINI 13W CLAUDE</t>
  </si>
  <si>
    <t>TM001198</t>
  </si>
  <si>
    <t>STD KRYPT</t>
  </si>
  <si>
    <t>STD KRYPT 150W E27</t>
  </si>
  <si>
    <t>TM001199</t>
  </si>
  <si>
    <t>LAMPE STD</t>
  </si>
  <si>
    <t>LAMPE STD SIGNAL 55W B22</t>
  </si>
  <si>
    <t>TM001200</t>
  </si>
  <si>
    <t>LAMPE STANDARD 300W E40</t>
  </si>
  <si>
    <t>TM001201</t>
  </si>
  <si>
    <t>FLAMME</t>
  </si>
  <si>
    <t>FLAMME TORSADEE GEANTE 60W E14</t>
  </si>
  <si>
    <t>TM001202</t>
  </si>
  <si>
    <t>LAMPE VEILLEUSE OPALE 7W E14</t>
  </si>
  <si>
    <t>TM001203</t>
  </si>
  <si>
    <t>SUSPENSION DS2 0.50M LA PAIRE</t>
  </si>
  <si>
    <t>TM001204</t>
  </si>
  <si>
    <t>ADAPTATEUR 1 ALLUM NOIR CLAUDE</t>
  </si>
  <si>
    <t>TM001205</t>
  </si>
  <si>
    <t>LIAISON FLARE 2M CLIM DELCHI</t>
  </si>
  <si>
    <t>TM001206</t>
  </si>
  <si>
    <t>CLIMATISEUR PORTABLE</t>
  </si>
  <si>
    <t>TM001207</t>
  </si>
  <si>
    <t>CLIMATISEUR CHAUD-FROID 5.3KW</t>
  </si>
  <si>
    <t>TM001208</t>
  </si>
  <si>
    <t>VENT.OSCIL</t>
  </si>
  <si>
    <t>VENT.OSCILLANT (colonne)</t>
  </si>
  <si>
    <t>TM001209</t>
  </si>
  <si>
    <t>VENTILATEUR DIAM 20CM</t>
  </si>
  <si>
    <t>TM001210</t>
  </si>
  <si>
    <t>VENTILATEUR DIAM 30CM</t>
  </si>
  <si>
    <t>TM001211</t>
  </si>
  <si>
    <t>VENTILATEUR D30 3 VIT OSC NOIR</t>
  </si>
  <si>
    <t>TM001212</t>
  </si>
  <si>
    <t>LIAISON PRECHARGEE 6M</t>
  </si>
  <si>
    <t>TM001213</t>
  </si>
  <si>
    <t>CLIMATISEUR DELONGHI</t>
  </si>
  <si>
    <t>TM001214</t>
  </si>
  <si>
    <t>CLIMATISEUR SPLIT MOBILE</t>
  </si>
  <si>
    <t>TM001215</t>
  </si>
  <si>
    <t>VENTILATEUR BOX FAN 30CM</t>
  </si>
  <si>
    <t>TM001216</t>
  </si>
  <si>
    <t>VENTILATEUR 40CM 3 VIT S/PIED</t>
  </si>
  <si>
    <t>TM001217</t>
  </si>
  <si>
    <t>VENTILATEUR 22CM 3 VIT.TABLE</t>
  </si>
  <si>
    <t>TM001218</t>
  </si>
  <si>
    <t>KIT PORTIER AUDIO 5FILS SAILLI</t>
  </si>
  <si>
    <t>TM001219</t>
  </si>
  <si>
    <t>PROJ HALO</t>
  </si>
  <si>
    <t>PROJ HALO PATERE NOIR</t>
  </si>
  <si>
    <t>TM001220</t>
  </si>
  <si>
    <t>LAMPE R7S</t>
  </si>
  <si>
    <t>LAMPE R7S 78MM 100W</t>
  </si>
  <si>
    <t>TM001221</t>
  </si>
  <si>
    <t>PROJECTEUR OLYMPIA 3 IM 150W</t>
  </si>
  <si>
    <t>TM001222</t>
  </si>
  <si>
    <t>SPOT ORIEN</t>
  </si>
  <si>
    <t>SPOT ORIENTABLE NICKEL VEGA</t>
  </si>
  <si>
    <t>TM001223</t>
  </si>
  <si>
    <t>PROJECTEUR IODURES METAL 250W</t>
  </si>
  <si>
    <t>TM001224</t>
  </si>
  <si>
    <t>SPOT BOULE</t>
  </si>
  <si>
    <t>SPOT BOULE R125 PAR38 48477</t>
  </si>
  <si>
    <t>TM001225</t>
  </si>
  <si>
    <t>PROJECTEUR EXT NOIR  GU10</t>
  </si>
  <si>
    <t>TM001226</t>
  </si>
  <si>
    <t>RESISTANCE STEA.1200W DIAM 47</t>
  </si>
  <si>
    <t>TM001227</t>
  </si>
  <si>
    <t>RESISTANCE STEATITE 3000W DIFF</t>
  </si>
  <si>
    <t>TM001228</t>
  </si>
  <si>
    <t>RESIS.CHAU</t>
  </si>
  <si>
    <t>RESIS.CHAUFFE O 2000W COURTE</t>
  </si>
  <si>
    <t>TM001229</t>
  </si>
  <si>
    <t>RECHERCHE</t>
  </si>
  <si>
    <t>RECHERCHE DE PERSONNE</t>
  </si>
  <si>
    <t>EA</t>
  </si>
  <si>
    <t>TM001230</t>
  </si>
  <si>
    <t>VERRIN</t>
  </si>
  <si>
    <t>VERRIN AUTO-BLOQUANT DROIT</t>
  </si>
  <si>
    <t>TM001231</t>
  </si>
  <si>
    <t>CONTACT MAGNETIQUE NO NF</t>
  </si>
  <si>
    <t>TM001232</t>
  </si>
  <si>
    <t>ADAPTATEUR SECTEUR 4.8/4.0 MM</t>
  </si>
  <si>
    <t>TM001233</t>
  </si>
  <si>
    <t>ALIMENTATION 220V 12V CC 2A</t>
  </si>
  <si>
    <t>TM001234</t>
  </si>
  <si>
    <t>CONVERTISS</t>
  </si>
  <si>
    <t>CONVERTISSEUR 12/220V 100W</t>
  </si>
  <si>
    <t>TM001235</t>
  </si>
  <si>
    <t>CONVERTISSEUR 24V/12V 10A</t>
  </si>
  <si>
    <t>TM001236</t>
  </si>
  <si>
    <t>DETECTEUR FAUX BILLETS</t>
  </si>
  <si>
    <t>TM001237</t>
  </si>
  <si>
    <t>REGULATEUR</t>
  </si>
  <si>
    <t>REGULATEUR DE TENSION 1000VA</t>
  </si>
  <si>
    <t>TM001238</t>
  </si>
  <si>
    <t>REGULATEUR DE TENSION 250VA</t>
  </si>
  <si>
    <t>TM001239</t>
  </si>
  <si>
    <t>TRANSFO EREA 12 V 630 VA</t>
  </si>
  <si>
    <t>TM001240</t>
  </si>
  <si>
    <t>TRANSFO 220/115V 63VA EREA</t>
  </si>
  <si>
    <t>TM001241</t>
  </si>
  <si>
    <t>SNAPCLIPS 24SC1214 ERICO</t>
  </si>
  <si>
    <t>TM001242</t>
  </si>
  <si>
    <t>FICHE XLR</t>
  </si>
  <si>
    <t>FICHE XLR CHASSIS FEMELLE 2315</t>
  </si>
  <si>
    <t>TM001243</t>
  </si>
  <si>
    <t>INTERPHONE FM AUTOMATIC 3CX</t>
  </si>
  <si>
    <t>TM001244</t>
  </si>
  <si>
    <t>MULTI-RELA</t>
  </si>
  <si>
    <t>MULTI-RELAIS 12-220V 1501</t>
  </si>
  <si>
    <t>TM001245</t>
  </si>
  <si>
    <t>TELERUPTEUR FINDER 26 230V</t>
  </si>
  <si>
    <t>TM001246</t>
  </si>
  <si>
    <t>FINDER</t>
  </si>
  <si>
    <t>FINDER SERIE 40 2RT/5A 220V</t>
  </si>
  <si>
    <t>TM001247</t>
  </si>
  <si>
    <t>RELAIS MINI 1 RT 16A 12V DC</t>
  </si>
  <si>
    <t>TM001248</t>
  </si>
  <si>
    <t>SOCLE</t>
  </si>
  <si>
    <t>SOCLE RELAIS FINDER SERIE 40</t>
  </si>
  <si>
    <t>TM001249</t>
  </si>
  <si>
    <t>RELAIS FINDER SERIE 55 4RT 24 VAC</t>
  </si>
  <si>
    <t>TM001250</t>
  </si>
  <si>
    <t>RELAIS FINDER 6013 220AC</t>
  </si>
  <si>
    <t>TM001251</t>
  </si>
  <si>
    <t>RELAIS MULTIFONCTIONS TEMPO ( voir</t>
  </si>
  <si>
    <t>notes)</t>
  </si>
  <si>
    <t>TM001252</t>
  </si>
  <si>
    <t>RELAIS FINDER MULTIFONCT 8532</t>
  </si>
  <si>
    <t>TM001253</t>
  </si>
  <si>
    <t>MULTI-RELAIS FINDER 8534</t>
  </si>
  <si>
    <t>TM001254</t>
  </si>
  <si>
    <t>SOCLE FINDER POUR SERIE 60</t>
  </si>
  <si>
    <t>TM001255</t>
  </si>
  <si>
    <t>SUPPORT RELAIS SERIE 55</t>
  </si>
  <si>
    <t>TM001256</t>
  </si>
  <si>
    <t>SUPPORT RELAIS SERIE 40</t>
  </si>
  <si>
    <t>TM001257</t>
  </si>
  <si>
    <t>FLASH</t>
  </si>
  <si>
    <t>FLASH TIMER JOURNALIER</t>
  </si>
  <si>
    <t>FLA</t>
  </si>
  <si>
    <t>TM001258</t>
  </si>
  <si>
    <t>HORLOGE</t>
  </si>
  <si>
    <t>HORLOGE FLASH 13001 MINUTERIE</t>
  </si>
  <si>
    <t>TM001259</t>
  </si>
  <si>
    <t>BARRETTE ENFICHABLE 6MM2</t>
  </si>
  <si>
    <t>FOR</t>
  </si>
  <si>
    <t>TM001260</t>
  </si>
  <si>
    <t>LAMPE E40</t>
  </si>
  <si>
    <t>LAMPE E40 1000W 240V</t>
  </si>
  <si>
    <t>TM001261</t>
  </si>
  <si>
    <t>CARTOUCHE</t>
  </si>
  <si>
    <t>CARTOUCHE 8.5X31.5 20A</t>
  </si>
  <si>
    <t>TM001262</t>
  </si>
  <si>
    <t>CARTOUCHE 10X38 4A AM</t>
  </si>
  <si>
    <t>TM001263</t>
  </si>
  <si>
    <t>CARTOUCHE 10X38 6A AM</t>
  </si>
  <si>
    <t>TM001264</t>
  </si>
  <si>
    <t>CARTOUCHE 10X38 16A AM</t>
  </si>
  <si>
    <t>TM001265</t>
  </si>
  <si>
    <t>SONNERIE INDUST 12VAC FRIEDL.</t>
  </si>
  <si>
    <t>FRI</t>
  </si>
  <si>
    <t>TM001266</t>
  </si>
  <si>
    <t>CARILLON</t>
  </si>
  <si>
    <t>CARILLON FRIEDLAND BIGBEN 220v</t>
  </si>
  <si>
    <t>TM001267</t>
  </si>
  <si>
    <t>CARILLON FESTIVAL</t>
  </si>
  <si>
    <t>TM001268</t>
  </si>
  <si>
    <t>CARILLON SANS FIL 200m D340G   N EXISTE</t>
  </si>
  <si>
    <t>PLUS</t>
  </si>
  <si>
    <t>TM001269</t>
  </si>
  <si>
    <t>CARILLON FIESTA 220V FRIEDLAND</t>
  </si>
  <si>
    <t>TM001270</t>
  </si>
  <si>
    <t>CARILLON EN 220V FRIEDLAND</t>
  </si>
  <si>
    <t>TM001271</t>
  </si>
  <si>
    <t>GAINE</t>
  </si>
  <si>
    <t>GAINE THERMO RETRACT.4.8MM</t>
  </si>
  <si>
    <t>GAI</t>
  </si>
  <si>
    <t>TM001272</t>
  </si>
  <si>
    <t>GAINE ICT</t>
  </si>
  <si>
    <t>GAINE ICT DE 32 EN 100M</t>
  </si>
  <si>
    <t>TM001273</t>
  </si>
  <si>
    <t>GAINE TPC</t>
  </si>
  <si>
    <t>GAINE TPC DIAM:60 LE M</t>
  </si>
  <si>
    <t>TM001274</t>
  </si>
  <si>
    <t>HOTTE</t>
  </si>
  <si>
    <t>HOTTE ARèUR MARTIN AFT620W</t>
  </si>
  <si>
    <t>GAM</t>
  </si>
  <si>
    <t>TM001275</t>
  </si>
  <si>
    <t>HOTTE SAILLIE 3 VITESSES BRUNE</t>
  </si>
  <si>
    <t>TM001276</t>
  </si>
  <si>
    <t>COMBI</t>
  </si>
  <si>
    <t>COMBI FAGOR 330L(220L+110L)</t>
  </si>
  <si>
    <t>TM001277</t>
  </si>
  <si>
    <t>GROUPE SCHOLTES GF 440</t>
  </si>
  <si>
    <t>TM001278</t>
  </si>
  <si>
    <t>GROUPE ENCASTRE 2 MOTEURS</t>
  </si>
  <si>
    <t>TM001279</t>
  </si>
  <si>
    <t>HOTTE SCHOLTES 2 MOTEURS</t>
  </si>
  <si>
    <t>TM001280</t>
  </si>
  <si>
    <t>MICRO-ONDE</t>
  </si>
  <si>
    <t>MICRO-ONDES BRANDT 21L ROUGE</t>
  </si>
  <si>
    <t>TM001281</t>
  </si>
  <si>
    <t>REFRIGERAT</t>
  </si>
  <si>
    <t>REFRIGERATEUR RGE 300</t>
  </si>
  <si>
    <t>TM001282</t>
  </si>
  <si>
    <t>REFRIGERATEUR BRANDT RS2180</t>
  </si>
  <si>
    <t>TM001283</t>
  </si>
  <si>
    <t>IL.LR-MC1407F</t>
  </si>
  <si>
    <t>E14 7W 640</t>
  </si>
  <si>
    <t>Basse Consommation Micro Bougie</t>
  </si>
  <si>
    <t>E14 7W 6400K A 10K</t>
  </si>
  <si>
    <t>TM001284</t>
  </si>
  <si>
    <t>BOITIER</t>
  </si>
  <si>
    <t>BOITIER FOR JUNIOR 8P</t>
  </si>
  <si>
    <t>GE</t>
  </si>
  <si>
    <t>TM001285</t>
  </si>
  <si>
    <t>TABLEAU 54</t>
  </si>
  <si>
    <t>TABLEAU 54 MODULES GE FOR150</t>
  </si>
  <si>
    <t>TM001286</t>
  </si>
  <si>
    <t>DISJONCTEUR DIFF 4P 50A 30Ma</t>
  </si>
  <si>
    <t>TM001287</t>
  </si>
  <si>
    <t>IL.LAR-FC1442</t>
  </si>
  <si>
    <t>LAMPE HALOGENE ECO CDV OPALE 42W E14 230</t>
  </si>
  <si>
    <t>TM001288</t>
  </si>
  <si>
    <t>COD.900-30</t>
  </si>
  <si>
    <t>COD900-30</t>
  </si>
  <si>
    <t>LAMPE GLOBE OPALE D300 BAILLONETTE</t>
  </si>
  <si>
    <t>TM001289</t>
  </si>
  <si>
    <t>COD.HC501202012</t>
  </si>
  <si>
    <t>HC50120201</t>
  </si>
  <si>
    <t>LAMPE DICHRO 50MM 20W 12°</t>
  </si>
  <si>
    <t>TM001290</t>
  </si>
  <si>
    <t>LEU.840759</t>
  </si>
  <si>
    <t>LAMPE DICHRO 50MM 50W 12°EXT 4000H</t>
  </si>
  <si>
    <t>TM001291</t>
  </si>
  <si>
    <t>LEU.840669</t>
  </si>
  <si>
    <t>LAMPE DICHRO 50MM 35W 60°EXT 4000H</t>
  </si>
  <si>
    <t>TM001292</t>
  </si>
  <si>
    <t>BLD.190366</t>
  </si>
  <si>
    <t>BLOC 6 PC</t>
  </si>
  <si>
    <t>BLOC 6 PC 2P+T 16A BLANC</t>
  </si>
  <si>
    <t>TM001293</t>
  </si>
  <si>
    <t>BLD.186238</t>
  </si>
  <si>
    <t>BLOC 7 PC</t>
  </si>
  <si>
    <t>BLOC 7 PC 3X16A ET 4X6A INTER NOIR</t>
  </si>
  <si>
    <t>TM001294</t>
  </si>
  <si>
    <t>TELERUPTEUR PULSAR 1F 16A 230V</t>
  </si>
  <si>
    <t>TM001295</t>
  </si>
  <si>
    <t>INTER DIF</t>
  </si>
  <si>
    <t>INTER DIF 2X16A 10MA GE</t>
  </si>
  <si>
    <t>TM001296</t>
  </si>
  <si>
    <t>LAMPE HALO RETRO 36V 400W EVD</t>
  </si>
  <si>
    <t>TM001297</t>
  </si>
  <si>
    <t>SPOT JUMO</t>
  </si>
  <si>
    <t>SPOT JUMO TBT PATERE BLC</t>
  </si>
  <si>
    <t>TM001298</t>
  </si>
  <si>
    <t>LAMPE TUBE CL FOUR 300ª 25W</t>
  </si>
  <si>
    <t>TM001299</t>
  </si>
  <si>
    <t>LAMPE FLUO-COMPACTE ECO 15W</t>
  </si>
  <si>
    <t>TM001300</t>
  </si>
  <si>
    <t>LAMPE HALO MINICAN 150W E14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</si>
</sst>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01"/>
  <sheetViews>
    <sheetView tabSelected="1" topLeftCell="A7" workbookViewId="0">
      <selection sqref="A1:XFD1001"/>
    </sheetView>
  </sheetViews>
  <sheetFormatPr baseColWidth="10" defaultRowHeight="15"/>
  <sheetData>
    <row r="1" spans="1:16">
      <c r="A1" t="s">
        <v>0</v>
      </c>
      <c r="B1" t="s">
        <v>1</v>
      </c>
      <c r="C1">
        <v>20100629</v>
      </c>
      <c r="D1">
        <v>20101004</v>
      </c>
      <c r="E1" t="s">
        <v>2</v>
      </c>
      <c r="G1" t="s">
        <v>3</v>
      </c>
      <c r="I1">
        <v>999</v>
      </c>
      <c r="K1">
        <v>1</v>
      </c>
      <c r="M1">
        <v>0</v>
      </c>
      <c r="N1">
        <v>8.7100000000000009</v>
      </c>
      <c r="O1">
        <v>40</v>
      </c>
      <c r="P1">
        <v>5.226</v>
      </c>
    </row>
    <row r="2" spans="1:16">
      <c r="A2" t="s">
        <v>4</v>
      </c>
      <c r="B2" t="s">
        <v>5</v>
      </c>
      <c r="C2">
        <v>20100629</v>
      </c>
      <c r="D2">
        <v>20110127</v>
      </c>
      <c r="E2" t="s">
        <v>6</v>
      </c>
      <c r="G2" t="s">
        <v>7</v>
      </c>
      <c r="I2">
        <v>999</v>
      </c>
      <c r="K2">
        <v>1</v>
      </c>
      <c r="M2">
        <v>1</v>
      </c>
      <c r="N2">
        <v>9.64</v>
      </c>
      <c r="O2">
        <v>40</v>
      </c>
      <c r="P2">
        <v>5.7839999999999998</v>
      </c>
    </row>
    <row r="3" spans="1:16">
      <c r="A3" t="s">
        <v>8</v>
      </c>
      <c r="B3" t="s">
        <v>9</v>
      </c>
      <c r="C3">
        <v>20100629</v>
      </c>
      <c r="D3">
        <v>20101004</v>
      </c>
      <c r="E3" t="s">
        <v>10</v>
      </c>
      <c r="G3" t="s">
        <v>11</v>
      </c>
      <c r="I3">
        <v>999</v>
      </c>
      <c r="K3">
        <v>1</v>
      </c>
      <c r="M3">
        <v>0</v>
      </c>
      <c r="N3">
        <v>36.270000000000003</v>
      </c>
      <c r="O3">
        <v>40</v>
      </c>
      <c r="P3">
        <v>21.762</v>
      </c>
    </row>
    <row r="4" spans="1:16">
      <c r="A4" t="s">
        <v>12</v>
      </c>
      <c r="B4" t="s">
        <v>13</v>
      </c>
      <c r="C4">
        <v>20100629</v>
      </c>
      <c r="D4">
        <v>20101004</v>
      </c>
      <c r="E4" t="s">
        <v>14</v>
      </c>
      <c r="G4" t="s">
        <v>15</v>
      </c>
      <c r="I4">
        <v>999</v>
      </c>
      <c r="K4">
        <v>1</v>
      </c>
      <c r="M4">
        <v>0</v>
      </c>
      <c r="N4">
        <v>5.16</v>
      </c>
      <c r="O4">
        <v>40</v>
      </c>
      <c r="P4">
        <v>3.0960000000000001</v>
      </c>
    </row>
    <row r="5" spans="1:16">
      <c r="A5" t="s">
        <v>16</v>
      </c>
      <c r="B5" t="s">
        <v>17</v>
      </c>
      <c r="C5">
        <v>20100629</v>
      </c>
      <c r="D5">
        <v>20101004</v>
      </c>
      <c r="E5" t="s">
        <v>18</v>
      </c>
      <c r="G5" t="s">
        <v>19</v>
      </c>
      <c r="I5">
        <v>999</v>
      </c>
      <c r="K5">
        <v>1</v>
      </c>
      <c r="M5">
        <v>0</v>
      </c>
      <c r="N5">
        <v>4.83</v>
      </c>
      <c r="O5">
        <v>40</v>
      </c>
      <c r="P5">
        <v>2.8980000000000001</v>
      </c>
    </row>
    <row r="6" spans="1:16">
      <c r="A6" t="s">
        <v>20</v>
      </c>
      <c r="B6" t="s">
        <v>21</v>
      </c>
      <c r="C6">
        <v>20100629</v>
      </c>
      <c r="D6">
        <v>20101004</v>
      </c>
      <c r="E6" t="s">
        <v>18</v>
      </c>
      <c r="G6" t="s">
        <v>22</v>
      </c>
      <c r="I6">
        <v>999</v>
      </c>
      <c r="K6">
        <v>1</v>
      </c>
      <c r="M6">
        <v>0</v>
      </c>
      <c r="N6">
        <v>3.19</v>
      </c>
      <c r="O6">
        <v>40</v>
      </c>
      <c r="P6">
        <v>1.9139999999999999</v>
      </c>
    </row>
    <row r="7" spans="1:16">
      <c r="A7" t="s">
        <v>23</v>
      </c>
      <c r="B7" t="s">
        <v>24</v>
      </c>
      <c r="C7">
        <v>20100629</v>
      </c>
      <c r="D7">
        <v>20101004</v>
      </c>
      <c r="E7" t="s">
        <v>18</v>
      </c>
      <c r="G7" t="s">
        <v>25</v>
      </c>
      <c r="I7">
        <v>999</v>
      </c>
      <c r="K7">
        <v>1</v>
      </c>
      <c r="M7">
        <v>0</v>
      </c>
      <c r="N7">
        <v>3.4</v>
      </c>
      <c r="O7">
        <v>40</v>
      </c>
      <c r="P7">
        <v>2.04</v>
      </c>
    </row>
    <row r="8" spans="1:16">
      <c r="A8" t="s">
        <v>26</v>
      </c>
      <c r="B8" t="s">
        <v>27</v>
      </c>
      <c r="C8">
        <v>20100629</v>
      </c>
      <c r="D8">
        <v>20101004</v>
      </c>
      <c r="E8" t="s">
        <v>28</v>
      </c>
      <c r="G8" t="s">
        <v>29</v>
      </c>
      <c r="I8">
        <v>999</v>
      </c>
      <c r="K8">
        <v>1</v>
      </c>
      <c r="M8">
        <v>0</v>
      </c>
      <c r="N8">
        <v>5.31</v>
      </c>
      <c r="O8">
        <v>40</v>
      </c>
      <c r="P8">
        <v>3.1859999999999999</v>
      </c>
    </row>
    <row r="9" spans="1:16">
      <c r="A9" t="s">
        <v>30</v>
      </c>
      <c r="B9" t="s">
        <v>31</v>
      </c>
      <c r="C9">
        <v>20100629</v>
      </c>
      <c r="D9">
        <v>20101004</v>
      </c>
      <c r="E9" t="s">
        <v>32</v>
      </c>
      <c r="G9" t="s">
        <v>33</v>
      </c>
      <c r="I9">
        <v>999</v>
      </c>
      <c r="K9">
        <v>1</v>
      </c>
      <c r="M9">
        <v>0</v>
      </c>
      <c r="N9">
        <v>2.4</v>
      </c>
      <c r="O9">
        <v>40</v>
      </c>
      <c r="P9">
        <v>1.44</v>
      </c>
    </row>
    <row r="10" spans="1:16">
      <c r="A10" t="s">
        <v>34</v>
      </c>
      <c r="B10" t="e">
        <f>-ABB.339660</f>
        <v>#NAME?</v>
      </c>
      <c r="C10">
        <v>20100629</v>
      </c>
      <c r="D10">
        <v>20101004</v>
      </c>
      <c r="E10" t="s">
        <v>35</v>
      </c>
      <c r="G10" t="s">
        <v>36</v>
      </c>
      <c r="I10" t="s">
        <v>37</v>
      </c>
      <c r="K10">
        <v>1</v>
      </c>
      <c r="M10">
        <v>0</v>
      </c>
      <c r="N10">
        <v>30.39</v>
      </c>
      <c r="O10">
        <v>40</v>
      </c>
      <c r="P10">
        <v>18.234000000000002</v>
      </c>
    </row>
    <row r="11" spans="1:16">
      <c r="A11" t="s">
        <v>38</v>
      </c>
      <c r="B11" t="e">
        <f>-ABB.420244</f>
        <v>#NAME?</v>
      </c>
      <c r="C11">
        <v>20100629</v>
      </c>
      <c r="D11">
        <v>20101004</v>
      </c>
      <c r="E11" t="s">
        <v>39</v>
      </c>
      <c r="G11" t="s">
        <v>40</v>
      </c>
      <c r="I11" t="s">
        <v>37</v>
      </c>
      <c r="K11">
        <v>1</v>
      </c>
      <c r="M11">
        <v>0</v>
      </c>
      <c r="N11">
        <v>34.6</v>
      </c>
      <c r="O11">
        <v>40</v>
      </c>
      <c r="P11">
        <v>20.76</v>
      </c>
    </row>
    <row r="12" spans="1:16">
      <c r="A12" t="s">
        <v>41</v>
      </c>
      <c r="B12" t="e">
        <f>-ABB.420583</f>
        <v>#NAME?</v>
      </c>
      <c r="C12">
        <v>20100629</v>
      </c>
      <c r="D12">
        <v>20101004</v>
      </c>
      <c r="E12" t="s">
        <v>39</v>
      </c>
      <c r="G12" t="s">
        <v>42</v>
      </c>
      <c r="I12" t="s">
        <v>37</v>
      </c>
      <c r="K12">
        <v>1</v>
      </c>
      <c r="M12">
        <v>0</v>
      </c>
      <c r="N12">
        <v>58.95</v>
      </c>
      <c r="O12">
        <v>40</v>
      </c>
      <c r="P12">
        <v>35.369999999999997</v>
      </c>
    </row>
    <row r="13" spans="1:16">
      <c r="A13" t="s">
        <v>43</v>
      </c>
      <c r="B13" t="e">
        <f>-ABB.6410</f>
        <v>#NAME?</v>
      </c>
      <c r="C13">
        <v>20100629</v>
      </c>
      <c r="D13">
        <v>20101004</v>
      </c>
      <c r="E13" t="s">
        <v>44</v>
      </c>
      <c r="G13" t="s">
        <v>45</v>
      </c>
      <c r="I13" t="s">
        <v>37</v>
      </c>
      <c r="K13">
        <v>1</v>
      </c>
      <c r="M13">
        <v>0</v>
      </c>
      <c r="N13">
        <v>32.020000000000003</v>
      </c>
      <c r="O13">
        <v>40</v>
      </c>
      <c r="P13">
        <v>19.212</v>
      </c>
    </row>
    <row r="14" spans="1:16">
      <c r="A14" t="s">
        <v>46</v>
      </c>
      <c r="B14" t="e">
        <f>-ADV.118526</f>
        <v>#NAME?</v>
      </c>
      <c r="C14">
        <v>20100629</v>
      </c>
      <c r="D14">
        <v>20101004</v>
      </c>
      <c r="E14" t="s">
        <v>47</v>
      </c>
      <c r="G14" t="s">
        <v>48</v>
      </c>
      <c r="I14" t="s">
        <v>49</v>
      </c>
      <c r="K14">
        <v>1</v>
      </c>
      <c r="M14">
        <v>0</v>
      </c>
      <c r="N14">
        <v>15.47</v>
      </c>
      <c r="O14">
        <v>40</v>
      </c>
      <c r="P14">
        <v>9.282</v>
      </c>
    </row>
    <row r="15" spans="1:16">
      <c r="A15" t="s">
        <v>50</v>
      </c>
      <c r="B15" t="e">
        <f>-ADV.AT34</f>
        <v>#NAME?</v>
      </c>
      <c r="C15">
        <v>20100629</v>
      </c>
      <c r="D15">
        <v>20101004</v>
      </c>
      <c r="E15" t="s">
        <v>47</v>
      </c>
      <c r="G15" t="s">
        <v>51</v>
      </c>
      <c r="I15" t="s">
        <v>49</v>
      </c>
      <c r="K15">
        <v>1</v>
      </c>
      <c r="M15">
        <v>0</v>
      </c>
      <c r="N15">
        <v>6.18</v>
      </c>
      <c r="O15">
        <v>40</v>
      </c>
      <c r="P15">
        <v>3.7080000000000002</v>
      </c>
    </row>
    <row r="16" spans="1:16">
      <c r="A16" t="s">
        <v>52</v>
      </c>
      <c r="B16" t="e">
        <f>-ADV.AT7</f>
        <v>#NAME?</v>
      </c>
      <c r="C16">
        <v>20100629</v>
      </c>
      <c r="D16">
        <v>20101004</v>
      </c>
      <c r="E16" t="s">
        <v>47</v>
      </c>
      <c r="G16" t="s">
        <v>53</v>
      </c>
      <c r="I16" t="s">
        <v>49</v>
      </c>
      <c r="K16">
        <v>1</v>
      </c>
      <c r="M16">
        <v>0</v>
      </c>
      <c r="N16">
        <v>1.03</v>
      </c>
      <c r="O16">
        <v>40</v>
      </c>
      <c r="P16">
        <v>0.61799999999999999</v>
      </c>
    </row>
    <row r="17" spans="1:16">
      <c r="A17" t="s">
        <v>54</v>
      </c>
      <c r="B17" t="e">
        <f>-AIR.750319</f>
        <v>#NAME?</v>
      </c>
      <c r="C17">
        <v>20100629</v>
      </c>
      <c r="D17">
        <v>20101004</v>
      </c>
      <c r="E17" t="s">
        <v>55</v>
      </c>
      <c r="G17" t="s">
        <v>56</v>
      </c>
      <c r="I17" t="s">
        <v>57</v>
      </c>
      <c r="K17">
        <v>1</v>
      </c>
      <c r="M17">
        <v>0</v>
      </c>
      <c r="N17">
        <v>109.08</v>
      </c>
      <c r="O17">
        <v>40</v>
      </c>
      <c r="P17">
        <v>65.447999999999993</v>
      </c>
    </row>
    <row r="18" spans="1:16">
      <c r="A18" t="s">
        <v>58</v>
      </c>
      <c r="B18" t="e">
        <f>-ALA.12V7AH</f>
        <v>#NAME?</v>
      </c>
      <c r="C18">
        <v>20100629</v>
      </c>
      <c r="D18">
        <v>20101004</v>
      </c>
      <c r="E18" t="s">
        <v>59</v>
      </c>
      <c r="G18" t="s">
        <v>60</v>
      </c>
      <c r="I18" t="s">
        <v>61</v>
      </c>
      <c r="K18">
        <v>1</v>
      </c>
      <c r="M18">
        <v>0</v>
      </c>
      <c r="N18">
        <v>53.5</v>
      </c>
      <c r="O18">
        <v>40</v>
      </c>
      <c r="P18">
        <v>32.1</v>
      </c>
    </row>
    <row r="19" spans="1:16">
      <c r="A19" t="s">
        <v>62</v>
      </c>
      <c r="B19" t="e">
        <f>-ALA.APOLLOSOL</f>
        <v>#NAME?</v>
      </c>
      <c r="C19">
        <v>20100629</v>
      </c>
      <c r="D19">
        <v>20101004</v>
      </c>
      <c r="E19" t="s">
        <v>63</v>
      </c>
      <c r="G19" t="s">
        <v>64</v>
      </c>
      <c r="I19" t="s">
        <v>61</v>
      </c>
      <c r="K19">
        <v>1</v>
      </c>
      <c r="M19">
        <v>0</v>
      </c>
      <c r="N19">
        <v>100.28</v>
      </c>
      <c r="O19">
        <v>40</v>
      </c>
      <c r="P19">
        <v>60.167999999999999</v>
      </c>
    </row>
    <row r="20" spans="1:16">
      <c r="A20" t="s">
        <v>65</v>
      </c>
      <c r="B20" t="e">
        <f>-ALA.AXE440</f>
        <v>#NAME?</v>
      </c>
      <c r="C20">
        <v>20100629</v>
      </c>
      <c r="D20">
        <v>20101004</v>
      </c>
      <c r="E20" t="s">
        <v>66</v>
      </c>
      <c r="G20" t="s">
        <v>67</v>
      </c>
      <c r="I20" t="s">
        <v>61</v>
      </c>
      <c r="K20">
        <v>1</v>
      </c>
      <c r="M20">
        <v>0</v>
      </c>
      <c r="N20">
        <v>232.08</v>
      </c>
      <c r="O20">
        <v>40</v>
      </c>
      <c r="P20">
        <v>139.24799999999999</v>
      </c>
    </row>
    <row r="21" spans="1:16">
      <c r="A21" t="s">
        <v>68</v>
      </c>
      <c r="B21" t="e">
        <f>-ALA.B12V2A</f>
        <v>#NAME?</v>
      </c>
      <c r="C21">
        <v>20100629</v>
      </c>
      <c r="D21">
        <v>20101004</v>
      </c>
      <c r="E21" t="s">
        <v>59</v>
      </c>
      <c r="G21" t="s">
        <v>69</v>
      </c>
      <c r="I21" t="s">
        <v>61</v>
      </c>
      <c r="K21">
        <v>1</v>
      </c>
      <c r="M21">
        <v>0</v>
      </c>
      <c r="N21">
        <v>33.33</v>
      </c>
      <c r="O21">
        <v>40</v>
      </c>
      <c r="P21">
        <v>19.998000000000001</v>
      </c>
    </row>
    <row r="22" spans="1:16">
      <c r="A22" t="s">
        <v>70</v>
      </c>
      <c r="B22" t="e">
        <f>-ALA.B6V4A</f>
        <v>#NAME?</v>
      </c>
      <c r="C22">
        <v>20100629</v>
      </c>
      <c r="D22">
        <v>20101004</v>
      </c>
      <c r="E22" t="s">
        <v>59</v>
      </c>
      <c r="G22" t="s">
        <v>71</v>
      </c>
      <c r="I22" t="s">
        <v>61</v>
      </c>
      <c r="K22">
        <v>1</v>
      </c>
      <c r="M22">
        <v>0</v>
      </c>
      <c r="N22">
        <v>35.840000000000003</v>
      </c>
      <c r="O22">
        <v>40</v>
      </c>
      <c r="P22">
        <v>21.504000000000001</v>
      </c>
    </row>
    <row r="23" spans="1:16">
      <c r="A23" t="s">
        <v>72</v>
      </c>
      <c r="B23" t="e">
        <f>-ALA.BC10</f>
        <v>#NAME?</v>
      </c>
      <c r="C23">
        <v>20100629</v>
      </c>
      <c r="D23">
        <v>20101004</v>
      </c>
      <c r="E23" t="s">
        <v>73</v>
      </c>
      <c r="G23" t="s">
        <v>74</v>
      </c>
      <c r="I23" t="s">
        <v>61</v>
      </c>
      <c r="K23">
        <v>1</v>
      </c>
      <c r="M23">
        <v>0</v>
      </c>
      <c r="N23">
        <v>12.47</v>
      </c>
      <c r="O23">
        <v>40</v>
      </c>
      <c r="P23">
        <v>7.4820000000000002</v>
      </c>
    </row>
    <row r="24" spans="1:16">
      <c r="A24" t="s">
        <v>75</v>
      </c>
      <c r="B24" t="e">
        <f>-ALA.BPFT</f>
        <v>#NAME?</v>
      </c>
      <c r="C24">
        <v>20100629</v>
      </c>
      <c r="D24">
        <v>20101004</v>
      </c>
      <c r="E24" t="s">
        <v>76</v>
      </c>
      <c r="G24" t="s">
        <v>77</v>
      </c>
      <c r="I24" t="s">
        <v>61</v>
      </c>
      <c r="K24">
        <v>1</v>
      </c>
      <c r="M24">
        <v>0</v>
      </c>
      <c r="N24">
        <v>159.81</v>
      </c>
      <c r="O24">
        <v>40</v>
      </c>
      <c r="P24">
        <v>95.885999999999996</v>
      </c>
    </row>
    <row r="25" spans="1:16">
      <c r="A25" t="s">
        <v>78</v>
      </c>
      <c r="B25" t="e">
        <f>-ALA.BUZZER</f>
        <v>#NAME?</v>
      </c>
      <c r="C25">
        <v>20100629</v>
      </c>
      <c r="D25">
        <v>20101004</v>
      </c>
      <c r="E25" t="s">
        <v>79</v>
      </c>
      <c r="G25" t="s">
        <v>79</v>
      </c>
      <c r="I25" t="s">
        <v>61</v>
      </c>
      <c r="K25">
        <v>1</v>
      </c>
      <c r="M25">
        <v>0</v>
      </c>
      <c r="N25">
        <v>10.039999999999999</v>
      </c>
      <c r="O25">
        <v>40</v>
      </c>
      <c r="P25">
        <v>6.024</v>
      </c>
    </row>
    <row r="26" spans="1:16">
      <c r="A26" t="s">
        <v>80</v>
      </c>
      <c r="B26" t="e">
        <f>-ALA.CA1T</f>
        <v>#NAME?</v>
      </c>
      <c r="C26">
        <v>20100629</v>
      </c>
      <c r="D26">
        <v>20101004</v>
      </c>
      <c r="E26" t="s">
        <v>81</v>
      </c>
      <c r="G26" t="s">
        <v>82</v>
      </c>
      <c r="I26" t="s">
        <v>61</v>
      </c>
      <c r="K26">
        <v>1</v>
      </c>
      <c r="M26">
        <v>0</v>
      </c>
      <c r="N26">
        <v>80.430000000000007</v>
      </c>
      <c r="O26">
        <v>40</v>
      </c>
      <c r="P26">
        <v>48.258000000000003</v>
      </c>
    </row>
    <row r="27" spans="1:16">
      <c r="A27" t="s">
        <v>83</v>
      </c>
      <c r="B27" t="e">
        <f>-ALA.CH9001</f>
        <v>#NAME?</v>
      </c>
      <c r="C27">
        <v>20100629</v>
      </c>
      <c r="D27">
        <v>20101004</v>
      </c>
      <c r="E27" t="s">
        <v>84</v>
      </c>
      <c r="G27" t="s">
        <v>85</v>
      </c>
      <c r="I27" t="s">
        <v>61</v>
      </c>
      <c r="K27">
        <v>1</v>
      </c>
      <c r="M27">
        <v>0</v>
      </c>
      <c r="N27">
        <v>15.55</v>
      </c>
      <c r="O27">
        <v>40</v>
      </c>
      <c r="P27">
        <v>9.33</v>
      </c>
    </row>
    <row r="28" spans="1:16">
      <c r="A28" t="s">
        <v>86</v>
      </c>
      <c r="B28" t="e">
        <f>-ALA.COLT</f>
        <v>#NAME?</v>
      </c>
      <c r="C28">
        <v>20100629</v>
      </c>
      <c r="D28">
        <v>20101004</v>
      </c>
      <c r="E28" t="s">
        <v>87</v>
      </c>
      <c r="G28" t="s">
        <v>88</v>
      </c>
      <c r="I28" t="s">
        <v>61</v>
      </c>
      <c r="K28">
        <v>1</v>
      </c>
      <c r="M28">
        <v>0</v>
      </c>
      <c r="N28">
        <v>80.27</v>
      </c>
      <c r="O28">
        <v>40</v>
      </c>
      <c r="P28">
        <v>48.161999999999999</v>
      </c>
    </row>
    <row r="29" spans="1:16">
      <c r="A29" t="s">
        <v>89</v>
      </c>
      <c r="B29" t="e">
        <f>-ALA.CONTACT</f>
        <v>#NAME?</v>
      </c>
      <c r="C29">
        <v>20100629</v>
      </c>
      <c r="D29">
        <v>20101004</v>
      </c>
      <c r="E29" t="s">
        <v>90</v>
      </c>
      <c r="G29" t="s">
        <v>91</v>
      </c>
      <c r="I29" t="s">
        <v>61</v>
      </c>
      <c r="K29">
        <v>1</v>
      </c>
      <c r="M29">
        <v>0</v>
      </c>
      <c r="N29">
        <v>13.35</v>
      </c>
      <c r="O29">
        <v>40</v>
      </c>
      <c r="P29">
        <v>8.01</v>
      </c>
    </row>
    <row r="30" spans="1:16">
      <c r="A30" t="s">
        <v>92</v>
      </c>
      <c r="B30" t="e">
        <f>-ALA.DOMOPHONE</f>
        <v>#NAME?</v>
      </c>
      <c r="C30">
        <v>20100629</v>
      </c>
      <c r="D30">
        <v>20101004</v>
      </c>
      <c r="E30" t="s">
        <v>93</v>
      </c>
      <c r="G30" t="s">
        <v>94</v>
      </c>
      <c r="I30" t="s">
        <v>61</v>
      </c>
      <c r="K30">
        <v>1</v>
      </c>
      <c r="M30">
        <v>0</v>
      </c>
      <c r="N30">
        <v>703.85</v>
      </c>
      <c r="O30">
        <v>40</v>
      </c>
      <c r="P30">
        <v>422.31</v>
      </c>
    </row>
    <row r="31" spans="1:16">
      <c r="A31" t="s">
        <v>95</v>
      </c>
      <c r="B31" t="e">
        <f>-ALA.MULTI10P</f>
        <v>#NAME?</v>
      </c>
      <c r="C31">
        <v>20100629</v>
      </c>
      <c r="D31">
        <v>20101004</v>
      </c>
      <c r="E31" t="s">
        <v>96</v>
      </c>
      <c r="G31" t="s">
        <v>97</v>
      </c>
      <c r="I31" t="s">
        <v>61</v>
      </c>
      <c r="K31">
        <v>1</v>
      </c>
      <c r="M31">
        <v>0</v>
      </c>
      <c r="N31">
        <v>1.0900000000000001</v>
      </c>
      <c r="O31">
        <v>40</v>
      </c>
      <c r="P31">
        <v>0.65400000000000003</v>
      </c>
    </row>
    <row r="32" spans="1:16">
      <c r="A32" t="s">
        <v>98</v>
      </c>
      <c r="B32" t="e">
        <f>-ALA.MULTI4P</f>
        <v>#NAME?</v>
      </c>
      <c r="C32">
        <v>20100629</v>
      </c>
      <c r="D32">
        <v>20101004</v>
      </c>
      <c r="E32" t="s">
        <v>96</v>
      </c>
      <c r="G32" t="s">
        <v>99</v>
      </c>
      <c r="I32" t="s">
        <v>61</v>
      </c>
      <c r="K32">
        <v>1</v>
      </c>
      <c r="M32">
        <v>0</v>
      </c>
      <c r="N32">
        <v>0.49</v>
      </c>
      <c r="O32">
        <v>40</v>
      </c>
      <c r="P32">
        <v>0.29399999999999998</v>
      </c>
    </row>
    <row r="33" spans="1:16">
      <c r="A33" t="s">
        <v>100</v>
      </c>
      <c r="B33" t="e">
        <f>-ALA.MULTI6P</f>
        <v>#NAME?</v>
      </c>
      <c r="C33">
        <v>20100629</v>
      </c>
      <c r="D33">
        <v>20101004</v>
      </c>
      <c r="E33" t="s">
        <v>96</v>
      </c>
      <c r="G33" t="s">
        <v>101</v>
      </c>
      <c r="I33" t="s">
        <v>61</v>
      </c>
      <c r="K33">
        <v>1</v>
      </c>
      <c r="M33">
        <v>0</v>
      </c>
      <c r="N33">
        <v>0.69</v>
      </c>
      <c r="O33">
        <v>40</v>
      </c>
      <c r="P33">
        <v>0.41399999999999998</v>
      </c>
    </row>
    <row r="34" spans="1:16">
      <c r="A34" t="s">
        <v>102</v>
      </c>
      <c r="B34" t="e">
        <f>-ALA.SI195</f>
        <v>#NAME?</v>
      </c>
      <c r="C34">
        <v>20100629</v>
      </c>
      <c r="D34">
        <v>20101004</v>
      </c>
      <c r="E34" t="s">
        <v>103</v>
      </c>
      <c r="G34" t="s">
        <v>104</v>
      </c>
      <c r="I34" t="s">
        <v>61</v>
      </c>
      <c r="K34">
        <v>1</v>
      </c>
      <c r="M34">
        <v>0</v>
      </c>
      <c r="N34">
        <v>171.15</v>
      </c>
      <c r="O34">
        <v>40</v>
      </c>
      <c r="P34">
        <v>102.69</v>
      </c>
    </row>
    <row r="35" spans="1:16">
      <c r="A35" t="s">
        <v>105</v>
      </c>
      <c r="B35" t="s">
        <v>106</v>
      </c>
      <c r="C35">
        <v>20100629</v>
      </c>
      <c r="D35">
        <v>20101004</v>
      </c>
      <c r="E35" t="s">
        <v>103</v>
      </c>
      <c r="G35" t="s">
        <v>107</v>
      </c>
      <c r="I35" t="s">
        <v>61</v>
      </c>
      <c r="K35">
        <v>1</v>
      </c>
      <c r="M35">
        <v>0</v>
      </c>
      <c r="N35">
        <v>356.89</v>
      </c>
      <c r="O35">
        <v>40</v>
      </c>
      <c r="P35">
        <v>214.13399999999999</v>
      </c>
    </row>
    <row r="36" spans="1:16">
      <c r="A36" t="s">
        <v>108</v>
      </c>
      <c r="B36" t="e">
        <f>-ALA.TRVOX</f>
        <v>#NAME?</v>
      </c>
      <c r="C36">
        <v>20100629</v>
      </c>
      <c r="D36">
        <v>20101004</v>
      </c>
      <c r="E36" t="s">
        <v>109</v>
      </c>
      <c r="G36" t="s">
        <v>110</v>
      </c>
      <c r="I36" t="s">
        <v>61</v>
      </c>
      <c r="K36">
        <v>1</v>
      </c>
      <c r="M36">
        <v>0</v>
      </c>
      <c r="N36">
        <v>724.55</v>
      </c>
      <c r="O36">
        <v>40</v>
      </c>
      <c r="P36">
        <v>434.73</v>
      </c>
    </row>
    <row r="37" spans="1:16">
      <c r="A37" t="s">
        <v>111</v>
      </c>
      <c r="B37" t="e">
        <f>-ALM.E10NEON</f>
        <v>#NAME?</v>
      </c>
      <c r="C37">
        <v>20100629</v>
      </c>
      <c r="D37">
        <v>20101004</v>
      </c>
      <c r="E37" t="s">
        <v>112</v>
      </c>
      <c r="G37" t="s">
        <v>113</v>
      </c>
      <c r="I37" t="s">
        <v>114</v>
      </c>
      <c r="K37">
        <v>1</v>
      </c>
      <c r="M37">
        <v>0</v>
      </c>
      <c r="N37">
        <v>3.63</v>
      </c>
      <c r="O37">
        <v>40</v>
      </c>
      <c r="P37">
        <v>2.1779999999999999</v>
      </c>
    </row>
    <row r="38" spans="1:16">
      <c r="A38" t="s">
        <v>115</v>
      </c>
      <c r="B38" t="e">
        <f>-ALO.71515</f>
        <v>#NAME?</v>
      </c>
      <c r="C38">
        <v>20100629</v>
      </c>
      <c r="D38">
        <v>20101004</v>
      </c>
      <c r="E38" t="s">
        <v>116</v>
      </c>
      <c r="G38" t="s">
        <v>117</v>
      </c>
      <c r="I38" t="s">
        <v>118</v>
      </c>
      <c r="K38">
        <v>1</v>
      </c>
      <c r="M38">
        <v>0</v>
      </c>
      <c r="N38">
        <v>4.2</v>
      </c>
      <c r="O38">
        <v>40</v>
      </c>
      <c r="P38">
        <v>2.52</v>
      </c>
    </row>
    <row r="39" spans="1:16">
      <c r="A39" t="s">
        <v>119</v>
      </c>
      <c r="B39" t="e">
        <f>-ALO.71606</f>
        <v>#NAME?</v>
      </c>
      <c r="C39">
        <v>20100629</v>
      </c>
      <c r="D39">
        <v>20101004</v>
      </c>
      <c r="E39" t="s">
        <v>120</v>
      </c>
      <c r="G39" t="s">
        <v>121</v>
      </c>
      <c r="I39" t="s">
        <v>118</v>
      </c>
      <c r="K39">
        <v>1</v>
      </c>
      <c r="M39">
        <v>0</v>
      </c>
      <c r="N39">
        <v>2.65</v>
      </c>
      <c r="O39">
        <v>40</v>
      </c>
      <c r="P39">
        <v>1.59</v>
      </c>
    </row>
    <row r="40" spans="1:16">
      <c r="A40" t="s">
        <v>122</v>
      </c>
      <c r="B40" t="e">
        <f>-ALO.76872</f>
        <v>#NAME?</v>
      </c>
      <c r="C40">
        <v>20100629</v>
      </c>
      <c r="D40">
        <v>20101004</v>
      </c>
      <c r="E40" t="s">
        <v>123</v>
      </c>
      <c r="G40" t="s">
        <v>124</v>
      </c>
      <c r="I40" t="s">
        <v>118</v>
      </c>
      <c r="K40">
        <v>1</v>
      </c>
      <c r="M40">
        <v>0</v>
      </c>
      <c r="N40">
        <v>5.68</v>
      </c>
      <c r="O40">
        <v>40</v>
      </c>
      <c r="P40">
        <v>3.4079999999999999</v>
      </c>
    </row>
    <row r="41" spans="1:16">
      <c r="A41" t="s">
        <v>125</v>
      </c>
      <c r="B41" t="e">
        <f>-ANT.000862</f>
        <v>#NAME?</v>
      </c>
      <c r="C41">
        <v>20100629</v>
      </c>
      <c r="D41">
        <v>20101004</v>
      </c>
      <c r="E41" t="s">
        <v>126</v>
      </c>
      <c r="G41" t="s">
        <v>127</v>
      </c>
      <c r="I41" t="s">
        <v>128</v>
      </c>
      <c r="K41">
        <v>1</v>
      </c>
      <c r="M41">
        <v>0</v>
      </c>
      <c r="N41">
        <v>55.35</v>
      </c>
      <c r="O41">
        <v>40</v>
      </c>
      <c r="P41">
        <v>33.21</v>
      </c>
    </row>
    <row r="42" spans="1:16">
      <c r="A42" t="s">
        <v>129</v>
      </c>
      <c r="B42" t="e">
        <f>-ANT.000940</f>
        <v>#NAME?</v>
      </c>
      <c r="C42">
        <v>20100629</v>
      </c>
      <c r="D42">
        <v>20101004</v>
      </c>
      <c r="E42" t="s">
        <v>130</v>
      </c>
      <c r="G42" t="s">
        <v>131</v>
      </c>
      <c r="I42" t="s">
        <v>128</v>
      </c>
      <c r="K42">
        <v>1</v>
      </c>
      <c r="M42">
        <v>0</v>
      </c>
      <c r="N42">
        <v>44.62</v>
      </c>
      <c r="O42">
        <v>40</v>
      </c>
      <c r="P42">
        <v>26.771999999999998</v>
      </c>
    </row>
    <row r="43" spans="1:16">
      <c r="A43" t="s">
        <v>132</v>
      </c>
      <c r="B43" t="e">
        <f>-ANT.000942</f>
        <v>#NAME?</v>
      </c>
      <c r="C43">
        <v>20100629</v>
      </c>
      <c r="D43">
        <v>20101004</v>
      </c>
      <c r="E43" t="s">
        <v>130</v>
      </c>
      <c r="G43" t="s">
        <v>133</v>
      </c>
      <c r="I43" t="s">
        <v>128</v>
      </c>
      <c r="K43">
        <v>1</v>
      </c>
      <c r="M43">
        <v>0</v>
      </c>
      <c r="N43">
        <v>30.44</v>
      </c>
      <c r="O43">
        <v>40</v>
      </c>
      <c r="P43">
        <v>18.263999999999999</v>
      </c>
    </row>
    <row r="44" spans="1:16">
      <c r="A44" t="s">
        <v>134</v>
      </c>
      <c r="B44" t="e">
        <f>-ANT.0140437</f>
        <v>#NAME?</v>
      </c>
      <c r="C44">
        <v>20100629</v>
      </c>
      <c r="D44">
        <v>20101004</v>
      </c>
      <c r="E44" t="s">
        <v>135</v>
      </c>
      <c r="G44" t="s">
        <v>136</v>
      </c>
      <c r="I44" t="s">
        <v>128</v>
      </c>
      <c r="K44">
        <v>1</v>
      </c>
      <c r="M44">
        <v>0</v>
      </c>
      <c r="N44">
        <v>200.68</v>
      </c>
      <c r="O44">
        <v>40</v>
      </c>
      <c r="P44">
        <v>120.408</v>
      </c>
    </row>
    <row r="45" spans="1:16">
      <c r="A45" t="s">
        <v>137</v>
      </c>
      <c r="B45" t="e">
        <f>-ANT.0914157</f>
        <v>#NAME?</v>
      </c>
      <c r="C45">
        <v>20100629</v>
      </c>
      <c r="D45">
        <v>20101004</v>
      </c>
      <c r="E45" t="s">
        <v>138</v>
      </c>
      <c r="G45" t="s">
        <v>139</v>
      </c>
      <c r="I45" t="s">
        <v>128</v>
      </c>
      <c r="K45">
        <v>1</v>
      </c>
      <c r="M45">
        <v>0</v>
      </c>
      <c r="N45">
        <v>51.44</v>
      </c>
      <c r="O45">
        <v>40</v>
      </c>
      <c r="P45">
        <v>30.864000000000001</v>
      </c>
    </row>
    <row r="46" spans="1:16">
      <c r="A46" t="s">
        <v>140</v>
      </c>
      <c r="B46" t="e">
        <f>-ANT.0950</f>
        <v>#NAME?</v>
      </c>
      <c r="C46">
        <v>20100629</v>
      </c>
      <c r="D46">
        <v>20101004</v>
      </c>
      <c r="E46" t="s">
        <v>141</v>
      </c>
      <c r="G46" t="s">
        <v>142</v>
      </c>
      <c r="I46" t="s">
        <v>128</v>
      </c>
      <c r="K46">
        <v>1</v>
      </c>
      <c r="M46">
        <v>0</v>
      </c>
      <c r="N46">
        <v>51.57</v>
      </c>
      <c r="O46">
        <v>40</v>
      </c>
      <c r="P46">
        <v>30.942</v>
      </c>
    </row>
    <row r="47" spans="1:16">
      <c r="A47" t="s">
        <v>143</v>
      </c>
      <c r="B47" t="e">
        <f>-ANT.1247</f>
        <v>#NAME?</v>
      </c>
      <c r="C47">
        <v>20100629</v>
      </c>
      <c r="D47">
        <v>20101004</v>
      </c>
      <c r="E47" t="s">
        <v>144</v>
      </c>
      <c r="G47" t="s">
        <v>145</v>
      </c>
      <c r="I47" t="s">
        <v>128</v>
      </c>
      <c r="K47">
        <v>1</v>
      </c>
      <c r="M47">
        <v>0</v>
      </c>
      <c r="N47">
        <v>36.590000000000003</v>
      </c>
      <c r="O47">
        <v>40</v>
      </c>
      <c r="P47">
        <v>21.954000000000001</v>
      </c>
    </row>
    <row r="48" spans="1:16">
      <c r="A48" t="s">
        <v>146</v>
      </c>
      <c r="B48" t="e">
        <f>-ANT.214900</f>
        <v>#NAME?</v>
      </c>
      <c r="C48">
        <v>20100629</v>
      </c>
      <c r="D48">
        <v>20101004</v>
      </c>
      <c r="E48" t="s">
        <v>147</v>
      </c>
      <c r="G48" t="s">
        <v>148</v>
      </c>
      <c r="I48" t="s">
        <v>128</v>
      </c>
      <c r="K48">
        <v>1</v>
      </c>
      <c r="M48">
        <v>0</v>
      </c>
      <c r="N48">
        <v>29.01</v>
      </c>
      <c r="O48">
        <v>40</v>
      </c>
      <c r="P48">
        <v>17.405999999999999</v>
      </c>
    </row>
    <row r="49" spans="1:16">
      <c r="A49" t="s">
        <v>149</v>
      </c>
      <c r="B49" t="e">
        <f>-ANT.36222</f>
        <v>#NAME?</v>
      </c>
      <c r="C49">
        <v>20100629</v>
      </c>
      <c r="D49">
        <v>20101004</v>
      </c>
      <c r="E49" t="s">
        <v>150</v>
      </c>
      <c r="G49" t="s">
        <v>151</v>
      </c>
      <c r="I49" t="s">
        <v>128</v>
      </c>
      <c r="K49">
        <v>1</v>
      </c>
      <c r="M49">
        <v>0</v>
      </c>
      <c r="N49">
        <v>70.510000000000005</v>
      </c>
      <c r="O49">
        <v>40</v>
      </c>
      <c r="P49">
        <v>42.305999999999997</v>
      </c>
    </row>
    <row r="50" spans="1:16">
      <c r="A50" t="s">
        <v>152</v>
      </c>
      <c r="B50" t="e">
        <f>-ANT.5MTV</f>
        <v>#NAME?</v>
      </c>
      <c r="C50">
        <v>20100629</v>
      </c>
      <c r="D50">
        <v>20101004</v>
      </c>
      <c r="E50" t="s">
        <v>153</v>
      </c>
      <c r="G50" t="s">
        <v>154</v>
      </c>
      <c r="I50" t="s">
        <v>128</v>
      </c>
      <c r="K50">
        <v>1</v>
      </c>
      <c r="M50">
        <v>0</v>
      </c>
      <c r="N50">
        <v>6.52</v>
      </c>
      <c r="O50">
        <v>40</v>
      </c>
      <c r="P50">
        <v>3.9119999999999999</v>
      </c>
    </row>
    <row r="51" spans="1:16">
      <c r="A51" t="s">
        <v>155</v>
      </c>
      <c r="B51" t="e">
        <f>-ANT.655720</f>
        <v>#NAME?</v>
      </c>
      <c r="C51">
        <v>20100629</v>
      </c>
      <c r="D51">
        <v>20101004</v>
      </c>
      <c r="E51" t="s">
        <v>156</v>
      </c>
      <c r="G51" t="s">
        <v>157</v>
      </c>
      <c r="I51" t="s">
        <v>128</v>
      </c>
      <c r="K51">
        <v>1</v>
      </c>
      <c r="M51">
        <v>0</v>
      </c>
      <c r="N51">
        <v>3.08</v>
      </c>
      <c r="O51">
        <v>40</v>
      </c>
      <c r="P51">
        <v>1.8480000000000001</v>
      </c>
    </row>
    <row r="52" spans="1:16">
      <c r="A52" t="s">
        <v>158</v>
      </c>
      <c r="B52" t="e">
        <f>-ADV.AT77</f>
        <v>#NAME?</v>
      </c>
      <c r="C52">
        <v>20100629</v>
      </c>
      <c r="D52">
        <v>20101004</v>
      </c>
      <c r="E52" t="s">
        <v>47</v>
      </c>
      <c r="G52" t="s">
        <v>159</v>
      </c>
      <c r="I52" t="s">
        <v>49</v>
      </c>
      <c r="K52">
        <v>1</v>
      </c>
      <c r="M52">
        <v>0</v>
      </c>
      <c r="N52">
        <v>2.75</v>
      </c>
      <c r="O52">
        <v>40</v>
      </c>
      <c r="P52">
        <v>1.65</v>
      </c>
    </row>
    <row r="53" spans="1:16">
      <c r="A53" t="s">
        <v>160</v>
      </c>
      <c r="B53" t="e">
        <f>-ALA.060002</f>
        <v>#NAME?</v>
      </c>
      <c r="C53">
        <v>20100629</v>
      </c>
      <c r="D53">
        <v>20101004</v>
      </c>
      <c r="E53" t="s">
        <v>161</v>
      </c>
      <c r="G53" t="s">
        <v>162</v>
      </c>
      <c r="I53" t="s">
        <v>61</v>
      </c>
      <c r="K53">
        <v>1</v>
      </c>
      <c r="M53">
        <v>0</v>
      </c>
      <c r="N53">
        <v>537.15</v>
      </c>
      <c r="O53">
        <v>40</v>
      </c>
      <c r="P53">
        <v>322.29000000000002</v>
      </c>
    </row>
    <row r="54" spans="1:16">
      <c r="A54" t="s">
        <v>163</v>
      </c>
      <c r="B54" t="e">
        <f>-ALA.APOLLO</f>
        <v>#NAME?</v>
      </c>
      <c r="C54">
        <v>20100629</v>
      </c>
      <c r="D54">
        <v>20101004</v>
      </c>
      <c r="E54" t="s">
        <v>164</v>
      </c>
      <c r="G54" t="s">
        <v>165</v>
      </c>
      <c r="I54" t="s">
        <v>61</v>
      </c>
      <c r="K54">
        <v>1</v>
      </c>
      <c r="M54">
        <v>0</v>
      </c>
      <c r="N54">
        <v>158.68</v>
      </c>
      <c r="O54">
        <v>40</v>
      </c>
      <c r="P54">
        <v>95.207999999999998</v>
      </c>
    </row>
    <row r="55" spans="1:16">
      <c r="A55" t="s">
        <v>166</v>
      </c>
      <c r="B55" t="e">
        <f>-ALA.B12V6A</f>
        <v>#NAME?</v>
      </c>
      <c r="C55">
        <v>20100629</v>
      </c>
      <c r="D55">
        <v>20101004</v>
      </c>
      <c r="E55" t="s">
        <v>59</v>
      </c>
      <c r="G55" t="s">
        <v>167</v>
      </c>
      <c r="I55" t="s">
        <v>61</v>
      </c>
      <c r="K55">
        <v>1</v>
      </c>
      <c r="M55">
        <v>0</v>
      </c>
      <c r="N55">
        <v>39.53</v>
      </c>
      <c r="O55">
        <v>40</v>
      </c>
      <c r="P55">
        <v>23.718</v>
      </c>
    </row>
    <row r="56" spans="1:16">
      <c r="A56" t="s">
        <v>168</v>
      </c>
      <c r="B56" t="e">
        <f>-ALA.BC7</f>
        <v>#NAME?</v>
      </c>
      <c r="C56">
        <v>20100629</v>
      </c>
      <c r="D56">
        <v>20101004</v>
      </c>
      <c r="E56" t="s">
        <v>169</v>
      </c>
      <c r="G56" t="s">
        <v>170</v>
      </c>
      <c r="I56" t="s">
        <v>61</v>
      </c>
      <c r="K56">
        <v>1</v>
      </c>
      <c r="M56">
        <v>0</v>
      </c>
      <c r="N56">
        <v>7.94</v>
      </c>
      <c r="O56">
        <v>40</v>
      </c>
      <c r="P56">
        <v>4.7640000000000002</v>
      </c>
    </row>
    <row r="57" spans="1:16">
      <c r="A57" t="s">
        <v>171</v>
      </c>
      <c r="B57" t="e">
        <f>-ALA.BPF220B</f>
        <v>#NAME?</v>
      </c>
      <c r="C57">
        <v>20100629</v>
      </c>
      <c r="D57">
        <v>20101004</v>
      </c>
      <c r="E57" t="s">
        <v>76</v>
      </c>
      <c r="G57" t="s">
        <v>172</v>
      </c>
      <c r="I57" t="s">
        <v>61</v>
      </c>
      <c r="K57">
        <v>1</v>
      </c>
      <c r="M57">
        <v>0</v>
      </c>
      <c r="N57">
        <v>196.09</v>
      </c>
      <c r="O57">
        <v>40</v>
      </c>
      <c r="P57">
        <v>117.654</v>
      </c>
    </row>
    <row r="58" spans="1:16">
      <c r="A58" t="s">
        <v>173</v>
      </c>
      <c r="B58" t="e">
        <f>-ALA.CENTRADIO</f>
        <v>#NAME?</v>
      </c>
      <c r="C58">
        <v>20100629</v>
      </c>
      <c r="D58">
        <v>20101004</v>
      </c>
      <c r="E58" t="s">
        <v>93</v>
      </c>
      <c r="G58" t="s">
        <v>174</v>
      </c>
      <c r="I58" t="s">
        <v>61</v>
      </c>
      <c r="K58">
        <v>1</v>
      </c>
      <c r="M58">
        <v>0</v>
      </c>
      <c r="N58">
        <v>1080.5</v>
      </c>
      <c r="O58">
        <v>40</v>
      </c>
      <c r="P58">
        <v>648.29999999999995</v>
      </c>
    </row>
    <row r="59" spans="1:16">
      <c r="A59" t="s">
        <v>175</v>
      </c>
      <c r="B59" t="e">
        <f>-ALA.CLAVBALM</f>
        <v>#NAME?</v>
      </c>
      <c r="C59">
        <v>20100629</v>
      </c>
      <c r="D59">
        <v>20101004</v>
      </c>
      <c r="E59" t="s">
        <v>176</v>
      </c>
      <c r="G59" t="s">
        <v>177</v>
      </c>
      <c r="I59" t="s">
        <v>61</v>
      </c>
      <c r="K59">
        <v>1</v>
      </c>
      <c r="M59">
        <v>0</v>
      </c>
      <c r="N59">
        <v>236.36</v>
      </c>
      <c r="O59">
        <v>40</v>
      </c>
      <c r="P59">
        <v>141.816</v>
      </c>
    </row>
    <row r="60" spans="1:16">
      <c r="A60" t="s">
        <v>178</v>
      </c>
      <c r="B60" t="e">
        <f>-ALA.CLEELEC</f>
        <v>#NAME?</v>
      </c>
      <c r="C60">
        <v>20100629</v>
      </c>
      <c r="D60">
        <v>20101004</v>
      </c>
      <c r="E60" t="s">
        <v>179</v>
      </c>
      <c r="G60" t="s">
        <v>180</v>
      </c>
      <c r="I60" t="s">
        <v>61</v>
      </c>
      <c r="K60">
        <v>1</v>
      </c>
      <c r="M60">
        <v>0</v>
      </c>
      <c r="N60">
        <v>28.03</v>
      </c>
      <c r="O60">
        <v>40</v>
      </c>
      <c r="P60">
        <v>16.818000000000001</v>
      </c>
    </row>
    <row r="61" spans="1:16">
      <c r="A61" t="s">
        <v>181</v>
      </c>
      <c r="B61" t="e">
        <f>-ALA.DT115</f>
        <v>#NAME?</v>
      </c>
      <c r="C61">
        <v>20100629</v>
      </c>
      <c r="D61">
        <v>20101004</v>
      </c>
      <c r="E61" t="s">
        <v>182</v>
      </c>
      <c r="G61" t="s">
        <v>183</v>
      </c>
      <c r="I61" t="s">
        <v>61</v>
      </c>
      <c r="K61">
        <v>1</v>
      </c>
      <c r="M61">
        <v>0</v>
      </c>
      <c r="N61">
        <v>168.03</v>
      </c>
      <c r="O61">
        <v>40</v>
      </c>
      <c r="P61">
        <v>100.818</v>
      </c>
    </row>
    <row r="62" spans="1:16">
      <c r="A62" t="s">
        <v>184</v>
      </c>
      <c r="B62" t="e">
        <f>-ALA.K2M</f>
        <v>#NAME?</v>
      </c>
      <c r="C62">
        <v>20100629</v>
      </c>
      <c r="D62">
        <v>20101004</v>
      </c>
      <c r="E62" t="s">
        <v>185</v>
      </c>
      <c r="G62" t="s">
        <v>186</v>
      </c>
      <c r="I62" t="s">
        <v>61</v>
      </c>
      <c r="K62">
        <v>1</v>
      </c>
      <c r="M62">
        <v>0</v>
      </c>
      <c r="N62">
        <v>112.63</v>
      </c>
      <c r="O62">
        <v>40</v>
      </c>
      <c r="P62">
        <v>67.578000000000003</v>
      </c>
    </row>
    <row r="63" spans="1:16">
      <c r="A63" t="s">
        <v>187</v>
      </c>
      <c r="B63" t="e">
        <f>-ALA.K4M</f>
        <v>#NAME?</v>
      </c>
      <c r="C63">
        <v>20100629</v>
      </c>
      <c r="D63">
        <v>20101004</v>
      </c>
      <c r="E63" t="s">
        <v>188</v>
      </c>
      <c r="G63" t="s">
        <v>189</v>
      </c>
      <c r="I63" t="s">
        <v>61</v>
      </c>
      <c r="K63">
        <v>1</v>
      </c>
      <c r="M63">
        <v>0</v>
      </c>
      <c r="N63">
        <v>141.99</v>
      </c>
      <c r="O63">
        <v>40</v>
      </c>
      <c r="P63">
        <v>85.194000000000003</v>
      </c>
    </row>
    <row r="64" spans="1:16">
      <c r="A64" t="s">
        <v>190</v>
      </c>
      <c r="B64" t="e">
        <f>-ALA.KX2</f>
        <v>#NAME?</v>
      </c>
      <c r="C64">
        <v>20100629</v>
      </c>
      <c r="D64">
        <v>20101004</v>
      </c>
      <c r="E64" t="s">
        <v>191</v>
      </c>
      <c r="G64" t="s">
        <v>192</v>
      </c>
      <c r="I64" t="s">
        <v>61</v>
      </c>
      <c r="K64">
        <v>1</v>
      </c>
      <c r="M64">
        <v>0</v>
      </c>
      <c r="N64">
        <v>268.52</v>
      </c>
      <c r="O64">
        <v>40</v>
      </c>
      <c r="P64">
        <v>161.11199999999999</v>
      </c>
    </row>
    <row r="65" spans="1:16">
      <c r="A65" t="s">
        <v>193</v>
      </c>
      <c r="B65" t="e">
        <f>-ALA.MA</f>
        <v>#NAME?</v>
      </c>
      <c r="C65">
        <v>20100629</v>
      </c>
      <c r="D65">
        <v>20101004</v>
      </c>
      <c r="E65" t="s">
        <v>194</v>
      </c>
      <c r="G65" t="s">
        <v>195</v>
      </c>
      <c r="I65" t="s">
        <v>61</v>
      </c>
      <c r="K65">
        <v>1</v>
      </c>
      <c r="M65">
        <v>0</v>
      </c>
      <c r="N65">
        <v>56.38</v>
      </c>
      <c r="O65">
        <v>40</v>
      </c>
      <c r="P65">
        <v>33.828000000000003</v>
      </c>
    </row>
    <row r="66" spans="1:16">
      <c r="A66" t="s">
        <v>196</v>
      </c>
      <c r="B66" t="e">
        <f>-ALA.MULTI8P</f>
        <v>#NAME?</v>
      </c>
      <c r="C66">
        <v>20100629</v>
      </c>
      <c r="D66">
        <v>20101004</v>
      </c>
      <c r="E66" t="s">
        <v>96</v>
      </c>
      <c r="G66" t="s">
        <v>197</v>
      </c>
      <c r="I66" t="s">
        <v>61</v>
      </c>
      <c r="K66">
        <v>1</v>
      </c>
      <c r="M66">
        <v>0</v>
      </c>
      <c r="N66">
        <v>0.93</v>
      </c>
      <c r="O66">
        <v>40</v>
      </c>
      <c r="P66">
        <v>0.55800000000000005</v>
      </c>
    </row>
    <row r="67" spans="1:16">
      <c r="A67" t="s">
        <v>198</v>
      </c>
      <c r="B67" t="e">
        <f>-ALA.TENSU</f>
        <v>#NAME?</v>
      </c>
      <c r="C67">
        <v>20100629</v>
      </c>
      <c r="D67">
        <v>20101004</v>
      </c>
      <c r="E67" t="s">
        <v>81</v>
      </c>
      <c r="G67" t="s">
        <v>199</v>
      </c>
      <c r="I67" t="s">
        <v>61</v>
      </c>
      <c r="K67">
        <v>1</v>
      </c>
      <c r="M67">
        <v>0</v>
      </c>
      <c r="N67">
        <v>116.68</v>
      </c>
      <c r="O67">
        <v>40</v>
      </c>
      <c r="P67">
        <v>70.007999999999996</v>
      </c>
    </row>
    <row r="68" spans="1:16">
      <c r="A68" t="s">
        <v>200</v>
      </c>
      <c r="B68" t="e">
        <f>-ALO.71306</f>
        <v>#NAME?</v>
      </c>
      <c r="C68">
        <v>20100629</v>
      </c>
      <c r="D68">
        <v>20110127</v>
      </c>
      <c r="E68" t="s">
        <v>120</v>
      </c>
      <c r="G68" t="s">
        <v>201</v>
      </c>
      <c r="I68" t="s">
        <v>118</v>
      </c>
      <c r="K68">
        <v>1</v>
      </c>
      <c r="M68">
        <v>1</v>
      </c>
      <c r="N68">
        <v>0.84</v>
      </c>
      <c r="O68">
        <v>40</v>
      </c>
      <c r="P68">
        <v>0.504</v>
      </c>
    </row>
    <row r="69" spans="1:16">
      <c r="A69" t="s">
        <v>202</v>
      </c>
      <c r="B69" t="e">
        <f>-ALO.76852</f>
        <v>#NAME?</v>
      </c>
      <c r="C69">
        <v>20100629</v>
      </c>
      <c r="D69">
        <v>20101004</v>
      </c>
      <c r="E69" t="s">
        <v>203</v>
      </c>
      <c r="G69" t="s">
        <v>204</v>
      </c>
      <c r="I69" t="s">
        <v>118</v>
      </c>
      <c r="K69">
        <v>1</v>
      </c>
      <c r="M69">
        <v>0</v>
      </c>
      <c r="N69">
        <v>11.3</v>
      </c>
      <c r="O69">
        <v>40</v>
      </c>
      <c r="P69">
        <v>6.78</v>
      </c>
    </row>
    <row r="70" spans="1:16">
      <c r="A70" t="s">
        <v>205</v>
      </c>
      <c r="B70" t="e">
        <f>-ALO.76932</f>
        <v>#NAME?</v>
      </c>
      <c r="C70">
        <v>20100629</v>
      </c>
      <c r="D70">
        <v>20101004</v>
      </c>
      <c r="E70" t="s">
        <v>206</v>
      </c>
      <c r="G70" t="s">
        <v>207</v>
      </c>
      <c r="I70" t="s">
        <v>118</v>
      </c>
      <c r="K70">
        <v>1</v>
      </c>
      <c r="M70">
        <v>0</v>
      </c>
      <c r="N70">
        <v>2.85</v>
      </c>
      <c r="O70">
        <v>40</v>
      </c>
      <c r="P70">
        <v>1.71</v>
      </c>
    </row>
    <row r="71" spans="1:16">
      <c r="A71" t="s">
        <v>208</v>
      </c>
      <c r="B71" t="e">
        <f>-ANT.000950</f>
        <v>#NAME?</v>
      </c>
      <c r="C71">
        <v>20100629</v>
      </c>
      <c r="D71">
        <v>20101004</v>
      </c>
      <c r="E71" t="s">
        <v>130</v>
      </c>
      <c r="G71" t="s">
        <v>209</v>
      </c>
      <c r="I71" t="s">
        <v>128</v>
      </c>
      <c r="K71">
        <v>1</v>
      </c>
      <c r="M71">
        <v>0</v>
      </c>
      <c r="N71">
        <v>64.459999999999994</v>
      </c>
      <c r="O71">
        <v>40</v>
      </c>
      <c r="P71">
        <v>38.676000000000002</v>
      </c>
    </row>
    <row r="72" spans="1:16">
      <c r="A72" t="s">
        <v>210</v>
      </c>
      <c r="B72" t="e">
        <f>-ANT.008900</f>
        <v>#NAME?</v>
      </c>
      <c r="C72">
        <v>20100629</v>
      </c>
      <c r="D72">
        <v>20101004</v>
      </c>
      <c r="E72" t="s">
        <v>126</v>
      </c>
      <c r="G72" t="s">
        <v>211</v>
      </c>
      <c r="I72" t="s">
        <v>128</v>
      </c>
      <c r="K72">
        <v>1</v>
      </c>
      <c r="M72">
        <v>0</v>
      </c>
      <c r="N72">
        <v>73.680000000000007</v>
      </c>
      <c r="O72">
        <v>40</v>
      </c>
      <c r="P72">
        <v>44.207999999999998</v>
      </c>
    </row>
    <row r="73" spans="1:16">
      <c r="A73" t="s">
        <v>212</v>
      </c>
      <c r="B73" t="e">
        <f>-ANT.059900</f>
        <v>#NAME?</v>
      </c>
      <c r="C73">
        <v>20100629</v>
      </c>
      <c r="D73">
        <v>20101004</v>
      </c>
      <c r="E73" t="s">
        <v>213</v>
      </c>
      <c r="G73" t="s">
        <v>214</v>
      </c>
      <c r="I73" t="s">
        <v>128</v>
      </c>
      <c r="K73">
        <v>1</v>
      </c>
      <c r="M73">
        <v>0</v>
      </c>
      <c r="N73">
        <v>30.35</v>
      </c>
      <c r="O73">
        <v>40</v>
      </c>
      <c r="P73">
        <v>18.21</v>
      </c>
    </row>
    <row r="74" spans="1:16">
      <c r="A74" t="s">
        <v>215</v>
      </c>
      <c r="B74" t="e">
        <f>-ANT.060UNI</f>
        <v>#NAME?</v>
      </c>
      <c r="C74">
        <v>20100629</v>
      </c>
      <c r="D74">
        <v>20101004</v>
      </c>
      <c r="E74" t="s">
        <v>135</v>
      </c>
      <c r="G74" t="s">
        <v>216</v>
      </c>
      <c r="I74" t="s">
        <v>128</v>
      </c>
      <c r="K74">
        <v>1</v>
      </c>
      <c r="M74">
        <v>0</v>
      </c>
      <c r="N74">
        <v>226.4</v>
      </c>
      <c r="O74">
        <v>40</v>
      </c>
      <c r="P74">
        <v>135.84</v>
      </c>
    </row>
    <row r="75" spans="1:16">
      <c r="A75" t="s">
        <v>217</v>
      </c>
      <c r="B75" t="e">
        <f>-ANT.0862</f>
        <v>#NAME?</v>
      </c>
      <c r="C75">
        <v>20100629</v>
      </c>
      <c r="D75">
        <v>20101004</v>
      </c>
      <c r="E75" t="s">
        <v>126</v>
      </c>
      <c r="G75" t="s">
        <v>218</v>
      </c>
      <c r="I75" t="s">
        <v>128</v>
      </c>
      <c r="K75">
        <v>1</v>
      </c>
      <c r="M75">
        <v>0</v>
      </c>
      <c r="N75">
        <v>20.29</v>
      </c>
      <c r="O75">
        <v>40</v>
      </c>
      <c r="P75">
        <v>12.173999999999999</v>
      </c>
    </row>
    <row r="76" spans="1:16">
      <c r="A76" t="s">
        <v>219</v>
      </c>
      <c r="B76" t="e">
        <f>-ANT.0931</f>
        <v>#NAME?</v>
      </c>
      <c r="C76">
        <v>20100629</v>
      </c>
      <c r="D76">
        <v>20101004</v>
      </c>
      <c r="E76" t="s">
        <v>126</v>
      </c>
      <c r="G76" t="s">
        <v>220</v>
      </c>
      <c r="I76" t="s">
        <v>128</v>
      </c>
      <c r="K76">
        <v>1</v>
      </c>
      <c r="M76">
        <v>0</v>
      </c>
      <c r="N76">
        <v>15.23</v>
      </c>
      <c r="O76">
        <v>40</v>
      </c>
      <c r="P76">
        <v>9.1379999999999999</v>
      </c>
    </row>
    <row r="77" spans="1:16">
      <c r="A77" t="s">
        <v>221</v>
      </c>
      <c r="B77" t="e">
        <f>-ANT.325300</f>
        <v>#NAME?</v>
      </c>
      <c r="C77">
        <v>20100629</v>
      </c>
      <c r="D77">
        <v>20101004</v>
      </c>
      <c r="E77" t="s">
        <v>222</v>
      </c>
      <c r="G77" t="s">
        <v>223</v>
      </c>
      <c r="I77" t="s">
        <v>128</v>
      </c>
      <c r="K77">
        <v>1</v>
      </c>
      <c r="M77">
        <v>0</v>
      </c>
      <c r="N77">
        <v>37.57</v>
      </c>
      <c r="O77">
        <v>40</v>
      </c>
      <c r="P77">
        <v>22.542000000000002</v>
      </c>
    </row>
    <row r="78" spans="1:16">
      <c r="A78" t="s">
        <v>224</v>
      </c>
      <c r="B78" t="e">
        <f>-ANT.35252</f>
        <v>#NAME?</v>
      </c>
      <c r="C78">
        <v>20100629</v>
      </c>
      <c r="D78">
        <v>20101004</v>
      </c>
      <c r="E78" t="s">
        <v>225</v>
      </c>
      <c r="G78" t="s">
        <v>226</v>
      </c>
      <c r="I78" t="s">
        <v>128</v>
      </c>
      <c r="K78">
        <v>1</v>
      </c>
      <c r="M78">
        <v>0</v>
      </c>
      <c r="N78">
        <v>210.94</v>
      </c>
      <c r="O78">
        <v>40</v>
      </c>
      <c r="P78">
        <v>126.56399999999999</v>
      </c>
    </row>
    <row r="79" spans="1:16">
      <c r="A79" t="s">
        <v>227</v>
      </c>
      <c r="B79" t="e">
        <f>-ANT.35465</f>
        <v>#NAME?</v>
      </c>
      <c r="C79">
        <v>20100629</v>
      </c>
      <c r="D79">
        <v>20101004</v>
      </c>
      <c r="E79" t="s">
        <v>150</v>
      </c>
      <c r="G79" t="s">
        <v>228</v>
      </c>
      <c r="I79" t="s">
        <v>128</v>
      </c>
      <c r="K79">
        <v>1</v>
      </c>
      <c r="M79">
        <v>0</v>
      </c>
      <c r="N79">
        <v>997.15</v>
      </c>
      <c r="O79">
        <v>40</v>
      </c>
      <c r="P79">
        <v>598.29</v>
      </c>
    </row>
    <row r="80" spans="1:16">
      <c r="A80" t="s">
        <v>229</v>
      </c>
      <c r="B80" t="e">
        <f>-ANT.3MTV</f>
        <v>#NAME?</v>
      </c>
      <c r="C80">
        <v>20100629</v>
      </c>
      <c r="D80">
        <v>20101004</v>
      </c>
      <c r="E80" t="s">
        <v>153</v>
      </c>
      <c r="G80" t="s">
        <v>230</v>
      </c>
      <c r="I80" t="s">
        <v>128</v>
      </c>
      <c r="K80">
        <v>1</v>
      </c>
      <c r="M80">
        <v>0</v>
      </c>
      <c r="N80">
        <v>4.9000000000000004</v>
      </c>
      <c r="O80">
        <v>40</v>
      </c>
      <c r="P80">
        <v>2.94</v>
      </c>
    </row>
    <row r="81" spans="1:16">
      <c r="A81" t="s">
        <v>231</v>
      </c>
      <c r="B81" t="e">
        <f>-ANT.6430</f>
        <v>#NAME?</v>
      </c>
      <c r="C81">
        <v>20100629</v>
      </c>
      <c r="D81">
        <v>20101004</v>
      </c>
      <c r="E81" t="s">
        <v>232</v>
      </c>
      <c r="G81" t="s">
        <v>233</v>
      </c>
      <c r="I81" t="s">
        <v>128</v>
      </c>
      <c r="K81">
        <v>1</v>
      </c>
      <c r="M81">
        <v>0</v>
      </c>
      <c r="N81">
        <v>58.66</v>
      </c>
      <c r="O81">
        <v>40</v>
      </c>
      <c r="P81">
        <v>35.195999999999998</v>
      </c>
    </row>
    <row r="82" spans="1:16">
      <c r="A82" t="s">
        <v>234</v>
      </c>
      <c r="B82" t="e">
        <f>-ANT.655800</f>
        <v>#NAME?</v>
      </c>
      <c r="C82">
        <v>20100629</v>
      </c>
      <c r="D82">
        <v>20101004</v>
      </c>
      <c r="E82" t="s">
        <v>235</v>
      </c>
      <c r="G82" t="s">
        <v>236</v>
      </c>
      <c r="I82" t="s">
        <v>128</v>
      </c>
      <c r="K82">
        <v>1</v>
      </c>
      <c r="M82">
        <v>0</v>
      </c>
      <c r="N82">
        <v>4.3899999999999997</v>
      </c>
      <c r="O82">
        <v>40</v>
      </c>
      <c r="P82">
        <v>2.6339999999999999</v>
      </c>
    </row>
    <row r="83" spans="1:16">
      <c r="A83" t="s">
        <v>237</v>
      </c>
      <c r="B83" t="e">
        <f>-ANT.660305</f>
        <v>#NAME?</v>
      </c>
      <c r="C83">
        <v>20100629</v>
      </c>
      <c r="D83">
        <v>20101004</v>
      </c>
      <c r="E83" t="s">
        <v>130</v>
      </c>
      <c r="G83" t="s">
        <v>238</v>
      </c>
      <c r="I83" t="s">
        <v>128</v>
      </c>
      <c r="K83">
        <v>1</v>
      </c>
      <c r="M83">
        <v>0</v>
      </c>
      <c r="N83">
        <v>36.99</v>
      </c>
      <c r="O83">
        <v>40</v>
      </c>
      <c r="P83">
        <v>22.193999999999999</v>
      </c>
    </row>
    <row r="84" spans="1:16">
      <c r="A84" t="s">
        <v>239</v>
      </c>
      <c r="B84" t="e">
        <f>-ANT.660395</f>
        <v>#NAME?</v>
      </c>
      <c r="C84">
        <v>20100629</v>
      </c>
      <c r="D84">
        <v>20101004</v>
      </c>
      <c r="E84" t="s">
        <v>126</v>
      </c>
      <c r="G84" t="s">
        <v>240</v>
      </c>
      <c r="I84" t="s">
        <v>128</v>
      </c>
      <c r="K84">
        <v>1</v>
      </c>
      <c r="M84">
        <v>0</v>
      </c>
      <c r="N84">
        <v>35.51</v>
      </c>
      <c r="O84">
        <v>40</v>
      </c>
      <c r="P84">
        <v>21.306000000000001</v>
      </c>
    </row>
    <row r="85" spans="1:16">
      <c r="A85" t="s">
        <v>241</v>
      </c>
      <c r="B85" t="e">
        <f>-ANT.7195</f>
        <v>#NAME?</v>
      </c>
      <c r="C85">
        <v>20100629</v>
      </c>
      <c r="D85">
        <v>20101004</v>
      </c>
      <c r="E85" t="s">
        <v>242</v>
      </c>
      <c r="G85" t="s">
        <v>243</v>
      </c>
      <c r="I85" t="s">
        <v>128</v>
      </c>
      <c r="K85">
        <v>1</v>
      </c>
      <c r="M85">
        <v>0</v>
      </c>
      <c r="N85">
        <v>100.35</v>
      </c>
      <c r="O85">
        <v>40</v>
      </c>
      <c r="P85">
        <v>60.21</v>
      </c>
    </row>
    <row r="86" spans="1:16">
      <c r="A86" t="s">
        <v>244</v>
      </c>
      <c r="B86" t="e">
        <f>-ANT.7197</f>
        <v>#NAME?</v>
      </c>
      <c r="C86">
        <v>20100629</v>
      </c>
      <c r="D86">
        <v>20101004</v>
      </c>
      <c r="E86" t="s">
        <v>245</v>
      </c>
      <c r="G86" t="s">
        <v>246</v>
      </c>
      <c r="I86" t="s">
        <v>128</v>
      </c>
      <c r="K86">
        <v>1</v>
      </c>
      <c r="M86">
        <v>0</v>
      </c>
      <c r="N86">
        <v>279.61</v>
      </c>
      <c r="O86">
        <v>40</v>
      </c>
      <c r="P86">
        <v>167.76599999999999</v>
      </c>
    </row>
    <row r="87" spans="1:16">
      <c r="A87" t="s">
        <v>247</v>
      </c>
      <c r="B87" t="e">
        <f>-ANT.660415</f>
        <v>#NAME?</v>
      </c>
      <c r="C87">
        <v>20100629</v>
      </c>
      <c r="D87">
        <v>20101004</v>
      </c>
      <c r="E87" t="s">
        <v>126</v>
      </c>
      <c r="G87" t="s">
        <v>248</v>
      </c>
      <c r="I87" t="s">
        <v>128</v>
      </c>
      <c r="K87">
        <v>1</v>
      </c>
      <c r="M87">
        <v>0</v>
      </c>
      <c r="N87">
        <v>28.28</v>
      </c>
      <c r="O87">
        <v>40</v>
      </c>
      <c r="P87">
        <v>16.968</v>
      </c>
    </row>
    <row r="88" spans="1:16">
      <c r="A88" t="s">
        <v>249</v>
      </c>
      <c r="B88" t="e">
        <f>-ANT.800</f>
        <v>#NAME?</v>
      </c>
      <c r="C88">
        <v>20100629</v>
      </c>
      <c r="D88">
        <v>20101004</v>
      </c>
      <c r="E88" t="s">
        <v>250</v>
      </c>
      <c r="G88" t="s">
        <v>251</v>
      </c>
      <c r="I88" t="s">
        <v>128</v>
      </c>
      <c r="K88">
        <v>1</v>
      </c>
      <c r="M88">
        <v>0</v>
      </c>
      <c r="N88">
        <v>2.63</v>
      </c>
      <c r="O88">
        <v>40</v>
      </c>
      <c r="P88">
        <v>1.5780000000000001</v>
      </c>
    </row>
    <row r="89" spans="1:16">
      <c r="A89" t="s">
        <v>252</v>
      </c>
      <c r="B89" t="e">
        <f>-ANT.808</f>
        <v>#NAME?</v>
      </c>
      <c r="C89">
        <v>20100629</v>
      </c>
      <c r="D89">
        <v>20110127</v>
      </c>
      <c r="E89" t="s">
        <v>253</v>
      </c>
      <c r="G89" t="s">
        <v>254</v>
      </c>
      <c r="I89" t="s">
        <v>128</v>
      </c>
      <c r="K89">
        <v>1</v>
      </c>
      <c r="M89">
        <v>1</v>
      </c>
      <c r="N89">
        <v>1.87</v>
      </c>
      <c r="O89">
        <v>40</v>
      </c>
      <c r="P89">
        <v>1.1220000000000001</v>
      </c>
    </row>
    <row r="90" spans="1:16">
      <c r="A90" t="s">
        <v>255</v>
      </c>
      <c r="B90" t="e">
        <f>-ANT.AMPKBV</f>
        <v>#NAME?</v>
      </c>
      <c r="C90">
        <v>20100629</v>
      </c>
      <c r="D90">
        <v>20101004</v>
      </c>
      <c r="E90" t="s">
        <v>256</v>
      </c>
      <c r="G90" t="s">
        <v>257</v>
      </c>
      <c r="I90" t="s">
        <v>128</v>
      </c>
      <c r="K90">
        <v>1</v>
      </c>
      <c r="M90">
        <v>0</v>
      </c>
      <c r="N90">
        <v>138.91999999999999</v>
      </c>
      <c r="O90">
        <v>40</v>
      </c>
      <c r="P90">
        <v>83.352000000000004</v>
      </c>
    </row>
    <row r="91" spans="1:16">
      <c r="A91" t="s">
        <v>258</v>
      </c>
      <c r="B91" t="e">
        <f>-ANT.AT10</f>
        <v>#NAME?</v>
      </c>
      <c r="C91">
        <v>20100629</v>
      </c>
      <c r="D91">
        <v>20101004</v>
      </c>
      <c r="E91" t="s">
        <v>259</v>
      </c>
      <c r="G91" t="s">
        <v>260</v>
      </c>
      <c r="I91" t="s">
        <v>128</v>
      </c>
      <c r="K91">
        <v>1</v>
      </c>
      <c r="M91">
        <v>0</v>
      </c>
      <c r="N91">
        <v>3.55</v>
      </c>
      <c r="O91">
        <v>40</v>
      </c>
      <c r="P91">
        <v>2.13</v>
      </c>
    </row>
    <row r="92" spans="1:16">
      <c r="A92" t="s">
        <v>261</v>
      </c>
      <c r="B92" t="e">
        <f>-ANT.AT6DB</f>
        <v>#NAME?</v>
      </c>
      <c r="C92">
        <v>20100629</v>
      </c>
      <c r="D92">
        <v>20101004</v>
      </c>
      <c r="E92" t="s">
        <v>259</v>
      </c>
      <c r="G92" t="s">
        <v>262</v>
      </c>
      <c r="I92" t="s">
        <v>128</v>
      </c>
      <c r="K92">
        <v>1</v>
      </c>
      <c r="M92">
        <v>0</v>
      </c>
      <c r="N92">
        <v>3.55</v>
      </c>
      <c r="O92">
        <v>40</v>
      </c>
      <c r="P92">
        <v>2.13</v>
      </c>
    </row>
    <row r="93" spans="1:16">
      <c r="A93" t="s">
        <v>263</v>
      </c>
      <c r="B93" t="e">
        <f>-ANT.ATD780UNI</f>
        <v>#NAME?</v>
      </c>
      <c r="C93">
        <v>20100629</v>
      </c>
      <c r="D93">
        <v>20101004</v>
      </c>
      <c r="E93" t="s">
        <v>264</v>
      </c>
      <c r="G93" t="s">
        <v>265</v>
      </c>
      <c r="I93" t="s">
        <v>128</v>
      </c>
      <c r="K93">
        <v>1</v>
      </c>
      <c r="M93">
        <v>0</v>
      </c>
      <c r="N93">
        <v>111.65</v>
      </c>
      <c r="O93">
        <v>40</v>
      </c>
      <c r="P93">
        <v>66.989999999999995</v>
      </c>
    </row>
    <row r="94" spans="1:16">
      <c r="A94" t="s">
        <v>266</v>
      </c>
      <c r="B94" t="e">
        <f>-ANT.CDTV360VM</f>
        <v>#NAME?</v>
      </c>
      <c r="C94">
        <v>20100629</v>
      </c>
      <c r="D94">
        <v>20101004</v>
      </c>
      <c r="E94" t="s">
        <v>267</v>
      </c>
      <c r="G94" t="s">
        <v>268</v>
      </c>
      <c r="I94" t="s">
        <v>128</v>
      </c>
      <c r="K94">
        <v>1</v>
      </c>
      <c r="M94">
        <v>0</v>
      </c>
      <c r="N94">
        <v>1029.04</v>
      </c>
      <c r="O94">
        <v>40</v>
      </c>
      <c r="P94">
        <v>617.42399999999998</v>
      </c>
    </row>
    <row r="95" spans="1:16">
      <c r="A95" t="s">
        <v>269</v>
      </c>
      <c r="B95" t="e">
        <f>-ANT.CHEVIPLOM</f>
        <v>#NAME?</v>
      </c>
      <c r="C95">
        <v>20100629</v>
      </c>
      <c r="D95">
        <v>20101004</v>
      </c>
      <c r="E95" t="s">
        <v>270</v>
      </c>
      <c r="G95" t="s">
        <v>271</v>
      </c>
      <c r="I95" t="s">
        <v>128</v>
      </c>
      <c r="K95">
        <v>1</v>
      </c>
      <c r="M95">
        <v>0</v>
      </c>
      <c r="N95">
        <v>3.44</v>
      </c>
      <c r="O95">
        <v>40</v>
      </c>
      <c r="P95">
        <v>2.0640000000000001</v>
      </c>
    </row>
    <row r="96" spans="1:16">
      <c r="A96" t="s">
        <v>272</v>
      </c>
      <c r="B96" t="e">
        <f>-ANT.D3U</f>
        <v>#NAME?</v>
      </c>
      <c r="C96">
        <v>20100629</v>
      </c>
      <c r="D96">
        <v>20101004</v>
      </c>
      <c r="E96" t="s">
        <v>273</v>
      </c>
      <c r="G96" t="s">
        <v>274</v>
      </c>
      <c r="I96" t="s">
        <v>128</v>
      </c>
      <c r="K96">
        <v>1</v>
      </c>
      <c r="M96">
        <v>0</v>
      </c>
      <c r="N96">
        <v>24.71</v>
      </c>
      <c r="O96">
        <v>40</v>
      </c>
      <c r="P96">
        <v>14.826000000000001</v>
      </c>
    </row>
    <row r="97" spans="1:16">
      <c r="A97" t="s">
        <v>275</v>
      </c>
      <c r="B97" t="e">
        <f>-ANT.DSH3</f>
        <v>#NAME?</v>
      </c>
      <c r="C97">
        <v>20100629</v>
      </c>
      <c r="D97">
        <v>20101004</v>
      </c>
      <c r="E97" t="s">
        <v>273</v>
      </c>
      <c r="G97" t="s">
        <v>276</v>
      </c>
      <c r="I97" t="s">
        <v>128</v>
      </c>
      <c r="K97">
        <v>1</v>
      </c>
      <c r="M97">
        <v>0</v>
      </c>
      <c r="N97">
        <v>16.98</v>
      </c>
      <c r="O97">
        <v>40</v>
      </c>
      <c r="P97">
        <v>10.188000000000001</v>
      </c>
    </row>
    <row r="98" spans="1:16">
      <c r="A98" t="s">
        <v>277</v>
      </c>
      <c r="B98" t="e">
        <f>-ANT.ELCFFE1</f>
        <v>#NAME?</v>
      </c>
      <c r="C98">
        <v>20100629</v>
      </c>
      <c r="D98">
        <v>20101004</v>
      </c>
      <c r="E98" t="s">
        <v>278</v>
      </c>
      <c r="G98" t="s">
        <v>279</v>
      </c>
      <c r="I98" t="s">
        <v>128</v>
      </c>
      <c r="K98">
        <v>1</v>
      </c>
      <c r="M98">
        <v>0</v>
      </c>
      <c r="N98">
        <v>1.19</v>
      </c>
      <c r="O98">
        <v>40</v>
      </c>
      <c r="P98">
        <v>0.71399999999999997</v>
      </c>
    </row>
    <row r="99" spans="1:16">
      <c r="A99" t="s">
        <v>280</v>
      </c>
      <c r="B99" t="e">
        <f>-ANT.ELCFME1</f>
        <v>#NAME?</v>
      </c>
      <c r="C99">
        <v>20100629</v>
      </c>
      <c r="D99">
        <v>20101004</v>
      </c>
      <c r="E99" t="s">
        <v>278</v>
      </c>
      <c r="G99" t="s">
        <v>281</v>
      </c>
      <c r="I99" t="s">
        <v>128</v>
      </c>
      <c r="K99">
        <v>1</v>
      </c>
      <c r="M99">
        <v>0</v>
      </c>
      <c r="N99">
        <v>0.95</v>
      </c>
      <c r="O99">
        <v>40</v>
      </c>
      <c r="P99">
        <v>0.56999999999999995</v>
      </c>
    </row>
    <row r="100" spans="1:16">
      <c r="A100" t="s">
        <v>282</v>
      </c>
      <c r="B100" t="e">
        <f>-ANT.FE</f>
        <v>#NAME?</v>
      </c>
      <c r="C100">
        <v>20100629</v>
      </c>
      <c r="D100">
        <v>20101004</v>
      </c>
      <c r="E100" t="s">
        <v>283</v>
      </c>
      <c r="G100" t="s">
        <v>284</v>
      </c>
      <c r="I100" t="s">
        <v>128</v>
      </c>
      <c r="K100">
        <v>1</v>
      </c>
      <c r="M100">
        <v>0</v>
      </c>
      <c r="N100">
        <v>3.55</v>
      </c>
      <c r="O100">
        <v>40</v>
      </c>
      <c r="P100">
        <v>2.13</v>
      </c>
    </row>
    <row r="101" spans="1:16">
      <c r="A101" t="s">
        <v>285</v>
      </c>
      <c r="B101" t="e">
        <f>-ANT.IKU1182</f>
        <v>#NAME?</v>
      </c>
      <c r="C101">
        <v>20100629</v>
      </c>
      <c r="D101">
        <v>20101004</v>
      </c>
      <c r="E101" t="s">
        <v>150</v>
      </c>
      <c r="G101" t="s">
        <v>286</v>
      </c>
      <c r="I101" t="s">
        <v>128</v>
      </c>
      <c r="K101">
        <v>1</v>
      </c>
      <c r="M101">
        <v>0</v>
      </c>
      <c r="N101">
        <v>40.64</v>
      </c>
      <c r="O101">
        <v>40</v>
      </c>
      <c r="P101">
        <v>24.384</v>
      </c>
    </row>
    <row r="102" spans="1:16">
      <c r="A102" t="s">
        <v>287</v>
      </c>
      <c r="B102" t="e">
        <f>-ANT.IKU1184</f>
        <v>#NAME?</v>
      </c>
      <c r="C102">
        <v>20100629</v>
      </c>
      <c r="D102">
        <v>20101004</v>
      </c>
      <c r="E102" t="s">
        <v>288</v>
      </c>
      <c r="G102" t="s">
        <v>289</v>
      </c>
      <c r="I102" t="s">
        <v>128</v>
      </c>
      <c r="K102">
        <v>1</v>
      </c>
      <c r="M102">
        <v>0</v>
      </c>
      <c r="N102">
        <v>51.44</v>
      </c>
      <c r="O102">
        <v>40</v>
      </c>
      <c r="P102">
        <v>30.864000000000001</v>
      </c>
    </row>
    <row r="103" spans="1:16">
      <c r="A103" t="s">
        <v>290</v>
      </c>
      <c r="B103" t="e">
        <f>-ANT.JOH9501</f>
        <v>#NAME?</v>
      </c>
      <c r="C103">
        <v>20100629</v>
      </c>
      <c r="D103">
        <v>20101004</v>
      </c>
      <c r="E103" t="s">
        <v>291</v>
      </c>
      <c r="G103" t="s">
        <v>292</v>
      </c>
      <c r="I103" t="s">
        <v>128</v>
      </c>
      <c r="K103">
        <v>1</v>
      </c>
      <c r="M103">
        <v>0</v>
      </c>
      <c r="N103">
        <v>30.89</v>
      </c>
      <c r="O103">
        <v>40</v>
      </c>
      <c r="P103">
        <v>18.533999999999999</v>
      </c>
    </row>
    <row r="104" spans="1:16">
      <c r="A104" t="s">
        <v>293</v>
      </c>
      <c r="B104" t="e">
        <f>-ANT.JOH9618</f>
        <v>#NAME?</v>
      </c>
      <c r="C104">
        <v>20100629</v>
      </c>
      <c r="D104">
        <v>20101004</v>
      </c>
      <c r="E104" t="s">
        <v>273</v>
      </c>
      <c r="G104" t="s">
        <v>294</v>
      </c>
      <c r="I104" t="s">
        <v>128</v>
      </c>
      <c r="K104">
        <v>1</v>
      </c>
      <c r="M104">
        <v>0</v>
      </c>
      <c r="N104">
        <v>22.05</v>
      </c>
      <c r="O104">
        <v>40</v>
      </c>
      <c r="P104">
        <v>13.23</v>
      </c>
    </row>
    <row r="105" spans="1:16">
      <c r="A105" t="s">
        <v>295</v>
      </c>
      <c r="B105" t="e">
        <f>-ANT.KITJ3</f>
        <v>#NAME?</v>
      </c>
      <c r="C105">
        <v>20100629</v>
      </c>
      <c r="D105">
        <v>20101004</v>
      </c>
      <c r="E105" t="s">
        <v>296</v>
      </c>
      <c r="G105" t="s">
        <v>297</v>
      </c>
      <c r="I105" t="s">
        <v>128</v>
      </c>
      <c r="K105">
        <v>1</v>
      </c>
      <c r="M105">
        <v>0</v>
      </c>
      <c r="N105">
        <v>219.17</v>
      </c>
      <c r="O105">
        <v>40</v>
      </c>
      <c r="P105">
        <v>131.50200000000001</v>
      </c>
    </row>
    <row r="106" spans="1:16">
      <c r="A106" t="s">
        <v>298</v>
      </c>
      <c r="B106" t="e">
        <f>-ANT.KITM80200</f>
        <v>#NAME?</v>
      </c>
      <c r="C106">
        <v>20100629</v>
      </c>
      <c r="D106">
        <v>20101004</v>
      </c>
      <c r="E106" t="s">
        <v>299</v>
      </c>
      <c r="G106" t="s">
        <v>300</v>
      </c>
      <c r="I106" t="s">
        <v>128</v>
      </c>
      <c r="K106">
        <v>1</v>
      </c>
      <c r="M106">
        <v>0</v>
      </c>
      <c r="N106">
        <v>406.46</v>
      </c>
      <c r="O106">
        <v>40</v>
      </c>
      <c r="P106">
        <v>243.876</v>
      </c>
    </row>
    <row r="107" spans="1:16">
      <c r="A107" t="s">
        <v>301</v>
      </c>
      <c r="B107" t="e">
        <f>-ANT.KITMD1013</f>
        <v>#NAME?</v>
      </c>
      <c r="C107">
        <v>20100629</v>
      </c>
      <c r="D107">
        <v>20101004</v>
      </c>
      <c r="E107" t="s">
        <v>264</v>
      </c>
      <c r="G107" t="s">
        <v>302</v>
      </c>
      <c r="I107" t="s">
        <v>128</v>
      </c>
      <c r="K107">
        <v>1</v>
      </c>
      <c r="M107">
        <v>0</v>
      </c>
      <c r="N107">
        <v>249.55</v>
      </c>
      <c r="O107">
        <v>40</v>
      </c>
      <c r="P107">
        <v>149.72999999999999</v>
      </c>
    </row>
    <row r="108" spans="1:16">
      <c r="A108" t="s">
        <v>303</v>
      </c>
      <c r="B108" t="e">
        <f>-ANT.KITNUM2</f>
        <v>#NAME?</v>
      </c>
      <c r="C108">
        <v>20100629</v>
      </c>
      <c r="D108">
        <v>20101004</v>
      </c>
      <c r="E108" t="s">
        <v>304</v>
      </c>
      <c r="G108" t="s">
        <v>305</v>
      </c>
      <c r="I108" t="s">
        <v>128</v>
      </c>
      <c r="K108">
        <v>1</v>
      </c>
      <c r="M108">
        <v>0</v>
      </c>
      <c r="N108">
        <v>385.36</v>
      </c>
      <c r="O108">
        <v>40</v>
      </c>
      <c r="P108">
        <v>231.21600000000001</v>
      </c>
    </row>
    <row r="109" spans="1:16">
      <c r="A109" t="s">
        <v>306</v>
      </c>
      <c r="B109" t="e">
        <f>-ANT.LNBUNIV</f>
        <v>#NAME?</v>
      </c>
      <c r="C109">
        <v>20100629</v>
      </c>
      <c r="D109">
        <v>20101004</v>
      </c>
      <c r="E109" t="s">
        <v>307</v>
      </c>
      <c r="G109" t="s">
        <v>308</v>
      </c>
      <c r="I109" t="s">
        <v>128</v>
      </c>
      <c r="K109">
        <v>1</v>
      </c>
      <c r="M109">
        <v>0</v>
      </c>
      <c r="N109">
        <v>69.459999999999994</v>
      </c>
      <c r="O109">
        <v>40</v>
      </c>
      <c r="P109">
        <v>41.676000000000002</v>
      </c>
    </row>
    <row r="110" spans="1:16">
      <c r="A110" t="s">
        <v>309</v>
      </c>
      <c r="B110" t="e">
        <f>-ANT.MAT50</f>
        <v>#NAME?</v>
      </c>
      <c r="C110">
        <v>20100629</v>
      </c>
      <c r="D110">
        <v>20101004</v>
      </c>
      <c r="E110" t="s">
        <v>310</v>
      </c>
      <c r="G110" t="s">
        <v>311</v>
      </c>
      <c r="I110" t="s">
        <v>128</v>
      </c>
      <c r="K110">
        <v>1</v>
      </c>
      <c r="M110">
        <v>0</v>
      </c>
      <c r="N110">
        <v>21.4</v>
      </c>
      <c r="O110">
        <v>40</v>
      </c>
      <c r="P110">
        <v>12.84</v>
      </c>
    </row>
    <row r="111" spans="1:16">
      <c r="A111" t="s">
        <v>312</v>
      </c>
      <c r="B111" t="e">
        <f>-ANT.MONT600</f>
        <v>#NAME?</v>
      </c>
      <c r="C111">
        <v>20100629</v>
      </c>
      <c r="D111">
        <v>20101004</v>
      </c>
      <c r="E111" t="s">
        <v>313</v>
      </c>
      <c r="G111" t="s">
        <v>314</v>
      </c>
      <c r="I111" t="s">
        <v>128</v>
      </c>
      <c r="K111">
        <v>1</v>
      </c>
      <c r="M111">
        <v>0</v>
      </c>
      <c r="N111">
        <v>136.86000000000001</v>
      </c>
      <c r="O111">
        <v>40</v>
      </c>
      <c r="P111">
        <v>82.116</v>
      </c>
    </row>
    <row r="112" spans="1:16">
      <c r="A112" t="s">
        <v>315</v>
      </c>
      <c r="B112" t="e">
        <f>-ANT.MP0275307</f>
        <v>#NAME?</v>
      </c>
      <c r="C112">
        <v>20100629</v>
      </c>
      <c r="D112">
        <v>20101004</v>
      </c>
      <c r="E112" t="s">
        <v>316</v>
      </c>
      <c r="G112" t="s">
        <v>317</v>
      </c>
      <c r="I112" t="s">
        <v>128</v>
      </c>
      <c r="K112">
        <v>1</v>
      </c>
      <c r="M112">
        <v>0</v>
      </c>
      <c r="N112">
        <v>2.54</v>
      </c>
      <c r="O112">
        <v>40</v>
      </c>
      <c r="P112">
        <v>1.524</v>
      </c>
    </row>
    <row r="113" spans="1:16">
      <c r="A113" t="s">
        <v>318</v>
      </c>
      <c r="B113" t="e">
        <f>-ANT.PERI2.50M</f>
        <v>#NAME?</v>
      </c>
      <c r="C113">
        <v>20100629</v>
      </c>
      <c r="D113">
        <v>20101004</v>
      </c>
      <c r="E113" t="s">
        <v>319</v>
      </c>
      <c r="G113" t="s">
        <v>320</v>
      </c>
      <c r="I113" t="s">
        <v>321</v>
      </c>
      <c r="K113">
        <v>1</v>
      </c>
      <c r="M113">
        <v>0</v>
      </c>
      <c r="N113">
        <v>12.35</v>
      </c>
      <c r="O113">
        <v>40</v>
      </c>
      <c r="P113">
        <v>7.41</v>
      </c>
    </row>
    <row r="114" spans="1:16">
      <c r="A114" t="s">
        <v>322</v>
      </c>
      <c r="B114" t="e">
        <f>-ANT.PIEDKIT</f>
        <v>#NAME?</v>
      </c>
      <c r="C114">
        <v>20100629</v>
      </c>
      <c r="D114">
        <v>20101004</v>
      </c>
      <c r="E114" t="s">
        <v>323</v>
      </c>
      <c r="G114" t="s">
        <v>324</v>
      </c>
      <c r="I114" t="s">
        <v>128</v>
      </c>
      <c r="K114">
        <v>1</v>
      </c>
      <c r="M114">
        <v>0</v>
      </c>
      <c r="N114">
        <v>18.41</v>
      </c>
      <c r="O114">
        <v>40</v>
      </c>
      <c r="P114">
        <v>11.045999999999999</v>
      </c>
    </row>
    <row r="115" spans="1:16">
      <c r="A115" t="s">
        <v>325</v>
      </c>
      <c r="B115" t="e">
        <f>-ANT.R2U</f>
        <v>#NAME?</v>
      </c>
      <c r="C115">
        <v>20100629</v>
      </c>
      <c r="D115">
        <v>20101004</v>
      </c>
      <c r="E115" t="s">
        <v>273</v>
      </c>
      <c r="G115" t="s">
        <v>326</v>
      </c>
      <c r="I115" t="s">
        <v>128</v>
      </c>
      <c r="K115">
        <v>1</v>
      </c>
      <c r="M115">
        <v>0</v>
      </c>
      <c r="N115">
        <v>14.28</v>
      </c>
      <c r="O115">
        <v>40</v>
      </c>
      <c r="P115">
        <v>8.5679999999999996</v>
      </c>
    </row>
    <row r="116" spans="1:16">
      <c r="A116" t="s">
        <v>327</v>
      </c>
      <c r="B116" t="e">
        <f>-ANT.R3U</f>
        <v>#NAME?</v>
      </c>
      <c r="C116">
        <v>20100629</v>
      </c>
      <c r="D116">
        <v>20101004</v>
      </c>
      <c r="E116" t="s">
        <v>273</v>
      </c>
      <c r="G116" t="s">
        <v>328</v>
      </c>
      <c r="I116" t="s">
        <v>128</v>
      </c>
      <c r="K116">
        <v>1</v>
      </c>
      <c r="M116">
        <v>0</v>
      </c>
      <c r="N116">
        <v>18.82</v>
      </c>
      <c r="O116">
        <v>40</v>
      </c>
      <c r="P116">
        <v>11.292</v>
      </c>
    </row>
    <row r="117" spans="1:16">
      <c r="A117" t="s">
        <v>329</v>
      </c>
      <c r="B117" t="e">
        <f>-ANT.R6F</f>
        <v>#NAME?</v>
      </c>
      <c r="C117">
        <v>20100629</v>
      </c>
      <c r="D117">
        <v>20101004</v>
      </c>
      <c r="E117" t="s">
        <v>273</v>
      </c>
      <c r="G117" t="s">
        <v>330</v>
      </c>
      <c r="I117" t="s">
        <v>128</v>
      </c>
      <c r="K117">
        <v>1</v>
      </c>
      <c r="M117">
        <v>0</v>
      </c>
      <c r="N117">
        <v>36.270000000000003</v>
      </c>
      <c r="O117">
        <v>40</v>
      </c>
      <c r="P117">
        <v>21.762</v>
      </c>
    </row>
    <row r="118" spans="1:16">
      <c r="A118" t="s">
        <v>331</v>
      </c>
      <c r="B118" t="e">
        <f>-ANT.RAWL10</f>
        <v>#NAME?</v>
      </c>
      <c r="C118">
        <v>20100629</v>
      </c>
      <c r="D118">
        <v>20101004</v>
      </c>
      <c r="E118" t="s">
        <v>332</v>
      </c>
      <c r="G118" t="s">
        <v>333</v>
      </c>
      <c r="I118" t="s">
        <v>128</v>
      </c>
      <c r="K118">
        <v>1</v>
      </c>
      <c r="M118">
        <v>0</v>
      </c>
      <c r="N118">
        <v>4.9000000000000004</v>
      </c>
      <c r="O118">
        <v>40</v>
      </c>
      <c r="P118">
        <v>2.94</v>
      </c>
    </row>
    <row r="119" spans="1:16">
      <c r="A119" t="s">
        <v>334</v>
      </c>
      <c r="B119" t="e">
        <f>-ANT.RCAM</f>
        <v>#NAME?</v>
      </c>
      <c r="C119">
        <v>20100629</v>
      </c>
      <c r="D119">
        <v>20101004</v>
      </c>
      <c r="E119" t="s">
        <v>335</v>
      </c>
      <c r="G119" t="s">
        <v>336</v>
      </c>
      <c r="I119" t="s">
        <v>321</v>
      </c>
      <c r="K119">
        <v>1</v>
      </c>
      <c r="M119">
        <v>0</v>
      </c>
      <c r="N119">
        <v>0.61</v>
      </c>
      <c r="O119">
        <v>40</v>
      </c>
      <c r="P119">
        <v>0.36599999999999999</v>
      </c>
    </row>
    <row r="120" spans="1:16">
      <c r="A120" t="s">
        <v>337</v>
      </c>
      <c r="B120" t="e">
        <f>-ANT.REP3D</f>
        <v>#NAME?</v>
      </c>
      <c r="C120">
        <v>20100629</v>
      </c>
      <c r="D120">
        <v>20101004</v>
      </c>
      <c r="E120" t="s">
        <v>273</v>
      </c>
      <c r="G120" t="s">
        <v>338</v>
      </c>
      <c r="I120" t="s">
        <v>128</v>
      </c>
      <c r="K120">
        <v>1</v>
      </c>
      <c r="M120">
        <v>0</v>
      </c>
      <c r="N120">
        <v>12.47</v>
      </c>
      <c r="O120">
        <v>40</v>
      </c>
      <c r="P120">
        <v>7.4820000000000002</v>
      </c>
    </row>
    <row r="121" spans="1:16">
      <c r="A121" t="s">
        <v>339</v>
      </c>
      <c r="B121" t="e">
        <f>-ANT.REPM2S</f>
        <v>#NAME?</v>
      </c>
      <c r="C121">
        <v>20100629</v>
      </c>
      <c r="D121">
        <v>20101004</v>
      </c>
      <c r="E121" t="s">
        <v>273</v>
      </c>
      <c r="G121" t="s">
        <v>340</v>
      </c>
      <c r="I121" t="s">
        <v>128</v>
      </c>
      <c r="K121">
        <v>1</v>
      </c>
      <c r="M121">
        <v>0</v>
      </c>
      <c r="N121">
        <v>17.48</v>
      </c>
      <c r="O121">
        <v>40</v>
      </c>
      <c r="P121">
        <v>10.488</v>
      </c>
    </row>
    <row r="122" spans="1:16">
      <c r="A122" t="s">
        <v>341</v>
      </c>
      <c r="B122" t="e">
        <f>-ANT.RF2</f>
        <v>#NAME?</v>
      </c>
      <c r="C122">
        <v>20100629</v>
      </c>
      <c r="D122">
        <v>20101004</v>
      </c>
      <c r="E122" t="s">
        <v>273</v>
      </c>
      <c r="G122" t="s">
        <v>342</v>
      </c>
      <c r="I122" t="s">
        <v>128</v>
      </c>
      <c r="K122">
        <v>1</v>
      </c>
      <c r="M122">
        <v>0</v>
      </c>
      <c r="N122">
        <v>1.93</v>
      </c>
      <c r="O122">
        <v>40</v>
      </c>
      <c r="P122">
        <v>1.1579999999999999</v>
      </c>
    </row>
    <row r="123" spans="1:16">
      <c r="A123" t="s">
        <v>343</v>
      </c>
      <c r="B123" t="e">
        <f>-ANT.RF3</f>
        <v>#NAME?</v>
      </c>
      <c r="C123">
        <v>20100629</v>
      </c>
      <c r="D123">
        <v>20101004</v>
      </c>
      <c r="E123" t="s">
        <v>273</v>
      </c>
      <c r="G123" t="s">
        <v>344</v>
      </c>
      <c r="I123" t="s">
        <v>128</v>
      </c>
      <c r="K123">
        <v>1</v>
      </c>
      <c r="M123">
        <v>0</v>
      </c>
      <c r="N123">
        <v>2.0699999999999998</v>
      </c>
      <c r="O123">
        <v>40</v>
      </c>
      <c r="P123">
        <v>1.242</v>
      </c>
    </row>
    <row r="124" spans="1:16">
      <c r="A124" t="s">
        <v>345</v>
      </c>
      <c r="B124" t="e">
        <f>-ANT.RFME</f>
        <v>#NAME?</v>
      </c>
      <c r="C124">
        <v>20100629</v>
      </c>
      <c r="D124">
        <v>20101004</v>
      </c>
      <c r="E124" t="s">
        <v>346</v>
      </c>
      <c r="G124" t="s">
        <v>347</v>
      </c>
      <c r="I124" t="s">
        <v>128</v>
      </c>
      <c r="K124">
        <v>1</v>
      </c>
      <c r="M124">
        <v>0</v>
      </c>
      <c r="N124">
        <v>2.0699999999999998</v>
      </c>
      <c r="O124">
        <v>40</v>
      </c>
      <c r="P124">
        <v>1.242</v>
      </c>
    </row>
    <row r="125" spans="1:16">
      <c r="A125" t="s">
        <v>348</v>
      </c>
      <c r="B125" t="e">
        <f>-ANT.S110</f>
        <v>#NAME?</v>
      </c>
      <c r="C125">
        <v>20100629</v>
      </c>
      <c r="D125">
        <v>20101004</v>
      </c>
      <c r="E125" t="s">
        <v>349</v>
      </c>
      <c r="G125" t="s">
        <v>350</v>
      </c>
      <c r="I125" t="s">
        <v>128</v>
      </c>
      <c r="K125">
        <v>1</v>
      </c>
      <c r="M125">
        <v>0</v>
      </c>
      <c r="N125">
        <v>41.35</v>
      </c>
      <c r="O125">
        <v>40</v>
      </c>
      <c r="P125">
        <v>24.81</v>
      </c>
    </row>
    <row r="126" spans="1:16">
      <c r="A126" t="s">
        <v>351</v>
      </c>
      <c r="B126" t="e">
        <f>-ANT.S130</f>
        <v>#NAME?</v>
      </c>
      <c r="C126">
        <v>20100629</v>
      </c>
      <c r="D126">
        <v>20101004</v>
      </c>
      <c r="E126" t="s">
        <v>352</v>
      </c>
      <c r="G126" t="s">
        <v>353</v>
      </c>
      <c r="I126" t="s">
        <v>128</v>
      </c>
      <c r="K126">
        <v>1</v>
      </c>
      <c r="M126">
        <v>0</v>
      </c>
      <c r="N126">
        <v>67.569999999999993</v>
      </c>
      <c r="O126">
        <v>40</v>
      </c>
      <c r="P126">
        <v>40.542000000000002</v>
      </c>
    </row>
    <row r="127" spans="1:16">
      <c r="A127" t="s">
        <v>354</v>
      </c>
      <c r="B127" t="e">
        <f>-ANT.S203</f>
        <v>#NAME?</v>
      </c>
      <c r="C127">
        <v>20100629</v>
      </c>
      <c r="D127">
        <v>20101004</v>
      </c>
      <c r="E127" t="s">
        <v>355</v>
      </c>
      <c r="G127" t="s">
        <v>356</v>
      </c>
      <c r="I127" t="s">
        <v>128</v>
      </c>
      <c r="K127">
        <v>1</v>
      </c>
      <c r="M127">
        <v>0</v>
      </c>
      <c r="N127">
        <v>40.340000000000003</v>
      </c>
      <c r="O127">
        <v>40</v>
      </c>
      <c r="P127">
        <v>24.204000000000001</v>
      </c>
    </row>
    <row r="128" spans="1:16">
      <c r="A128" t="s">
        <v>357</v>
      </c>
      <c r="B128" t="e">
        <f>-ANT.SKY</f>
        <v>#NAME?</v>
      </c>
      <c r="C128">
        <v>20100629</v>
      </c>
      <c r="D128">
        <v>20101004</v>
      </c>
      <c r="E128" t="s">
        <v>191</v>
      </c>
      <c r="G128" t="s">
        <v>358</v>
      </c>
      <c r="I128" t="s">
        <v>128</v>
      </c>
      <c r="K128">
        <v>1</v>
      </c>
      <c r="M128">
        <v>0</v>
      </c>
      <c r="N128">
        <v>952.1</v>
      </c>
      <c r="O128">
        <v>40</v>
      </c>
      <c r="P128">
        <v>571.26</v>
      </c>
    </row>
    <row r="129" spans="1:16">
      <c r="A129" t="s">
        <v>359</v>
      </c>
      <c r="B129" t="e">
        <f>-ANT.SUPAL6</f>
        <v>#NAME?</v>
      </c>
      <c r="C129">
        <v>20100629</v>
      </c>
      <c r="D129">
        <v>20101004</v>
      </c>
      <c r="E129" t="s">
        <v>126</v>
      </c>
      <c r="G129" t="s">
        <v>360</v>
      </c>
      <c r="I129" t="s">
        <v>128</v>
      </c>
      <c r="K129">
        <v>1</v>
      </c>
      <c r="M129">
        <v>0</v>
      </c>
      <c r="N129">
        <v>47.97</v>
      </c>
      <c r="O129">
        <v>40</v>
      </c>
      <c r="P129">
        <v>28.782</v>
      </c>
    </row>
    <row r="130" spans="1:16">
      <c r="A130" t="s">
        <v>361</v>
      </c>
      <c r="B130" t="e">
        <f>-ANT.SWE1</f>
        <v>#NAME?</v>
      </c>
      <c r="C130">
        <v>20100629</v>
      </c>
      <c r="D130">
        <v>20101004</v>
      </c>
      <c r="E130" t="s">
        <v>362</v>
      </c>
      <c r="G130" t="s">
        <v>363</v>
      </c>
      <c r="I130" t="s">
        <v>128</v>
      </c>
      <c r="K130">
        <v>1</v>
      </c>
      <c r="M130">
        <v>0</v>
      </c>
      <c r="N130">
        <v>31.19</v>
      </c>
      <c r="O130">
        <v>40</v>
      </c>
      <c r="P130">
        <v>18.713999999999999</v>
      </c>
    </row>
    <row r="131" spans="1:16">
      <c r="A131" t="s">
        <v>364</v>
      </c>
      <c r="B131" t="e">
        <f>-ANT.UW130</f>
        <v>#NAME?</v>
      </c>
      <c r="C131">
        <v>20100629</v>
      </c>
      <c r="D131">
        <v>20101004</v>
      </c>
      <c r="E131" t="s">
        <v>222</v>
      </c>
      <c r="G131" t="s">
        <v>365</v>
      </c>
      <c r="I131" t="s">
        <v>128</v>
      </c>
      <c r="K131">
        <v>1</v>
      </c>
      <c r="M131">
        <v>0</v>
      </c>
      <c r="N131">
        <v>48.49</v>
      </c>
      <c r="O131">
        <v>40</v>
      </c>
      <c r="P131">
        <v>29.094000000000001</v>
      </c>
    </row>
    <row r="132" spans="1:16">
      <c r="A132" t="s">
        <v>366</v>
      </c>
      <c r="B132" t="e">
        <f>-ANT.VR36C100</f>
        <v>#NAME?</v>
      </c>
      <c r="C132">
        <v>20100629</v>
      </c>
      <c r="D132">
        <v>20101004</v>
      </c>
      <c r="E132" t="s">
        <v>319</v>
      </c>
      <c r="G132" t="s">
        <v>367</v>
      </c>
      <c r="I132" t="s">
        <v>128</v>
      </c>
      <c r="K132">
        <v>1</v>
      </c>
      <c r="M132">
        <v>0</v>
      </c>
      <c r="N132">
        <v>38.58</v>
      </c>
      <c r="O132">
        <v>40</v>
      </c>
      <c r="P132">
        <v>23.148</v>
      </c>
    </row>
    <row r="133" spans="1:16">
      <c r="A133" t="s">
        <v>368</v>
      </c>
      <c r="B133" t="e">
        <f>-ANT.WATERLOCK</f>
        <v>#NAME?</v>
      </c>
      <c r="C133">
        <v>20100629</v>
      </c>
      <c r="D133">
        <v>20101004</v>
      </c>
      <c r="E133" t="s">
        <v>369</v>
      </c>
      <c r="G133" t="s">
        <v>370</v>
      </c>
      <c r="I133" t="s">
        <v>128</v>
      </c>
      <c r="K133">
        <v>1</v>
      </c>
      <c r="M133">
        <v>0</v>
      </c>
      <c r="N133">
        <v>6.18</v>
      </c>
      <c r="O133">
        <v>40</v>
      </c>
      <c r="P133">
        <v>3.7080000000000002</v>
      </c>
    </row>
    <row r="134" spans="1:16">
      <c r="A134" t="s">
        <v>371</v>
      </c>
      <c r="B134" t="e">
        <f>-ARN.20750</f>
        <v>#NAME?</v>
      </c>
      <c r="C134">
        <v>20100629</v>
      </c>
      <c r="D134">
        <v>20101004</v>
      </c>
      <c r="E134" t="s">
        <v>206</v>
      </c>
      <c r="G134" t="s">
        <v>372</v>
      </c>
      <c r="I134" t="s">
        <v>373</v>
      </c>
      <c r="K134">
        <v>1</v>
      </c>
      <c r="M134">
        <v>0</v>
      </c>
      <c r="N134">
        <v>18.329999999999998</v>
      </c>
      <c r="O134">
        <v>40</v>
      </c>
      <c r="P134">
        <v>10.997999999999999</v>
      </c>
    </row>
    <row r="135" spans="1:16">
      <c r="A135" t="s">
        <v>374</v>
      </c>
      <c r="B135" t="e">
        <f>-ARN.82050</f>
        <v>#NAME?</v>
      </c>
      <c r="C135">
        <v>20100629</v>
      </c>
      <c r="D135">
        <v>20101004</v>
      </c>
      <c r="E135" t="s">
        <v>120</v>
      </c>
      <c r="G135" t="s">
        <v>375</v>
      </c>
      <c r="I135" t="s">
        <v>373</v>
      </c>
      <c r="K135">
        <v>1</v>
      </c>
      <c r="M135">
        <v>0</v>
      </c>
      <c r="N135">
        <v>1.0900000000000001</v>
      </c>
      <c r="O135">
        <v>40</v>
      </c>
      <c r="P135">
        <v>0.65400000000000003</v>
      </c>
    </row>
    <row r="136" spans="1:16">
      <c r="A136" t="s">
        <v>376</v>
      </c>
      <c r="B136" t="e">
        <f>-ARN.82053</f>
        <v>#NAME?</v>
      </c>
      <c r="C136">
        <v>20100629</v>
      </c>
      <c r="D136">
        <v>20101004</v>
      </c>
      <c r="E136" t="s">
        <v>116</v>
      </c>
      <c r="G136" t="s">
        <v>377</v>
      </c>
      <c r="I136" t="s">
        <v>373</v>
      </c>
      <c r="K136">
        <v>1</v>
      </c>
      <c r="M136">
        <v>0</v>
      </c>
      <c r="N136">
        <v>3.93</v>
      </c>
      <c r="O136">
        <v>40</v>
      </c>
      <c r="P136">
        <v>2.3580000000000001</v>
      </c>
    </row>
    <row r="137" spans="1:16">
      <c r="A137" t="s">
        <v>378</v>
      </c>
      <c r="B137" t="e">
        <f>-ARN.82054</f>
        <v>#NAME?</v>
      </c>
      <c r="C137">
        <v>20100629</v>
      </c>
      <c r="D137">
        <v>20101004</v>
      </c>
      <c r="E137" t="s">
        <v>120</v>
      </c>
      <c r="G137" t="s">
        <v>379</v>
      </c>
      <c r="I137" t="s">
        <v>373</v>
      </c>
      <c r="K137">
        <v>1</v>
      </c>
      <c r="M137">
        <v>0</v>
      </c>
      <c r="N137">
        <v>2.5</v>
      </c>
      <c r="O137">
        <v>40</v>
      </c>
      <c r="P137">
        <v>1.5</v>
      </c>
    </row>
    <row r="138" spans="1:16">
      <c r="A138" t="s">
        <v>380</v>
      </c>
      <c r="B138" t="e">
        <f>-ARN.BIPL1L2</f>
        <v>#NAME?</v>
      </c>
      <c r="C138">
        <v>20100629</v>
      </c>
      <c r="D138">
        <v>20101004</v>
      </c>
      <c r="E138" t="s">
        <v>381</v>
      </c>
      <c r="G138" t="s">
        <v>382</v>
      </c>
      <c r="I138" t="s">
        <v>373</v>
      </c>
      <c r="K138">
        <v>1</v>
      </c>
      <c r="M138">
        <v>0</v>
      </c>
      <c r="N138">
        <v>23.46</v>
      </c>
      <c r="O138">
        <v>40</v>
      </c>
      <c r="P138">
        <v>14.076000000000001</v>
      </c>
    </row>
    <row r="139" spans="1:16">
      <c r="A139" t="s">
        <v>383</v>
      </c>
      <c r="B139" t="s">
        <v>384</v>
      </c>
      <c r="C139">
        <v>20100629</v>
      </c>
      <c r="D139">
        <v>20101004</v>
      </c>
      <c r="E139" t="s">
        <v>385</v>
      </c>
      <c r="G139" t="s">
        <v>386</v>
      </c>
      <c r="I139" t="s">
        <v>387</v>
      </c>
      <c r="K139">
        <v>1</v>
      </c>
      <c r="M139">
        <v>0</v>
      </c>
      <c r="N139">
        <v>129.49</v>
      </c>
      <c r="O139">
        <v>40</v>
      </c>
      <c r="P139">
        <v>77.694000000000003</v>
      </c>
    </row>
    <row r="140" spans="1:16">
      <c r="A140" t="s">
        <v>388</v>
      </c>
      <c r="B140" t="e">
        <f>-ATE.DOCL</f>
        <v>#NAME?</v>
      </c>
      <c r="C140">
        <v>20100629</v>
      </c>
      <c r="D140">
        <v>20101004</v>
      </c>
      <c r="E140" t="s">
        <v>389</v>
      </c>
      <c r="G140" t="s">
        <v>390</v>
      </c>
      <c r="I140" t="s">
        <v>387</v>
      </c>
      <c r="K140">
        <v>1</v>
      </c>
      <c r="M140">
        <v>0</v>
      </c>
      <c r="N140">
        <v>99.62</v>
      </c>
      <c r="O140">
        <v>40</v>
      </c>
      <c r="P140">
        <v>59.771999999999998</v>
      </c>
    </row>
    <row r="141" spans="1:16">
      <c r="A141" t="s">
        <v>391</v>
      </c>
      <c r="B141" t="e">
        <f>-ATE.FK2</f>
        <v>#NAME?</v>
      </c>
      <c r="C141">
        <v>20100629</v>
      </c>
      <c r="D141">
        <v>20101004</v>
      </c>
      <c r="E141" t="s">
        <v>222</v>
      </c>
      <c r="G141" t="s">
        <v>392</v>
      </c>
      <c r="I141" t="s">
        <v>387</v>
      </c>
      <c r="K141">
        <v>1</v>
      </c>
      <c r="M141">
        <v>0</v>
      </c>
      <c r="N141">
        <v>39.380000000000003</v>
      </c>
      <c r="O141">
        <v>40</v>
      </c>
      <c r="P141">
        <v>23.628</v>
      </c>
    </row>
    <row r="142" spans="1:16">
      <c r="A142" t="s">
        <v>393</v>
      </c>
      <c r="B142" t="e">
        <f>-ATE.T152</f>
        <v>#NAME?</v>
      </c>
      <c r="C142">
        <v>20100629</v>
      </c>
      <c r="D142">
        <v>20101004</v>
      </c>
      <c r="E142" t="s">
        <v>245</v>
      </c>
      <c r="G142" t="s">
        <v>394</v>
      </c>
      <c r="I142" t="s">
        <v>387</v>
      </c>
      <c r="K142">
        <v>1</v>
      </c>
      <c r="M142">
        <v>0</v>
      </c>
      <c r="N142">
        <v>74.7</v>
      </c>
      <c r="O142">
        <v>40</v>
      </c>
      <c r="P142">
        <v>44.82</v>
      </c>
    </row>
    <row r="143" spans="1:16">
      <c r="A143" t="s">
        <v>395</v>
      </c>
      <c r="B143" t="e">
        <f>-ATE.T222M</f>
        <v>#NAME?</v>
      </c>
      <c r="C143">
        <v>20100629</v>
      </c>
      <c r="D143">
        <v>20101004</v>
      </c>
      <c r="E143" t="s">
        <v>245</v>
      </c>
      <c r="G143" t="s">
        <v>396</v>
      </c>
      <c r="I143" t="s">
        <v>387</v>
      </c>
      <c r="K143">
        <v>1</v>
      </c>
      <c r="M143">
        <v>0</v>
      </c>
      <c r="N143">
        <v>57.05</v>
      </c>
      <c r="O143">
        <v>40</v>
      </c>
      <c r="P143">
        <v>34.229999999999997</v>
      </c>
    </row>
    <row r="144" spans="1:16">
      <c r="A144" t="s">
        <v>397</v>
      </c>
      <c r="B144" t="e">
        <f>-ATE.T302M</f>
        <v>#NAME?</v>
      </c>
      <c r="C144">
        <v>20100629</v>
      </c>
      <c r="D144">
        <v>20101004</v>
      </c>
      <c r="E144" t="s">
        <v>245</v>
      </c>
      <c r="G144" t="s">
        <v>398</v>
      </c>
      <c r="I144" t="s">
        <v>387</v>
      </c>
      <c r="K144">
        <v>1</v>
      </c>
      <c r="M144">
        <v>0</v>
      </c>
      <c r="N144">
        <v>77.42</v>
      </c>
      <c r="O144">
        <v>40</v>
      </c>
      <c r="P144">
        <v>46.451999999999998</v>
      </c>
    </row>
    <row r="145" spans="1:16">
      <c r="A145" t="s">
        <v>399</v>
      </c>
      <c r="B145" t="e">
        <f>-ATE.TA309</f>
        <v>#NAME?</v>
      </c>
      <c r="C145">
        <v>20100629</v>
      </c>
      <c r="D145">
        <v>20101004</v>
      </c>
      <c r="E145" t="s">
        <v>222</v>
      </c>
      <c r="G145" t="s">
        <v>400</v>
      </c>
      <c r="I145" t="s">
        <v>387</v>
      </c>
      <c r="K145">
        <v>1</v>
      </c>
      <c r="M145">
        <v>0</v>
      </c>
      <c r="N145">
        <v>37.369999999999997</v>
      </c>
      <c r="O145">
        <v>40</v>
      </c>
      <c r="P145">
        <v>22.422000000000001</v>
      </c>
    </row>
    <row r="146" spans="1:16">
      <c r="A146" t="s">
        <v>401</v>
      </c>
      <c r="B146" t="e">
        <f>-ATE.TA433</f>
        <v>#NAME?</v>
      </c>
      <c r="C146">
        <v>20100629</v>
      </c>
      <c r="D146">
        <v>20101004</v>
      </c>
      <c r="E146" t="s">
        <v>222</v>
      </c>
      <c r="G146" t="s">
        <v>402</v>
      </c>
      <c r="I146" t="s">
        <v>387</v>
      </c>
      <c r="K146">
        <v>1</v>
      </c>
      <c r="M146">
        <v>0</v>
      </c>
      <c r="N146">
        <v>38.700000000000003</v>
      </c>
      <c r="O146">
        <v>40</v>
      </c>
      <c r="P146">
        <v>23.22</v>
      </c>
    </row>
    <row r="147" spans="1:16">
      <c r="A147" t="s">
        <v>403</v>
      </c>
      <c r="B147" t="e">
        <f>-ATE.TOP432S</f>
        <v>#NAME?</v>
      </c>
      <c r="C147">
        <v>20100629</v>
      </c>
      <c r="D147">
        <v>20101004</v>
      </c>
      <c r="E147" t="s">
        <v>245</v>
      </c>
      <c r="G147" t="s">
        <v>404</v>
      </c>
      <c r="I147" t="s">
        <v>387</v>
      </c>
      <c r="K147">
        <v>1</v>
      </c>
      <c r="M147">
        <v>0</v>
      </c>
      <c r="N147">
        <v>54.2</v>
      </c>
      <c r="O147">
        <v>40</v>
      </c>
      <c r="P147">
        <v>32.520000000000003</v>
      </c>
    </row>
    <row r="148" spans="1:16">
      <c r="A148" t="s">
        <v>405</v>
      </c>
      <c r="B148" t="e">
        <f>-ATE.TR304</f>
        <v>#NAME?</v>
      </c>
      <c r="C148">
        <v>20100629</v>
      </c>
      <c r="D148">
        <v>20101004</v>
      </c>
      <c r="E148" t="s">
        <v>191</v>
      </c>
      <c r="G148" t="s">
        <v>406</v>
      </c>
      <c r="I148" t="s">
        <v>387</v>
      </c>
      <c r="K148">
        <v>1</v>
      </c>
      <c r="M148">
        <v>0</v>
      </c>
      <c r="N148">
        <v>154.41</v>
      </c>
      <c r="O148">
        <v>40</v>
      </c>
      <c r="P148">
        <v>92.646000000000001</v>
      </c>
    </row>
    <row r="149" spans="1:16">
      <c r="A149" t="s">
        <v>407</v>
      </c>
      <c r="B149" t="e">
        <f>-ATE.TSQ04</f>
        <v>#NAME?</v>
      </c>
      <c r="C149">
        <v>20100629</v>
      </c>
      <c r="D149">
        <v>20101004</v>
      </c>
      <c r="E149" t="s">
        <v>81</v>
      </c>
      <c r="G149" t="s">
        <v>408</v>
      </c>
      <c r="I149" t="s">
        <v>387</v>
      </c>
      <c r="K149">
        <v>1</v>
      </c>
      <c r="M149">
        <v>0</v>
      </c>
      <c r="N149">
        <v>27.62</v>
      </c>
      <c r="O149">
        <v>40</v>
      </c>
      <c r="P149">
        <v>16.571999999999999</v>
      </c>
    </row>
    <row r="150" spans="1:16">
      <c r="A150" t="s">
        <v>409</v>
      </c>
      <c r="B150" t="e">
        <f>-ATE.UNIV</f>
        <v>#NAME?</v>
      </c>
      <c r="C150">
        <v>20100629</v>
      </c>
      <c r="D150">
        <v>20101004</v>
      </c>
      <c r="E150" t="s">
        <v>410</v>
      </c>
      <c r="G150" t="s">
        <v>411</v>
      </c>
      <c r="I150" t="s">
        <v>387</v>
      </c>
      <c r="K150">
        <v>1</v>
      </c>
      <c r="M150">
        <v>0</v>
      </c>
      <c r="N150">
        <v>846.69</v>
      </c>
      <c r="O150">
        <v>40</v>
      </c>
      <c r="P150">
        <v>508.01400000000001</v>
      </c>
    </row>
    <row r="151" spans="1:16">
      <c r="A151" t="s">
        <v>412</v>
      </c>
      <c r="B151" t="e">
        <f>-ATE.ZA3</f>
        <v>#NAME?</v>
      </c>
      <c r="C151">
        <v>20100629</v>
      </c>
      <c r="D151">
        <v>20101004</v>
      </c>
      <c r="E151" t="s">
        <v>413</v>
      </c>
      <c r="G151" t="s">
        <v>414</v>
      </c>
      <c r="I151" t="s">
        <v>387</v>
      </c>
      <c r="K151">
        <v>1</v>
      </c>
      <c r="M151">
        <v>0</v>
      </c>
      <c r="N151">
        <v>304.55</v>
      </c>
      <c r="O151">
        <v>40</v>
      </c>
      <c r="P151">
        <v>182.73</v>
      </c>
    </row>
    <row r="152" spans="1:16">
      <c r="A152" t="s">
        <v>415</v>
      </c>
      <c r="B152" t="e">
        <f>-ATL.TREPIED</f>
        <v>#NAME?</v>
      </c>
      <c r="C152">
        <v>20100629</v>
      </c>
      <c r="D152">
        <v>20101004</v>
      </c>
      <c r="E152" t="s">
        <v>416</v>
      </c>
      <c r="G152" t="s">
        <v>417</v>
      </c>
      <c r="I152" t="s">
        <v>418</v>
      </c>
      <c r="K152">
        <v>1</v>
      </c>
      <c r="M152">
        <v>0</v>
      </c>
      <c r="N152">
        <v>38.58</v>
      </c>
      <c r="O152">
        <v>40</v>
      </c>
      <c r="P152">
        <v>23.148</v>
      </c>
    </row>
    <row r="153" spans="1:16">
      <c r="A153" t="s">
        <v>419</v>
      </c>
      <c r="B153" t="e">
        <f>-BAC.0380020</f>
        <v>#NAME?</v>
      </c>
      <c r="C153">
        <v>20100629</v>
      </c>
      <c r="D153">
        <v>20101004</v>
      </c>
      <c r="E153" t="s">
        <v>420</v>
      </c>
      <c r="G153" t="s">
        <v>421</v>
      </c>
      <c r="I153" t="s">
        <v>422</v>
      </c>
      <c r="K153">
        <v>1</v>
      </c>
      <c r="M153">
        <v>0</v>
      </c>
      <c r="N153">
        <v>228.66</v>
      </c>
      <c r="O153">
        <v>40</v>
      </c>
      <c r="P153">
        <v>137.196</v>
      </c>
    </row>
    <row r="154" spans="1:16">
      <c r="A154" t="s">
        <v>423</v>
      </c>
      <c r="B154" t="e">
        <f>-BAC.BACODISJNDIFF</f>
        <v>#NAME?</v>
      </c>
      <c r="C154">
        <v>20100629</v>
      </c>
      <c r="D154">
        <v>20101004</v>
      </c>
      <c r="E154" t="s">
        <v>424</v>
      </c>
      <c r="G154" t="s">
        <v>425</v>
      </c>
      <c r="I154" t="s">
        <v>422</v>
      </c>
      <c r="K154">
        <v>1</v>
      </c>
      <c r="M154">
        <v>0</v>
      </c>
      <c r="N154">
        <v>183.84</v>
      </c>
      <c r="O154">
        <v>40</v>
      </c>
      <c r="P154">
        <v>110.304</v>
      </c>
    </row>
    <row r="155" spans="1:16">
      <c r="A155" t="s">
        <v>426</v>
      </c>
      <c r="B155" t="s">
        <v>427</v>
      </c>
      <c r="C155">
        <v>20101122</v>
      </c>
      <c r="D155">
        <v>20110127</v>
      </c>
      <c r="E155">
        <v>1092010</v>
      </c>
      <c r="G155" t="s">
        <v>428</v>
      </c>
      <c r="I155" t="s">
        <v>429</v>
      </c>
      <c r="K155">
        <v>1</v>
      </c>
      <c r="M155">
        <v>1</v>
      </c>
      <c r="N155">
        <v>46.109000000000002</v>
      </c>
      <c r="O155">
        <v>40</v>
      </c>
      <c r="P155">
        <v>27.664999999999999</v>
      </c>
    </row>
    <row r="156" spans="1:16">
      <c r="A156" t="s">
        <v>430</v>
      </c>
      <c r="B156" t="e">
        <f>-BLD.0044</f>
        <v>#NAME?</v>
      </c>
      <c r="C156">
        <v>20100629</v>
      </c>
      <c r="D156">
        <v>20101015</v>
      </c>
      <c r="E156" t="s">
        <v>431</v>
      </c>
      <c r="G156" t="s">
        <v>432</v>
      </c>
      <c r="I156" t="s">
        <v>433</v>
      </c>
      <c r="K156">
        <v>1</v>
      </c>
      <c r="M156">
        <v>0</v>
      </c>
      <c r="N156">
        <v>12.58</v>
      </c>
      <c r="O156">
        <v>40</v>
      </c>
      <c r="P156">
        <v>7.548</v>
      </c>
    </row>
    <row r="157" spans="1:16">
      <c r="A157" t="s">
        <v>434</v>
      </c>
      <c r="B157" t="e">
        <f>-ANT.7320</f>
        <v>#NAME?</v>
      </c>
      <c r="C157">
        <v>20100629</v>
      </c>
      <c r="D157">
        <v>20101004</v>
      </c>
      <c r="E157" t="s">
        <v>435</v>
      </c>
      <c r="G157" t="s">
        <v>436</v>
      </c>
      <c r="I157" t="s">
        <v>128</v>
      </c>
      <c r="K157">
        <v>1</v>
      </c>
      <c r="M157">
        <v>0</v>
      </c>
      <c r="N157">
        <v>100.35</v>
      </c>
      <c r="O157">
        <v>40</v>
      </c>
      <c r="P157">
        <v>60.21</v>
      </c>
    </row>
    <row r="158" spans="1:16">
      <c r="A158" t="s">
        <v>437</v>
      </c>
      <c r="B158" t="e">
        <f>-ANT.78CMACIER</f>
        <v>#NAME?</v>
      </c>
      <c r="C158">
        <v>20100629</v>
      </c>
      <c r="D158">
        <v>20101004</v>
      </c>
      <c r="E158" t="s">
        <v>135</v>
      </c>
      <c r="G158" t="s">
        <v>438</v>
      </c>
      <c r="I158" t="s">
        <v>128</v>
      </c>
      <c r="K158">
        <v>1</v>
      </c>
      <c r="M158">
        <v>0</v>
      </c>
      <c r="N158">
        <v>84.38</v>
      </c>
      <c r="O158">
        <v>40</v>
      </c>
      <c r="P158">
        <v>50.628</v>
      </c>
    </row>
    <row r="159" spans="1:16">
      <c r="A159" t="s">
        <v>439</v>
      </c>
      <c r="B159" t="e">
        <f>-ANT.8089.5</f>
        <v>#NAME?</v>
      </c>
      <c r="C159">
        <v>20100629</v>
      </c>
      <c r="D159">
        <v>20101004</v>
      </c>
      <c r="E159" t="s">
        <v>278</v>
      </c>
      <c r="G159" t="s">
        <v>440</v>
      </c>
      <c r="I159" t="s">
        <v>128</v>
      </c>
      <c r="K159">
        <v>1</v>
      </c>
      <c r="M159">
        <v>0</v>
      </c>
      <c r="N159">
        <v>0.95</v>
      </c>
      <c r="O159">
        <v>40</v>
      </c>
      <c r="P159">
        <v>0.56999999999999995</v>
      </c>
    </row>
    <row r="160" spans="1:16">
      <c r="A160" t="s">
        <v>441</v>
      </c>
      <c r="B160" t="e">
        <f>-ANT.A7002</f>
        <v>#NAME?</v>
      </c>
      <c r="C160">
        <v>20100629</v>
      </c>
      <c r="D160">
        <v>20101004</v>
      </c>
      <c r="E160" t="s">
        <v>144</v>
      </c>
      <c r="G160" t="s">
        <v>442</v>
      </c>
      <c r="I160" t="s">
        <v>128</v>
      </c>
      <c r="K160">
        <v>1</v>
      </c>
      <c r="M160">
        <v>0</v>
      </c>
      <c r="N160">
        <v>28.28</v>
      </c>
      <c r="O160">
        <v>40</v>
      </c>
      <c r="P160">
        <v>16.968</v>
      </c>
    </row>
    <row r="161" spans="1:16">
      <c r="A161" t="s">
        <v>443</v>
      </c>
      <c r="B161" t="e">
        <f>-ANT.A7300</f>
        <v>#NAME?</v>
      </c>
      <c r="C161">
        <v>20100629</v>
      </c>
      <c r="D161">
        <v>20101004</v>
      </c>
      <c r="E161" t="s">
        <v>444</v>
      </c>
      <c r="G161" t="s">
        <v>445</v>
      </c>
      <c r="I161" t="s">
        <v>128</v>
      </c>
      <c r="K161">
        <v>1</v>
      </c>
      <c r="M161">
        <v>0</v>
      </c>
      <c r="N161">
        <v>56.61</v>
      </c>
      <c r="O161">
        <v>40</v>
      </c>
      <c r="P161">
        <v>33.966000000000001</v>
      </c>
    </row>
    <row r="162" spans="1:16">
      <c r="A162" t="s">
        <v>446</v>
      </c>
      <c r="B162" t="e">
        <f>-ANT.AO90</f>
        <v>#NAME?</v>
      </c>
      <c r="C162">
        <v>20100629</v>
      </c>
      <c r="D162">
        <v>20101004</v>
      </c>
      <c r="E162" t="s">
        <v>355</v>
      </c>
      <c r="G162" t="s">
        <v>447</v>
      </c>
      <c r="I162" t="s">
        <v>128</v>
      </c>
      <c r="K162">
        <v>1</v>
      </c>
      <c r="M162">
        <v>0</v>
      </c>
      <c r="N162">
        <v>19.91</v>
      </c>
      <c r="O162">
        <v>40</v>
      </c>
      <c r="P162">
        <v>11.946</v>
      </c>
    </row>
    <row r="163" spans="1:16">
      <c r="A163" t="s">
        <v>448</v>
      </c>
      <c r="B163" t="e">
        <f>-ANT.AT20</f>
        <v>#NAME?</v>
      </c>
      <c r="C163">
        <v>20100629</v>
      </c>
      <c r="D163">
        <v>20101004</v>
      </c>
      <c r="E163" t="s">
        <v>259</v>
      </c>
      <c r="G163" t="s">
        <v>449</v>
      </c>
      <c r="I163" t="s">
        <v>128</v>
      </c>
      <c r="K163">
        <v>1</v>
      </c>
      <c r="M163">
        <v>0</v>
      </c>
      <c r="N163">
        <v>3.55</v>
      </c>
      <c r="O163">
        <v>40</v>
      </c>
      <c r="P163">
        <v>2.13</v>
      </c>
    </row>
    <row r="164" spans="1:16">
      <c r="A164" t="s">
        <v>450</v>
      </c>
      <c r="B164" t="e">
        <f>-ANT.AT6</f>
        <v>#NAME?</v>
      </c>
      <c r="C164">
        <v>20100629</v>
      </c>
      <c r="D164">
        <v>20101004</v>
      </c>
      <c r="E164" t="s">
        <v>259</v>
      </c>
      <c r="G164" t="s">
        <v>451</v>
      </c>
      <c r="I164" t="s">
        <v>128</v>
      </c>
      <c r="K164">
        <v>1</v>
      </c>
      <c r="M164">
        <v>0</v>
      </c>
      <c r="N164">
        <v>3.55</v>
      </c>
      <c r="O164">
        <v>40</v>
      </c>
      <c r="P164">
        <v>2.13</v>
      </c>
    </row>
    <row r="165" spans="1:16">
      <c r="A165" t="s">
        <v>452</v>
      </c>
      <c r="B165" t="e">
        <f>-ANT.C500</f>
        <v>#NAME?</v>
      </c>
      <c r="C165">
        <v>20100629</v>
      </c>
      <c r="D165">
        <v>20101004</v>
      </c>
      <c r="E165" t="s">
        <v>453</v>
      </c>
      <c r="G165" t="s">
        <v>454</v>
      </c>
      <c r="I165" t="s">
        <v>128</v>
      </c>
      <c r="K165">
        <v>1</v>
      </c>
      <c r="M165">
        <v>0</v>
      </c>
      <c r="N165">
        <v>23.19</v>
      </c>
      <c r="O165">
        <v>40</v>
      </c>
      <c r="P165">
        <v>13.914</v>
      </c>
    </row>
    <row r="166" spans="1:16">
      <c r="A166" t="s">
        <v>455</v>
      </c>
      <c r="B166" t="e">
        <f>-ANT.CADAS</f>
        <v>#NAME?</v>
      </c>
      <c r="C166">
        <v>20100629</v>
      </c>
      <c r="D166">
        <v>20101004</v>
      </c>
      <c r="E166" t="s">
        <v>349</v>
      </c>
      <c r="G166" t="s">
        <v>456</v>
      </c>
      <c r="I166" t="s">
        <v>128</v>
      </c>
      <c r="K166">
        <v>1</v>
      </c>
      <c r="M166">
        <v>0</v>
      </c>
      <c r="N166">
        <v>59.67</v>
      </c>
      <c r="O166">
        <v>40</v>
      </c>
      <c r="P166">
        <v>35.802</v>
      </c>
    </row>
    <row r="167" spans="1:16">
      <c r="A167" t="s">
        <v>457</v>
      </c>
      <c r="B167" t="e">
        <f>-ANT.CDTV310SL</f>
        <v>#NAME?</v>
      </c>
      <c r="C167">
        <v>20100629</v>
      </c>
      <c r="D167">
        <v>20101004</v>
      </c>
      <c r="E167" t="s">
        <v>458</v>
      </c>
      <c r="G167" t="s">
        <v>459</v>
      </c>
      <c r="I167" t="s">
        <v>128</v>
      </c>
      <c r="K167">
        <v>1</v>
      </c>
      <c r="M167">
        <v>0</v>
      </c>
      <c r="N167">
        <v>703.86</v>
      </c>
      <c r="O167">
        <v>40</v>
      </c>
      <c r="P167">
        <v>422.31599999999997</v>
      </c>
    </row>
    <row r="168" spans="1:16">
      <c r="A168" t="s">
        <v>460</v>
      </c>
      <c r="B168" t="e">
        <f>-ANT.D2U</f>
        <v>#NAME?</v>
      </c>
      <c r="C168">
        <v>20100629</v>
      </c>
      <c r="D168">
        <v>20101004</v>
      </c>
      <c r="E168" t="s">
        <v>273</v>
      </c>
      <c r="G168" t="s">
        <v>461</v>
      </c>
      <c r="I168" t="s">
        <v>128</v>
      </c>
      <c r="K168">
        <v>1</v>
      </c>
      <c r="M168">
        <v>0</v>
      </c>
      <c r="N168">
        <v>18.329999999999998</v>
      </c>
      <c r="O168">
        <v>40</v>
      </c>
      <c r="P168">
        <v>10.997999999999999</v>
      </c>
    </row>
    <row r="169" spans="1:16">
      <c r="A169" t="s">
        <v>462</v>
      </c>
      <c r="B169" t="e">
        <f>-ANT.DS15</f>
        <v>#NAME?</v>
      </c>
      <c r="C169">
        <v>20100629</v>
      </c>
      <c r="D169">
        <v>20101004</v>
      </c>
      <c r="E169" t="s">
        <v>235</v>
      </c>
      <c r="G169" t="s">
        <v>463</v>
      </c>
      <c r="I169" t="s">
        <v>128</v>
      </c>
      <c r="K169">
        <v>1</v>
      </c>
      <c r="M169">
        <v>0</v>
      </c>
      <c r="N169">
        <v>6.6</v>
      </c>
      <c r="O169">
        <v>40</v>
      </c>
      <c r="P169">
        <v>3.96</v>
      </c>
    </row>
    <row r="170" spans="1:16">
      <c r="A170" t="s">
        <v>464</v>
      </c>
      <c r="B170" t="e">
        <f>-ANT.DSP15M</f>
        <v>#NAME?</v>
      </c>
      <c r="C170">
        <v>20100629</v>
      </c>
      <c r="D170">
        <v>20101004</v>
      </c>
      <c r="E170" t="s">
        <v>465</v>
      </c>
      <c r="G170" t="s">
        <v>466</v>
      </c>
      <c r="I170" t="s">
        <v>128</v>
      </c>
      <c r="K170">
        <v>1</v>
      </c>
      <c r="M170">
        <v>0</v>
      </c>
      <c r="N170">
        <v>3.31</v>
      </c>
      <c r="O170">
        <v>40</v>
      </c>
      <c r="P170">
        <v>1.986</v>
      </c>
    </row>
    <row r="171" spans="1:16">
      <c r="A171" t="s">
        <v>467</v>
      </c>
      <c r="B171" t="e">
        <f>-ANT.ELCFM1</f>
        <v>#NAME?</v>
      </c>
      <c r="C171">
        <v>20100629</v>
      </c>
      <c r="D171">
        <v>20101004</v>
      </c>
      <c r="E171" t="s">
        <v>278</v>
      </c>
      <c r="G171" t="s">
        <v>468</v>
      </c>
      <c r="I171" t="s">
        <v>128</v>
      </c>
      <c r="K171">
        <v>1</v>
      </c>
      <c r="M171">
        <v>0</v>
      </c>
      <c r="N171">
        <v>0.88</v>
      </c>
      <c r="O171">
        <v>40</v>
      </c>
      <c r="P171">
        <v>0.52800000000000002</v>
      </c>
    </row>
    <row r="172" spans="1:16">
      <c r="A172" t="s">
        <v>469</v>
      </c>
      <c r="B172" t="e">
        <f>-ANT.F</f>
        <v>#NAME?</v>
      </c>
      <c r="C172">
        <v>20100629</v>
      </c>
      <c r="D172">
        <v>20101004</v>
      </c>
      <c r="E172" t="s">
        <v>283</v>
      </c>
      <c r="G172" t="s">
        <v>283</v>
      </c>
      <c r="I172" t="s">
        <v>128</v>
      </c>
      <c r="K172">
        <v>1</v>
      </c>
      <c r="M172">
        <v>0</v>
      </c>
      <c r="N172">
        <v>0.38</v>
      </c>
      <c r="O172">
        <v>40</v>
      </c>
      <c r="P172">
        <v>0.22800000000000001</v>
      </c>
    </row>
    <row r="173" spans="1:16">
      <c r="A173" t="s">
        <v>470</v>
      </c>
      <c r="B173" t="e">
        <f>-ANT.FFRC1</f>
        <v>#NAME?</v>
      </c>
      <c r="C173">
        <v>20100629</v>
      </c>
      <c r="D173">
        <v>20101004</v>
      </c>
      <c r="E173" t="s">
        <v>471</v>
      </c>
      <c r="G173" t="s">
        <v>472</v>
      </c>
      <c r="I173" t="s">
        <v>128</v>
      </c>
      <c r="K173">
        <v>1</v>
      </c>
      <c r="M173">
        <v>0</v>
      </c>
      <c r="N173">
        <v>1.55</v>
      </c>
      <c r="O173">
        <v>40</v>
      </c>
      <c r="P173">
        <v>0.93</v>
      </c>
    </row>
    <row r="174" spans="1:16">
      <c r="A174" t="s">
        <v>473</v>
      </c>
      <c r="B174" t="e">
        <f>-ANT.FIXGM8S</f>
        <v>#NAME?</v>
      </c>
      <c r="C174">
        <v>20100629</v>
      </c>
      <c r="D174">
        <v>20101004</v>
      </c>
      <c r="E174" t="s">
        <v>270</v>
      </c>
      <c r="G174" t="s">
        <v>474</v>
      </c>
      <c r="I174" t="s">
        <v>128</v>
      </c>
      <c r="K174">
        <v>1</v>
      </c>
      <c r="M174">
        <v>0</v>
      </c>
      <c r="N174">
        <v>4.3600000000000003</v>
      </c>
      <c r="O174">
        <v>40</v>
      </c>
      <c r="P174">
        <v>2.6160000000000001</v>
      </c>
    </row>
    <row r="175" spans="1:16">
      <c r="A175" t="s">
        <v>475</v>
      </c>
      <c r="B175" t="e">
        <f>-ANT.FIXWL10X7</f>
        <v>#NAME?</v>
      </c>
      <c r="C175">
        <v>20100629</v>
      </c>
      <c r="D175">
        <v>20101004</v>
      </c>
      <c r="E175" t="s">
        <v>476</v>
      </c>
      <c r="G175" t="s">
        <v>477</v>
      </c>
      <c r="I175" t="s">
        <v>128</v>
      </c>
      <c r="K175">
        <v>1</v>
      </c>
      <c r="M175">
        <v>0</v>
      </c>
      <c r="N175">
        <v>4.1900000000000004</v>
      </c>
      <c r="O175">
        <v>40</v>
      </c>
      <c r="P175">
        <v>2.5139999999999998</v>
      </c>
    </row>
    <row r="176" spans="1:16">
      <c r="A176" t="s">
        <v>478</v>
      </c>
      <c r="B176" t="e">
        <f>-ANT.GKA273</f>
        <v>#NAME?</v>
      </c>
      <c r="C176">
        <v>20100629</v>
      </c>
      <c r="D176">
        <v>20101004</v>
      </c>
      <c r="E176" t="s">
        <v>479</v>
      </c>
      <c r="G176" t="s">
        <v>480</v>
      </c>
      <c r="I176" t="s">
        <v>128</v>
      </c>
      <c r="K176">
        <v>1</v>
      </c>
      <c r="M176">
        <v>0</v>
      </c>
      <c r="N176">
        <v>1.92</v>
      </c>
      <c r="O176">
        <v>40</v>
      </c>
      <c r="P176">
        <v>1.1519999999999999</v>
      </c>
    </row>
    <row r="177" spans="1:16">
      <c r="A177" t="s">
        <v>481</v>
      </c>
      <c r="B177" t="e">
        <f>-ANT.IKU1183</f>
        <v>#NAME?</v>
      </c>
      <c r="C177">
        <v>20100629</v>
      </c>
      <c r="D177">
        <v>20101004</v>
      </c>
      <c r="E177" t="s">
        <v>288</v>
      </c>
      <c r="G177" t="s">
        <v>482</v>
      </c>
      <c r="I177" t="s">
        <v>128</v>
      </c>
      <c r="K177">
        <v>1</v>
      </c>
      <c r="M177">
        <v>0</v>
      </c>
      <c r="N177">
        <v>62.07</v>
      </c>
      <c r="O177">
        <v>40</v>
      </c>
      <c r="P177">
        <v>37.241999999999997</v>
      </c>
    </row>
    <row r="178" spans="1:16">
      <c r="A178" t="s">
        <v>483</v>
      </c>
      <c r="B178" t="e">
        <f>-ANT.KIT1</f>
        <v>#NAME?</v>
      </c>
      <c r="C178">
        <v>20100629</v>
      </c>
      <c r="D178">
        <v>20101004</v>
      </c>
      <c r="E178" t="s">
        <v>296</v>
      </c>
      <c r="G178" t="s">
        <v>484</v>
      </c>
      <c r="I178" t="s">
        <v>128</v>
      </c>
      <c r="K178">
        <v>1</v>
      </c>
      <c r="M178">
        <v>0</v>
      </c>
      <c r="N178">
        <v>507.2</v>
      </c>
      <c r="O178">
        <v>40</v>
      </c>
      <c r="P178">
        <v>304.32</v>
      </c>
    </row>
    <row r="179" spans="1:16">
      <c r="A179" t="s">
        <v>485</v>
      </c>
      <c r="B179" t="e">
        <f>-ANT.KITJ1</f>
        <v>#NAME?</v>
      </c>
      <c r="C179">
        <v>20100629</v>
      </c>
      <c r="D179">
        <v>20101004</v>
      </c>
      <c r="E179" t="s">
        <v>486</v>
      </c>
      <c r="G179" t="s">
        <v>487</v>
      </c>
      <c r="I179" t="s">
        <v>128</v>
      </c>
      <c r="K179">
        <v>1</v>
      </c>
      <c r="M179">
        <v>0</v>
      </c>
      <c r="N179">
        <v>71.010000000000005</v>
      </c>
      <c r="O179">
        <v>40</v>
      </c>
      <c r="P179">
        <v>42.606000000000002</v>
      </c>
    </row>
    <row r="180" spans="1:16">
      <c r="A180" t="s">
        <v>488</v>
      </c>
      <c r="B180" t="e">
        <f>-ANT.KITJ2</f>
        <v>#NAME?</v>
      </c>
      <c r="C180">
        <v>20100629</v>
      </c>
      <c r="D180">
        <v>20101004</v>
      </c>
      <c r="E180" t="s">
        <v>489</v>
      </c>
      <c r="G180" t="s">
        <v>490</v>
      </c>
      <c r="I180" t="s">
        <v>128</v>
      </c>
      <c r="K180">
        <v>1</v>
      </c>
      <c r="M180">
        <v>0</v>
      </c>
      <c r="N180">
        <v>138.41999999999999</v>
      </c>
      <c r="O180">
        <v>40</v>
      </c>
      <c r="P180">
        <v>83.052000000000007</v>
      </c>
    </row>
    <row r="181" spans="1:16">
      <c r="A181" t="s">
        <v>491</v>
      </c>
      <c r="B181" t="e">
        <f>-ANT.KS6007M2</f>
        <v>#NAME?</v>
      </c>
      <c r="C181">
        <v>20100629</v>
      </c>
      <c r="D181">
        <v>20101004</v>
      </c>
      <c r="E181" t="s">
        <v>135</v>
      </c>
      <c r="G181" t="s">
        <v>492</v>
      </c>
      <c r="I181" t="s">
        <v>128</v>
      </c>
      <c r="K181">
        <v>1</v>
      </c>
      <c r="M181">
        <v>0</v>
      </c>
      <c r="N181">
        <v>64.33</v>
      </c>
      <c r="O181">
        <v>40</v>
      </c>
      <c r="P181">
        <v>38.597999999999999</v>
      </c>
    </row>
    <row r="182" spans="1:16">
      <c r="A182" t="s">
        <v>493</v>
      </c>
      <c r="B182" t="e">
        <f>-ANT.MAT50/50</f>
        <v>#NAME?</v>
      </c>
      <c r="C182">
        <v>20100629</v>
      </c>
      <c r="D182">
        <v>20101004</v>
      </c>
      <c r="E182" t="s">
        <v>494</v>
      </c>
      <c r="G182" t="s">
        <v>495</v>
      </c>
      <c r="I182" t="s">
        <v>128</v>
      </c>
      <c r="K182">
        <v>1</v>
      </c>
      <c r="M182">
        <v>0</v>
      </c>
      <c r="N182">
        <v>15.62</v>
      </c>
      <c r="O182">
        <v>40</v>
      </c>
      <c r="P182">
        <v>9.3719999999999999</v>
      </c>
    </row>
    <row r="183" spans="1:16">
      <c r="A183" t="s">
        <v>496</v>
      </c>
      <c r="B183" t="e">
        <f>-ANT.OG77F</f>
        <v>#NAME?</v>
      </c>
      <c r="C183">
        <v>20100629</v>
      </c>
      <c r="D183">
        <v>20101004</v>
      </c>
      <c r="E183" t="s">
        <v>135</v>
      </c>
      <c r="G183" t="s">
        <v>497</v>
      </c>
      <c r="I183" t="s">
        <v>128</v>
      </c>
      <c r="K183">
        <v>1</v>
      </c>
      <c r="M183">
        <v>0</v>
      </c>
      <c r="N183">
        <v>252.11</v>
      </c>
      <c r="O183">
        <v>40</v>
      </c>
      <c r="P183">
        <v>151.26599999999999</v>
      </c>
    </row>
    <row r="184" spans="1:16">
      <c r="A184" t="s">
        <v>498</v>
      </c>
      <c r="B184" t="e">
        <f>-ANT.P65UNI</f>
        <v>#NAME?</v>
      </c>
      <c r="C184">
        <v>20100629</v>
      </c>
      <c r="D184">
        <v>20101004</v>
      </c>
      <c r="E184" t="s">
        <v>264</v>
      </c>
      <c r="G184" t="s">
        <v>499</v>
      </c>
      <c r="I184" t="s">
        <v>128</v>
      </c>
      <c r="K184">
        <v>1</v>
      </c>
      <c r="M184">
        <v>0</v>
      </c>
      <c r="N184">
        <v>73.95</v>
      </c>
      <c r="O184">
        <v>40</v>
      </c>
      <c r="P184">
        <v>44.37</v>
      </c>
    </row>
    <row r="185" spans="1:16">
      <c r="A185" t="s">
        <v>500</v>
      </c>
      <c r="B185" t="e">
        <f>-ANT.PER/PERI</f>
        <v>#NAME?</v>
      </c>
      <c r="C185">
        <v>20100629</v>
      </c>
      <c r="D185">
        <v>20101004</v>
      </c>
      <c r="E185" t="s">
        <v>319</v>
      </c>
      <c r="G185" t="s">
        <v>501</v>
      </c>
      <c r="I185" t="s">
        <v>321</v>
      </c>
      <c r="K185">
        <v>1</v>
      </c>
      <c r="M185">
        <v>0</v>
      </c>
      <c r="N185">
        <v>6.16</v>
      </c>
      <c r="O185">
        <v>40</v>
      </c>
      <c r="P185">
        <v>3.6960000000000002</v>
      </c>
    </row>
    <row r="186" spans="1:16">
      <c r="A186" t="s">
        <v>502</v>
      </c>
      <c r="B186" t="e">
        <f>-ANT.PERITEL</f>
        <v>#NAME?</v>
      </c>
      <c r="C186">
        <v>20100629</v>
      </c>
      <c r="D186">
        <v>20101004</v>
      </c>
      <c r="E186" t="s">
        <v>319</v>
      </c>
      <c r="G186" t="s">
        <v>503</v>
      </c>
      <c r="I186" t="s">
        <v>321</v>
      </c>
      <c r="K186">
        <v>1</v>
      </c>
      <c r="M186">
        <v>0</v>
      </c>
      <c r="N186">
        <v>14.05</v>
      </c>
      <c r="O186">
        <v>40</v>
      </c>
      <c r="P186">
        <v>8.43</v>
      </c>
    </row>
    <row r="187" spans="1:16">
      <c r="A187" t="s">
        <v>504</v>
      </c>
      <c r="B187" t="e">
        <f>-ANT.R2F1.7</f>
        <v>#NAME?</v>
      </c>
      <c r="C187">
        <v>20100629</v>
      </c>
      <c r="D187">
        <v>20101004</v>
      </c>
      <c r="E187" t="s">
        <v>273</v>
      </c>
      <c r="G187" t="s">
        <v>505</v>
      </c>
      <c r="I187" t="s">
        <v>128</v>
      </c>
      <c r="K187">
        <v>1</v>
      </c>
      <c r="M187">
        <v>0</v>
      </c>
      <c r="N187">
        <v>42.62</v>
      </c>
      <c r="O187">
        <v>40</v>
      </c>
      <c r="P187">
        <v>25.571999999999999</v>
      </c>
    </row>
    <row r="188" spans="1:16">
      <c r="A188" t="s">
        <v>506</v>
      </c>
      <c r="B188" t="e">
        <f>-ANT.RACCOAX</f>
        <v>#NAME?</v>
      </c>
      <c r="C188">
        <v>20100629</v>
      </c>
      <c r="D188">
        <v>20101004</v>
      </c>
      <c r="E188" t="s">
        <v>316</v>
      </c>
      <c r="G188" t="s">
        <v>507</v>
      </c>
      <c r="I188" t="s">
        <v>128</v>
      </c>
      <c r="K188">
        <v>1</v>
      </c>
      <c r="M188">
        <v>0</v>
      </c>
      <c r="N188">
        <v>3.44</v>
      </c>
      <c r="O188">
        <v>40</v>
      </c>
      <c r="P188">
        <v>2.0640000000000001</v>
      </c>
    </row>
    <row r="189" spans="1:16">
      <c r="A189" t="s">
        <v>508</v>
      </c>
      <c r="B189" t="e">
        <f>-ANT.RACCORDF</f>
        <v>#NAME?</v>
      </c>
      <c r="C189">
        <v>20100629</v>
      </c>
      <c r="D189">
        <v>20110127</v>
      </c>
      <c r="E189" t="s">
        <v>509</v>
      </c>
      <c r="G189" t="s">
        <v>509</v>
      </c>
      <c r="I189" t="s">
        <v>128</v>
      </c>
      <c r="K189">
        <v>1</v>
      </c>
      <c r="M189">
        <v>1</v>
      </c>
      <c r="N189">
        <v>6.8</v>
      </c>
      <c r="O189">
        <v>40</v>
      </c>
      <c r="P189">
        <v>4.08</v>
      </c>
    </row>
    <row r="190" spans="1:16">
      <c r="A190" t="s">
        <v>510</v>
      </c>
      <c r="B190" t="e">
        <f>-ANT.RCAF</f>
        <v>#NAME?</v>
      </c>
      <c r="C190">
        <v>20100629</v>
      </c>
      <c r="D190">
        <v>20101004</v>
      </c>
      <c r="E190" t="s">
        <v>335</v>
      </c>
      <c r="G190" t="s">
        <v>511</v>
      </c>
      <c r="I190" t="s">
        <v>321</v>
      </c>
      <c r="K190">
        <v>1</v>
      </c>
      <c r="M190">
        <v>0</v>
      </c>
      <c r="N190">
        <v>0.77</v>
      </c>
      <c r="O190">
        <v>40</v>
      </c>
      <c r="P190">
        <v>0.46200000000000002</v>
      </c>
    </row>
    <row r="191" spans="1:16">
      <c r="A191" t="s">
        <v>512</v>
      </c>
      <c r="B191" t="s">
        <v>513</v>
      </c>
      <c r="C191">
        <v>20100629</v>
      </c>
      <c r="D191">
        <v>20101004</v>
      </c>
      <c r="E191" t="s">
        <v>514</v>
      </c>
      <c r="G191" t="s">
        <v>515</v>
      </c>
      <c r="I191" t="s">
        <v>321</v>
      </c>
      <c r="K191">
        <v>1</v>
      </c>
      <c r="M191">
        <v>0</v>
      </c>
      <c r="N191">
        <v>2.59</v>
      </c>
      <c r="O191">
        <v>40</v>
      </c>
      <c r="P191">
        <v>1.554</v>
      </c>
    </row>
    <row r="192" spans="1:16">
      <c r="A192" t="s">
        <v>516</v>
      </c>
      <c r="B192" t="e">
        <f>-ANT.REP2D</f>
        <v>#NAME?</v>
      </c>
      <c r="C192">
        <v>20100629</v>
      </c>
      <c r="D192">
        <v>20101004</v>
      </c>
      <c r="E192" t="s">
        <v>273</v>
      </c>
      <c r="G192" t="s">
        <v>517</v>
      </c>
      <c r="I192" t="s">
        <v>128</v>
      </c>
      <c r="K192">
        <v>1</v>
      </c>
      <c r="M192">
        <v>0</v>
      </c>
      <c r="N192">
        <v>10.210000000000001</v>
      </c>
      <c r="O192">
        <v>40</v>
      </c>
      <c r="P192">
        <v>6.1260000000000003</v>
      </c>
    </row>
    <row r="193" spans="1:16">
      <c r="A193" t="s">
        <v>518</v>
      </c>
      <c r="B193" t="e">
        <f>-ANT.REP2F</f>
        <v>#NAME?</v>
      </c>
      <c r="C193">
        <v>20100629</v>
      </c>
      <c r="D193">
        <v>20101004</v>
      </c>
      <c r="E193" t="s">
        <v>273</v>
      </c>
      <c r="G193" t="s">
        <v>519</v>
      </c>
      <c r="I193" t="s">
        <v>128</v>
      </c>
      <c r="K193">
        <v>1</v>
      </c>
      <c r="M193">
        <v>0</v>
      </c>
      <c r="N193">
        <v>20.18</v>
      </c>
      <c r="O193">
        <v>40</v>
      </c>
      <c r="P193">
        <v>12.108000000000001</v>
      </c>
    </row>
    <row r="194" spans="1:16">
      <c r="A194" t="s">
        <v>520</v>
      </c>
      <c r="B194" t="e">
        <f>-ANT.REP4D</f>
        <v>#NAME?</v>
      </c>
      <c r="C194">
        <v>20100629</v>
      </c>
      <c r="D194">
        <v>20101004</v>
      </c>
      <c r="E194" t="s">
        <v>273</v>
      </c>
      <c r="G194" t="s">
        <v>521</v>
      </c>
      <c r="I194" t="s">
        <v>128</v>
      </c>
      <c r="K194">
        <v>1</v>
      </c>
      <c r="M194">
        <v>0</v>
      </c>
      <c r="N194">
        <v>16.32</v>
      </c>
      <c r="O194">
        <v>40</v>
      </c>
      <c r="P194">
        <v>9.7919999999999998</v>
      </c>
    </row>
    <row r="195" spans="1:16">
      <c r="A195" t="s">
        <v>522</v>
      </c>
      <c r="B195" t="s">
        <v>523</v>
      </c>
      <c r="C195">
        <v>20100629</v>
      </c>
      <c r="D195">
        <v>20101004</v>
      </c>
      <c r="E195" t="s">
        <v>273</v>
      </c>
      <c r="G195" t="s">
        <v>524</v>
      </c>
      <c r="I195" t="s">
        <v>128</v>
      </c>
      <c r="K195">
        <v>1</v>
      </c>
      <c r="M195">
        <v>0</v>
      </c>
      <c r="N195">
        <v>22.33</v>
      </c>
      <c r="O195">
        <v>40</v>
      </c>
      <c r="P195">
        <v>13.398</v>
      </c>
    </row>
    <row r="196" spans="1:16">
      <c r="A196" t="s">
        <v>525</v>
      </c>
      <c r="B196" t="e">
        <f>-ANT.RF4</f>
        <v>#NAME?</v>
      </c>
      <c r="C196">
        <v>20100629</v>
      </c>
      <c r="D196">
        <v>20101004</v>
      </c>
      <c r="E196" t="s">
        <v>273</v>
      </c>
      <c r="G196" t="s">
        <v>526</v>
      </c>
      <c r="I196" t="s">
        <v>128</v>
      </c>
      <c r="K196">
        <v>1</v>
      </c>
      <c r="M196">
        <v>0</v>
      </c>
      <c r="N196">
        <v>2.2999999999999998</v>
      </c>
      <c r="O196">
        <v>40</v>
      </c>
      <c r="P196">
        <v>1.38</v>
      </c>
    </row>
    <row r="197" spans="1:16">
      <c r="A197" t="s">
        <v>527</v>
      </c>
      <c r="B197" t="s">
        <v>528</v>
      </c>
      <c r="C197">
        <v>20100629</v>
      </c>
      <c r="D197">
        <v>20101004</v>
      </c>
      <c r="E197" t="s">
        <v>346</v>
      </c>
      <c r="G197" t="s">
        <v>529</v>
      </c>
      <c r="I197" t="s">
        <v>128</v>
      </c>
      <c r="K197">
        <v>1</v>
      </c>
      <c r="M197">
        <v>0</v>
      </c>
      <c r="N197">
        <v>2.0699999999999998</v>
      </c>
      <c r="O197">
        <v>40</v>
      </c>
      <c r="P197">
        <v>1.242</v>
      </c>
    </row>
    <row r="198" spans="1:16">
      <c r="A198" t="s">
        <v>530</v>
      </c>
      <c r="B198" t="e">
        <f>-ANT.S120</f>
        <v>#NAME?</v>
      </c>
      <c r="C198">
        <v>20100629</v>
      </c>
      <c r="D198">
        <v>20101004</v>
      </c>
      <c r="E198" t="s">
        <v>349</v>
      </c>
      <c r="G198" t="s">
        <v>531</v>
      </c>
      <c r="I198" t="s">
        <v>128</v>
      </c>
      <c r="K198">
        <v>1</v>
      </c>
      <c r="M198">
        <v>0</v>
      </c>
      <c r="N198">
        <v>61.53</v>
      </c>
      <c r="O198">
        <v>40</v>
      </c>
      <c r="P198">
        <v>36.917999999999999</v>
      </c>
    </row>
    <row r="199" spans="1:16">
      <c r="A199" t="s">
        <v>532</v>
      </c>
      <c r="B199" t="e">
        <f>-ANT.S152</f>
        <v>#NAME?</v>
      </c>
      <c r="C199">
        <v>20100629</v>
      </c>
      <c r="D199">
        <v>20101004</v>
      </c>
      <c r="E199" t="s">
        <v>349</v>
      </c>
      <c r="G199" t="s">
        <v>533</v>
      </c>
      <c r="I199" t="s">
        <v>128</v>
      </c>
      <c r="K199">
        <v>1</v>
      </c>
      <c r="M199">
        <v>0</v>
      </c>
      <c r="N199">
        <v>45.81</v>
      </c>
      <c r="O199">
        <v>40</v>
      </c>
      <c r="P199">
        <v>27.486000000000001</v>
      </c>
    </row>
    <row r="200" spans="1:16">
      <c r="A200" t="s">
        <v>534</v>
      </c>
      <c r="B200" t="e">
        <f>-ANT.SVE02BIS</f>
        <v>#NAME?</v>
      </c>
      <c r="C200">
        <v>20100629</v>
      </c>
      <c r="D200">
        <v>20101004</v>
      </c>
      <c r="E200" t="s">
        <v>273</v>
      </c>
      <c r="G200" t="s">
        <v>535</v>
      </c>
      <c r="I200" t="s">
        <v>128</v>
      </c>
      <c r="K200">
        <v>1</v>
      </c>
      <c r="M200">
        <v>0</v>
      </c>
      <c r="N200">
        <v>7.2</v>
      </c>
      <c r="O200">
        <v>40</v>
      </c>
      <c r="P200">
        <v>4.32</v>
      </c>
    </row>
    <row r="201" spans="1:16">
      <c r="A201" t="s">
        <v>536</v>
      </c>
      <c r="B201" t="e">
        <f>-ANT.SVE03BIS</f>
        <v>#NAME?</v>
      </c>
      <c r="C201">
        <v>20100629</v>
      </c>
      <c r="D201">
        <v>20101004</v>
      </c>
      <c r="E201" t="s">
        <v>273</v>
      </c>
      <c r="G201" t="s">
        <v>537</v>
      </c>
      <c r="I201" t="s">
        <v>128</v>
      </c>
      <c r="K201">
        <v>1</v>
      </c>
      <c r="M201">
        <v>0</v>
      </c>
      <c r="N201">
        <v>8.24</v>
      </c>
      <c r="O201">
        <v>40</v>
      </c>
      <c r="P201">
        <v>4.944</v>
      </c>
    </row>
    <row r="202" spans="1:16">
      <c r="A202" t="s">
        <v>538</v>
      </c>
      <c r="B202" t="e">
        <f>-ANT.SVE04BIS</f>
        <v>#NAME?</v>
      </c>
      <c r="C202">
        <v>20100629</v>
      </c>
      <c r="D202">
        <v>20101004</v>
      </c>
      <c r="E202" t="s">
        <v>273</v>
      </c>
      <c r="G202" t="s">
        <v>539</v>
      </c>
      <c r="I202" t="s">
        <v>128</v>
      </c>
      <c r="K202">
        <v>1</v>
      </c>
      <c r="M202">
        <v>0</v>
      </c>
      <c r="N202">
        <v>12.35</v>
      </c>
      <c r="O202">
        <v>40</v>
      </c>
      <c r="P202">
        <v>7.41</v>
      </c>
    </row>
    <row r="203" spans="1:16">
      <c r="A203" t="s">
        <v>540</v>
      </c>
      <c r="B203" t="e">
        <f>-ANT.TECOAXIAL</f>
        <v>#NAME?</v>
      </c>
      <c r="C203">
        <v>20100629</v>
      </c>
      <c r="D203">
        <v>20101004</v>
      </c>
      <c r="E203" t="s">
        <v>541</v>
      </c>
      <c r="G203" t="s">
        <v>541</v>
      </c>
      <c r="I203" t="s">
        <v>128</v>
      </c>
      <c r="K203">
        <v>1</v>
      </c>
      <c r="M203">
        <v>0</v>
      </c>
      <c r="N203">
        <v>7.3</v>
      </c>
      <c r="O203">
        <v>40</v>
      </c>
      <c r="P203">
        <v>4.38</v>
      </c>
    </row>
    <row r="204" spans="1:16">
      <c r="A204" t="s">
        <v>542</v>
      </c>
      <c r="B204" t="e">
        <f>-ANT.TEV7248</f>
        <v>#NAME?</v>
      </c>
      <c r="C204">
        <v>20100629</v>
      </c>
      <c r="D204">
        <v>20101004</v>
      </c>
      <c r="E204" t="s">
        <v>313</v>
      </c>
      <c r="G204" t="s">
        <v>543</v>
      </c>
      <c r="I204" t="s">
        <v>128</v>
      </c>
      <c r="K204">
        <v>1</v>
      </c>
      <c r="M204">
        <v>0</v>
      </c>
      <c r="N204">
        <v>153.83000000000001</v>
      </c>
      <c r="O204">
        <v>40</v>
      </c>
      <c r="P204">
        <v>92.298000000000002</v>
      </c>
    </row>
    <row r="205" spans="1:16">
      <c r="A205" t="s">
        <v>544</v>
      </c>
      <c r="B205" t="e">
        <f>-ANT.VISRAWL</f>
        <v>#NAME?</v>
      </c>
      <c r="C205">
        <v>20100629</v>
      </c>
      <c r="D205">
        <v>20101004</v>
      </c>
      <c r="E205" t="s">
        <v>545</v>
      </c>
      <c r="G205" t="s">
        <v>545</v>
      </c>
      <c r="I205" t="s">
        <v>128</v>
      </c>
      <c r="K205">
        <v>1</v>
      </c>
      <c r="M205">
        <v>0</v>
      </c>
      <c r="N205">
        <v>0.92</v>
      </c>
      <c r="O205">
        <v>40</v>
      </c>
      <c r="P205">
        <v>0.55200000000000005</v>
      </c>
    </row>
    <row r="206" spans="1:16">
      <c r="A206" t="s">
        <v>546</v>
      </c>
      <c r="B206" t="e">
        <f>-ANT.WISIMD10</f>
        <v>#NAME?</v>
      </c>
      <c r="C206">
        <v>20100629</v>
      </c>
      <c r="D206">
        <v>20101004</v>
      </c>
      <c r="E206" t="s">
        <v>547</v>
      </c>
      <c r="G206" t="s">
        <v>548</v>
      </c>
      <c r="I206" t="s">
        <v>128</v>
      </c>
      <c r="K206">
        <v>1</v>
      </c>
      <c r="M206">
        <v>0</v>
      </c>
      <c r="N206">
        <v>100.85</v>
      </c>
      <c r="O206">
        <v>40</v>
      </c>
      <c r="P206">
        <v>60.51</v>
      </c>
    </row>
    <row r="207" spans="1:16">
      <c r="A207" t="s">
        <v>549</v>
      </c>
      <c r="B207" t="e">
        <f>-ARI.0027</f>
        <v>#NAME?</v>
      </c>
      <c r="C207">
        <v>20100629</v>
      </c>
      <c r="D207">
        <v>20101004</v>
      </c>
      <c r="E207" t="s">
        <v>550</v>
      </c>
      <c r="G207" t="s">
        <v>551</v>
      </c>
      <c r="I207" t="s">
        <v>552</v>
      </c>
      <c r="K207">
        <v>1</v>
      </c>
      <c r="M207">
        <v>0</v>
      </c>
      <c r="N207">
        <v>29.82</v>
      </c>
      <c r="O207">
        <v>40</v>
      </c>
      <c r="P207">
        <v>17.891999999999999</v>
      </c>
    </row>
    <row r="208" spans="1:16">
      <c r="A208" t="s">
        <v>553</v>
      </c>
      <c r="B208" t="e">
        <f>-ARI.0252</f>
        <v>#NAME?</v>
      </c>
      <c r="C208">
        <v>20100629</v>
      </c>
      <c r="D208">
        <v>20101004</v>
      </c>
      <c r="E208" t="s">
        <v>554</v>
      </c>
      <c r="G208" t="s">
        <v>555</v>
      </c>
      <c r="I208" t="s">
        <v>552</v>
      </c>
      <c r="K208">
        <v>1</v>
      </c>
      <c r="M208">
        <v>0</v>
      </c>
      <c r="N208">
        <v>35.94</v>
      </c>
      <c r="O208">
        <v>40</v>
      </c>
      <c r="P208">
        <v>21.564</v>
      </c>
    </row>
    <row r="209" spans="1:16">
      <c r="A209" t="s">
        <v>556</v>
      </c>
      <c r="B209" t="e">
        <f>-ARI.0656</f>
        <v>#NAME?</v>
      </c>
      <c r="C209">
        <v>20100629</v>
      </c>
      <c r="D209">
        <v>20101004</v>
      </c>
      <c r="E209" t="s">
        <v>554</v>
      </c>
      <c r="G209" t="s">
        <v>557</v>
      </c>
      <c r="I209" t="s">
        <v>552</v>
      </c>
      <c r="K209">
        <v>1</v>
      </c>
      <c r="M209">
        <v>0</v>
      </c>
      <c r="N209">
        <v>19.579999999999998</v>
      </c>
      <c r="O209">
        <v>40</v>
      </c>
      <c r="P209">
        <v>11.747999999999999</v>
      </c>
    </row>
    <row r="210" spans="1:16">
      <c r="A210" t="s">
        <v>558</v>
      </c>
      <c r="B210" t="e">
        <f>-ARI.0684</f>
        <v>#NAME?</v>
      </c>
      <c r="C210">
        <v>20100629</v>
      </c>
      <c r="D210">
        <v>20101004</v>
      </c>
      <c r="E210" t="s">
        <v>559</v>
      </c>
      <c r="G210" t="s">
        <v>560</v>
      </c>
      <c r="I210" t="s">
        <v>552</v>
      </c>
      <c r="K210">
        <v>1</v>
      </c>
      <c r="M210">
        <v>0</v>
      </c>
      <c r="N210">
        <v>57.62</v>
      </c>
      <c r="O210">
        <v>40</v>
      </c>
      <c r="P210">
        <v>34.572000000000003</v>
      </c>
    </row>
    <row r="211" spans="1:16">
      <c r="A211" t="s">
        <v>561</v>
      </c>
      <c r="B211" t="e">
        <f>-ARI.1890</f>
        <v>#NAME?</v>
      </c>
      <c r="C211">
        <v>20100629</v>
      </c>
      <c r="D211">
        <v>20101004</v>
      </c>
      <c r="E211" t="s">
        <v>554</v>
      </c>
      <c r="G211" t="s">
        <v>562</v>
      </c>
      <c r="I211" t="s">
        <v>552</v>
      </c>
      <c r="K211">
        <v>1</v>
      </c>
      <c r="M211">
        <v>0</v>
      </c>
      <c r="N211">
        <v>69.23</v>
      </c>
      <c r="O211">
        <v>40</v>
      </c>
      <c r="P211">
        <v>41.537999999999997</v>
      </c>
    </row>
    <row r="212" spans="1:16">
      <c r="A212" t="s">
        <v>563</v>
      </c>
      <c r="B212" t="e">
        <f>-ARN.82051</f>
        <v>#NAME?</v>
      </c>
      <c r="C212">
        <v>20100629</v>
      </c>
      <c r="D212">
        <v>20101004</v>
      </c>
      <c r="E212" t="s">
        <v>564</v>
      </c>
      <c r="G212" t="s">
        <v>565</v>
      </c>
      <c r="H212" t="s">
        <v>566</v>
      </c>
      <c r="I212" t="s">
        <v>373</v>
      </c>
      <c r="K212">
        <v>1</v>
      </c>
      <c r="M212">
        <v>0</v>
      </c>
      <c r="N212">
        <v>2.86</v>
      </c>
      <c r="O212">
        <v>40</v>
      </c>
      <c r="P212">
        <v>1.716</v>
      </c>
    </row>
    <row r="213" spans="1:16">
      <c r="A213" t="s">
        <v>567</v>
      </c>
      <c r="B213" t="e">
        <f>-ARN.TIR20M</f>
        <v>#NAME?</v>
      </c>
      <c r="C213">
        <v>20100629</v>
      </c>
      <c r="D213">
        <v>20101004</v>
      </c>
      <c r="E213" t="s">
        <v>568</v>
      </c>
      <c r="G213" t="s">
        <v>569</v>
      </c>
      <c r="I213" t="s">
        <v>373</v>
      </c>
      <c r="K213">
        <v>1</v>
      </c>
      <c r="M213">
        <v>0</v>
      </c>
      <c r="N213">
        <v>29.48</v>
      </c>
      <c r="O213">
        <v>40</v>
      </c>
      <c r="P213">
        <v>17.687999999999999</v>
      </c>
    </row>
    <row r="214" spans="1:16">
      <c r="A214" t="s">
        <v>570</v>
      </c>
      <c r="B214" t="e">
        <f>-AST.230E</f>
        <v>#NAME?</v>
      </c>
      <c r="C214">
        <v>20100629</v>
      </c>
      <c r="D214">
        <v>20101004</v>
      </c>
      <c r="E214" t="s">
        <v>571</v>
      </c>
      <c r="G214" t="s">
        <v>572</v>
      </c>
      <c r="I214" t="s">
        <v>573</v>
      </c>
      <c r="K214">
        <v>1</v>
      </c>
      <c r="M214">
        <v>0</v>
      </c>
      <c r="N214">
        <v>57.7</v>
      </c>
      <c r="O214">
        <v>40</v>
      </c>
      <c r="P214">
        <v>34.619999999999997</v>
      </c>
    </row>
    <row r="215" spans="1:16">
      <c r="A215" t="s">
        <v>574</v>
      </c>
      <c r="B215" t="e">
        <f>-ATE.AF43S</f>
        <v>#NAME?</v>
      </c>
      <c r="C215">
        <v>20100629</v>
      </c>
      <c r="D215">
        <v>20101004</v>
      </c>
      <c r="E215" t="s">
        <v>413</v>
      </c>
      <c r="G215" t="s">
        <v>575</v>
      </c>
      <c r="I215" t="s">
        <v>387</v>
      </c>
      <c r="K215">
        <v>1</v>
      </c>
      <c r="M215">
        <v>0</v>
      </c>
      <c r="N215">
        <v>51.62</v>
      </c>
      <c r="O215">
        <v>40</v>
      </c>
      <c r="P215">
        <v>30.972000000000001</v>
      </c>
    </row>
    <row r="216" spans="1:16">
      <c r="A216" t="s">
        <v>576</v>
      </c>
      <c r="B216" t="e">
        <f>-ATE.AK</f>
        <v>#NAME?</v>
      </c>
      <c r="C216">
        <v>20100629</v>
      </c>
      <c r="D216">
        <v>20101004</v>
      </c>
      <c r="E216" t="s">
        <v>222</v>
      </c>
      <c r="G216" t="s">
        <v>577</v>
      </c>
      <c r="I216" t="s">
        <v>387</v>
      </c>
      <c r="K216">
        <v>1</v>
      </c>
      <c r="M216">
        <v>0</v>
      </c>
      <c r="N216">
        <v>51.69</v>
      </c>
      <c r="O216">
        <v>40</v>
      </c>
      <c r="P216">
        <v>31.013999999999999</v>
      </c>
    </row>
    <row r="217" spans="1:16">
      <c r="A217" t="s">
        <v>578</v>
      </c>
      <c r="B217" t="e">
        <f>-ATE.D0CE</f>
        <v>#NAME?</v>
      </c>
      <c r="C217">
        <v>20100629</v>
      </c>
      <c r="D217">
        <v>20101004</v>
      </c>
      <c r="E217" t="s">
        <v>579</v>
      </c>
      <c r="G217" t="s">
        <v>580</v>
      </c>
      <c r="I217" t="s">
        <v>387</v>
      </c>
      <c r="K217">
        <v>1</v>
      </c>
      <c r="M217">
        <v>0</v>
      </c>
      <c r="N217">
        <v>168.43</v>
      </c>
      <c r="O217">
        <v>40</v>
      </c>
      <c r="P217">
        <v>101.05800000000001</v>
      </c>
    </row>
    <row r="218" spans="1:16">
      <c r="A218" t="s">
        <v>581</v>
      </c>
      <c r="B218" t="e">
        <f>-ATE.DOCI</f>
        <v>#NAME?</v>
      </c>
      <c r="C218">
        <v>20100629</v>
      </c>
      <c r="D218">
        <v>20101004</v>
      </c>
      <c r="E218" t="s">
        <v>385</v>
      </c>
      <c r="G218" t="s">
        <v>582</v>
      </c>
      <c r="I218" t="s">
        <v>387</v>
      </c>
      <c r="K218">
        <v>1</v>
      </c>
      <c r="M218">
        <v>0</v>
      </c>
      <c r="N218">
        <v>141.25</v>
      </c>
      <c r="O218">
        <v>40</v>
      </c>
      <c r="P218">
        <v>84.75</v>
      </c>
    </row>
    <row r="219" spans="1:16">
      <c r="A219" t="s">
        <v>583</v>
      </c>
      <c r="B219" t="e">
        <f>-ATE.KMFT1</f>
        <v>#NAME?</v>
      </c>
      <c r="C219">
        <v>20100629</v>
      </c>
      <c r="D219">
        <v>20101004</v>
      </c>
      <c r="E219" t="s">
        <v>245</v>
      </c>
      <c r="G219" t="s">
        <v>584</v>
      </c>
      <c r="I219" t="s">
        <v>387</v>
      </c>
      <c r="K219">
        <v>1</v>
      </c>
      <c r="M219">
        <v>0</v>
      </c>
      <c r="N219">
        <v>72.44</v>
      </c>
      <c r="O219">
        <v>40</v>
      </c>
      <c r="P219">
        <v>43.463999999999999</v>
      </c>
    </row>
    <row r="220" spans="1:16">
      <c r="A220" t="s">
        <v>585</v>
      </c>
      <c r="B220" t="e">
        <f>-ATE.KMFT2P</f>
        <v>#NAME?</v>
      </c>
      <c r="C220">
        <v>20100629</v>
      </c>
      <c r="D220">
        <v>20101004</v>
      </c>
      <c r="E220" t="s">
        <v>245</v>
      </c>
      <c r="G220" t="s">
        <v>586</v>
      </c>
      <c r="I220" t="s">
        <v>387</v>
      </c>
      <c r="K220">
        <v>1</v>
      </c>
      <c r="M220">
        <v>0</v>
      </c>
      <c r="N220">
        <v>68.81</v>
      </c>
      <c r="O220">
        <v>40</v>
      </c>
      <c r="P220">
        <v>41.286000000000001</v>
      </c>
    </row>
    <row r="221" spans="1:16">
      <c r="A221" t="s">
        <v>587</v>
      </c>
      <c r="B221" t="e">
        <f>-ATE.S4339</f>
        <v>#NAME?</v>
      </c>
      <c r="C221">
        <v>20100629</v>
      </c>
      <c r="D221">
        <v>20101004</v>
      </c>
      <c r="E221" t="s">
        <v>588</v>
      </c>
      <c r="G221" t="s">
        <v>589</v>
      </c>
      <c r="I221" t="s">
        <v>387</v>
      </c>
      <c r="K221">
        <v>1</v>
      </c>
      <c r="M221">
        <v>0</v>
      </c>
      <c r="N221">
        <v>118.71</v>
      </c>
      <c r="O221">
        <v>40</v>
      </c>
      <c r="P221">
        <v>71.225999999999999</v>
      </c>
    </row>
    <row r="222" spans="1:16">
      <c r="A222" t="s">
        <v>590</v>
      </c>
      <c r="B222" t="e">
        <f>-ATE.SKRB</f>
        <v>#NAME?</v>
      </c>
      <c r="C222">
        <v>20100629</v>
      </c>
      <c r="D222">
        <v>20101004</v>
      </c>
      <c r="E222" t="s">
        <v>81</v>
      </c>
      <c r="G222" t="s">
        <v>591</v>
      </c>
      <c r="I222" t="s">
        <v>387</v>
      </c>
      <c r="K222">
        <v>1</v>
      </c>
      <c r="M222">
        <v>0</v>
      </c>
      <c r="N222">
        <v>58.41</v>
      </c>
      <c r="O222">
        <v>40</v>
      </c>
      <c r="P222">
        <v>35.045999999999999</v>
      </c>
    </row>
    <row r="223" spans="1:16">
      <c r="A223" t="s">
        <v>592</v>
      </c>
      <c r="B223" t="e">
        <f>-ATE.TR154</f>
        <v>#NAME?</v>
      </c>
      <c r="C223">
        <v>20100629</v>
      </c>
      <c r="D223">
        <v>20101004</v>
      </c>
      <c r="E223" t="s">
        <v>191</v>
      </c>
      <c r="G223" t="s">
        <v>593</v>
      </c>
      <c r="I223" t="s">
        <v>387</v>
      </c>
      <c r="K223">
        <v>1</v>
      </c>
      <c r="M223">
        <v>0</v>
      </c>
      <c r="N223">
        <v>174.31</v>
      </c>
      <c r="O223">
        <v>40</v>
      </c>
      <c r="P223">
        <v>104.586</v>
      </c>
    </row>
    <row r="224" spans="1:16">
      <c r="A224" t="s">
        <v>594</v>
      </c>
      <c r="B224" t="e">
        <f>-ATE.ZA1</f>
        <v>#NAME?</v>
      </c>
      <c r="C224">
        <v>20100629</v>
      </c>
      <c r="D224">
        <v>20101004</v>
      </c>
      <c r="E224" t="s">
        <v>595</v>
      </c>
      <c r="G224" t="s">
        <v>596</v>
      </c>
      <c r="I224" t="s">
        <v>387</v>
      </c>
      <c r="K224">
        <v>1</v>
      </c>
      <c r="M224">
        <v>0</v>
      </c>
      <c r="N224">
        <v>434.66</v>
      </c>
      <c r="O224">
        <v>40</v>
      </c>
      <c r="P224">
        <v>260.79599999999999</v>
      </c>
    </row>
    <row r="225" spans="1:16">
      <c r="A225" t="s">
        <v>597</v>
      </c>
      <c r="B225" t="e">
        <f>-ATL.1000F17</f>
        <v>#NAME?</v>
      </c>
      <c r="C225">
        <v>20100629</v>
      </c>
      <c r="D225">
        <v>20101004</v>
      </c>
      <c r="E225" t="s">
        <v>598</v>
      </c>
      <c r="G225" t="s">
        <v>599</v>
      </c>
      <c r="I225" t="s">
        <v>418</v>
      </c>
      <c r="K225">
        <v>1</v>
      </c>
      <c r="M225">
        <v>0</v>
      </c>
      <c r="N225">
        <v>118.33</v>
      </c>
      <c r="O225">
        <v>40</v>
      </c>
      <c r="P225">
        <v>70.998000000000005</v>
      </c>
    </row>
    <row r="226" spans="1:16">
      <c r="A226" t="s">
        <v>600</v>
      </c>
      <c r="B226" t="e">
        <f>-ATL.1500F17</f>
        <v>#NAME?</v>
      </c>
      <c r="C226">
        <v>20100629</v>
      </c>
      <c r="D226">
        <v>20101004</v>
      </c>
      <c r="E226" t="s">
        <v>598</v>
      </c>
      <c r="G226" t="s">
        <v>601</v>
      </c>
      <c r="I226" t="s">
        <v>418</v>
      </c>
      <c r="K226">
        <v>1</v>
      </c>
      <c r="M226">
        <v>0</v>
      </c>
      <c r="N226">
        <v>129.05000000000001</v>
      </c>
      <c r="O226">
        <v>40</v>
      </c>
      <c r="P226">
        <v>77.430000000000007</v>
      </c>
    </row>
    <row r="227" spans="1:16">
      <c r="A227" t="s">
        <v>602</v>
      </c>
      <c r="B227" t="e">
        <f>-ATL.2000F17</f>
        <v>#NAME?</v>
      </c>
      <c r="C227">
        <v>20100629</v>
      </c>
      <c r="D227">
        <v>20101004</v>
      </c>
      <c r="E227" t="s">
        <v>598</v>
      </c>
      <c r="G227" t="s">
        <v>603</v>
      </c>
      <c r="I227" t="s">
        <v>418</v>
      </c>
      <c r="K227">
        <v>1</v>
      </c>
      <c r="M227">
        <v>0</v>
      </c>
      <c r="N227">
        <v>126.2</v>
      </c>
      <c r="O227">
        <v>40</v>
      </c>
      <c r="P227">
        <v>75.72</v>
      </c>
    </row>
    <row r="228" spans="1:16">
      <c r="A228" t="s">
        <v>604</v>
      </c>
      <c r="B228" t="e">
        <f>-BAC.060107</f>
        <v>#NAME?</v>
      </c>
      <c r="C228">
        <v>20100629</v>
      </c>
      <c r="D228">
        <v>20101004</v>
      </c>
      <c r="E228" t="s">
        <v>605</v>
      </c>
      <c r="G228" t="s">
        <v>606</v>
      </c>
      <c r="I228" t="s">
        <v>422</v>
      </c>
      <c r="K228">
        <v>1</v>
      </c>
      <c r="M228">
        <v>0</v>
      </c>
      <c r="N228">
        <v>104.13</v>
      </c>
      <c r="O228">
        <v>40</v>
      </c>
      <c r="P228">
        <v>62.478000000000002</v>
      </c>
    </row>
    <row r="229" spans="1:16">
      <c r="A229" t="s">
        <v>607</v>
      </c>
      <c r="B229" t="e">
        <f>-BAC.060907</f>
        <v>#NAME?</v>
      </c>
      <c r="C229">
        <v>20100629</v>
      </c>
      <c r="D229">
        <v>20101004</v>
      </c>
      <c r="E229" t="s">
        <v>605</v>
      </c>
      <c r="G229" t="s">
        <v>608</v>
      </c>
      <c r="I229" t="s">
        <v>422</v>
      </c>
      <c r="K229">
        <v>1</v>
      </c>
      <c r="M229">
        <v>0</v>
      </c>
      <c r="N229">
        <v>95.07</v>
      </c>
      <c r="O229">
        <v>40</v>
      </c>
      <c r="P229">
        <v>57.042000000000002</v>
      </c>
    </row>
    <row r="230" spans="1:16">
      <c r="A230" t="s">
        <v>609</v>
      </c>
      <c r="B230" t="e">
        <f>-BAC.063305</f>
        <v>#NAME?</v>
      </c>
      <c r="C230">
        <v>20100629</v>
      </c>
      <c r="D230">
        <v>20101004</v>
      </c>
      <c r="E230" t="s">
        <v>605</v>
      </c>
      <c r="G230" t="s">
        <v>610</v>
      </c>
      <c r="I230" t="s">
        <v>422</v>
      </c>
      <c r="K230">
        <v>1</v>
      </c>
      <c r="M230">
        <v>0</v>
      </c>
      <c r="N230">
        <v>158.47999999999999</v>
      </c>
      <c r="O230">
        <v>40</v>
      </c>
      <c r="P230">
        <v>95.087999999999994</v>
      </c>
    </row>
    <row r="231" spans="1:16">
      <c r="A231" t="s">
        <v>611</v>
      </c>
      <c r="B231" t="e">
        <f>-BAC.BACOTETRA</f>
        <v>#NAME?</v>
      </c>
      <c r="C231">
        <v>20100629</v>
      </c>
      <c r="D231">
        <v>20101004</v>
      </c>
      <c r="E231" t="s">
        <v>612</v>
      </c>
      <c r="G231" t="s">
        <v>613</v>
      </c>
      <c r="I231" t="s">
        <v>422</v>
      </c>
      <c r="K231">
        <v>1</v>
      </c>
      <c r="M231">
        <v>0</v>
      </c>
      <c r="N231">
        <v>176.59</v>
      </c>
      <c r="O231">
        <v>40</v>
      </c>
      <c r="P231">
        <v>105.95399999999999</v>
      </c>
    </row>
    <row r="232" spans="1:16">
      <c r="A232" t="s">
        <v>614</v>
      </c>
      <c r="B232" t="e">
        <f>-BAC.TETRA-SEL</f>
        <v>#NAME?</v>
      </c>
      <c r="C232">
        <v>20100629</v>
      </c>
      <c r="D232">
        <v>20101005</v>
      </c>
      <c r="E232" t="s">
        <v>615</v>
      </c>
      <c r="G232" t="s">
        <v>616</v>
      </c>
      <c r="I232" t="s">
        <v>422</v>
      </c>
      <c r="K232">
        <v>1</v>
      </c>
      <c r="M232">
        <v>0</v>
      </c>
      <c r="N232">
        <v>282.54000000000002</v>
      </c>
      <c r="O232">
        <v>40</v>
      </c>
      <c r="P232">
        <v>169.524</v>
      </c>
    </row>
    <row r="233" spans="1:16">
      <c r="A233" t="s">
        <v>617</v>
      </c>
      <c r="B233" t="e">
        <f>-BLD.003241</f>
        <v>#NAME?</v>
      </c>
      <c r="C233">
        <v>20100629</v>
      </c>
      <c r="D233">
        <v>20101015</v>
      </c>
      <c r="E233" t="s">
        <v>618</v>
      </c>
      <c r="G233" t="s">
        <v>619</v>
      </c>
      <c r="I233" t="s">
        <v>433</v>
      </c>
      <c r="K233">
        <v>1</v>
      </c>
      <c r="M233">
        <v>0</v>
      </c>
      <c r="N233">
        <v>4.8499999999999996</v>
      </c>
      <c r="O233">
        <v>40</v>
      </c>
      <c r="P233">
        <v>2.91</v>
      </c>
    </row>
    <row r="234" spans="1:16">
      <c r="A234" t="s">
        <v>620</v>
      </c>
      <c r="B234" t="e">
        <f>-BLD.010124</f>
        <v>#NAME?</v>
      </c>
      <c r="C234">
        <v>20100629</v>
      </c>
      <c r="D234">
        <v>20101015</v>
      </c>
      <c r="E234" t="s">
        <v>621</v>
      </c>
      <c r="G234" t="s">
        <v>622</v>
      </c>
      <c r="I234" t="s">
        <v>433</v>
      </c>
      <c r="K234">
        <v>1</v>
      </c>
      <c r="M234">
        <v>0</v>
      </c>
      <c r="N234">
        <v>2.0299999999999998</v>
      </c>
      <c r="O234">
        <v>40</v>
      </c>
      <c r="P234">
        <v>1.218</v>
      </c>
    </row>
    <row r="235" spans="1:16">
      <c r="A235" t="s">
        <v>623</v>
      </c>
      <c r="B235" t="e">
        <f>-BLD.016291</f>
        <v>#NAME?</v>
      </c>
      <c r="C235">
        <v>20100629</v>
      </c>
      <c r="D235">
        <v>20101015</v>
      </c>
      <c r="E235" t="s">
        <v>624</v>
      </c>
      <c r="G235" t="s">
        <v>625</v>
      </c>
      <c r="I235" t="s">
        <v>433</v>
      </c>
      <c r="K235">
        <v>1</v>
      </c>
      <c r="M235">
        <v>0</v>
      </c>
      <c r="N235">
        <v>3.94</v>
      </c>
      <c r="O235">
        <v>40</v>
      </c>
      <c r="P235">
        <v>2.3639999999999999</v>
      </c>
    </row>
    <row r="236" spans="1:16">
      <c r="A236" t="s">
        <v>626</v>
      </c>
      <c r="B236" t="e">
        <f>-BLD.02325</f>
        <v>#NAME?</v>
      </c>
      <c r="C236">
        <v>20100629</v>
      </c>
      <c r="D236">
        <v>20101015</v>
      </c>
      <c r="E236" t="s">
        <v>627</v>
      </c>
      <c r="G236" t="s">
        <v>628</v>
      </c>
      <c r="I236" t="s">
        <v>433</v>
      </c>
      <c r="K236">
        <v>1</v>
      </c>
      <c r="M236">
        <v>0</v>
      </c>
      <c r="N236">
        <v>4.68</v>
      </c>
      <c r="O236">
        <v>40</v>
      </c>
      <c r="P236">
        <v>2.8079999999999998</v>
      </c>
    </row>
    <row r="237" spans="1:16">
      <c r="A237" t="s">
        <v>629</v>
      </c>
      <c r="B237" t="e">
        <f>-BLD.02601</f>
        <v>#NAME?</v>
      </c>
      <c r="C237">
        <v>20100629</v>
      </c>
      <c r="D237">
        <v>20101015</v>
      </c>
      <c r="E237" t="s">
        <v>630</v>
      </c>
      <c r="G237" t="s">
        <v>631</v>
      </c>
      <c r="I237" t="s">
        <v>433</v>
      </c>
      <c r="K237">
        <v>1</v>
      </c>
      <c r="M237">
        <v>0</v>
      </c>
      <c r="N237">
        <v>29.74</v>
      </c>
      <c r="O237">
        <v>40</v>
      </c>
      <c r="P237">
        <v>17.844000000000001</v>
      </c>
    </row>
    <row r="238" spans="1:16">
      <c r="A238" t="s">
        <v>632</v>
      </c>
      <c r="B238" t="e">
        <f>-BLD.0653</f>
        <v>#NAME?</v>
      </c>
      <c r="C238">
        <v>20100629</v>
      </c>
      <c r="D238">
        <v>20101015</v>
      </c>
      <c r="E238" t="s">
        <v>633</v>
      </c>
      <c r="G238" t="s">
        <v>634</v>
      </c>
      <c r="I238" t="s">
        <v>433</v>
      </c>
      <c r="K238">
        <v>1</v>
      </c>
      <c r="M238">
        <v>0</v>
      </c>
      <c r="N238">
        <v>29.12</v>
      </c>
      <c r="O238">
        <v>40</v>
      </c>
      <c r="P238">
        <v>17.472000000000001</v>
      </c>
    </row>
    <row r="239" spans="1:16">
      <c r="A239" t="s">
        <v>635</v>
      </c>
      <c r="B239" t="e">
        <f>-BLD.10PTTGIG</f>
        <v>#NAME?</v>
      </c>
      <c r="C239">
        <v>20100629</v>
      </c>
      <c r="D239">
        <v>20101015</v>
      </c>
      <c r="E239" t="s">
        <v>153</v>
      </c>
      <c r="G239" t="s">
        <v>636</v>
      </c>
      <c r="I239" t="s">
        <v>433</v>
      </c>
      <c r="K239">
        <v>1</v>
      </c>
      <c r="M239">
        <v>0</v>
      </c>
      <c r="N239">
        <v>26.49</v>
      </c>
      <c r="O239">
        <v>40</v>
      </c>
      <c r="P239">
        <v>15.894</v>
      </c>
    </row>
    <row r="240" spans="1:16">
      <c r="A240" t="s">
        <v>637</v>
      </c>
      <c r="B240" t="e">
        <f>-BLD.1117</f>
        <v>#NAME?</v>
      </c>
      <c r="C240">
        <v>20100629</v>
      </c>
      <c r="D240">
        <v>20101015</v>
      </c>
      <c r="E240" t="s">
        <v>638</v>
      </c>
      <c r="G240" t="s">
        <v>639</v>
      </c>
      <c r="I240" t="s">
        <v>433</v>
      </c>
      <c r="K240">
        <v>1</v>
      </c>
      <c r="M240">
        <v>0</v>
      </c>
      <c r="N240">
        <v>18.13</v>
      </c>
      <c r="O240">
        <v>40</v>
      </c>
      <c r="P240">
        <v>10.878</v>
      </c>
    </row>
    <row r="241" spans="1:16">
      <c r="A241" t="s">
        <v>640</v>
      </c>
      <c r="B241" t="e">
        <f>-BLD.11173</f>
        <v>#NAME?</v>
      </c>
      <c r="C241">
        <v>20100629</v>
      </c>
      <c r="D241">
        <v>20101015</v>
      </c>
      <c r="E241" t="s">
        <v>630</v>
      </c>
      <c r="G241" t="s">
        <v>641</v>
      </c>
      <c r="I241" t="s">
        <v>433</v>
      </c>
      <c r="K241">
        <v>1</v>
      </c>
      <c r="M241">
        <v>0</v>
      </c>
      <c r="N241">
        <v>24.93</v>
      </c>
      <c r="O241">
        <v>40</v>
      </c>
      <c r="P241">
        <v>14.958</v>
      </c>
    </row>
    <row r="242" spans="1:16">
      <c r="A242" t="s">
        <v>642</v>
      </c>
      <c r="B242" t="e">
        <f>-BLD.11237</f>
        <v>#NAME?</v>
      </c>
      <c r="C242">
        <v>20100629</v>
      </c>
      <c r="D242">
        <v>20101015</v>
      </c>
      <c r="E242" t="s">
        <v>630</v>
      </c>
      <c r="G242" t="s">
        <v>643</v>
      </c>
      <c r="I242" t="s">
        <v>433</v>
      </c>
      <c r="K242">
        <v>1</v>
      </c>
      <c r="M242">
        <v>0</v>
      </c>
      <c r="N242">
        <v>31.48</v>
      </c>
      <c r="O242">
        <v>40</v>
      </c>
      <c r="P242">
        <v>18.888000000000002</v>
      </c>
    </row>
    <row r="243" spans="1:16">
      <c r="A243" t="s">
        <v>644</v>
      </c>
      <c r="B243" t="e">
        <f>-BLD.11641</f>
        <v>#NAME?</v>
      </c>
      <c r="C243">
        <v>20100629</v>
      </c>
      <c r="D243">
        <v>20101015</v>
      </c>
      <c r="E243" t="s">
        <v>645</v>
      </c>
      <c r="G243" t="s">
        <v>646</v>
      </c>
      <c r="I243" t="s">
        <v>433</v>
      </c>
      <c r="K243">
        <v>1</v>
      </c>
      <c r="M243">
        <v>0</v>
      </c>
      <c r="N243">
        <v>3.17</v>
      </c>
      <c r="O243">
        <v>40</v>
      </c>
      <c r="P243">
        <v>1.9019999999999999</v>
      </c>
    </row>
    <row r="244" spans="1:16">
      <c r="A244" t="s">
        <v>647</v>
      </c>
      <c r="B244" t="e">
        <f>-BLD.11705</f>
        <v>#NAME?</v>
      </c>
      <c r="C244">
        <v>20100629</v>
      </c>
      <c r="D244">
        <v>20101015</v>
      </c>
      <c r="E244" t="s">
        <v>648</v>
      </c>
      <c r="G244" t="s">
        <v>649</v>
      </c>
      <c r="I244" t="s">
        <v>433</v>
      </c>
      <c r="K244">
        <v>1</v>
      </c>
      <c r="M244">
        <v>0</v>
      </c>
      <c r="N244">
        <v>4.2300000000000004</v>
      </c>
      <c r="O244">
        <v>40</v>
      </c>
      <c r="P244">
        <v>2.5379999999999998</v>
      </c>
    </row>
    <row r="245" spans="1:16">
      <c r="A245" t="s">
        <v>650</v>
      </c>
      <c r="B245" t="e">
        <f>-BLD.12126</f>
        <v>#NAME?</v>
      </c>
      <c r="C245">
        <v>20100629</v>
      </c>
      <c r="D245">
        <v>20101015</v>
      </c>
      <c r="E245" t="s">
        <v>514</v>
      </c>
      <c r="G245" t="s">
        <v>651</v>
      </c>
      <c r="I245" t="s">
        <v>433</v>
      </c>
      <c r="K245">
        <v>1</v>
      </c>
      <c r="M245">
        <v>0</v>
      </c>
      <c r="N245">
        <v>7.11</v>
      </c>
      <c r="O245">
        <v>40</v>
      </c>
      <c r="P245">
        <v>4.266</v>
      </c>
    </row>
    <row r="246" spans="1:16">
      <c r="A246" t="s">
        <v>652</v>
      </c>
      <c r="B246" t="e">
        <f>-BLD.12128</f>
        <v>#NAME?</v>
      </c>
      <c r="C246">
        <v>20100629</v>
      </c>
      <c r="D246">
        <v>20101015</v>
      </c>
      <c r="E246" t="s">
        <v>653</v>
      </c>
      <c r="G246" t="s">
        <v>654</v>
      </c>
      <c r="I246" t="s">
        <v>433</v>
      </c>
      <c r="K246">
        <v>1</v>
      </c>
      <c r="M246">
        <v>0</v>
      </c>
      <c r="N246">
        <v>7.79</v>
      </c>
      <c r="O246">
        <v>40</v>
      </c>
      <c r="P246">
        <v>4.6740000000000004</v>
      </c>
    </row>
    <row r="247" spans="1:16">
      <c r="A247" t="s">
        <v>655</v>
      </c>
      <c r="B247" t="e">
        <f>-BLD.12315</f>
        <v>#NAME?</v>
      </c>
      <c r="C247">
        <v>20100629</v>
      </c>
      <c r="D247">
        <v>20101015</v>
      </c>
      <c r="E247" t="s">
        <v>656</v>
      </c>
      <c r="G247" t="s">
        <v>657</v>
      </c>
      <c r="I247" t="s">
        <v>433</v>
      </c>
      <c r="K247">
        <v>1</v>
      </c>
      <c r="M247">
        <v>0</v>
      </c>
      <c r="N247">
        <v>0.62</v>
      </c>
      <c r="O247">
        <v>40</v>
      </c>
      <c r="P247">
        <v>0.372</v>
      </c>
    </row>
    <row r="248" spans="1:16">
      <c r="A248" t="s">
        <v>658</v>
      </c>
      <c r="B248" t="e">
        <f>-BLD.12491</f>
        <v>#NAME?</v>
      </c>
      <c r="C248">
        <v>20100629</v>
      </c>
      <c r="D248">
        <v>20101015</v>
      </c>
      <c r="E248" t="s">
        <v>514</v>
      </c>
      <c r="G248" t="s">
        <v>659</v>
      </c>
      <c r="I248" t="s">
        <v>433</v>
      </c>
      <c r="K248">
        <v>1</v>
      </c>
      <c r="M248">
        <v>0</v>
      </c>
      <c r="N248">
        <v>6.93</v>
      </c>
      <c r="O248">
        <v>40</v>
      </c>
      <c r="P248">
        <v>4.1580000000000004</v>
      </c>
    </row>
    <row r="249" spans="1:16">
      <c r="A249" t="s">
        <v>660</v>
      </c>
      <c r="B249" t="e">
        <f>-BLD.12515</f>
        <v>#NAME?</v>
      </c>
      <c r="C249">
        <v>20100629</v>
      </c>
      <c r="D249">
        <v>20101015</v>
      </c>
      <c r="E249" t="s">
        <v>661</v>
      </c>
      <c r="G249" t="s">
        <v>662</v>
      </c>
      <c r="I249" t="s">
        <v>433</v>
      </c>
      <c r="K249">
        <v>1</v>
      </c>
      <c r="M249">
        <v>0</v>
      </c>
      <c r="N249">
        <v>8.01</v>
      </c>
      <c r="O249">
        <v>40</v>
      </c>
      <c r="P249">
        <v>4.806</v>
      </c>
    </row>
    <row r="250" spans="1:16">
      <c r="A250" t="s">
        <v>663</v>
      </c>
      <c r="B250" t="e">
        <f>-BLD.15561</f>
        <v>#NAME?</v>
      </c>
      <c r="C250">
        <v>20100629</v>
      </c>
      <c r="D250">
        <v>20101015</v>
      </c>
      <c r="E250" t="s">
        <v>664</v>
      </c>
      <c r="G250" t="s">
        <v>665</v>
      </c>
      <c r="I250" t="s">
        <v>433</v>
      </c>
      <c r="K250">
        <v>1</v>
      </c>
      <c r="M250">
        <v>0</v>
      </c>
      <c r="N250">
        <v>3.27</v>
      </c>
      <c r="O250">
        <v>40</v>
      </c>
      <c r="P250">
        <v>1.962</v>
      </c>
    </row>
    <row r="251" spans="1:16">
      <c r="A251" t="s">
        <v>666</v>
      </c>
      <c r="B251" t="e">
        <f>-BLD.20262</f>
        <v>#NAME?</v>
      </c>
      <c r="C251">
        <v>20100629</v>
      </c>
      <c r="D251">
        <v>20101015</v>
      </c>
      <c r="E251" t="s">
        <v>667</v>
      </c>
      <c r="G251" t="s">
        <v>668</v>
      </c>
      <c r="I251" t="s">
        <v>433</v>
      </c>
      <c r="K251">
        <v>1</v>
      </c>
      <c r="M251">
        <v>0</v>
      </c>
      <c r="N251">
        <v>1.0900000000000001</v>
      </c>
      <c r="O251">
        <v>40</v>
      </c>
      <c r="P251">
        <v>0.65400000000000003</v>
      </c>
    </row>
    <row r="252" spans="1:16">
      <c r="A252" t="s">
        <v>669</v>
      </c>
      <c r="B252" t="e">
        <f>-BLD.20881</f>
        <v>#NAME?</v>
      </c>
      <c r="C252">
        <v>20100629</v>
      </c>
      <c r="D252">
        <v>20101015</v>
      </c>
      <c r="E252" t="s">
        <v>346</v>
      </c>
      <c r="G252" t="s">
        <v>670</v>
      </c>
      <c r="I252" t="s">
        <v>433</v>
      </c>
      <c r="K252">
        <v>1</v>
      </c>
      <c r="M252">
        <v>0</v>
      </c>
      <c r="N252">
        <v>37.07</v>
      </c>
      <c r="O252">
        <v>40</v>
      </c>
      <c r="P252">
        <v>22.242000000000001</v>
      </c>
    </row>
    <row r="253" spans="1:16">
      <c r="A253" t="s">
        <v>671</v>
      </c>
      <c r="B253" t="e">
        <f>-BLD.213181</f>
        <v>#NAME?</v>
      </c>
      <c r="C253">
        <v>20100629</v>
      </c>
      <c r="D253">
        <v>20101015</v>
      </c>
      <c r="E253" t="s">
        <v>672</v>
      </c>
      <c r="G253" t="s">
        <v>673</v>
      </c>
      <c r="I253" t="s">
        <v>433</v>
      </c>
      <c r="K253">
        <v>1</v>
      </c>
      <c r="M253">
        <v>0</v>
      </c>
      <c r="N253">
        <v>3.23</v>
      </c>
      <c r="O253">
        <v>40</v>
      </c>
      <c r="P253">
        <v>1.9379999999999999</v>
      </c>
    </row>
    <row r="254" spans="1:16">
      <c r="A254" t="s">
        <v>674</v>
      </c>
      <c r="B254" t="e">
        <f>-BLD.213281</f>
        <v>#NAME?</v>
      </c>
      <c r="C254">
        <v>20100629</v>
      </c>
      <c r="D254">
        <v>20101015</v>
      </c>
      <c r="E254" t="s">
        <v>672</v>
      </c>
      <c r="G254" t="s">
        <v>675</v>
      </c>
      <c r="I254" t="s">
        <v>433</v>
      </c>
      <c r="K254">
        <v>1</v>
      </c>
      <c r="M254">
        <v>0</v>
      </c>
      <c r="N254">
        <v>3.23</v>
      </c>
      <c r="O254">
        <v>40</v>
      </c>
      <c r="P254">
        <v>1.9379999999999999</v>
      </c>
    </row>
    <row r="255" spans="1:16">
      <c r="A255" t="s">
        <v>676</v>
      </c>
      <c r="B255" t="e">
        <f>-BLD.213283</f>
        <v>#NAME?</v>
      </c>
      <c r="C255">
        <v>20100629</v>
      </c>
      <c r="D255">
        <v>20101015</v>
      </c>
      <c r="E255" t="s">
        <v>672</v>
      </c>
      <c r="G255" t="s">
        <v>677</v>
      </c>
      <c r="I255" t="s">
        <v>433</v>
      </c>
      <c r="K255">
        <v>1</v>
      </c>
      <c r="M255">
        <v>0</v>
      </c>
      <c r="N255">
        <v>3.29</v>
      </c>
      <c r="O255">
        <v>40</v>
      </c>
      <c r="P255">
        <v>1.974</v>
      </c>
    </row>
    <row r="256" spans="1:16">
      <c r="A256" t="s">
        <v>678</v>
      </c>
      <c r="B256" t="e">
        <f>-BLD.213287</f>
        <v>#NAME?</v>
      </c>
      <c r="C256">
        <v>20100629</v>
      </c>
      <c r="D256">
        <v>20101015</v>
      </c>
      <c r="E256" t="s">
        <v>672</v>
      </c>
      <c r="G256" t="s">
        <v>679</v>
      </c>
      <c r="I256" t="s">
        <v>433</v>
      </c>
      <c r="K256">
        <v>1</v>
      </c>
      <c r="M256">
        <v>0</v>
      </c>
      <c r="N256">
        <v>3.29</v>
      </c>
      <c r="O256">
        <v>40</v>
      </c>
      <c r="P256">
        <v>1.974</v>
      </c>
    </row>
    <row r="257" spans="1:16">
      <c r="A257" t="s">
        <v>680</v>
      </c>
      <c r="B257" t="e">
        <f>-BLD.214431</f>
        <v>#NAME?</v>
      </c>
      <c r="C257">
        <v>20100629</v>
      </c>
      <c r="D257">
        <v>20101015</v>
      </c>
      <c r="E257" t="s">
        <v>681</v>
      </c>
      <c r="G257" t="s">
        <v>682</v>
      </c>
      <c r="I257" t="s">
        <v>433</v>
      </c>
      <c r="K257">
        <v>1</v>
      </c>
      <c r="M257">
        <v>0</v>
      </c>
      <c r="N257">
        <v>0.34</v>
      </c>
      <c r="O257">
        <v>40</v>
      </c>
      <c r="P257">
        <v>0.20399999999999999</v>
      </c>
    </row>
    <row r="258" spans="1:16">
      <c r="A258" t="s">
        <v>683</v>
      </c>
      <c r="B258" t="e">
        <f>-BLD.21471</f>
        <v>#NAME?</v>
      </c>
      <c r="C258">
        <v>20100629</v>
      </c>
      <c r="D258">
        <v>20101015</v>
      </c>
      <c r="E258" t="s">
        <v>667</v>
      </c>
      <c r="G258" t="s">
        <v>684</v>
      </c>
      <c r="I258" t="s">
        <v>433</v>
      </c>
      <c r="K258">
        <v>1</v>
      </c>
      <c r="M258">
        <v>0</v>
      </c>
      <c r="N258">
        <v>6.8</v>
      </c>
      <c r="O258">
        <v>40</v>
      </c>
      <c r="P258">
        <v>4.08</v>
      </c>
    </row>
    <row r="259" spans="1:16">
      <c r="A259" t="s">
        <v>685</v>
      </c>
      <c r="B259" t="e">
        <f>-BLD.231975</f>
        <v>#NAME?</v>
      </c>
      <c r="C259">
        <v>20100629</v>
      </c>
      <c r="D259">
        <v>20101015</v>
      </c>
      <c r="E259" t="s">
        <v>686</v>
      </c>
      <c r="G259" t="s">
        <v>687</v>
      </c>
      <c r="I259" t="s">
        <v>433</v>
      </c>
      <c r="K259">
        <v>1</v>
      </c>
      <c r="M259">
        <v>0</v>
      </c>
      <c r="N259">
        <v>1.17</v>
      </c>
      <c r="O259">
        <v>40</v>
      </c>
      <c r="P259">
        <v>0.70199999999999996</v>
      </c>
    </row>
    <row r="260" spans="1:16">
      <c r="A260" t="s">
        <v>688</v>
      </c>
      <c r="B260" t="e">
        <f>-BLD.2600052S</f>
        <v>#NAME?</v>
      </c>
      <c r="C260">
        <v>20100629</v>
      </c>
      <c r="D260">
        <v>20101015</v>
      </c>
      <c r="E260" t="s">
        <v>319</v>
      </c>
      <c r="G260" t="s">
        <v>689</v>
      </c>
      <c r="I260" t="s">
        <v>433</v>
      </c>
      <c r="K260">
        <v>1</v>
      </c>
      <c r="M260">
        <v>0</v>
      </c>
      <c r="N260">
        <v>22.29</v>
      </c>
      <c r="O260">
        <v>40</v>
      </c>
      <c r="P260">
        <v>13.374000000000001</v>
      </c>
    </row>
    <row r="261" spans="1:16">
      <c r="A261" t="s">
        <v>690</v>
      </c>
      <c r="B261" t="e">
        <f>-BLD.2600058Z</f>
        <v>#NAME?</v>
      </c>
      <c r="C261">
        <v>20100629</v>
      </c>
      <c r="D261">
        <v>20101015</v>
      </c>
      <c r="E261" t="s">
        <v>691</v>
      </c>
      <c r="G261" t="s">
        <v>692</v>
      </c>
      <c r="I261" t="s">
        <v>433</v>
      </c>
      <c r="K261">
        <v>1</v>
      </c>
      <c r="M261">
        <v>0</v>
      </c>
      <c r="N261">
        <v>23.63</v>
      </c>
      <c r="O261">
        <v>40</v>
      </c>
      <c r="P261">
        <v>14.178000000000001</v>
      </c>
    </row>
    <row r="262" spans="1:16">
      <c r="A262" t="s">
        <v>693</v>
      </c>
      <c r="B262" t="e">
        <f>-BLD.010151</f>
        <v>#NAME?</v>
      </c>
      <c r="C262">
        <v>20100629</v>
      </c>
      <c r="D262">
        <v>20101015</v>
      </c>
      <c r="E262" t="s">
        <v>624</v>
      </c>
      <c r="G262" t="s">
        <v>694</v>
      </c>
      <c r="I262" t="s">
        <v>433</v>
      </c>
      <c r="K262">
        <v>1</v>
      </c>
      <c r="M262">
        <v>0</v>
      </c>
      <c r="N262">
        <v>2.34</v>
      </c>
      <c r="O262">
        <v>40</v>
      </c>
      <c r="P262">
        <v>1.4039999999999999</v>
      </c>
    </row>
    <row r="263" spans="1:16">
      <c r="A263" t="s">
        <v>695</v>
      </c>
      <c r="B263" t="e">
        <f>-BLD.016030</f>
        <v>#NAME?</v>
      </c>
      <c r="C263">
        <v>20100629</v>
      </c>
      <c r="D263">
        <v>20101015</v>
      </c>
      <c r="E263" t="s">
        <v>624</v>
      </c>
      <c r="G263" t="s">
        <v>696</v>
      </c>
      <c r="I263" t="s">
        <v>433</v>
      </c>
      <c r="K263">
        <v>1</v>
      </c>
      <c r="M263">
        <v>0</v>
      </c>
      <c r="N263">
        <v>6.55</v>
      </c>
      <c r="O263">
        <v>40</v>
      </c>
      <c r="P263">
        <v>3.93</v>
      </c>
    </row>
    <row r="264" spans="1:16">
      <c r="A264" t="s">
        <v>697</v>
      </c>
      <c r="B264" t="e">
        <f>-BLD.02323</f>
        <v>#NAME?</v>
      </c>
      <c r="C264">
        <v>20100629</v>
      </c>
      <c r="D264">
        <v>20101015</v>
      </c>
      <c r="E264" t="s">
        <v>698</v>
      </c>
      <c r="G264" t="s">
        <v>699</v>
      </c>
      <c r="I264" t="s">
        <v>433</v>
      </c>
      <c r="K264">
        <v>1</v>
      </c>
      <c r="M264">
        <v>0</v>
      </c>
      <c r="N264">
        <v>4.68</v>
      </c>
      <c r="O264">
        <v>40</v>
      </c>
      <c r="P264">
        <v>2.8079999999999998</v>
      </c>
    </row>
    <row r="265" spans="1:16">
      <c r="A265" t="s">
        <v>700</v>
      </c>
      <c r="B265" t="e">
        <f>-BLD.026</f>
        <v>#NAME?</v>
      </c>
      <c r="C265">
        <v>20100629</v>
      </c>
      <c r="D265">
        <v>20101015</v>
      </c>
      <c r="E265" t="s">
        <v>701</v>
      </c>
      <c r="G265" t="s">
        <v>702</v>
      </c>
      <c r="I265" t="s">
        <v>433</v>
      </c>
      <c r="K265">
        <v>1</v>
      </c>
      <c r="M265">
        <v>0</v>
      </c>
      <c r="N265">
        <v>33.1</v>
      </c>
      <c r="O265">
        <v>40</v>
      </c>
      <c r="P265">
        <v>19.86</v>
      </c>
    </row>
    <row r="266" spans="1:16">
      <c r="A266" t="s">
        <v>703</v>
      </c>
      <c r="B266" t="e">
        <f>-BLD.026110</f>
        <v>#NAME?</v>
      </c>
      <c r="C266">
        <v>20100629</v>
      </c>
      <c r="D266">
        <v>20101015</v>
      </c>
      <c r="E266" t="s">
        <v>704</v>
      </c>
      <c r="G266" t="s">
        <v>705</v>
      </c>
      <c r="I266" t="s">
        <v>433</v>
      </c>
      <c r="K266">
        <v>1</v>
      </c>
      <c r="M266">
        <v>0</v>
      </c>
      <c r="N266">
        <v>4.7300000000000004</v>
      </c>
      <c r="O266">
        <v>40</v>
      </c>
      <c r="P266">
        <v>2.8380000000000001</v>
      </c>
    </row>
    <row r="267" spans="1:16">
      <c r="A267" t="s">
        <v>706</v>
      </c>
      <c r="B267" t="e">
        <f>-BLD.026511</f>
        <v>#NAME?</v>
      </c>
      <c r="C267">
        <v>20100629</v>
      </c>
      <c r="D267">
        <v>20101015</v>
      </c>
      <c r="E267" t="s">
        <v>707</v>
      </c>
      <c r="G267" t="s">
        <v>708</v>
      </c>
      <c r="I267" t="s">
        <v>433</v>
      </c>
      <c r="K267">
        <v>1</v>
      </c>
      <c r="M267">
        <v>0</v>
      </c>
      <c r="N267">
        <v>4.32</v>
      </c>
      <c r="O267">
        <v>40</v>
      </c>
      <c r="P267">
        <v>2.5920000000000001</v>
      </c>
    </row>
    <row r="268" spans="1:16">
      <c r="A268" t="s">
        <v>709</v>
      </c>
      <c r="B268" t="e">
        <f>-BLD.10142</f>
        <v>#NAME?</v>
      </c>
      <c r="C268">
        <v>20100629</v>
      </c>
      <c r="D268">
        <v>20101015</v>
      </c>
      <c r="E268" t="s">
        <v>514</v>
      </c>
      <c r="G268" t="s">
        <v>710</v>
      </c>
      <c r="I268" t="s">
        <v>433</v>
      </c>
      <c r="K268">
        <v>1</v>
      </c>
      <c r="M268">
        <v>0</v>
      </c>
      <c r="N268">
        <v>10.72</v>
      </c>
      <c r="O268">
        <v>40</v>
      </c>
      <c r="P268">
        <v>6.4320000000000004</v>
      </c>
    </row>
    <row r="269" spans="1:16">
      <c r="A269" t="s">
        <v>711</v>
      </c>
      <c r="B269" t="e">
        <f>-BLD.10234</f>
        <v>#NAME?</v>
      </c>
      <c r="C269">
        <v>20100629</v>
      </c>
      <c r="D269">
        <v>20101015</v>
      </c>
      <c r="E269" t="s">
        <v>712</v>
      </c>
      <c r="G269" t="s">
        <v>713</v>
      </c>
      <c r="I269" t="s">
        <v>433</v>
      </c>
      <c r="K269">
        <v>1</v>
      </c>
      <c r="M269">
        <v>0</v>
      </c>
      <c r="N269">
        <v>9.41</v>
      </c>
      <c r="O269">
        <v>40</v>
      </c>
      <c r="P269">
        <v>5.6459999999999999</v>
      </c>
    </row>
    <row r="270" spans="1:16">
      <c r="A270" t="s">
        <v>714</v>
      </c>
      <c r="B270" t="e">
        <f>-BLD.10M2P+T</f>
        <v>#NAME?</v>
      </c>
      <c r="C270">
        <v>20100629</v>
      </c>
      <c r="D270">
        <v>20101015</v>
      </c>
      <c r="E270" t="s">
        <v>153</v>
      </c>
      <c r="G270" t="s">
        <v>715</v>
      </c>
      <c r="I270" t="s">
        <v>433</v>
      </c>
      <c r="K270">
        <v>1</v>
      </c>
      <c r="M270">
        <v>0</v>
      </c>
      <c r="N270">
        <v>23.17</v>
      </c>
      <c r="O270">
        <v>40</v>
      </c>
      <c r="P270">
        <v>13.901999999999999</v>
      </c>
    </row>
    <row r="271" spans="1:16">
      <c r="A271" t="s">
        <v>716</v>
      </c>
      <c r="B271" t="e">
        <f>-BLD.10MPTT</f>
        <v>#NAME?</v>
      </c>
      <c r="C271">
        <v>20100629</v>
      </c>
      <c r="D271">
        <v>20101015</v>
      </c>
      <c r="E271" t="s">
        <v>153</v>
      </c>
      <c r="G271" t="s">
        <v>717</v>
      </c>
      <c r="I271" t="s">
        <v>433</v>
      </c>
      <c r="K271">
        <v>1</v>
      </c>
      <c r="M271">
        <v>0</v>
      </c>
      <c r="N271">
        <v>11.7</v>
      </c>
      <c r="O271">
        <v>40</v>
      </c>
      <c r="P271">
        <v>7.02</v>
      </c>
    </row>
    <row r="272" spans="1:16">
      <c r="A272" t="s">
        <v>718</v>
      </c>
      <c r="B272" t="e">
        <f>-BLD.10MTV</f>
        <v>#NAME?</v>
      </c>
      <c r="C272">
        <v>20100629</v>
      </c>
      <c r="D272">
        <v>20101015</v>
      </c>
      <c r="E272" t="s">
        <v>153</v>
      </c>
      <c r="G272" t="s">
        <v>719</v>
      </c>
      <c r="I272" t="s">
        <v>433</v>
      </c>
      <c r="K272">
        <v>1</v>
      </c>
      <c r="M272">
        <v>0</v>
      </c>
      <c r="N272">
        <v>13.15</v>
      </c>
      <c r="O272">
        <v>40</v>
      </c>
      <c r="P272">
        <v>7.89</v>
      </c>
    </row>
    <row r="273" spans="1:16">
      <c r="A273" t="s">
        <v>720</v>
      </c>
      <c r="B273" t="e">
        <f>-BLD.11108NOIR</f>
        <v>#NAME?</v>
      </c>
      <c r="C273">
        <v>20100629</v>
      </c>
      <c r="D273">
        <v>20101015</v>
      </c>
      <c r="E273" t="s">
        <v>630</v>
      </c>
      <c r="G273" t="s">
        <v>721</v>
      </c>
      <c r="I273" t="s">
        <v>433</v>
      </c>
      <c r="K273">
        <v>1</v>
      </c>
      <c r="M273">
        <v>0</v>
      </c>
      <c r="N273">
        <v>9.41</v>
      </c>
      <c r="O273">
        <v>40</v>
      </c>
      <c r="P273">
        <v>5.6459999999999999</v>
      </c>
    </row>
    <row r="274" spans="1:16">
      <c r="A274" t="s">
        <v>722</v>
      </c>
      <c r="B274" t="e">
        <f>-BLD.11157</f>
        <v>#NAME?</v>
      </c>
      <c r="C274">
        <v>20100629</v>
      </c>
      <c r="D274">
        <v>20101015</v>
      </c>
      <c r="E274" t="s">
        <v>723</v>
      </c>
      <c r="G274" t="s">
        <v>724</v>
      </c>
      <c r="I274" t="s">
        <v>433</v>
      </c>
      <c r="K274">
        <v>1</v>
      </c>
      <c r="M274">
        <v>0</v>
      </c>
      <c r="N274">
        <v>9.41</v>
      </c>
      <c r="O274">
        <v>40</v>
      </c>
      <c r="P274">
        <v>5.6459999999999999</v>
      </c>
    </row>
    <row r="275" spans="1:16">
      <c r="A275" t="s">
        <v>725</v>
      </c>
      <c r="B275" t="e">
        <f>-BLD.11704</f>
        <v>#NAME?</v>
      </c>
      <c r="C275">
        <v>20100629</v>
      </c>
      <c r="D275">
        <v>20101015</v>
      </c>
      <c r="E275" t="s">
        <v>645</v>
      </c>
      <c r="G275" t="s">
        <v>726</v>
      </c>
      <c r="I275" t="s">
        <v>433</v>
      </c>
      <c r="K275">
        <v>1</v>
      </c>
      <c r="M275">
        <v>0</v>
      </c>
      <c r="N275">
        <v>3.29</v>
      </c>
      <c r="O275">
        <v>40</v>
      </c>
      <c r="P275">
        <v>1.974</v>
      </c>
    </row>
    <row r="276" spans="1:16">
      <c r="A276" t="s">
        <v>727</v>
      </c>
      <c r="B276" t="e">
        <f>-BLD.11724</f>
        <v>#NAME?</v>
      </c>
      <c r="C276">
        <v>20100629</v>
      </c>
      <c r="D276">
        <v>20101015</v>
      </c>
      <c r="E276" t="s">
        <v>728</v>
      </c>
      <c r="G276" t="s">
        <v>729</v>
      </c>
      <c r="I276" t="s">
        <v>433</v>
      </c>
      <c r="K276">
        <v>1</v>
      </c>
      <c r="M276">
        <v>0</v>
      </c>
      <c r="N276">
        <v>4.54</v>
      </c>
      <c r="O276">
        <v>40</v>
      </c>
      <c r="P276">
        <v>2.7240000000000002</v>
      </c>
    </row>
    <row r="277" spans="1:16">
      <c r="A277" t="s">
        <v>730</v>
      </c>
      <c r="B277" t="e">
        <f>-BLD.11735</f>
        <v>#NAME?</v>
      </c>
      <c r="C277">
        <v>20100629</v>
      </c>
      <c r="D277">
        <v>20101015</v>
      </c>
      <c r="E277" t="s">
        <v>645</v>
      </c>
      <c r="G277" t="s">
        <v>731</v>
      </c>
      <c r="I277" t="s">
        <v>433</v>
      </c>
      <c r="K277">
        <v>1</v>
      </c>
      <c r="M277">
        <v>0</v>
      </c>
      <c r="N277">
        <v>8.1</v>
      </c>
      <c r="O277">
        <v>40</v>
      </c>
      <c r="P277">
        <v>4.8600000000000003</v>
      </c>
    </row>
    <row r="278" spans="1:16">
      <c r="A278" t="s">
        <v>732</v>
      </c>
      <c r="B278" t="e">
        <f>-BLD.119901</f>
        <v>#NAME?</v>
      </c>
      <c r="C278">
        <v>20100629</v>
      </c>
      <c r="D278">
        <v>20101015</v>
      </c>
      <c r="E278" t="s">
        <v>733</v>
      </c>
      <c r="G278" t="s">
        <v>734</v>
      </c>
      <c r="I278" t="s">
        <v>433</v>
      </c>
      <c r="K278">
        <v>1</v>
      </c>
      <c r="M278">
        <v>0</v>
      </c>
      <c r="N278">
        <v>23.31</v>
      </c>
      <c r="O278">
        <v>40</v>
      </c>
      <c r="P278">
        <v>13.986000000000001</v>
      </c>
    </row>
    <row r="279" spans="1:16">
      <c r="A279" t="s">
        <v>735</v>
      </c>
      <c r="B279" t="e">
        <f>-BLD.11WE27</f>
        <v>#NAME?</v>
      </c>
      <c r="C279">
        <v>20100629</v>
      </c>
      <c r="D279">
        <v>20101015</v>
      </c>
      <c r="E279" t="s">
        <v>736</v>
      </c>
      <c r="G279" t="s">
        <v>737</v>
      </c>
      <c r="I279" t="s">
        <v>433</v>
      </c>
      <c r="K279">
        <v>1</v>
      </c>
      <c r="M279">
        <v>0</v>
      </c>
      <c r="N279">
        <v>20.71</v>
      </c>
      <c r="O279">
        <v>40</v>
      </c>
      <c r="P279">
        <v>12.426</v>
      </c>
    </row>
    <row r="280" spans="1:16">
      <c r="A280" t="s">
        <v>738</v>
      </c>
      <c r="B280" t="e">
        <f>-BLD.12/2</f>
        <v>#NAME?</v>
      </c>
      <c r="C280">
        <v>20100629</v>
      </c>
      <c r="D280">
        <v>20101015</v>
      </c>
      <c r="E280" t="s">
        <v>381</v>
      </c>
      <c r="G280" t="s">
        <v>739</v>
      </c>
      <c r="I280" t="s">
        <v>433</v>
      </c>
      <c r="K280">
        <v>1</v>
      </c>
      <c r="M280">
        <v>0</v>
      </c>
      <c r="N280">
        <v>13.2</v>
      </c>
      <c r="O280">
        <v>40</v>
      </c>
      <c r="P280">
        <v>7.92</v>
      </c>
    </row>
    <row r="281" spans="1:16">
      <c r="A281" t="s">
        <v>740</v>
      </c>
      <c r="B281" t="e">
        <f>-BLD.12502</f>
        <v>#NAME?</v>
      </c>
      <c r="C281">
        <v>20100629</v>
      </c>
      <c r="D281">
        <v>20101015</v>
      </c>
      <c r="E281" t="s">
        <v>661</v>
      </c>
      <c r="G281" t="s">
        <v>741</v>
      </c>
      <c r="I281" t="s">
        <v>433</v>
      </c>
      <c r="K281">
        <v>1</v>
      </c>
      <c r="M281">
        <v>0</v>
      </c>
      <c r="N281">
        <v>5.62</v>
      </c>
      <c r="O281">
        <v>40</v>
      </c>
      <c r="P281">
        <v>3.3719999999999999</v>
      </c>
    </row>
    <row r="282" spans="1:16">
      <c r="A282" t="s">
        <v>742</v>
      </c>
      <c r="B282" t="e">
        <f>-BLD.1417</f>
        <v>#NAME?</v>
      </c>
      <c r="C282">
        <v>20100629</v>
      </c>
      <c r="D282">
        <v>20101015</v>
      </c>
      <c r="E282" t="s">
        <v>743</v>
      </c>
      <c r="G282" t="s">
        <v>744</v>
      </c>
      <c r="I282" t="s">
        <v>433</v>
      </c>
      <c r="K282">
        <v>1</v>
      </c>
      <c r="M282">
        <v>0</v>
      </c>
      <c r="N282">
        <v>7.55</v>
      </c>
      <c r="O282">
        <v>40</v>
      </c>
      <c r="P282">
        <v>4.53</v>
      </c>
    </row>
    <row r="283" spans="1:16">
      <c r="A283" t="s">
        <v>745</v>
      </c>
      <c r="B283" t="e">
        <f>-BLD.19201A</f>
        <v>#NAME?</v>
      </c>
      <c r="C283">
        <v>20100629</v>
      </c>
      <c r="D283">
        <v>20101015</v>
      </c>
      <c r="E283" t="s">
        <v>746</v>
      </c>
      <c r="G283" t="s">
        <v>747</v>
      </c>
      <c r="I283" t="s">
        <v>433</v>
      </c>
      <c r="K283">
        <v>1</v>
      </c>
      <c r="M283">
        <v>0</v>
      </c>
      <c r="N283">
        <v>6.06</v>
      </c>
      <c r="O283">
        <v>40</v>
      </c>
      <c r="P283">
        <v>3.6360000000000001</v>
      </c>
    </row>
    <row r="284" spans="1:16">
      <c r="A284" t="s">
        <v>748</v>
      </c>
      <c r="B284" t="e">
        <f>-BLD.201036</f>
        <v>#NAME?</v>
      </c>
      <c r="C284">
        <v>20100629</v>
      </c>
      <c r="D284">
        <v>20101015</v>
      </c>
      <c r="E284" t="s">
        <v>749</v>
      </c>
      <c r="G284" t="s">
        <v>750</v>
      </c>
      <c r="I284" t="s">
        <v>433</v>
      </c>
      <c r="K284">
        <v>1</v>
      </c>
      <c r="M284">
        <v>0</v>
      </c>
      <c r="N284">
        <v>3.08</v>
      </c>
      <c r="O284">
        <v>40</v>
      </c>
      <c r="P284">
        <v>1.8480000000000001</v>
      </c>
    </row>
    <row r="285" spans="1:16">
      <c r="A285" t="s">
        <v>751</v>
      </c>
      <c r="B285" t="e">
        <f>-BLD.214433</f>
        <v>#NAME?</v>
      </c>
      <c r="C285">
        <v>20100629</v>
      </c>
      <c r="D285">
        <v>20101015</v>
      </c>
      <c r="E285" t="s">
        <v>681</v>
      </c>
      <c r="G285" t="s">
        <v>752</v>
      </c>
      <c r="I285" t="s">
        <v>433</v>
      </c>
      <c r="K285">
        <v>1</v>
      </c>
      <c r="M285">
        <v>0</v>
      </c>
      <c r="N285">
        <v>0.38</v>
      </c>
      <c r="O285">
        <v>40</v>
      </c>
      <c r="P285">
        <v>0.22800000000000001</v>
      </c>
    </row>
    <row r="286" spans="1:16">
      <c r="A286" t="s">
        <v>753</v>
      </c>
      <c r="B286" t="e">
        <f>-BLD.214437</f>
        <v>#NAME?</v>
      </c>
      <c r="C286">
        <v>20100629</v>
      </c>
      <c r="D286">
        <v>20101015</v>
      </c>
      <c r="E286" t="s">
        <v>681</v>
      </c>
      <c r="G286" t="s">
        <v>754</v>
      </c>
      <c r="I286" t="s">
        <v>433</v>
      </c>
      <c r="K286">
        <v>1</v>
      </c>
      <c r="M286">
        <v>0</v>
      </c>
      <c r="N286">
        <v>0.38</v>
      </c>
      <c r="O286">
        <v>40</v>
      </c>
      <c r="P286">
        <v>0.22800000000000001</v>
      </c>
    </row>
    <row r="287" spans="1:16">
      <c r="A287" t="s">
        <v>755</v>
      </c>
      <c r="B287" t="e">
        <f>-BLD.21474</f>
        <v>#NAME?</v>
      </c>
      <c r="C287">
        <v>20100629</v>
      </c>
      <c r="D287">
        <v>20101015</v>
      </c>
      <c r="E287" t="s">
        <v>756</v>
      </c>
      <c r="G287" t="s">
        <v>757</v>
      </c>
      <c r="I287" t="s">
        <v>433</v>
      </c>
      <c r="K287">
        <v>1</v>
      </c>
      <c r="M287">
        <v>0</v>
      </c>
      <c r="N287">
        <v>8.7200000000000006</v>
      </c>
      <c r="O287">
        <v>40</v>
      </c>
      <c r="P287">
        <v>5.2320000000000002</v>
      </c>
    </row>
    <row r="288" spans="1:16">
      <c r="A288" t="s">
        <v>758</v>
      </c>
      <c r="B288" t="e">
        <f>-BLD.216383</f>
        <v>#NAME?</v>
      </c>
      <c r="C288">
        <v>20100629</v>
      </c>
      <c r="D288">
        <v>20101015</v>
      </c>
      <c r="E288" t="s">
        <v>672</v>
      </c>
      <c r="G288" t="s">
        <v>759</v>
      </c>
      <c r="I288" t="s">
        <v>433</v>
      </c>
      <c r="K288">
        <v>1</v>
      </c>
      <c r="M288">
        <v>0</v>
      </c>
      <c r="N288">
        <v>4.04</v>
      </c>
      <c r="O288">
        <v>40</v>
      </c>
      <c r="P288">
        <v>2.4239999999999999</v>
      </c>
    </row>
    <row r="289" spans="1:16">
      <c r="A289" t="s">
        <v>760</v>
      </c>
      <c r="B289" t="e">
        <f>-BLD.22WE27</f>
        <v>#NAME?</v>
      </c>
      <c r="C289">
        <v>20100629</v>
      </c>
      <c r="D289">
        <v>20101015</v>
      </c>
      <c r="E289" t="s">
        <v>112</v>
      </c>
      <c r="G289" t="s">
        <v>761</v>
      </c>
      <c r="I289" t="s">
        <v>433</v>
      </c>
      <c r="K289">
        <v>1</v>
      </c>
      <c r="M289">
        <v>0</v>
      </c>
      <c r="N289">
        <v>17.48</v>
      </c>
      <c r="O289">
        <v>40</v>
      </c>
      <c r="P289">
        <v>10.488</v>
      </c>
    </row>
    <row r="290" spans="1:16">
      <c r="A290" t="s">
        <v>762</v>
      </c>
      <c r="B290" t="e">
        <f>-BLD.232373</f>
        <v>#NAME?</v>
      </c>
      <c r="C290">
        <v>20100629</v>
      </c>
      <c r="D290">
        <v>20101015</v>
      </c>
      <c r="E290" t="s">
        <v>763</v>
      </c>
      <c r="G290" t="s">
        <v>764</v>
      </c>
      <c r="I290" t="s">
        <v>433</v>
      </c>
      <c r="K290">
        <v>1</v>
      </c>
      <c r="M290">
        <v>0</v>
      </c>
      <c r="N290">
        <v>0.9</v>
      </c>
      <c r="O290">
        <v>40</v>
      </c>
      <c r="P290">
        <v>0.54</v>
      </c>
    </row>
    <row r="291" spans="1:16">
      <c r="A291" t="s">
        <v>765</v>
      </c>
      <c r="B291" t="e">
        <f>-BLD.245331</f>
        <v>#NAME?</v>
      </c>
      <c r="C291">
        <v>20100629</v>
      </c>
      <c r="D291">
        <v>20101015</v>
      </c>
      <c r="E291" t="s">
        <v>766</v>
      </c>
      <c r="G291" t="s">
        <v>767</v>
      </c>
      <c r="I291" t="s">
        <v>433</v>
      </c>
      <c r="K291">
        <v>1</v>
      </c>
      <c r="M291">
        <v>0</v>
      </c>
      <c r="N291">
        <v>2.42</v>
      </c>
      <c r="O291">
        <v>40</v>
      </c>
      <c r="P291">
        <v>1.452</v>
      </c>
    </row>
    <row r="292" spans="1:16">
      <c r="A292" t="s">
        <v>768</v>
      </c>
      <c r="B292" t="e">
        <f>-BLD.245443</f>
        <v>#NAME?</v>
      </c>
      <c r="C292">
        <v>20100629</v>
      </c>
      <c r="D292">
        <v>20101015</v>
      </c>
      <c r="E292" t="s">
        <v>769</v>
      </c>
      <c r="G292" t="s">
        <v>770</v>
      </c>
      <c r="I292" t="s">
        <v>433</v>
      </c>
      <c r="K292">
        <v>1</v>
      </c>
      <c r="M292">
        <v>0</v>
      </c>
      <c r="N292">
        <v>0.09</v>
      </c>
      <c r="O292">
        <v>40</v>
      </c>
      <c r="P292">
        <v>5.3999999999999999E-2</v>
      </c>
    </row>
    <row r="293" spans="1:16">
      <c r="A293" t="s">
        <v>771</v>
      </c>
      <c r="B293" t="e">
        <f>-BLD.245795</f>
        <v>#NAME?</v>
      </c>
      <c r="C293">
        <v>20100629</v>
      </c>
      <c r="D293">
        <v>20101015</v>
      </c>
      <c r="E293" t="s">
        <v>766</v>
      </c>
      <c r="G293" t="s">
        <v>772</v>
      </c>
      <c r="I293" t="s">
        <v>433</v>
      </c>
      <c r="K293">
        <v>1</v>
      </c>
      <c r="M293">
        <v>0</v>
      </c>
      <c r="N293">
        <v>3.35</v>
      </c>
      <c r="O293">
        <v>40</v>
      </c>
      <c r="P293">
        <v>2.0099999999999998</v>
      </c>
    </row>
    <row r="294" spans="1:16">
      <c r="A294" t="s">
        <v>773</v>
      </c>
      <c r="B294" t="e">
        <f>-BLD.247763</f>
        <v>#NAME?</v>
      </c>
      <c r="C294">
        <v>20100629</v>
      </c>
      <c r="D294">
        <v>20101015</v>
      </c>
      <c r="E294" t="s">
        <v>774</v>
      </c>
      <c r="G294" t="s">
        <v>775</v>
      </c>
      <c r="I294" t="s">
        <v>433</v>
      </c>
      <c r="K294">
        <v>1</v>
      </c>
      <c r="M294">
        <v>0</v>
      </c>
      <c r="N294">
        <v>12.95</v>
      </c>
      <c r="O294">
        <v>40</v>
      </c>
      <c r="P294">
        <v>7.77</v>
      </c>
    </row>
    <row r="295" spans="1:16">
      <c r="A295" t="s">
        <v>776</v>
      </c>
      <c r="B295" t="e">
        <f>-BLD.2600027Q</f>
        <v>#NAME?</v>
      </c>
      <c r="C295">
        <v>20100629</v>
      </c>
      <c r="D295">
        <v>20101015</v>
      </c>
      <c r="E295" t="s">
        <v>777</v>
      </c>
      <c r="G295" t="s">
        <v>778</v>
      </c>
      <c r="I295" t="s">
        <v>433</v>
      </c>
      <c r="K295">
        <v>1</v>
      </c>
      <c r="M295">
        <v>0</v>
      </c>
      <c r="N295">
        <v>14.09</v>
      </c>
      <c r="O295">
        <v>40</v>
      </c>
      <c r="P295">
        <v>8.4540000000000006</v>
      </c>
    </row>
    <row r="296" spans="1:16">
      <c r="A296" t="s">
        <v>779</v>
      </c>
      <c r="B296" t="e">
        <f>-BLD.260621</f>
        <v>#NAME?</v>
      </c>
      <c r="C296">
        <v>20100629</v>
      </c>
      <c r="D296">
        <v>20101015</v>
      </c>
      <c r="E296" t="s">
        <v>749</v>
      </c>
      <c r="G296" t="s">
        <v>780</v>
      </c>
      <c r="I296" t="s">
        <v>433</v>
      </c>
      <c r="K296">
        <v>1</v>
      </c>
      <c r="M296">
        <v>0</v>
      </c>
      <c r="N296">
        <v>33.1</v>
      </c>
      <c r="O296">
        <v>40</v>
      </c>
      <c r="P296">
        <v>19.86</v>
      </c>
    </row>
    <row r="297" spans="1:16">
      <c r="A297" t="s">
        <v>781</v>
      </c>
      <c r="B297" t="e">
        <f>-BLD.260034</f>
        <v>#NAME?</v>
      </c>
      <c r="C297">
        <v>20100629</v>
      </c>
      <c r="D297">
        <v>20101015</v>
      </c>
      <c r="E297" t="s">
        <v>672</v>
      </c>
      <c r="G297" t="s">
        <v>782</v>
      </c>
      <c r="I297" t="s">
        <v>433</v>
      </c>
      <c r="K297">
        <v>1</v>
      </c>
      <c r="M297">
        <v>0</v>
      </c>
      <c r="N297">
        <v>7.11</v>
      </c>
      <c r="O297">
        <v>40</v>
      </c>
      <c r="P297">
        <v>4.266</v>
      </c>
    </row>
    <row r="298" spans="1:16">
      <c r="A298" t="s">
        <v>783</v>
      </c>
      <c r="B298" t="e">
        <f>-BLD.260045</f>
        <v>#NAME?</v>
      </c>
      <c r="C298">
        <v>20100629</v>
      </c>
      <c r="D298">
        <v>20101015</v>
      </c>
      <c r="E298" t="s">
        <v>672</v>
      </c>
      <c r="G298" t="s">
        <v>784</v>
      </c>
      <c r="I298" t="s">
        <v>433</v>
      </c>
      <c r="K298">
        <v>1</v>
      </c>
      <c r="M298">
        <v>0</v>
      </c>
      <c r="N298">
        <v>7.02</v>
      </c>
      <c r="O298">
        <v>40</v>
      </c>
      <c r="P298">
        <v>4.2119999999999997</v>
      </c>
    </row>
    <row r="299" spans="1:16">
      <c r="A299" t="s">
        <v>785</v>
      </c>
      <c r="B299" t="e">
        <f>-BLD.2614492N</f>
        <v>#NAME?</v>
      </c>
      <c r="C299">
        <v>20100629</v>
      </c>
      <c r="D299">
        <v>20101015</v>
      </c>
      <c r="E299" t="s">
        <v>319</v>
      </c>
      <c r="G299" t="s">
        <v>786</v>
      </c>
      <c r="I299" t="s">
        <v>433</v>
      </c>
      <c r="K299">
        <v>1</v>
      </c>
      <c r="M299">
        <v>0</v>
      </c>
      <c r="N299">
        <v>14.16</v>
      </c>
      <c r="O299">
        <v>40</v>
      </c>
      <c r="P299">
        <v>8.4960000000000004</v>
      </c>
    </row>
    <row r="300" spans="1:16">
      <c r="A300" t="s">
        <v>787</v>
      </c>
      <c r="B300" t="e">
        <f>-BLD.2MPOLES</f>
        <v>#NAME?</v>
      </c>
      <c r="C300">
        <v>20100629</v>
      </c>
      <c r="D300">
        <v>20101015</v>
      </c>
      <c r="E300" t="s">
        <v>153</v>
      </c>
      <c r="G300" t="s">
        <v>788</v>
      </c>
      <c r="I300" t="s">
        <v>433</v>
      </c>
      <c r="K300">
        <v>1</v>
      </c>
      <c r="M300">
        <v>0</v>
      </c>
      <c r="N300">
        <v>4.24</v>
      </c>
      <c r="O300">
        <v>40</v>
      </c>
      <c r="P300">
        <v>2.544</v>
      </c>
    </row>
    <row r="301" spans="1:16">
      <c r="A301" t="s">
        <v>789</v>
      </c>
      <c r="B301" t="e">
        <f>-BLD.319</f>
        <v>#NAME?</v>
      </c>
      <c r="C301">
        <v>20100629</v>
      </c>
      <c r="D301">
        <v>20101015</v>
      </c>
      <c r="E301" t="s">
        <v>656</v>
      </c>
      <c r="G301" t="s">
        <v>790</v>
      </c>
      <c r="I301" t="s">
        <v>433</v>
      </c>
      <c r="K301">
        <v>1</v>
      </c>
      <c r="M301">
        <v>0</v>
      </c>
      <c r="N301">
        <v>6.71</v>
      </c>
      <c r="O301">
        <v>40</v>
      </c>
      <c r="P301">
        <v>4.0259999999999998</v>
      </c>
    </row>
    <row r="302" spans="1:16">
      <c r="A302" t="s">
        <v>791</v>
      </c>
      <c r="B302" t="e">
        <f>-BLD.32201</f>
        <v>#NAME?</v>
      </c>
      <c r="C302">
        <v>20100629</v>
      </c>
      <c r="D302">
        <v>20101015</v>
      </c>
      <c r="E302" t="s">
        <v>630</v>
      </c>
      <c r="G302" t="s">
        <v>792</v>
      </c>
      <c r="I302" t="s">
        <v>433</v>
      </c>
      <c r="K302">
        <v>1</v>
      </c>
      <c r="M302">
        <v>0</v>
      </c>
      <c r="N302">
        <v>18.54</v>
      </c>
      <c r="O302">
        <v>40</v>
      </c>
      <c r="P302">
        <v>11.124000000000001</v>
      </c>
    </row>
    <row r="303" spans="1:16">
      <c r="A303" t="s">
        <v>793</v>
      </c>
      <c r="B303" t="e">
        <f>-BLD.32211</f>
        <v>#NAME?</v>
      </c>
      <c r="C303">
        <v>20100629</v>
      </c>
      <c r="D303">
        <v>20101015</v>
      </c>
      <c r="E303" t="s">
        <v>630</v>
      </c>
      <c r="G303" t="s">
        <v>794</v>
      </c>
      <c r="I303" t="s">
        <v>433</v>
      </c>
      <c r="K303">
        <v>1</v>
      </c>
      <c r="M303">
        <v>0</v>
      </c>
      <c r="N303">
        <v>18.48</v>
      </c>
      <c r="O303">
        <v>40</v>
      </c>
      <c r="P303">
        <v>11.087999999999999</v>
      </c>
    </row>
    <row r="304" spans="1:16">
      <c r="A304" t="s">
        <v>795</v>
      </c>
      <c r="B304" t="e">
        <f>-BLD.340193</f>
        <v>#NAME?</v>
      </c>
      <c r="C304">
        <v>20100629</v>
      </c>
      <c r="D304">
        <v>20101015</v>
      </c>
      <c r="E304" t="s">
        <v>796</v>
      </c>
      <c r="G304" t="s">
        <v>796</v>
      </c>
      <c r="I304" t="s">
        <v>433</v>
      </c>
      <c r="K304">
        <v>1</v>
      </c>
      <c r="M304">
        <v>0</v>
      </c>
      <c r="N304">
        <v>21.67</v>
      </c>
      <c r="O304">
        <v>40</v>
      </c>
      <c r="P304">
        <v>13.002000000000001</v>
      </c>
    </row>
    <row r="305" spans="1:16">
      <c r="A305" t="s">
        <v>797</v>
      </c>
      <c r="B305" t="e">
        <f>-BLD.3M2P+T</f>
        <v>#NAME?</v>
      </c>
      <c r="C305">
        <v>20100629</v>
      </c>
      <c r="D305">
        <v>20101015</v>
      </c>
      <c r="E305" t="s">
        <v>153</v>
      </c>
      <c r="G305" t="s">
        <v>798</v>
      </c>
      <c r="I305" t="s">
        <v>433</v>
      </c>
      <c r="K305">
        <v>1</v>
      </c>
      <c r="M305">
        <v>0</v>
      </c>
      <c r="N305">
        <v>9.0299999999999994</v>
      </c>
      <c r="O305">
        <v>40</v>
      </c>
      <c r="P305">
        <v>5.4180000000000001</v>
      </c>
    </row>
    <row r="306" spans="1:16">
      <c r="A306" t="s">
        <v>799</v>
      </c>
      <c r="B306" t="e">
        <f>-BLD.3M2POLES</f>
        <v>#NAME?</v>
      </c>
      <c r="C306">
        <v>20100629</v>
      </c>
      <c r="D306">
        <v>20101015</v>
      </c>
      <c r="E306" t="s">
        <v>153</v>
      </c>
      <c r="G306" t="s">
        <v>800</v>
      </c>
      <c r="I306" t="s">
        <v>433</v>
      </c>
      <c r="K306">
        <v>1</v>
      </c>
      <c r="M306">
        <v>0</v>
      </c>
      <c r="N306">
        <v>4.7</v>
      </c>
      <c r="O306">
        <v>40</v>
      </c>
      <c r="P306">
        <v>2.82</v>
      </c>
    </row>
    <row r="307" spans="1:16">
      <c r="A307" t="s">
        <v>801</v>
      </c>
      <c r="B307" t="e">
        <f>-BLD.4016</f>
        <v>#NAME?</v>
      </c>
      <c r="C307">
        <v>20100629</v>
      </c>
      <c r="D307">
        <v>20101015</v>
      </c>
      <c r="E307" t="s">
        <v>153</v>
      </c>
      <c r="G307" t="s">
        <v>802</v>
      </c>
      <c r="I307" t="s">
        <v>433</v>
      </c>
      <c r="K307">
        <v>1</v>
      </c>
      <c r="M307">
        <v>0</v>
      </c>
      <c r="N307">
        <v>22.69</v>
      </c>
      <c r="O307">
        <v>40</v>
      </c>
      <c r="P307">
        <v>13.614000000000001</v>
      </c>
    </row>
    <row r="308" spans="1:16">
      <c r="A308" t="s">
        <v>803</v>
      </c>
      <c r="B308" t="e">
        <f>-BLD.41031</f>
        <v>#NAME?</v>
      </c>
      <c r="C308">
        <v>20100629</v>
      </c>
      <c r="D308">
        <v>20101015</v>
      </c>
      <c r="E308" t="s">
        <v>804</v>
      </c>
      <c r="G308" t="s">
        <v>805</v>
      </c>
      <c r="I308" t="s">
        <v>433</v>
      </c>
      <c r="K308">
        <v>1</v>
      </c>
      <c r="M308">
        <v>0</v>
      </c>
      <c r="N308">
        <v>12.8</v>
      </c>
      <c r="O308">
        <v>40</v>
      </c>
      <c r="P308">
        <v>7.68</v>
      </c>
    </row>
    <row r="309" spans="1:16">
      <c r="A309" t="s">
        <v>806</v>
      </c>
      <c r="B309" t="e">
        <f>-BLD.4131</f>
        <v>#NAME?</v>
      </c>
      <c r="C309">
        <v>20100629</v>
      </c>
      <c r="D309">
        <v>20101015</v>
      </c>
      <c r="E309" t="s">
        <v>807</v>
      </c>
      <c r="G309" t="s">
        <v>808</v>
      </c>
      <c r="I309" t="s">
        <v>433</v>
      </c>
      <c r="K309">
        <v>1</v>
      </c>
      <c r="M309">
        <v>0</v>
      </c>
      <c r="N309">
        <v>6.83</v>
      </c>
      <c r="O309">
        <v>40</v>
      </c>
      <c r="P309">
        <v>4.0979999999999999</v>
      </c>
    </row>
    <row r="310" spans="1:16">
      <c r="A310" t="s">
        <v>809</v>
      </c>
      <c r="B310" t="e">
        <f>-BLD.41602</f>
        <v>#NAME?</v>
      </c>
      <c r="C310">
        <v>20100629</v>
      </c>
      <c r="D310">
        <v>20101015</v>
      </c>
      <c r="E310" t="s">
        <v>672</v>
      </c>
      <c r="G310" t="s">
        <v>810</v>
      </c>
      <c r="I310" t="s">
        <v>433</v>
      </c>
      <c r="K310">
        <v>1</v>
      </c>
      <c r="M310">
        <v>0</v>
      </c>
      <c r="N310">
        <v>3.35</v>
      </c>
      <c r="O310">
        <v>40</v>
      </c>
      <c r="P310">
        <v>2.0099999999999998</v>
      </c>
    </row>
    <row r="311" spans="1:16">
      <c r="A311" t="s">
        <v>811</v>
      </c>
      <c r="B311" t="e">
        <f>-BLD.41611</f>
        <v>#NAME?</v>
      </c>
      <c r="C311">
        <v>20100629</v>
      </c>
      <c r="D311">
        <v>20101015</v>
      </c>
      <c r="E311" t="s">
        <v>672</v>
      </c>
      <c r="G311" t="s">
        <v>812</v>
      </c>
      <c r="I311" t="s">
        <v>433</v>
      </c>
      <c r="K311">
        <v>1</v>
      </c>
      <c r="M311">
        <v>0</v>
      </c>
      <c r="N311">
        <v>6.83</v>
      </c>
      <c r="O311">
        <v>40</v>
      </c>
      <c r="P311">
        <v>4.0979999999999999</v>
      </c>
    </row>
    <row r="312" spans="1:16">
      <c r="A312" t="s">
        <v>813</v>
      </c>
      <c r="B312" t="e">
        <f>-BLD.4M2POLES</f>
        <v>#NAME?</v>
      </c>
      <c r="C312">
        <v>20100629</v>
      </c>
      <c r="D312">
        <v>20101015</v>
      </c>
      <c r="E312" t="s">
        <v>153</v>
      </c>
      <c r="G312" t="s">
        <v>814</v>
      </c>
      <c r="I312" t="s">
        <v>433</v>
      </c>
      <c r="K312">
        <v>1</v>
      </c>
      <c r="M312">
        <v>0</v>
      </c>
      <c r="N312">
        <v>4.54</v>
      </c>
      <c r="O312">
        <v>40</v>
      </c>
      <c r="P312">
        <v>2.7240000000000002</v>
      </c>
    </row>
    <row r="313" spans="1:16">
      <c r="A313" t="s">
        <v>815</v>
      </c>
      <c r="B313" t="e">
        <f>-BLD.551740</f>
        <v>#NAME?</v>
      </c>
      <c r="C313">
        <v>20100629</v>
      </c>
      <c r="D313">
        <v>20101015</v>
      </c>
      <c r="E313" t="s">
        <v>816</v>
      </c>
      <c r="G313" t="s">
        <v>817</v>
      </c>
      <c r="I313" t="s">
        <v>433</v>
      </c>
      <c r="K313">
        <v>1</v>
      </c>
      <c r="M313">
        <v>0</v>
      </c>
      <c r="N313">
        <v>7.33</v>
      </c>
      <c r="O313">
        <v>40</v>
      </c>
      <c r="P313">
        <v>4.3979999999999997</v>
      </c>
    </row>
    <row r="314" spans="1:16">
      <c r="A314" t="s">
        <v>818</v>
      </c>
      <c r="B314" t="e">
        <f>-BLD.551890</f>
        <v>#NAME?</v>
      </c>
      <c r="C314">
        <v>20100629</v>
      </c>
      <c r="D314">
        <v>20101015</v>
      </c>
      <c r="E314" t="s">
        <v>319</v>
      </c>
      <c r="G314" t="s">
        <v>819</v>
      </c>
      <c r="I314" t="s">
        <v>433</v>
      </c>
      <c r="K314">
        <v>1</v>
      </c>
      <c r="M314">
        <v>0</v>
      </c>
      <c r="N314">
        <v>8.51</v>
      </c>
      <c r="O314">
        <v>40</v>
      </c>
      <c r="P314">
        <v>5.1059999999999999</v>
      </c>
    </row>
    <row r="315" spans="1:16">
      <c r="A315" t="s">
        <v>820</v>
      </c>
      <c r="B315" t="e">
        <f>-BLD.5555</f>
        <v>#NAME?</v>
      </c>
      <c r="C315">
        <v>20100629</v>
      </c>
      <c r="D315">
        <v>20101015</v>
      </c>
      <c r="E315" t="s">
        <v>153</v>
      </c>
      <c r="G315" t="s">
        <v>821</v>
      </c>
      <c r="I315" t="s">
        <v>433</v>
      </c>
      <c r="K315">
        <v>1</v>
      </c>
      <c r="M315">
        <v>0</v>
      </c>
      <c r="N315">
        <v>28.69</v>
      </c>
      <c r="O315">
        <v>40</v>
      </c>
      <c r="P315">
        <v>17.213999999999999</v>
      </c>
    </row>
    <row r="316" spans="1:16">
      <c r="A316" t="s">
        <v>822</v>
      </c>
      <c r="B316" t="e">
        <f>-BLD.560100</f>
        <v>#NAME?</v>
      </c>
      <c r="C316">
        <v>20100629</v>
      </c>
      <c r="D316">
        <v>20101015</v>
      </c>
      <c r="E316" t="s">
        <v>823</v>
      </c>
      <c r="G316" t="s">
        <v>824</v>
      </c>
      <c r="I316" t="s">
        <v>433</v>
      </c>
      <c r="K316">
        <v>1</v>
      </c>
      <c r="M316">
        <v>0</v>
      </c>
      <c r="N316">
        <v>16.579999999999998</v>
      </c>
      <c r="O316">
        <v>40</v>
      </c>
      <c r="P316">
        <v>9.9480000000000004</v>
      </c>
    </row>
    <row r="317" spans="1:16">
      <c r="A317" t="s">
        <v>825</v>
      </c>
      <c r="B317" t="e">
        <f>-BLD.58631</f>
        <v>#NAME?</v>
      </c>
      <c r="C317">
        <v>20100629</v>
      </c>
      <c r="D317">
        <v>20101015</v>
      </c>
      <c r="E317" t="s">
        <v>826</v>
      </c>
      <c r="G317" t="s">
        <v>827</v>
      </c>
      <c r="I317" t="s">
        <v>433</v>
      </c>
      <c r="K317">
        <v>1</v>
      </c>
      <c r="M317">
        <v>0</v>
      </c>
      <c r="N317">
        <v>3.42</v>
      </c>
      <c r="O317">
        <v>40</v>
      </c>
      <c r="P317">
        <v>2.052</v>
      </c>
    </row>
    <row r="318" spans="1:16">
      <c r="A318" t="s">
        <v>828</v>
      </c>
      <c r="B318" t="e">
        <f>-BLD.5M2P+T</f>
        <v>#NAME?</v>
      </c>
      <c r="C318">
        <v>20100629</v>
      </c>
      <c r="D318">
        <v>20101015</v>
      </c>
      <c r="E318" t="s">
        <v>153</v>
      </c>
      <c r="G318" t="s">
        <v>829</v>
      </c>
      <c r="I318" t="s">
        <v>433</v>
      </c>
      <c r="K318">
        <v>1</v>
      </c>
      <c r="M318">
        <v>0</v>
      </c>
      <c r="N318">
        <v>8.51</v>
      </c>
      <c r="O318">
        <v>40</v>
      </c>
      <c r="P318">
        <v>5.1059999999999999</v>
      </c>
    </row>
    <row r="319" spans="1:16">
      <c r="A319" t="s">
        <v>830</v>
      </c>
      <c r="B319" t="e">
        <f>-BLD.5M2POLES</f>
        <v>#NAME?</v>
      </c>
      <c r="C319">
        <v>20100629</v>
      </c>
      <c r="D319">
        <v>20101015</v>
      </c>
      <c r="E319" t="s">
        <v>831</v>
      </c>
      <c r="G319" t="s">
        <v>832</v>
      </c>
      <c r="I319" t="s">
        <v>433</v>
      </c>
      <c r="K319">
        <v>1</v>
      </c>
      <c r="M319">
        <v>0</v>
      </c>
      <c r="N319">
        <v>5.35</v>
      </c>
      <c r="O319">
        <v>40</v>
      </c>
      <c r="P319">
        <v>3.21</v>
      </c>
    </row>
    <row r="320" spans="1:16">
      <c r="A320" t="s">
        <v>833</v>
      </c>
      <c r="B320" t="e">
        <f>-BLD.5MPTT</f>
        <v>#NAME?</v>
      </c>
      <c r="C320">
        <v>20100629</v>
      </c>
      <c r="D320">
        <v>20101015</v>
      </c>
      <c r="E320" t="s">
        <v>153</v>
      </c>
      <c r="G320" t="s">
        <v>834</v>
      </c>
      <c r="I320" t="s">
        <v>433</v>
      </c>
      <c r="K320">
        <v>1</v>
      </c>
      <c r="M320">
        <v>0</v>
      </c>
      <c r="N320">
        <v>20.399999999999999</v>
      </c>
      <c r="O320">
        <v>40</v>
      </c>
      <c r="P320">
        <v>12.24</v>
      </c>
    </row>
    <row r="321" spans="1:16">
      <c r="A321" t="s">
        <v>835</v>
      </c>
      <c r="B321" t="e">
        <f>-BLD.5MPTTSPIR</f>
        <v>#NAME?</v>
      </c>
      <c r="C321">
        <v>20100629</v>
      </c>
      <c r="D321">
        <v>20101015</v>
      </c>
      <c r="E321" t="s">
        <v>319</v>
      </c>
      <c r="G321" t="s">
        <v>836</v>
      </c>
      <c r="I321" t="s">
        <v>433</v>
      </c>
      <c r="K321">
        <v>1</v>
      </c>
      <c r="M321">
        <v>0</v>
      </c>
      <c r="N321">
        <v>24.19</v>
      </c>
      <c r="O321">
        <v>40</v>
      </c>
      <c r="P321">
        <v>14.513999999999999</v>
      </c>
    </row>
    <row r="322" spans="1:16">
      <c r="A322" t="s">
        <v>837</v>
      </c>
      <c r="B322" t="e">
        <f>-BLD.624.10P</f>
        <v>#NAME?</v>
      </c>
      <c r="C322">
        <v>20100629</v>
      </c>
      <c r="D322">
        <v>20101015</v>
      </c>
      <c r="E322" t="s">
        <v>838</v>
      </c>
      <c r="G322" t="s">
        <v>839</v>
      </c>
      <c r="I322" t="s">
        <v>433</v>
      </c>
      <c r="K322">
        <v>1</v>
      </c>
      <c r="M322">
        <v>0</v>
      </c>
      <c r="N322">
        <v>0.43</v>
      </c>
      <c r="O322">
        <v>40</v>
      </c>
      <c r="P322">
        <v>0.25800000000000001</v>
      </c>
    </row>
    <row r="323" spans="1:16">
      <c r="A323" t="s">
        <v>840</v>
      </c>
      <c r="B323" t="e">
        <f>-BLD.625.16P</f>
        <v>#NAME?</v>
      </c>
      <c r="C323">
        <v>20100629</v>
      </c>
      <c r="D323">
        <v>20101015</v>
      </c>
      <c r="E323" t="s">
        <v>841</v>
      </c>
      <c r="G323" t="s">
        <v>842</v>
      </c>
      <c r="I323" t="s">
        <v>433</v>
      </c>
      <c r="K323">
        <v>1</v>
      </c>
      <c r="M323">
        <v>0</v>
      </c>
      <c r="N323">
        <v>0.55000000000000004</v>
      </c>
      <c r="O323">
        <v>40</v>
      </c>
      <c r="P323">
        <v>0.33</v>
      </c>
    </row>
    <row r="324" spans="1:16">
      <c r="A324" t="s">
        <v>843</v>
      </c>
      <c r="B324" t="e">
        <f>-BLD.62510P</f>
        <v>#NAME?</v>
      </c>
      <c r="C324">
        <v>20100629</v>
      </c>
      <c r="D324">
        <v>20101015</v>
      </c>
      <c r="E324" t="s">
        <v>844</v>
      </c>
      <c r="G324" t="s">
        <v>845</v>
      </c>
      <c r="I324" t="s">
        <v>433</v>
      </c>
      <c r="K324">
        <v>1</v>
      </c>
      <c r="M324">
        <v>0</v>
      </c>
      <c r="N324">
        <v>0.5</v>
      </c>
      <c r="O324">
        <v>40</v>
      </c>
      <c r="P324">
        <v>0.3</v>
      </c>
    </row>
    <row r="325" spans="1:16">
      <c r="A325" t="s">
        <v>846</v>
      </c>
      <c r="B325" t="e">
        <f>-BLD.62516P</f>
        <v>#NAME?</v>
      </c>
      <c r="C325">
        <v>20100629</v>
      </c>
      <c r="D325">
        <v>20101015</v>
      </c>
      <c r="E325" t="s">
        <v>847</v>
      </c>
      <c r="G325" t="s">
        <v>848</v>
      </c>
      <c r="I325" t="s">
        <v>433</v>
      </c>
      <c r="K325">
        <v>1</v>
      </c>
      <c r="M325">
        <v>0</v>
      </c>
      <c r="N325">
        <v>0.55000000000000004</v>
      </c>
      <c r="O325">
        <v>40</v>
      </c>
      <c r="P325">
        <v>0.33</v>
      </c>
    </row>
    <row r="326" spans="1:16">
      <c r="A326" t="s">
        <v>849</v>
      </c>
      <c r="B326" t="e">
        <f>-BLD.63104</f>
        <v>#NAME?</v>
      </c>
      <c r="C326">
        <v>20100629</v>
      </c>
      <c r="D326">
        <v>20101015</v>
      </c>
      <c r="E326" t="s">
        <v>847</v>
      </c>
      <c r="G326" t="s">
        <v>850</v>
      </c>
      <c r="I326" t="s">
        <v>433</v>
      </c>
      <c r="K326">
        <v>1</v>
      </c>
      <c r="M326">
        <v>0</v>
      </c>
      <c r="N326">
        <v>0.53</v>
      </c>
      <c r="O326">
        <v>40</v>
      </c>
      <c r="P326">
        <v>0.318</v>
      </c>
    </row>
    <row r="327" spans="1:16">
      <c r="A327" t="s">
        <v>851</v>
      </c>
      <c r="B327" t="e">
        <f>-BLD.64151</f>
        <v>#NAME?</v>
      </c>
      <c r="C327">
        <v>20100629</v>
      </c>
      <c r="D327">
        <v>20101015</v>
      </c>
      <c r="E327" t="s">
        <v>514</v>
      </c>
      <c r="G327" t="s">
        <v>852</v>
      </c>
      <c r="I327" t="s">
        <v>433</v>
      </c>
      <c r="K327">
        <v>1</v>
      </c>
      <c r="M327">
        <v>0</v>
      </c>
      <c r="N327">
        <v>16.579999999999998</v>
      </c>
      <c r="O327">
        <v>40</v>
      </c>
      <c r="P327">
        <v>9.9480000000000004</v>
      </c>
    </row>
    <row r="328" spans="1:16">
      <c r="A328" t="s">
        <v>853</v>
      </c>
      <c r="B328" t="e">
        <f>-BLD.65651</f>
        <v>#NAME?</v>
      </c>
      <c r="C328">
        <v>20100629</v>
      </c>
      <c r="D328">
        <v>20101015</v>
      </c>
      <c r="E328" t="s">
        <v>381</v>
      </c>
      <c r="G328" t="s">
        <v>854</v>
      </c>
      <c r="I328" t="s">
        <v>433</v>
      </c>
      <c r="K328">
        <v>1</v>
      </c>
      <c r="M328">
        <v>0</v>
      </c>
      <c r="N328">
        <v>18.7</v>
      </c>
      <c r="O328">
        <v>40</v>
      </c>
      <c r="P328">
        <v>11.22</v>
      </c>
    </row>
    <row r="329" spans="1:16">
      <c r="A329" t="s">
        <v>855</v>
      </c>
      <c r="B329" t="e">
        <f>-BLD.71318</f>
        <v>#NAME?</v>
      </c>
      <c r="C329">
        <v>20100629</v>
      </c>
      <c r="D329">
        <v>20101015</v>
      </c>
      <c r="E329" t="s">
        <v>847</v>
      </c>
      <c r="G329" t="s">
        <v>856</v>
      </c>
      <c r="I329" t="s">
        <v>433</v>
      </c>
      <c r="K329">
        <v>1</v>
      </c>
      <c r="M329">
        <v>0</v>
      </c>
      <c r="N329">
        <v>0.43</v>
      </c>
      <c r="O329">
        <v>40</v>
      </c>
      <c r="P329">
        <v>0.25800000000000001</v>
      </c>
    </row>
    <row r="330" spans="1:16">
      <c r="A330" t="s">
        <v>857</v>
      </c>
      <c r="B330" t="e">
        <f>-BLD.72783</f>
        <v>#NAME?</v>
      </c>
      <c r="C330">
        <v>20100629</v>
      </c>
      <c r="D330">
        <v>20101015</v>
      </c>
      <c r="E330" t="s">
        <v>858</v>
      </c>
      <c r="G330" t="s">
        <v>859</v>
      </c>
      <c r="I330" t="s">
        <v>433</v>
      </c>
      <c r="K330">
        <v>1</v>
      </c>
      <c r="M330">
        <v>0</v>
      </c>
      <c r="N330">
        <v>62.48</v>
      </c>
      <c r="O330">
        <v>40</v>
      </c>
      <c r="P330">
        <v>37.488</v>
      </c>
    </row>
    <row r="331" spans="1:16">
      <c r="A331" t="s">
        <v>860</v>
      </c>
      <c r="B331" t="e">
        <f>-BLD.7718</f>
        <v>#NAME?</v>
      </c>
      <c r="C331">
        <v>20100629</v>
      </c>
      <c r="D331">
        <v>20101015</v>
      </c>
      <c r="E331" t="s">
        <v>144</v>
      </c>
      <c r="G331" t="s">
        <v>861</v>
      </c>
      <c r="I331" t="s">
        <v>433</v>
      </c>
      <c r="K331">
        <v>1</v>
      </c>
      <c r="M331">
        <v>0</v>
      </c>
      <c r="N331">
        <v>18.13</v>
      </c>
      <c r="O331">
        <v>40</v>
      </c>
      <c r="P331">
        <v>10.878</v>
      </c>
    </row>
    <row r="332" spans="1:16">
      <c r="A332" t="s">
        <v>862</v>
      </c>
      <c r="B332" t="e">
        <f>-BLD.2614246W</f>
        <v>#NAME?</v>
      </c>
      <c r="C332">
        <v>20100629</v>
      </c>
      <c r="D332">
        <v>20101015</v>
      </c>
      <c r="E332" t="s">
        <v>749</v>
      </c>
      <c r="G332" t="s">
        <v>863</v>
      </c>
      <c r="I332" t="s">
        <v>433</v>
      </c>
      <c r="K332">
        <v>1</v>
      </c>
      <c r="M332">
        <v>0</v>
      </c>
      <c r="N332">
        <v>14.16</v>
      </c>
      <c r="O332">
        <v>40</v>
      </c>
      <c r="P332">
        <v>8.4960000000000004</v>
      </c>
    </row>
    <row r="333" spans="1:16">
      <c r="A333" t="s">
        <v>864</v>
      </c>
      <c r="B333" t="e">
        <f>-BLD.262036</f>
        <v>#NAME?</v>
      </c>
      <c r="C333">
        <v>20100629</v>
      </c>
      <c r="D333">
        <v>20101015</v>
      </c>
      <c r="E333" t="s">
        <v>672</v>
      </c>
      <c r="G333" t="s">
        <v>865</v>
      </c>
      <c r="I333" t="s">
        <v>433</v>
      </c>
      <c r="K333">
        <v>1</v>
      </c>
      <c r="M333">
        <v>0</v>
      </c>
      <c r="N333">
        <v>2.96</v>
      </c>
      <c r="O333">
        <v>40</v>
      </c>
      <c r="P333">
        <v>1.776</v>
      </c>
    </row>
    <row r="334" spans="1:16">
      <c r="A334" t="s">
        <v>866</v>
      </c>
      <c r="B334" t="e">
        <f>-BLD.262046</f>
        <v>#NAME?</v>
      </c>
      <c r="C334">
        <v>20100629</v>
      </c>
      <c r="D334">
        <v>20101015</v>
      </c>
      <c r="E334" t="s">
        <v>672</v>
      </c>
      <c r="G334" t="s">
        <v>867</v>
      </c>
      <c r="I334" t="s">
        <v>433</v>
      </c>
      <c r="K334">
        <v>1</v>
      </c>
      <c r="M334">
        <v>0</v>
      </c>
      <c r="N334">
        <v>4.68</v>
      </c>
      <c r="O334">
        <v>40</v>
      </c>
      <c r="P334">
        <v>2.8079999999999998</v>
      </c>
    </row>
    <row r="335" spans="1:16">
      <c r="A335" t="s">
        <v>868</v>
      </c>
      <c r="B335" t="e">
        <f>-BLD.262124</f>
        <v>#NAME?</v>
      </c>
      <c r="C335">
        <v>20100629</v>
      </c>
      <c r="D335">
        <v>20101015</v>
      </c>
      <c r="E335" t="s">
        <v>672</v>
      </c>
      <c r="G335" t="s">
        <v>869</v>
      </c>
      <c r="I335" t="s">
        <v>433</v>
      </c>
      <c r="K335">
        <v>1</v>
      </c>
      <c r="M335">
        <v>0</v>
      </c>
      <c r="N335">
        <v>2.86</v>
      </c>
      <c r="O335">
        <v>40</v>
      </c>
      <c r="P335">
        <v>1.716</v>
      </c>
    </row>
    <row r="336" spans="1:16">
      <c r="A336" t="s">
        <v>870</v>
      </c>
      <c r="B336" t="e">
        <f>-BLD.280420</f>
        <v>#NAME?</v>
      </c>
      <c r="C336">
        <v>20100629</v>
      </c>
      <c r="D336">
        <v>20101015</v>
      </c>
      <c r="E336" t="s">
        <v>871</v>
      </c>
      <c r="G336" t="s">
        <v>872</v>
      </c>
      <c r="I336" t="s">
        <v>433</v>
      </c>
      <c r="K336">
        <v>1</v>
      </c>
      <c r="M336">
        <v>0</v>
      </c>
      <c r="N336">
        <v>5.49</v>
      </c>
      <c r="O336">
        <v>40</v>
      </c>
      <c r="P336">
        <v>3.294</v>
      </c>
    </row>
    <row r="337" spans="1:16">
      <c r="A337" t="s">
        <v>873</v>
      </c>
      <c r="B337" t="e">
        <f>-BLD.30171</f>
        <v>#NAME?</v>
      </c>
      <c r="C337">
        <v>20100629</v>
      </c>
      <c r="D337">
        <v>20101015</v>
      </c>
      <c r="E337" t="s">
        <v>630</v>
      </c>
      <c r="G337" t="s">
        <v>874</v>
      </c>
      <c r="I337" t="s">
        <v>433</v>
      </c>
      <c r="K337">
        <v>1</v>
      </c>
      <c r="M337">
        <v>0</v>
      </c>
      <c r="N337">
        <v>14.16</v>
      </c>
      <c r="O337">
        <v>40</v>
      </c>
      <c r="P337">
        <v>8.4960000000000004</v>
      </c>
    </row>
    <row r="338" spans="1:16">
      <c r="A338" t="s">
        <v>875</v>
      </c>
      <c r="B338" t="e">
        <f>-BLD.32111</f>
        <v>#NAME?</v>
      </c>
      <c r="C338">
        <v>20100629</v>
      </c>
      <c r="D338">
        <v>20101015</v>
      </c>
      <c r="E338" t="s">
        <v>876</v>
      </c>
      <c r="G338" t="s">
        <v>877</v>
      </c>
      <c r="I338" t="s">
        <v>433</v>
      </c>
      <c r="K338">
        <v>1</v>
      </c>
      <c r="M338">
        <v>0</v>
      </c>
      <c r="N338">
        <v>7.11</v>
      </c>
      <c r="O338">
        <v>40</v>
      </c>
      <c r="P338">
        <v>4.266</v>
      </c>
    </row>
    <row r="339" spans="1:16">
      <c r="A339" t="s">
        <v>878</v>
      </c>
      <c r="B339" t="e">
        <f>-BLD.33221</f>
        <v>#NAME?</v>
      </c>
      <c r="C339">
        <v>20100629</v>
      </c>
      <c r="D339">
        <v>20101015</v>
      </c>
      <c r="E339" t="s">
        <v>630</v>
      </c>
      <c r="G339" t="s">
        <v>879</v>
      </c>
      <c r="I339" t="s">
        <v>433</v>
      </c>
      <c r="K339">
        <v>1</v>
      </c>
      <c r="M339">
        <v>0</v>
      </c>
      <c r="N339">
        <v>18.559999999999999</v>
      </c>
      <c r="O339">
        <v>40</v>
      </c>
      <c r="P339">
        <v>11.135999999999999</v>
      </c>
    </row>
    <row r="340" spans="1:16">
      <c r="A340" t="s">
        <v>880</v>
      </c>
      <c r="B340" t="e">
        <f>-BLD.33705</f>
        <v>#NAME?</v>
      </c>
      <c r="C340">
        <v>20100629</v>
      </c>
      <c r="D340">
        <v>20101015</v>
      </c>
      <c r="E340" t="s">
        <v>881</v>
      </c>
      <c r="G340" t="s">
        <v>882</v>
      </c>
      <c r="I340" t="s">
        <v>433</v>
      </c>
      <c r="K340">
        <v>1</v>
      </c>
      <c r="M340">
        <v>0</v>
      </c>
      <c r="N340">
        <v>12.11</v>
      </c>
      <c r="O340">
        <v>40</v>
      </c>
      <c r="P340">
        <v>7.266</v>
      </c>
    </row>
    <row r="341" spans="1:16">
      <c r="A341" t="s">
        <v>883</v>
      </c>
      <c r="B341" t="e">
        <f>-BLD.33801</f>
        <v>#NAME?</v>
      </c>
      <c r="C341">
        <v>20100629</v>
      </c>
      <c r="D341">
        <v>20101015</v>
      </c>
      <c r="E341" t="s">
        <v>881</v>
      </c>
      <c r="G341" t="s">
        <v>884</v>
      </c>
      <c r="I341" t="s">
        <v>433</v>
      </c>
      <c r="K341">
        <v>1</v>
      </c>
      <c r="M341">
        <v>0</v>
      </c>
      <c r="N341">
        <v>8.98</v>
      </c>
      <c r="O341">
        <v>40</v>
      </c>
      <c r="P341">
        <v>5.3879999999999999</v>
      </c>
    </row>
    <row r="342" spans="1:16">
      <c r="A342" t="s">
        <v>885</v>
      </c>
      <c r="B342" t="e">
        <f>-BLD.340039</f>
        <v>#NAME?</v>
      </c>
      <c r="C342">
        <v>20100629</v>
      </c>
      <c r="D342">
        <v>20101015</v>
      </c>
      <c r="E342" t="s">
        <v>886</v>
      </c>
      <c r="G342" t="s">
        <v>887</v>
      </c>
      <c r="I342" t="s">
        <v>433</v>
      </c>
      <c r="K342">
        <v>1</v>
      </c>
      <c r="M342">
        <v>0</v>
      </c>
      <c r="N342">
        <v>12.97</v>
      </c>
      <c r="O342">
        <v>40</v>
      </c>
      <c r="P342">
        <v>7.782</v>
      </c>
    </row>
    <row r="343" spans="1:16">
      <c r="A343" t="s">
        <v>888</v>
      </c>
      <c r="B343" t="e">
        <f>-BLD.35MM2</f>
        <v>#NAME?</v>
      </c>
      <c r="C343">
        <v>20100629</v>
      </c>
      <c r="D343">
        <v>20101015</v>
      </c>
      <c r="E343" t="s">
        <v>889</v>
      </c>
      <c r="G343" t="s">
        <v>890</v>
      </c>
      <c r="I343" t="s">
        <v>433</v>
      </c>
      <c r="K343">
        <v>1</v>
      </c>
      <c r="M343">
        <v>0</v>
      </c>
      <c r="N343">
        <v>26.01</v>
      </c>
      <c r="O343">
        <v>40</v>
      </c>
      <c r="P343">
        <v>15.606</v>
      </c>
    </row>
    <row r="344" spans="1:16">
      <c r="A344" t="s">
        <v>891</v>
      </c>
      <c r="B344" t="e">
        <f>-BLD.40290</f>
        <v>#NAME?</v>
      </c>
      <c r="C344">
        <v>20100629</v>
      </c>
      <c r="D344">
        <v>20101015</v>
      </c>
      <c r="E344" t="s">
        <v>630</v>
      </c>
      <c r="G344" t="s">
        <v>892</v>
      </c>
      <c r="I344" t="s">
        <v>433</v>
      </c>
      <c r="K344">
        <v>1</v>
      </c>
      <c r="M344">
        <v>0</v>
      </c>
      <c r="N344">
        <v>11.83</v>
      </c>
      <c r="O344">
        <v>40</v>
      </c>
      <c r="P344">
        <v>7.0979999999999999</v>
      </c>
    </row>
    <row r="345" spans="1:16">
      <c r="A345" t="s">
        <v>893</v>
      </c>
      <c r="B345" t="e">
        <f>-BLD.40300</f>
        <v>#NAME?</v>
      </c>
      <c r="C345">
        <v>20100629</v>
      </c>
      <c r="D345">
        <v>20101015</v>
      </c>
      <c r="E345" t="s">
        <v>894</v>
      </c>
      <c r="G345" t="s">
        <v>895</v>
      </c>
      <c r="I345" t="s">
        <v>433</v>
      </c>
      <c r="K345">
        <v>1</v>
      </c>
      <c r="M345">
        <v>0</v>
      </c>
      <c r="N345">
        <v>12.3</v>
      </c>
      <c r="O345">
        <v>40</v>
      </c>
      <c r="P345">
        <v>7.38</v>
      </c>
    </row>
    <row r="346" spans="1:16">
      <c r="A346" t="s">
        <v>896</v>
      </c>
      <c r="B346" t="e">
        <f>-BLD.4M2P+T</f>
        <v>#NAME?</v>
      </c>
      <c r="C346">
        <v>20100629</v>
      </c>
      <c r="D346">
        <v>20101015</v>
      </c>
      <c r="E346" t="s">
        <v>153</v>
      </c>
      <c r="G346" t="s">
        <v>897</v>
      </c>
      <c r="I346" t="s">
        <v>433</v>
      </c>
      <c r="K346">
        <v>1</v>
      </c>
      <c r="M346">
        <v>0</v>
      </c>
      <c r="N346">
        <v>13.66</v>
      </c>
      <c r="O346">
        <v>40</v>
      </c>
      <c r="P346">
        <v>8.1959999999999997</v>
      </c>
    </row>
    <row r="347" spans="1:16">
      <c r="A347" t="s">
        <v>898</v>
      </c>
      <c r="B347" t="e">
        <f>-BLD.59001</f>
        <v>#NAME?</v>
      </c>
      <c r="C347">
        <v>20100629</v>
      </c>
      <c r="D347">
        <v>20101015</v>
      </c>
      <c r="E347" t="s">
        <v>899</v>
      </c>
      <c r="G347" t="s">
        <v>900</v>
      </c>
      <c r="I347" t="s">
        <v>433</v>
      </c>
      <c r="K347">
        <v>1</v>
      </c>
      <c r="M347">
        <v>0</v>
      </c>
      <c r="N347">
        <v>198.78</v>
      </c>
      <c r="O347">
        <v>40</v>
      </c>
      <c r="P347">
        <v>119.268</v>
      </c>
    </row>
    <row r="348" spans="1:16">
      <c r="A348" t="s">
        <v>901</v>
      </c>
      <c r="B348" t="e">
        <f>-BLD.5MPTTFLEX</f>
        <v>#NAME?</v>
      </c>
      <c r="C348">
        <v>20100629</v>
      </c>
      <c r="D348">
        <v>20101015</v>
      </c>
      <c r="E348" t="s">
        <v>153</v>
      </c>
      <c r="G348" t="s">
        <v>902</v>
      </c>
      <c r="I348" t="s">
        <v>433</v>
      </c>
      <c r="K348">
        <v>1</v>
      </c>
      <c r="M348">
        <v>0</v>
      </c>
      <c r="N348">
        <v>11.52</v>
      </c>
      <c r="O348">
        <v>40</v>
      </c>
      <c r="P348">
        <v>6.9119999999999999</v>
      </c>
    </row>
    <row r="349" spans="1:16">
      <c r="A349" t="s">
        <v>903</v>
      </c>
      <c r="B349" t="e">
        <f>-BLD.5PC+INTER</f>
        <v>#NAME?</v>
      </c>
      <c r="C349">
        <v>20100629</v>
      </c>
      <c r="D349">
        <v>20101015</v>
      </c>
      <c r="E349" t="s">
        <v>630</v>
      </c>
      <c r="G349" t="s">
        <v>904</v>
      </c>
      <c r="I349" t="s">
        <v>433</v>
      </c>
      <c r="K349">
        <v>1</v>
      </c>
      <c r="M349">
        <v>0</v>
      </c>
      <c r="N349">
        <v>22.56</v>
      </c>
      <c r="O349">
        <v>40</v>
      </c>
      <c r="P349">
        <v>13.536</v>
      </c>
    </row>
    <row r="350" spans="1:16">
      <c r="A350" t="s">
        <v>905</v>
      </c>
      <c r="B350" t="e">
        <f>-BLD.62410P</f>
        <v>#NAME?</v>
      </c>
      <c r="C350">
        <v>20100629</v>
      </c>
      <c r="D350">
        <v>20101015</v>
      </c>
      <c r="E350" t="s">
        <v>906</v>
      </c>
      <c r="G350" t="s">
        <v>907</v>
      </c>
      <c r="I350" t="s">
        <v>433</v>
      </c>
      <c r="K350">
        <v>1</v>
      </c>
      <c r="M350">
        <v>0</v>
      </c>
      <c r="N350">
        <v>0.43</v>
      </c>
      <c r="O350">
        <v>40</v>
      </c>
      <c r="P350">
        <v>0.25800000000000001</v>
      </c>
    </row>
    <row r="351" spans="1:16">
      <c r="A351" t="s">
        <v>908</v>
      </c>
      <c r="B351" t="e">
        <f>-BLD.627501</f>
        <v>#NAME?</v>
      </c>
      <c r="C351">
        <v>20100629</v>
      </c>
      <c r="D351">
        <v>20101015</v>
      </c>
      <c r="E351" t="s">
        <v>909</v>
      </c>
      <c r="G351" t="s">
        <v>910</v>
      </c>
      <c r="I351" t="s">
        <v>433</v>
      </c>
      <c r="K351">
        <v>1</v>
      </c>
      <c r="M351">
        <v>0</v>
      </c>
      <c r="N351">
        <v>7.05</v>
      </c>
      <c r="O351">
        <v>40</v>
      </c>
      <c r="P351">
        <v>4.2300000000000004</v>
      </c>
    </row>
    <row r="352" spans="1:16">
      <c r="A352" t="s">
        <v>911</v>
      </c>
      <c r="B352" t="e">
        <f>-BLD.63106</f>
        <v>#NAME?</v>
      </c>
      <c r="C352">
        <v>20100629</v>
      </c>
      <c r="D352">
        <v>20101015</v>
      </c>
      <c r="E352" t="s">
        <v>847</v>
      </c>
      <c r="G352" t="s">
        <v>912</v>
      </c>
      <c r="I352" t="s">
        <v>433</v>
      </c>
      <c r="K352">
        <v>1</v>
      </c>
      <c r="M352">
        <v>0</v>
      </c>
      <c r="N352">
        <v>0.53</v>
      </c>
      <c r="O352">
        <v>40</v>
      </c>
      <c r="P352">
        <v>0.318</v>
      </c>
    </row>
    <row r="353" spans="1:16">
      <c r="A353" t="s">
        <v>913</v>
      </c>
      <c r="B353" t="e">
        <f>-BLD.63108</f>
        <v>#NAME?</v>
      </c>
      <c r="C353">
        <v>20100629</v>
      </c>
      <c r="D353">
        <v>20101015</v>
      </c>
      <c r="E353" t="s">
        <v>847</v>
      </c>
      <c r="G353" t="s">
        <v>914</v>
      </c>
      <c r="I353" t="s">
        <v>433</v>
      </c>
      <c r="K353">
        <v>1</v>
      </c>
      <c r="M353">
        <v>0</v>
      </c>
      <c r="N353">
        <v>0.53</v>
      </c>
      <c r="O353">
        <v>40</v>
      </c>
      <c r="P353">
        <v>0.318</v>
      </c>
    </row>
    <row r="354" spans="1:16">
      <c r="A354" t="s">
        <v>915</v>
      </c>
      <c r="B354" t="e">
        <f>-BLD.63112</f>
        <v>#NAME?</v>
      </c>
      <c r="C354">
        <v>20100629</v>
      </c>
      <c r="D354">
        <v>20101015</v>
      </c>
      <c r="E354" t="s">
        <v>847</v>
      </c>
      <c r="G354" t="s">
        <v>916</v>
      </c>
      <c r="I354" t="s">
        <v>433</v>
      </c>
      <c r="K354">
        <v>1</v>
      </c>
      <c r="M354">
        <v>0</v>
      </c>
      <c r="N354">
        <v>0.53</v>
      </c>
      <c r="O354">
        <v>40</v>
      </c>
      <c r="P354">
        <v>0.318</v>
      </c>
    </row>
    <row r="355" spans="1:16">
      <c r="A355" t="s">
        <v>917</v>
      </c>
      <c r="B355" t="e">
        <f>-BLD.63116P</f>
        <v>#NAME?</v>
      </c>
      <c r="C355">
        <v>20100629</v>
      </c>
      <c r="D355">
        <v>20101015</v>
      </c>
      <c r="E355" t="s">
        <v>918</v>
      </c>
      <c r="G355" t="s">
        <v>919</v>
      </c>
      <c r="I355" t="s">
        <v>433</v>
      </c>
      <c r="K355">
        <v>1</v>
      </c>
      <c r="M355">
        <v>0</v>
      </c>
      <c r="N355">
        <v>0.43</v>
      </c>
      <c r="O355">
        <v>40</v>
      </c>
      <c r="P355">
        <v>0.25800000000000001</v>
      </c>
    </row>
    <row r="356" spans="1:16">
      <c r="A356" t="s">
        <v>920</v>
      </c>
      <c r="B356" t="e">
        <f>-BLD.63120P</f>
        <v>#NAME?</v>
      </c>
      <c r="C356">
        <v>20100629</v>
      </c>
      <c r="D356">
        <v>20101015</v>
      </c>
      <c r="E356" t="s">
        <v>921</v>
      </c>
      <c r="G356" t="s">
        <v>922</v>
      </c>
      <c r="I356" t="s">
        <v>433</v>
      </c>
      <c r="K356">
        <v>1</v>
      </c>
      <c r="M356">
        <v>0</v>
      </c>
      <c r="N356">
        <v>0.53</v>
      </c>
      <c r="O356">
        <v>40</v>
      </c>
      <c r="P356">
        <v>0.318</v>
      </c>
    </row>
    <row r="357" spans="1:16">
      <c r="A357" t="s">
        <v>923</v>
      </c>
      <c r="B357" t="e">
        <f>-BLD.7800</f>
        <v>#NAME?</v>
      </c>
      <c r="C357">
        <v>20100629</v>
      </c>
      <c r="D357">
        <v>20101015</v>
      </c>
      <c r="E357" t="s">
        <v>823</v>
      </c>
      <c r="G357" t="s">
        <v>924</v>
      </c>
      <c r="I357" t="s">
        <v>433</v>
      </c>
      <c r="K357">
        <v>1</v>
      </c>
      <c r="M357">
        <v>0</v>
      </c>
      <c r="N357">
        <v>27.45</v>
      </c>
      <c r="O357">
        <v>40</v>
      </c>
      <c r="P357">
        <v>16.47</v>
      </c>
    </row>
    <row r="358" spans="1:16">
      <c r="A358" t="s">
        <v>925</v>
      </c>
      <c r="B358" t="e">
        <f>-BLD.8001</f>
        <v>#NAME?</v>
      </c>
      <c r="C358">
        <v>20100629</v>
      </c>
      <c r="D358">
        <v>20101015</v>
      </c>
      <c r="E358" t="s">
        <v>926</v>
      </c>
      <c r="G358" t="s">
        <v>927</v>
      </c>
      <c r="I358" t="s">
        <v>433</v>
      </c>
      <c r="K358">
        <v>1</v>
      </c>
      <c r="M358">
        <v>0</v>
      </c>
      <c r="N358">
        <v>4.54</v>
      </c>
      <c r="O358">
        <v>40</v>
      </c>
      <c r="P358">
        <v>2.7240000000000002</v>
      </c>
    </row>
    <row r="359" spans="1:16">
      <c r="A359" t="s">
        <v>928</v>
      </c>
      <c r="B359" t="e">
        <f>-BLD.80452</f>
        <v>#NAME?</v>
      </c>
      <c r="C359">
        <v>20100629</v>
      </c>
      <c r="D359">
        <v>20101015</v>
      </c>
      <c r="E359" t="s">
        <v>112</v>
      </c>
      <c r="G359" t="s">
        <v>929</v>
      </c>
      <c r="I359" t="s">
        <v>433</v>
      </c>
      <c r="K359">
        <v>1</v>
      </c>
      <c r="M359">
        <v>0</v>
      </c>
      <c r="N359">
        <v>23.63</v>
      </c>
      <c r="O359">
        <v>40</v>
      </c>
      <c r="P359">
        <v>14.178000000000001</v>
      </c>
    </row>
    <row r="360" spans="1:16">
      <c r="A360" t="s">
        <v>930</v>
      </c>
      <c r="B360" t="e">
        <f>-BLD.8140</f>
        <v>#NAME?</v>
      </c>
      <c r="C360">
        <v>20100629</v>
      </c>
      <c r="D360">
        <v>20101015</v>
      </c>
      <c r="E360" t="s">
        <v>723</v>
      </c>
      <c r="G360" t="s">
        <v>931</v>
      </c>
      <c r="I360" t="s">
        <v>433</v>
      </c>
      <c r="K360">
        <v>1</v>
      </c>
      <c r="M360">
        <v>0</v>
      </c>
      <c r="N360">
        <v>11.83</v>
      </c>
      <c r="O360">
        <v>40</v>
      </c>
      <c r="P360">
        <v>7.0979999999999999</v>
      </c>
    </row>
    <row r="361" spans="1:16">
      <c r="A361" t="s">
        <v>932</v>
      </c>
      <c r="B361" t="e">
        <f>-BLD.819</f>
        <v>#NAME?</v>
      </c>
      <c r="C361">
        <v>20100629</v>
      </c>
      <c r="D361">
        <v>20101015</v>
      </c>
      <c r="E361" t="s">
        <v>933</v>
      </c>
      <c r="G361" t="s">
        <v>934</v>
      </c>
      <c r="I361" t="s">
        <v>433</v>
      </c>
      <c r="K361">
        <v>1</v>
      </c>
      <c r="M361">
        <v>0</v>
      </c>
      <c r="N361">
        <v>5.68</v>
      </c>
      <c r="O361">
        <v>40</v>
      </c>
      <c r="P361">
        <v>3.4079999999999999</v>
      </c>
    </row>
    <row r="362" spans="1:16">
      <c r="A362" t="s">
        <v>935</v>
      </c>
      <c r="B362" t="e">
        <f>-BLD.82021</f>
        <v>#NAME?</v>
      </c>
      <c r="C362">
        <v>20100629</v>
      </c>
      <c r="D362">
        <v>20101015</v>
      </c>
      <c r="E362" t="s">
        <v>35</v>
      </c>
      <c r="G362" t="s">
        <v>936</v>
      </c>
      <c r="I362" t="s">
        <v>433</v>
      </c>
      <c r="K362">
        <v>1</v>
      </c>
      <c r="M362">
        <v>0</v>
      </c>
      <c r="N362">
        <v>9.2200000000000006</v>
      </c>
      <c r="O362">
        <v>40</v>
      </c>
      <c r="P362">
        <v>5.532</v>
      </c>
    </row>
    <row r="363" spans="1:16">
      <c r="A363" t="s">
        <v>937</v>
      </c>
      <c r="B363" t="e">
        <f>-BLD.8PC2POLES</f>
        <v>#NAME?</v>
      </c>
      <c r="C363">
        <v>20100629</v>
      </c>
      <c r="D363">
        <v>20101015</v>
      </c>
      <c r="E363" t="s">
        <v>630</v>
      </c>
      <c r="G363" t="s">
        <v>938</v>
      </c>
      <c r="I363" t="s">
        <v>433</v>
      </c>
      <c r="K363">
        <v>1</v>
      </c>
      <c r="M363">
        <v>0</v>
      </c>
      <c r="N363">
        <v>23.63</v>
      </c>
      <c r="O363">
        <v>40</v>
      </c>
      <c r="P363">
        <v>14.178000000000001</v>
      </c>
    </row>
    <row r="364" spans="1:16">
      <c r="A364" t="s">
        <v>939</v>
      </c>
      <c r="B364" t="e">
        <f>-BLD.92050</f>
        <v>#NAME?</v>
      </c>
      <c r="C364">
        <v>20100629</v>
      </c>
      <c r="D364">
        <v>20101015</v>
      </c>
      <c r="E364" t="s">
        <v>847</v>
      </c>
      <c r="G364" t="s">
        <v>940</v>
      </c>
      <c r="I364" t="s">
        <v>433</v>
      </c>
      <c r="K364">
        <v>1</v>
      </c>
      <c r="M364">
        <v>0</v>
      </c>
      <c r="N364">
        <v>0.59</v>
      </c>
      <c r="O364">
        <v>40</v>
      </c>
      <c r="P364">
        <v>0.35399999999999998</v>
      </c>
    </row>
    <row r="365" spans="1:16">
      <c r="A365" t="s">
        <v>941</v>
      </c>
      <c r="B365" t="e">
        <f>-BLD.978030</f>
        <v>#NAME?</v>
      </c>
      <c r="C365">
        <v>20100629</v>
      </c>
      <c r="D365">
        <v>20101015</v>
      </c>
      <c r="E365" t="s">
        <v>942</v>
      </c>
      <c r="G365" t="s">
        <v>943</v>
      </c>
      <c r="I365" t="s">
        <v>433</v>
      </c>
      <c r="K365">
        <v>1</v>
      </c>
      <c r="M365">
        <v>0</v>
      </c>
      <c r="N365">
        <v>9.25</v>
      </c>
      <c r="O365">
        <v>40</v>
      </c>
      <c r="P365">
        <v>5.55</v>
      </c>
    </row>
    <row r="366" spans="1:16">
      <c r="A366" t="s">
        <v>944</v>
      </c>
      <c r="B366" t="e">
        <f>-BLD.ABATJOUR</f>
        <v>#NAME?</v>
      </c>
      <c r="C366">
        <v>20100629</v>
      </c>
      <c r="D366">
        <v>20101015</v>
      </c>
      <c r="E366" t="s">
        <v>945</v>
      </c>
      <c r="G366" t="s">
        <v>946</v>
      </c>
      <c r="I366" t="s">
        <v>433</v>
      </c>
      <c r="K366">
        <v>1</v>
      </c>
      <c r="M366">
        <v>0</v>
      </c>
      <c r="N366">
        <v>0.56999999999999995</v>
      </c>
      <c r="O366">
        <v>40</v>
      </c>
      <c r="P366">
        <v>0.34200000000000003</v>
      </c>
    </row>
    <row r="367" spans="1:16">
      <c r="A367" t="s">
        <v>947</v>
      </c>
      <c r="B367" t="e">
        <f>-BLD.7718P</f>
        <v>#NAME?</v>
      </c>
      <c r="C367">
        <v>20100629</v>
      </c>
      <c r="D367">
        <v>20101015</v>
      </c>
      <c r="E367" t="s">
        <v>858</v>
      </c>
      <c r="G367" t="s">
        <v>948</v>
      </c>
      <c r="I367" t="s">
        <v>433</v>
      </c>
      <c r="K367">
        <v>1</v>
      </c>
      <c r="M367">
        <v>0</v>
      </c>
      <c r="N367">
        <v>8.94</v>
      </c>
      <c r="O367">
        <v>40</v>
      </c>
      <c r="P367">
        <v>5.3639999999999999</v>
      </c>
    </row>
    <row r="368" spans="1:16">
      <c r="A368" t="s">
        <v>949</v>
      </c>
      <c r="B368" t="e">
        <f>-BLD.815</f>
        <v>#NAME?</v>
      </c>
      <c r="C368">
        <v>20100629</v>
      </c>
      <c r="D368">
        <v>20101015</v>
      </c>
      <c r="E368" t="s">
        <v>471</v>
      </c>
      <c r="G368" t="s">
        <v>950</v>
      </c>
      <c r="I368" t="s">
        <v>433</v>
      </c>
      <c r="K368">
        <v>1</v>
      </c>
      <c r="M368">
        <v>0</v>
      </c>
      <c r="N368">
        <v>5.28</v>
      </c>
      <c r="O368">
        <v>40</v>
      </c>
      <c r="P368">
        <v>3.1680000000000001</v>
      </c>
    </row>
    <row r="369" spans="1:16">
      <c r="A369" t="s">
        <v>951</v>
      </c>
      <c r="B369" t="e">
        <f>-BLD.817</f>
        <v>#NAME?</v>
      </c>
      <c r="C369">
        <v>20100629</v>
      </c>
      <c r="D369">
        <v>20101015</v>
      </c>
      <c r="E369" t="s">
        <v>667</v>
      </c>
      <c r="G369" t="s">
        <v>952</v>
      </c>
      <c r="I369" t="s">
        <v>433</v>
      </c>
      <c r="K369">
        <v>1</v>
      </c>
      <c r="M369">
        <v>0</v>
      </c>
      <c r="N369">
        <v>6.62</v>
      </c>
      <c r="O369">
        <v>40</v>
      </c>
      <c r="P369">
        <v>3.972</v>
      </c>
    </row>
    <row r="370" spans="1:16">
      <c r="A370" t="s">
        <v>953</v>
      </c>
      <c r="B370" t="e">
        <f>-BLD.82120</f>
        <v>#NAME?</v>
      </c>
      <c r="C370">
        <v>20100629</v>
      </c>
      <c r="D370">
        <v>20101015</v>
      </c>
      <c r="E370" t="s">
        <v>35</v>
      </c>
      <c r="G370" t="s">
        <v>954</v>
      </c>
      <c r="I370" t="s">
        <v>433</v>
      </c>
      <c r="K370">
        <v>1</v>
      </c>
      <c r="M370">
        <v>0</v>
      </c>
      <c r="N370">
        <v>9.2200000000000006</v>
      </c>
      <c r="O370">
        <v>40</v>
      </c>
      <c r="P370">
        <v>5.532</v>
      </c>
    </row>
    <row r="371" spans="1:16">
      <c r="A371" t="s">
        <v>955</v>
      </c>
      <c r="B371" t="e">
        <f>-BLD.824</f>
        <v>#NAME?</v>
      </c>
      <c r="C371">
        <v>20100629</v>
      </c>
      <c r="D371">
        <v>20101015</v>
      </c>
      <c r="E371" t="s">
        <v>956</v>
      </c>
      <c r="G371" t="s">
        <v>957</v>
      </c>
      <c r="I371" t="s">
        <v>433</v>
      </c>
      <c r="K371">
        <v>1</v>
      </c>
      <c r="M371">
        <v>0</v>
      </c>
      <c r="N371">
        <v>1.31</v>
      </c>
      <c r="O371">
        <v>40</v>
      </c>
      <c r="P371">
        <v>0.78600000000000003</v>
      </c>
    </row>
    <row r="372" spans="1:16">
      <c r="A372" t="s">
        <v>958</v>
      </c>
      <c r="B372" t="e">
        <f>-BLD.86821</f>
        <v>#NAME?</v>
      </c>
      <c r="C372">
        <v>20100629</v>
      </c>
      <c r="D372">
        <v>20101015</v>
      </c>
      <c r="E372" t="s">
        <v>959</v>
      </c>
      <c r="G372" t="s">
        <v>960</v>
      </c>
      <c r="I372" t="s">
        <v>433</v>
      </c>
      <c r="K372">
        <v>1</v>
      </c>
      <c r="M372">
        <v>0</v>
      </c>
      <c r="N372">
        <v>1.67</v>
      </c>
      <c r="O372">
        <v>40</v>
      </c>
      <c r="P372">
        <v>1.002</v>
      </c>
    </row>
    <row r="373" spans="1:16">
      <c r="A373" t="s">
        <v>961</v>
      </c>
      <c r="B373" t="e">
        <f>-BLD.90631</f>
        <v>#NAME?</v>
      </c>
      <c r="C373">
        <v>20100629</v>
      </c>
      <c r="D373">
        <v>20101015</v>
      </c>
      <c r="E373" t="s">
        <v>962</v>
      </c>
      <c r="G373" t="s">
        <v>963</v>
      </c>
      <c r="I373" t="s">
        <v>433</v>
      </c>
      <c r="K373">
        <v>1</v>
      </c>
      <c r="M373">
        <v>0</v>
      </c>
      <c r="N373">
        <v>4.25</v>
      </c>
      <c r="O373">
        <v>40</v>
      </c>
      <c r="P373">
        <v>2.5499999999999998</v>
      </c>
    </row>
    <row r="374" spans="1:16">
      <c r="A374" t="s">
        <v>964</v>
      </c>
      <c r="B374" t="e">
        <f>-BLD.92001</f>
        <v>#NAME?</v>
      </c>
      <c r="C374">
        <v>20100629</v>
      </c>
      <c r="D374">
        <v>20101015</v>
      </c>
      <c r="E374" t="s">
        <v>965</v>
      </c>
      <c r="G374" t="s">
        <v>966</v>
      </c>
      <c r="I374" t="s">
        <v>433</v>
      </c>
      <c r="K374">
        <v>1</v>
      </c>
      <c r="M374">
        <v>0</v>
      </c>
      <c r="N374">
        <v>0.59</v>
      </c>
      <c r="O374">
        <v>40</v>
      </c>
      <c r="P374">
        <v>0.35399999999999998</v>
      </c>
    </row>
    <row r="375" spans="1:16">
      <c r="A375" t="s">
        <v>967</v>
      </c>
      <c r="B375" t="e">
        <f>-BLD.92012</f>
        <v>#NAME?</v>
      </c>
      <c r="C375">
        <v>20100629</v>
      </c>
      <c r="D375">
        <v>20101015</v>
      </c>
      <c r="E375" t="s">
        <v>847</v>
      </c>
      <c r="G375" t="s">
        <v>968</v>
      </c>
      <c r="I375" t="s">
        <v>433</v>
      </c>
      <c r="K375">
        <v>1</v>
      </c>
      <c r="M375">
        <v>0</v>
      </c>
      <c r="N375">
        <v>0.59</v>
      </c>
      <c r="O375">
        <v>40</v>
      </c>
      <c r="P375">
        <v>0.35399999999999998</v>
      </c>
    </row>
    <row r="376" spans="1:16">
      <c r="A376" t="s">
        <v>969</v>
      </c>
      <c r="B376" t="e">
        <f>-BLD.92016</f>
        <v>#NAME?</v>
      </c>
      <c r="C376">
        <v>20100629</v>
      </c>
      <c r="D376">
        <v>20101015</v>
      </c>
      <c r="E376" t="s">
        <v>847</v>
      </c>
      <c r="G376" t="s">
        <v>970</v>
      </c>
      <c r="I376" t="s">
        <v>433</v>
      </c>
      <c r="K376">
        <v>1</v>
      </c>
      <c r="M376">
        <v>0</v>
      </c>
      <c r="N376">
        <v>0.59</v>
      </c>
      <c r="O376">
        <v>40</v>
      </c>
      <c r="P376">
        <v>0.35399999999999998</v>
      </c>
    </row>
    <row r="377" spans="1:16">
      <c r="A377" t="s">
        <v>971</v>
      </c>
      <c r="B377" t="e">
        <f>-BLD.92020</f>
        <v>#NAME?</v>
      </c>
      <c r="C377">
        <v>20100629</v>
      </c>
      <c r="D377">
        <v>20101015</v>
      </c>
      <c r="E377" t="s">
        <v>847</v>
      </c>
      <c r="G377" t="s">
        <v>972</v>
      </c>
      <c r="I377" t="s">
        <v>433</v>
      </c>
      <c r="K377">
        <v>1</v>
      </c>
      <c r="M377">
        <v>0</v>
      </c>
      <c r="N377">
        <v>0.59</v>
      </c>
      <c r="O377">
        <v>40</v>
      </c>
      <c r="P377">
        <v>0.35399999999999998</v>
      </c>
    </row>
    <row r="378" spans="1:16">
      <c r="A378" t="s">
        <v>973</v>
      </c>
      <c r="B378" t="e">
        <f>-BLD.9WE27</f>
        <v>#NAME?</v>
      </c>
      <c r="C378">
        <v>20100629</v>
      </c>
      <c r="D378">
        <v>20101015</v>
      </c>
      <c r="E378" t="s">
        <v>736</v>
      </c>
      <c r="G378" t="s">
        <v>974</v>
      </c>
      <c r="I378" t="s">
        <v>433</v>
      </c>
      <c r="K378">
        <v>1</v>
      </c>
      <c r="M378">
        <v>0</v>
      </c>
      <c r="N378">
        <v>17.48</v>
      </c>
      <c r="O378">
        <v>40</v>
      </c>
      <c r="P378">
        <v>10.488</v>
      </c>
    </row>
    <row r="379" spans="1:16">
      <c r="A379" t="s">
        <v>975</v>
      </c>
      <c r="B379" t="e">
        <f>-BLD.ADAPTB22/#REF!</f>
        <v>#NAME?</v>
      </c>
      <c r="C379">
        <v>20100629</v>
      </c>
      <c r="D379">
        <v>20101015</v>
      </c>
      <c r="E379" t="s">
        <v>514</v>
      </c>
      <c r="G379" t="s">
        <v>976</v>
      </c>
      <c r="I379" t="s">
        <v>433</v>
      </c>
      <c r="K379">
        <v>1</v>
      </c>
      <c r="M379">
        <v>0</v>
      </c>
      <c r="N379">
        <v>5.62</v>
      </c>
      <c r="O379">
        <v>40</v>
      </c>
      <c r="P379">
        <v>3.3719999999999999</v>
      </c>
    </row>
    <row r="380" spans="1:16">
      <c r="A380" t="s">
        <v>977</v>
      </c>
      <c r="B380" t="e">
        <f>-BLD.B15</f>
        <v>#NAME?</v>
      </c>
      <c r="C380">
        <v>20100629</v>
      </c>
      <c r="D380">
        <v>20101015</v>
      </c>
      <c r="E380" t="s">
        <v>672</v>
      </c>
      <c r="G380" t="s">
        <v>978</v>
      </c>
      <c r="I380" t="s">
        <v>433</v>
      </c>
      <c r="K380">
        <v>1</v>
      </c>
      <c r="M380">
        <v>0</v>
      </c>
      <c r="N380">
        <v>6.4</v>
      </c>
      <c r="O380">
        <v>40</v>
      </c>
      <c r="P380">
        <v>3.84</v>
      </c>
    </row>
    <row r="381" spans="1:16">
      <c r="A381" t="s">
        <v>979</v>
      </c>
      <c r="B381" t="e">
        <f>-BLD.B22</f>
        <v>#NAME?</v>
      </c>
      <c r="C381">
        <v>20100629</v>
      </c>
      <c r="D381">
        <v>20101015</v>
      </c>
      <c r="E381" t="s">
        <v>672</v>
      </c>
      <c r="G381" t="s">
        <v>980</v>
      </c>
      <c r="I381" t="s">
        <v>433</v>
      </c>
      <c r="K381">
        <v>1</v>
      </c>
      <c r="M381">
        <v>0</v>
      </c>
      <c r="N381">
        <v>4.08</v>
      </c>
      <c r="O381">
        <v>40</v>
      </c>
      <c r="P381">
        <v>2.448</v>
      </c>
    </row>
    <row r="382" spans="1:16">
      <c r="A382" t="s">
        <v>981</v>
      </c>
      <c r="B382" t="e">
        <f>-BLD.B22ACIER</f>
        <v>#NAME?</v>
      </c>
      <c r="C382">
        <v>20100629</v>
      </c>
      <c r="D382">
        <v>20101015</v>
      </c>
      <c r="E382" t="s">
        <v>672</v>
      </c>
      <c r="G382" t="s">
        <v>982</v>
      </c>
      <c r="I382" t="s">
        <v>433</v>
      </c>
      <c r="K382">
        <v>1</v>
      </c>
      <c r="M382">
        <v>0</v>
      </c>
      <c r="N382">
        <v>1.8</v>
      </c>
      <c r="O382">
        <v>40</v>
      </c>
      <c r="P382">
        <v>1.08</v>
      </c>
    </row>
    <row r="383" spans="1:16">
      <c r="A383" t="s">
        <v>983</v>
      </c>
      <c r="B383" t="e">
        <f>-BLD.BIFILAIRE</f>
        <v>#NAME?</v>
      </c>
      <c r="C383">
        <v>20100629</v>
      </c>
      <c r="D383">
        <v>20101015</v>
      </c>
      <c r="E383" t="s">
        <v>35</v>
      </c>
      <c r="G383" t="s">
        <v>984</v>
      </c>
      <c r="I383" t="s">
        <v>433</v>
      </c>
      <c r="K383">
        <v>1</v>
      </c>
      <c r="M383">
        <v>0</v>
      </c>
      <c r="N383">
        <v>4.04</v>
      </c>
      <c r="O383">
        <v>40</v>
      </c>
      <c r="P383">
        <v>2.4239999999999999</v>
      </c>
    </row>
    <row r="384" spans="1:16">
      <c r="A384" t="s">
        <v>985</v>
      </c>
      <c r="B384" t="e">
        <f>-BLD.BIPLITTEPTT</f>
        <v>#NAME?</v>
      </c>
      <c r="C384">
        <v>20100629</v>
      </c>
      <c r="D384">
        <v>20101015</v>
      </c>
      <c r="E384" t="s">
        <v>381</v>
      </c>
      <c r="G384" t="s">
        <v>986</v>
      </c>
      <c r="I384" t="s">
        <v>433</v>
      </c>
      <c r="K384">
        <v>1</v>
      </c>
      <c r="M384">
        <v>0</v>
      </c>
      <c r="N384">
        <v>13.2</v>
      </c>
      <c r="O384">
        <v>40</v>
      </c>
      <c r="P384">
        <v>7.92</v>
      </c>
    </row>
    <row r="385" spans="1:16">
      <c r="A385" t="s">
        <v>987</v>
      </c>
      <c r="B385" t="s">
        <v>988</v>
      </c>
      <c r="C385">
        <v>20100629</v>
      </c>
      <c r="D385">
        <v>20101015</v>
      </c>
      <c r="E385" t="s">
        <v>989</v>
      </c>
      <c r="G385" t="s">
        <v>990</v>
      </c>
      <c r="I385" t="s">
        <v>433</v>
      </c>
      <c r="K385">
        <v>1</v>
      </c>
      <c r="M385">
        <v>0</v>
      </c>
      <c r="N385">
        <v>0.86</v>
      </c>
      <c r="O385">
        <v>40</v>
      </c>
      <c r="P385">
        <v>0.51600000000000001</v>
      </c>
    </row>
    <row r="386" spans="1:16">
      <c r="A386" t="s">
        <v>991</v>
      </c>
      <c r="B386" t="e">
        <f>-BLD.C098</f>
        <v>#NAME?</v>
      </c>
      <c r="C386">
        <v>20100629</v>
      </c>
      <c r="D386">
        <v>20101015</v>
      </c>
      <c r="E386" t="s">
        <v>992</v>
      </c>
      <c r="G386" t="s">
        <v>993</v>
      </c>
      <c r="I386" t="s">
        <v>433</v>
      </c>
      <c r="K386">
        <v>1</v>
      </c>
      <c r="M386">
        <v>0</v>
      </c>
      <c r="N386">
        <v>67.069999999999993</v>
      </c>
      <c r="O386">
        <v>40</v>
      </c>
      <c r="P386">
        <v>40.241999999999997</v>
      </c>
    </row>
    <row r="387" spans="1:16">
      <c r="A387" t="s">
        <v>994</v>
      </c>
      <c r="B387" t="e">
        <f>-BLD.DE30307</f>
        <v>#NAME?</v>
      </c>
      <c r="C387">
        <v>20100629</v>
      </c>
      <c r="D387">
        <v>20101015</v>
      </c>
      <c r="E387" t="s">
        <v>630</v>
      </c>
      <c r="G387" t="s">
        <v>995</v>
      </c>
      <c r="I387" t="s">
        <v>433</v>
      </c>
      <c r="K387">
        <v>1</v>
      </c>
      <c r="M387">
        <v>0</v>
      </c>
      <c r="N387">
        <v>6.63</v>
      </c>
      <c r="O387">
        <v>40</v>
      </c>
      <c r="P387">
        <v>3.9780000000000002</v>
      </c>
    </row>
    <row r="388" spans="1:16">
      <c r="A388" t="s">
        <v>996</v>
      </c>
      <c r="B388" t="e">
        <f>-BLD.DE30310</f>
        <v>#NAME?</v>
      </c>
      <c r="C388">
        <v>20100629</v>
      </c>
      <c r="D388">
        <v>20101015</v>
      </c>
      <c r="E388" t="s">
        <v>630</v>
      </c>
      <c r="G388" t="s">
        <v>997</v>
      </c>
      <c r="I388" t="s">
        <v>433</v>
      </c>
      <c r="K388">
        <v>1</v>
      </c>
      <c r="M388">
        <v>0</v>
      </c>
      <c r="N388">
        <v>10.42</v>
      </c>
      <c r="O388">
        <v>40</v>
      </c>
      <c r="P388">
        <v>6.2519999999999998</v>
      </c>
    </row>
    <row r="389" spans="1:16">
      <c r="A389" t="s">
        <v>998</v>
      </c>
      <c r="B389" t="e">
        <f>-BLD.DE30315</f>
        <v>#NAME?</v>
      </c>
      <c r="C389">
        <v>20100629</v>
      </c>
      <c r="D389">
        <v>20101015</v>
      </c>
      <c r="E389" t="s">
        <v>999</v>
      </c>
      <c r="G389" t="s">
        <v>1000</v>
      </c>
      <c r="I389" t="s">
        <v>433</v>
      </c>
      <c r="K389">
        <v>1</v>
      </c>
      <c r="M389">
        <v>0</v>
      </c>
      <c r="N389">
        <v>12.35</v>
      </c>
      <c r="O389">
        <v>40</v>
      </c>
      <c r="P389">
        <v>7.41</v>
      </c>
    </row>
    <row r="390" spans="1:16">
      <c r="A390" t="s">
        <v>1001</v>
      </c>
      <c r="B390" t="e">
        <f>-BLD.DE30317</f>
        <v>#NAME?</v>
      </c>
      <c r="C390">
        <v>20100629</v>
      </c>
      <c r="D390">
        <v>20101015</v>
      </c>
      <c r="E390" t="s">
        <v>630</v>
      </c>
      <c r="G390" t="s">
        <v>1002</v>
      </c>
      <c r="I390" t="s">
        <v>433</v>
      </c>
      <c r="K390">
        <v>1</v>
      </c>
      <c r="M390">
        <v>0</v>
      </c>
      <c r="N390">
        <v>13.64</v>
      </c>
      <c r="O390">
        <v>40</v>
      </c>
      <c r="P390">
        <v>8.1839999999999993</v>
      </c>
    </row>
    <row r="391" spans="1:16">
      <c r="A391" t="s">
        <v>1003</v>
      </c>
      <c r="B391" t="e">
        <f>-BLD.DE30318</f>
        <v>#NAME?</v>
      </c>
      <c r="C391">
        <v>20100629</v>
      </c>
      <c r="D391">
        <v>20101015</v>
      </c>
      <c r="E391" t="s">
        <v>999</v>
      </c>
      <c r="G391" t="s">
        <v>1004</v>
      </c>
      <c r="I391" t="s">
        <v>433</v>
      </c>
      <c r="K391">
        <v>1</v>
      </c>
      <c r="M391">
        <v>0</v>
      </c>
      <c r="N391">
        <v>6.14</v>
      </c>
      <c r="O391">
        <v>40</v>
      </c>
      <c r="P391">
        <v>3.6840000000000002</v>
      </c>
    </row>
    <row r="392" spans="1:16">
      <c r="A392" t="s">
        <v>1005</v>
      </c>
      <c r="B392" t="e">
        <f>-BLD.DE35611</f>
        <v>#NAME?</v>
      </c>
      <c r="C392">
        <v>20100629</v>
      </c>
      <c r="D392">
        <v>20101015</v>
      </c>
      <c r="E392" t="s">
        <v>381</v>
      </c>
      <c r="G392" t="s">
        <v>1006</v>
      </c>
      <c r="I392" t="s">
        <v>433</v>
      </c>
      <c r="K392">
        <v>1</v>
      </c>
      <c r="M392">
        <v>0</v>
      </c>
      <c r="N392">
        <v>11.37</v>
      </c>
      <c r="O392">
        <v>40</v>
      </c>
      <c r="P392">
        <v>6.8220000000000001</v>
      </c>
    </row>
    <row r="393" spans="1:16">
      <c r="A393" t="s">
        <v>1007</v>
      </c>
      <c r="B393" t="e">
        <f>-BLD.DE74327</f>
        <v>#NAME?</v>
      </c>
      <c r="C393">
        <v>20100629</v>
      </c>
      <c r="D393">
        <v>20101015</v>
      </c>
      <c r="E393" t="s">
        <v>153</v>
      </c>
      <c r="G393" t="s">
        <v>1008</v>
      </c>
      <c r="I393" t="s">
        <v>433</v>
      </c>
      <c r="K393">
        <v>1</v>
      </c>
      <c r="M393">
        <v>0</v>
      </c>
      <c r="N393">
        <v>9.6300000000000008</v>
      </c>
      <c r="O393">
        <v>40</v>
      </c>
      <c r="P393">
        <v>5.7779999999999996</v>
      </c>
    </row>
    <row r="394" spans="1:16">
      <c r="A394" t="s">
        <v>1009</v>
      </c>
      <c r="B394" t="e">
        <f>-BLD.DE74338</f>
        <v>#NAME?</v>
      </c>
      <c r="C394">
        <v>20100629</v>
      </c>
      <c r="D394">
        <v>20101015</v>
      </c>
      <c r="E394" t="s">
        <v>153</v>
      </c>
      <c r="G394" t="s">
        <v>1010</v>
      </c>
      <c r="I394" t="s">
        <v>433</v>
      </c>
      <c r="K394">
        <v>1</v>
      </c>
      <c r="M394">
        <v>0</v>
      </c>
      <c r="N394">
        <v>9.86</v>
      </c>
      <c r="O394">
        <v>40</v>
      </c>
      <c r="P394">
        <v>5.9160000000000004</v>
      </c>
    </row>
    <row r="395" spans="1:16">
      <c r="A395" t="s">
        <v>1011</v>
      </c>
      <c r="B395" t="e">
        <f>-BLD.DEPNR9VB</f>
        <v>#NAME?</v>
      </c>
      <c r="C395">
        <v>20100629</v>
      </c>
      <c r="D395">
        <v>20101015</v>
      </c>
      <c r="E395" t="s">
        <v>1012</v>
      </c>
      <c r="G395" t="s">
        <v>1013</v>
      </c>
      <c r="I395" t="s">
        <v>433</v>
      </c>
      <c r="K395">
        <v>1</v>
      </c>
      <c r="M395">
        <v>0</v>
      </c>
      <c r="N395">
        <v>1.58</v>
      </c>
      <c r="O395">
        <v>40</v>
      </c>
      <c r="P395">
        <v>0.94799999999999995</v>
      </c>
    </row>
    <row r="396" spans="1:16">
      <c r="A396" t="s">
        <v>1014</v>
      </c>
      <c r="B396" t="e">
        <f>-BLD.E5036</f>
        <v>#NAME?</v>
      </c>
      <c r="C396">
        <v>20100629</v>
      </c>
      <c r="D396">
        <v>20101015</v>
      </c>
      <c r="E396" t="s">
        <v>1015</v>
      </c>
      <c r="G396" t="s">
        <v>1016</v>
      </c>
      <c r="I396" t="s">
        <v>433</v>
      </c>
      <c r="K396">
        <v>1</v>
      </c>
      <c r="M396">
        <v>0</v>
      </c>
      <c r="N396">
        <v>3.73</v>
      </c>
      <c r="O396">
        <v>40</v>
      </c>
      <c r="P396">
        <v>2.238</v>
      </c>
    </row>
    <row r="397" spans="1:16">
      <c r="A397" t="s">
        <v>1017</v>
      </c>
      <c r="B397" t="e">
        <f>-BLD.ECO15</f>
        <v>#NAME?</v>
      </c>
      <c r="C397">
        <v>20100629</v>
      </c>
      <c r="D397">
        <v>20101015</v>
      </c>
      <c r="E397" t="s">
        <v>1018</v>
      </c>
      <c r="G397" t="s">
        <v>1019</v>
      </c>
      <c r="I397" t="s">
        <v>433</v>
      </c>
      <c r="K397">
        <v>1</v>
      </c>
      <c r="M397">
        <v>0</v>
      </c>
      <c r="N397">
        <v>9.48</v>
      </c>
      <c r="O397">
        <v>40</v>
      </c>
      <c r="P397">
        <v>5.6879999999999997</v>
      </c>
    </row>
    <row r="398" spans="1:16">
      <c r="A398" t="s">
        <v>1020</v>
      </c>
      <c r="B398" t="e">
        <f>-BLD.G100G</f>
        <v>#NAME?</v>
      </c>
      <c r="C398">
        <v>20100629</v>
      </c>
      <c r="D398">
        <v>20101015</v>
      </c>
      <c r="E398" t="s">
        <v>1021</v>
      </c>
      <c r="G398" t="s">
        <v>1022</v>
      </c>
      <c r="I398" t="s">
        <v>433</v>
      </c>
      <c r="K398">
        <v>1</v>
      </c>
      <c r="M398">
        <v>0</v>
      </c>
      <c r="N398">
        <v>10.77</v>
      </c>
      <c r="O398">
        <v>40</v>
      </c>
      <c r="P398">
        <v>6.4619999999999997</v>
      </c>
    </row>
    <row r="399" spans="1:16">
      <c r="A399" t="s">
        <v>1023</v>
      </c>
      <c r="B399" t="e">
        <f>-BLD.LR03B4</f>
        <v>#NAME?</v>
      </c>
      <c r="C399">
        <v>20100629</v>
      </c>
      <c r="D399">
        <v>20101015</v>
      </c>
      <c r="E399" t="s">
        <v>1024</v>
      </c>
      <c r="G399" t="s">
        <v>1025</v>
      </c>
      <c r="I399" t="s">
        <v>433</v>
      </c>
      <c r="K399">
        <v>1</v>
      </c>
      <c r="M399">
        <v>0</v>
      </c>
      <c r="N399">
        <v>3.54</v>
      </c>
      <c r="O399">
        <v>40</v>
      </c>
      <c r="P399">
        <v>2.1240000000000001</v>
      </c>
    </row>
    <row r="400" spans="1:16">
      <c r="A400" t="s">
        <v>1026</v>
      </c>
      <c r="B400" t="e">
        <f>-BLD.LR126</f>
        <v>#NAME?</v>
      </c>
      <c r="C400">
        <v>20100629</v>
      </c>
      <c r="D400">
        <v>20101015</v>
      </c>
      <c r="E400" t="s">
        <v>942</v>
      </c>
      <c r="G400" t="s">
        <v>1027</v>
      </c>
      <c r="I400" t="s">
        <v>433</v>
      </c>
      <c r="K400">
        <v>1</v>
      </c>
      <c r="M400">
        <v>0</v>
      </c>
      <c r="N400">
        <v>15</v>
      </c>
      <c r="O400">
        <v>40</v>
      </c>
      <c r="P400">
        <v>9</v>
      </c>
    </row>
    <row r="401" spans="1:16">
      <c r="A401" t="s">
        <v>1028</v>
      </c>
      <c r="B401" t="e">
        <f>-BLD.M2A11L</f>
        <v>#NAME?</v>
      </c>
      <c r="C401">
        <v>20100629</v>
      </c>
      <c r="D401">
        <v>20101015</v>
      </c>
      <c r="E401" t="s">
        <v>1029</v>
      </c>
      <c r="G401" t="s">
        <v>1030</v>
      </c>
      <c r="I401" t="s">
        <v>433</v>
      </c>
      <c r="K401">
        <v>1</v>
      </c>
      <c r="M401">
        <v>0</v>
      </c>
      <c r="N401">
        <v>38.81</v>
      </c>
      <c r="O401">
        <v>40</v>
      </c>
      <c r="P401">
        <v>23.286000000000001</v>
      </c>
    </row>
    <row r="402" spans="1:16">
      <c r="A402" t="s">
        <v>1031</v>
      </c>
      <c r="B402" t="e">
        <f>-BLD.B22DDBACIER</f>
        <v>#NAME?</v>
      </c>
      <c r="C402">
        <v>20100629</v>
      </c>
      <c r="D402">
        <v>20101015</v>
      </c>
      <c r="E402" t="s">
        <v>672</v>
      </c>
      <c r="G402" t="s">
        <v>1032</v>
      </c>
      <c r="I402" t="s">
        <v>433</v>
      </c>
      <c r="K402">
        <v>1</v>
      </c>
      <c r="M402">
        <v>0</v>
      </c>
      <c r="N402">
        <v>2.39</v>
      </c>
      <c r="O402">
        <v>40</v>
      </c>
      <c r="P402">
        <v>1.4339999999999999</v>
      </c>
    </row>
    <row r="403" spans="1:16">
      <c r="A403" t="s">
        <v>1033</v>
      </c>
      <c r="B403" t="e">
        <f>-BLD.B22PLAST</f>
        <v>#NAME?</v>
      </c>
      <c r="C403">
        <v>20100629</v>
      </c>
      <c r="D403">
        <v>20101015</v>
      </c>
      <c r="E403" t="s">
        <v>672</v>
      </c>
      <c r="G403" t="s">
        <v>1034</v>
      </c>
      <c r="I403" t="s">
        <v>433</v>
      </c>
      <c r="K403">
        <v>1</v>
      </c>
      <c r="M403">
        <v>0</v>
      </c>
      <c r="N403">
        <v>1.51</v>
      </c>
      <c r="O403">
        <v>40</v>
      </c>
      <c r="P403">
        <v>0.90600000000000003</v>
      </c>
    </row>
    <row r="404" spans="1:16">
      <c r="A404" t="s">
        <v>1035</v>
      </c>
      <c r="B404" t="e">
        <f>-BLD.BPCHROME</f>
        <v>#NAME?</v>
      </c>
      <c r="C404">
        <v>20100629</v>
      </c>
      <c r="D404">
        <v>20101015</v>
      </c>
      <c r="E404" t="s">
        <v>1036</v>
      </c>
      <c r="G404" t="s">
        <v>1037</v>
      </c>
      <c r="I404" t="s">
        <v>433</v>
      </c>
      <c r="K404">
        <v>1</v>
      </c>
      <c r="M404">
        <v>0</v>
      </c>
      <c r="N404">
        <v>14.72</v>
      </c>
      <c r="O404">
        <v>40</v>
      </c>
      <c r="P404">
        <v>8.8320000000000007</v>
      </c>
    </row>
    <row r="405" spans="1:16">
      <c r="A405" t="s">
        <v>1038</v>
      </c>
      <c r="B405" t="e">
        <f>-BLD.DE30309</f>
        <v>#NAME?</v>
      </c>
      <c r="C405">
        <v>20100629</v>
      </c>
      <c r="D405">
        <v>20101015</v>
      </c>
      <c r="E405" t="s">
        <v>999</v>
      </c>
      <c r="G405" t="s">
        <v>1039</v>
      </c>
      <c r="I405" t="s">
        <v>433</v>
      </c>
      <c r="K405">
        <v>1</v>
      </c>
      <c r="M405">
        <v>0</v>
      </c>
      <c r="N405">
        <v>9.41</v>
      </c>
      <c r="O405">
        <v>40</v>
      </c>
      <c r="P405">
        <v>5.6459999999999999</v>
      </c>
    </row>
    <row r="406" spans="1:16">
      <c r="A406" t="s">
        <v>1040</v>
      </c>
      <c r="B406" t="e">
        <f>-BLD.DE35616</f>
        <v>#NAME?</v>
      </c>
      <c r="C406">
        <v>20100629</v>
      </c>
      <c r="D406">
        <v>20101015</v>
      </c>
      <c r="E406" t="s">
        <v>153</v>
      </c>
      <c r="G406" t="s">
        <v>1041</v>
      </c>
      <c r="I406" t="s">
        <v>433</v>
      </c>
      <c r="K406">
        <v>1</v>
      </c>
      <c r="M406">
        <v>0</v>
      </c>
      <c r="N406">
        <v>12.33</v>
      </c>
      <c r="O406">
        <v>40</v>
      </c>
      <c r="P406">
        <v>7.3979999999999997</v>
      </c>
    </row>
    <row r="407" spans="1:16">
      <c r="A407" t="s">
        <v>1042</v>
      </c>
      <c r="B407" t="e">
        <f>-BLD.DEPNR03B4</f>
        <v>#NAME?</v>
      </c>
      <c r="C407">
        <v>20100629</v>
      </c>
      <c r="D407">
        <v>20101015</v>
      </c>
      <c r="E407" t="s">
        <v>1043</v>
      </c>
      <c r="G407" t="s">
        <v>1044</v>
      </c>
      <c r="I407" t="s">
        <v>433</v>
      </c>
      <c r="K407">
        <v>1</v>
      </c>
      <c r="M407">
        <v>0</v>
      </c>
      <c r="N407">
        <v>1.65</v>
      </c>
      <c r="O407">
        <v>40</v>
      </c>
      <c r="P407">
        <v>0.99</v>
      </c>
    </row>
    <row r="408" spans="1:16">
      <c r="A408" t="s">
        <v>1045</v>
      </c>
      <c r="B408" t="e">
        <f>-BLD.ECO20</f>
        <v>#NAME?</v>
      </c>
      <c r="C408">
        <v>20100629</v>
      </c>
      <c r="D408">
        <v>20101015</v>
      </c>
      <c r="E408" t="s">
        <v>1018</v>
      </c>
      <c r="G408" t="s">
        <v>1046</v>
      </c>
      <c r="I408" t="s">
        <v>433</v>
      </c>
      <c r="K408">
        <v>1</v>
      </c>
      <c r="M408">
        <v>0</v>
      </c>
      <c r="N408">
        <v>9.48</v>
      </c>
      <c r="O408">
        <v>40</v>
      </c>
      <c r="P408">
        <v>5.6879999999999997</v>
      </c>
    </row>
    <row r="409" spans="1:16">
      <c r="A409" t="s">
        <v>1047</v>
      </c>
      <c r="B409" t="e">
        <f>-BLD.ECOSTD</f>
        <v>#NAME?</v>
      </c>
      <c r="C409">
        <v>20100629</v>
      </c>
      <c r="D409">
        <v>20101015</v>
      </c>
      <c r="E409" t="s">
        <v>1018</v>
      </c>
      <c r="G409" t="s">
        <v>1048</v>
      </c>
      <c r="I409" t="s">
        <v>433</v>
      </c>
      <c r="K409">
        <v>1</v>
      </c>
      <c r="M409">
        <v>0</v>
      </c>
      <c r="N409">
        <v>17.98</v>
      </c>
      <c r="O409">
        <v>40</v>
      </c>
      <c r="P409">
        <v>10.788</v>
      </c>
    </row>
    <row r="410" spans="1:16">
      <c r="A410" t="s">
        <v>1049</v>
      </c>
      <c r="B410" t="e">
        <f>-BLD.LD2114PH</f>
        <v>#NAME?</v>
      </c>
      <c r="C410">
        <v>20100629</v>
      </c>
      <c r="D410">
        <v>20101015</v>
      </c>
      <c r="E410" t="s">
        <v>1050</v>
      </c>
      <c r="G410" t="s">
        <v>1051</v>
      </c>
      <c r="I410" t="s">
        <v>433</v>
      </c>
      <c r="K410">
        <v>1</v>
      </c>
      <c r="M410">
        <v>0</v>
      </c>
      <c r="N410">
        <v>40.24</v>
      </c>
      <c r="O410">
        <v>40</v>
      </c>
      <c r="P410">
        <v>24.143999999999998</v>
      </c>
    </row>
    <row r="411" spans="1:16">
      <c r="A411" t="s">
        <v>1052</v>
      </c>
      <c r="B411" t="e">
        <f>-BLD.NR2F07</f>
        <v>#NAME?</v>
      </c>
      <c r="C411">
        <v>20100629</v>
      </c>
      <c r="D411">
        <v>20101015</v>
      </c>
      <c r="E411" t="s">
        <v>989</v>
      </c>
      <c r="G411" t="s">
        <v>1053</v>
      </c>
      <c r="I411" t="s">
        <v>433</v>
      </c>
      <c r="K411">
        <v>1</v>
      </c>
      <c r="M411">
        <v>0</v>
      </c>
      <c r="N411">
        <v>0.86</v>
      </c>
      <c r="O411">
        <v>40</v>
      </c>
      <c r="P411">
        <v>0.51600000000000001</v>
      </c>
    </row>
    <row r="412" spans="1:16">
      <c r="A412" t="s">
        <v>1054</v>
      </c>
      <c r="B412" t="e">
        <f>-BLD.PNR9VB</f>
        <v>#NAME?</v>
      </c>
      <c r="C412">
        <v>20100629</v>
      </c>
      <c r="D412">
        <v>20101015</v>
      </c>
      <c r="E412" t="s">
        <v>1024</v>
      </c>
      <c r="G412" t="s">
        <v>1055</v>
      </c>
      <c r="I412" t="s">
        <v>433</v>
      </c>
      <c r="K412">
        <v>1</v>
      </c>
      <c r="M412">
        <v>0</v>
      </c>
      <c r="N412">
        <v>1.22</v>
      </c>
      <c r="O412">
        <v>40</v>
      </c>
      <c r="P412">
        <v>0.73199999999999998</v>
      </c>
    </row>
    <row r="413" spans="1:16">
      <c r="A413" t="s">
        <v>1056</v>
      </c>
      <c r="B413" t="e">
        <f>-BLD.PR15</f>
        <v>#NAME?</v>
      </c>
      <c r="C413">
        <v>20100629</v>
      </c>
      <c r="D413">
        <v>20101015</v>
      </c>
      <c r="E413" t="s">
        <v>899</v>
      </c>
      <c r="G413" t="s">
        <v>1057</v>
      </c>
      <c r="I413" t="s">
        <v>433</v>
      </c>
      <c r="K413">
        <v>1</v>
      </c>
      <c r="M413">
        <v>0</v>
      </c>
      <c r="N413">
        <v>66.95</v>
      </c>
      <c r="O413">
        <v>40</v>
      </c>
      <c r="P413">
        <v>40.17</v>
      </c>
    </row>
    <row r="414" spans="1:16">
      <c r="A414" t="s">
        <v>1058</v>
      </c>
      <c r="B414" t="e">
        <f>-BLD.TB2170</f>
        <v>#NAME?</v>
      </c>
      <c r="C414">
        <v>20100629</v>
      </c>
      <c r="D414">
        <v>20101015</v>
      </c>
      <c r="E414" t="s">
        <v>1059</v>
      </c>
      <c r="G414" t="s">
        <v>1060</v>
      </c>
      <c r="I414" t="s">
        <v>433</v>
      </c>
      <c r="K414">
        <v>1</v>
      </c>
      <c r="M414">
        <v>0</v>
      </c>
      <c r="N414">
        <v>6.43</v>
      </c>
      <c r="O414">
        <v>40</v>
      </c>
      <c r="P414">
        <v>3.8580000000000001</v>
      </c>
    </row>
    <row r="415" spans="1:16">
      <c r="A415" t="s">
        <v>1061</v>
      </c>
      <c r="B415" t="e">
        <f>-BLD.TV5NN</f>
        <v>#NAME?</v>
      </c>
      <c r="C415">
        <v>20100629</v>
      </c>
      <c r="D415">
        <v>20101015</v>
      </c>
      <c r="E415" t="s">
        <v>1062</v>
      </c>
      <c r="G415" t="s">
        <v>1063</v>
      </c>
      <c r="I415" t="s">
        <v>433</v>
      </c>
      <c r="K415">
        <v>1</v>
      </c>
      <c r="M415">
        <v>0</v>
      </c>
      <c r="N415">
        <v>8.76</v>
      </c>
      <c r="O415">
        <v>40</v>
      </c>
      <c r="P415">
        <v>5.2560000000000002</v>
      </c>
    </row>
    <row r="416" spans="1:16">
      <c r="A416" t="s">
        <v>1064</v>
      </c>
      <c r="B416" t="e">
        <f>-BLD.USFR</f>
        <v>#NAME?</v>
      </c>
      <c r="C416">
        <v>20100629</v>
      </c>
      <c r="D416">
        <v>20101015</v>
      </c>
      <c r="E416" t="s">
        <v>346</v>
      </c>
      <c r="G416" t="s">
        <v>1065</v>
      </c>
      <c r="I416" t="s">
        <v>433</v>
      </c>
      <c r="K416">
        <v>1</v>
      </c>
      <c r="M416">
        <v>0</v>
      </c>
      <c r="N416">
        <v>2.65</v>
      </c>
      <c r="O416">
        <v>40</v>
      </c>
      <c r="P416">
        <v>1.59</v>
      </c>
    </row>
    <row r="417" spans="1:16">
      <c r="A417" t="s">
        <v>1066</v>
      </c>
      <c r="B417" t="e">
        <f>-BRA.4005</f>
        <v>#NAME?</v>
      </c>
      <c r="C417">
        <v>20100629</v>
      </c>
      <c r="D417">
        <v>20101004</v>
      </c>
      <c r="E417" t="s">
        <v>1067</v>
      </c>
      <c r="G417" t="s">
        <v>1068</v>
      </c>
      <c r="I417" t="s">
        <v>573</v>
      </c>
      <c r="K417">
        <v>1</v>
      </c>
      <c r="M417">
        <v>0</v>
      </c>
      <c r="N417">
        <v>84.62</v>
      </c>
      <c r="O417">
        <v>40</v>
      </c>
      <c r="P417">
        <v>50.771999999999998</v>
      </c>
    </row>
    <row r="418" spans="1:16">
      <c r="A418" t="s">
        <v>1069</v>
      </c>
      <c r="B418" t="e">
        <f>-BRA.5015</f>
        <v>#NAME?</v>
      </c>
      <c r="C418">
        <v>20100629</v>
      </c>
      <c r="D418">
        <v>20101004</v>
      </c>
      <c r="E418" t="s">
        <v>1067</v>
      </c>
      <c r="G418" t="s">
        <v>1070</v>
      </c>
      <c r="I418" t="s">
        <v>573</v>
      </c>
      <c r="K418">
        <v>1</v>
      </c>
      <c r="M418">
        <v>0</v>
      </c>
      <c r="N418">
        <v>222.66</v>
      </c>
      <c r="O418">
        <v>40</v>
      </c>
      <c r="P418">
        <v>133.596</v>
      </c>
    </row>
    <row r="419" spans="1:16">
      <c r="A419" t="s">
        <v>1071</v>
      </c>
      <c r="B419" t="e">
        <f>-CAB.10</f>
        <v>#NAME?</v>
      </c>
      <c r="C419">
        <v>20100629</v>
      </c>
      <c r="D419">
        <v>20101004</v>
      </c>
      <c r="E419" t="s">
        <v>1072</v>
      </c>
      <c r="G419" t="s">
        <v>1073</v>
      </c>
      <c r="I419" t="s">
        <v>1074</v>
      </c>
      <c r="K419">
        <v>1</v>
      </c>
      <c r="M419">
        <v>0</v>
      </c>
      <c r="N419">
        <v>214.64</v>
      </c>
      <c r="O419">
        <v>40</v>
      </c>
      <c r="P419">
        <v>128.78399999999999</v>
      </c>
    </row>
    <row r="420" spans="1:16">
      <c r="A420" t="s">
        <v>1075</v>
      </c>
      <c r="B420" t="e">
        <f>-CAB.10P0.6</f>
        <v>#NAME?</v>
      </c>
      <c r="C420">
        <v>20100629</v>
      </c>
      <c r="D420">
        <v>20101004</v>
      </c>
      <c r="E420" t="s">
        <v>1076</v>
      </c>
      <c r="G420" t="s">
        <v>1077</v>
      </c>
      <c r="I420" t="s">
        <v>1074</v>
      </c>
      <c r="K420">
        <v>1</v>
      </c>
      <c r="M420">
        <v>0</v>
      </c>
      <c r="N420">
        <v>3.74</v>
      </c>
      <c r="O420">
        <v>40</v>
      </c>
      <c r="P420">
        <v>2.2440000000000002</v>
      </c>
    </row>
    <row r="421" spans="1:16">
      <c r="A421" t="s">
        <v>1078</v>
      </c>
      <c r="B421" t="e">
        <f>-CAB.16</f>
        <v>#NAME?</v>
      </c>
      <c r="C421">
        <v>20100629</v>
      </c>
      <c r="D421">
        <v>20101004</v>
      </c>
      <c r="E421" t="s">
        <v>1072</v>
      </c>
      <c r="G421" t="s">
        <v>1079</v>
      </c>
      <c r="I421" t="s">
        <v>1074</v>
      </c>
      <c r="K421">
        <v>1</v>
      </c>
      <c r="M421">
        <v>0</v>
      </c>
      <c r="N421">
        <v>374.77</v>
      </c>
      <c r="O421">
        <v>40</v>
      </c>
      <c r="P421">
        <v>224.86199999999999</v>
      </c>
    </row>
    <row r="422" spans="1:16">
      <c r="A422" t="s">
        <v>1080</v>
      </c>
      <c r="B422" t="e">
        <f>-CAB.16S</f>
        <v>#NAME?</v>
      </c>
      <c r="C422">
        <v>20100629</v>
      </c>
      <c r="D422">
        <v>20101004</v>
      </c>
      <c r="E422" t="s">
        <v>1081</v>
      </c>
      <c r="G422" t="s">
        <v>1082</v>
      </c>
      <c r="I422" t="s">
        <v>1074</v>
      </c>
      <c r="K422">
        <v>1</v>
      </c>
      <c r="M422">
        <v>0</v>
      </c>
      <c r="N422">
        <v>5.33</v>
      </c>
      <c r="O422">
        <v>40</v>
      </c>
      <c r="P422">
        <v>3.198</v>
      </c>
    </row>
    <row r="423" spans="1:16">
      <c r="A423" t="s">
        <v>1083</v>
      </c>
      <c r="B423" t="e">
        <f>-CAB.2.5AM</f>
        <v>#NAME?</v>
      </c>
      <c r="C423">
        <v>20100629</v>
      </c>
      <c r="D423">
        <v>20101004</v>
      </c>
      <c r="E423" t="s">
        <v>1084</v>
      </c>
      <c r="G423" t="s">
        <v>1085</v>
      </c>
      <c r="I423" t="s">
        <v>1074</v>
      </c>
      <c r="K423">
        <v>1</v>
      </c>
      <c r="M423">
        <v>0</v>
      </c>
      <c r="N423">
        <v>6.02</v>
      </c>
      <c r="O423">
        <v>40</v>
      </c>
      <c r="P423">
        <v>3.6120000000000001</v>
      </c>
    </row>
    <row r="424" spans="1:16">
      <c r="A424" t="s">
        <v>1086</v>
      </c>
      <c r="B424" t="e">
        <f>-CAB.2XBLINDE</f>
        <v>#NAME?</v>
      </c>
      <c r="C424">
        <v>20100629</v>
      </c>
      <c r="D424">
        <v>20101004</v>
      </c>
      <c r="E424" t="s">
        <v>1087</v>
      </c>
      <c r="G424" t="s">
        <v>1088</v>
      </c>
      <c r="I424" t="s">
        <v>1074</v>
      </c>
      <c r="K424">
        <v>1</v>
      </c>
      <c r="M424">
        <v>0</v>
      </c>
      <c r="N424">
        <v>1.7</v>
      </c>
      <c r="O424">
        <v>40</v>
      </c>
      <c r="P424">
        <v>1.02</v>
      </c>
    </row>
    <row r="425" spans="1:16">
      <c r="A425" t="s">
        <v>1089</v>
      </c>
      <c r="B425" t="e">
        <f>-CAB.4P0.6PLAT</f>
        <v>#NAME?</v>
      </c>
      <c r="C425">
        <v>20100629</v>
      </c>
      <c r="D425">
        <v>20101004</v>
      </c>
      <c r="E425" t="s">
        <v>96</v>
      </c>
      <c r="G425" t="s">
        <v>1090</v>
      </c>
      <c r="I425" t="s">
        <v>1074</v>
      </c>
      <c r="K425">
        <v>1</v>
      </c>
      <c r="M425">
        <v>0</v>
      </c>
      <c r="N425">
        <v>2.71</v>
      </c>
      <c r="O425">
        <v>40</v>
      </c>
      <c r="P425">
        <v>1.6259999999999999</v>
      </c>
    </row>
    <row r="426" spans="1:16">
      <c r="A426" t="s">
        <v>1091</v>
      </c>
      <c r="B426" t="e">
        <f>-CAB.50-OHMS</f>
        <v>#NAME?</v>
      </c>
      <c r="C426">
        <v>20100629</v>
      </c>
      <c r="D426">
        <v>20101005</v>
      </c>
      <c r="E426" t="s">
        <v>96</v>
      </c>
      <c r="G426" t="s">
        <v>1092</v>
      </c>
      <c r="I426" t="s">
        <v>1074</v>
      </c>
      <c r="K426">
        <v>1</v>
      </c>
      <c r="M426">
        <v>0</v>
      </c>
      <c r="N426">
        <v>3.09</v>
      </c>
      <c r="O426">
        <v>40</v>
      </c>
      <c r="P426">
        <v>1.8540000000000001</v>
      </c>
    </row>
    <row r="427" spans="1:16">
      <c r="A427" t="s">
        <v>1093</v>
      </c>
      <c r="B427" t="e">
        <f>-CAB.5P0.6</f>
        <v>#NAME?</v>
      </c>
      <c r="C427">
        <v>20100629</v>
      </c>
      <c r="D427">
        <v>20101004</v>
      </c>
      <c r="E427" t="s">
        <v>96</v>
      </c>
      <c r="G427" t="s">
        <v>1094</v>
      </c>
      <c r="I427" t="s">
        <v>1074</v>
      </c>
      <c r="K427">
        <v>1</v>
      </c>
      <c r="M427">
        <v>0</v>
      </c>
      <c r="N427">
        <v>2.2400000000000002</v>
      </c>
      <c r="O427">
        <v>40</v>
      </c>
      <c r="P427">
        <v>1.3440000000000001</v>
      </c>
    </row>
    <row r="428" spans="1:16">
      <c r="A428" t="s">
        <v>1095</v>
      </c>
      <c r="B428" t="e">
        <f>-CAB.5P0.9</f>
        <v>#NAME?</v>
      </c>
      <c r="C428">
        <v>20100629</v>
      </c>
      <c r="D428">
        <v>20101004</v>
      </c>
      <c r="E428" t="s">
        <v>96</v>
      </c>
      <c r="G428" t="s">
        <v>1096</v>
      </c>
      <c r="H428" t="s">
        <v>1097</v>
      </c>
      <c r="I428" t="s">
        <v>1074</v>
      </c>
      <c r="K428">
        <v>1</v>
      </c>
      <c r="M428">
        <v>0</v>
      </c>
      <c r="N428">
        <v>2.4</v>
      </c>
      <c r="O428">
        <v>40</v>
      </c>
      <c r="P428">
        <v>1.44</v>
      </c>
    </row>
    <row r="429" spans="1:16">
      <c r="A429" t="s">
        <v>1098</v>
      </c>
      <c r="B429" t="e">
        <f>-CAB.6MM2</f>
        <v>#NAME?</v>
      </c>
      <c r="C429">
        <v>20100629</v>
      </c>
      <c r="D429">
        <v>20101004</v>
      </c>
      <c r="E429" t="s">
        <v>1099</v>
      </c>
      <c r="G429" t="s">
        <v>1100</v>
      </c>
      <c r="I429" t="s">
        <v>1074</v>
      </c>
      <c r="K429">
        <v>1</v>
      </c>
      <c r="M429">
        <v>0</v>
      </c>
      <c r="N429">
        <v>136.57</v>
      </c>
      <c r="O429">
        <v>40</v>
      </c>
      <c r="P429">
        <v>81.941999999999993</v>
      </c>
    </row>
    <row r="430" spans="1:16">
      <c r="A430" t="s">
        <v>1101</v>
      </c>
      <c r="B430" t="e">
        <f>-CAB.6MM2S</f>
        <v>#NAME?</v>
      </c>
      <c r="C430">
        <v>20100629</v>
      </c>
      <c r="D430">
        <v>20101004</v>
      </c>
      <c r="E430" t="s">
        <v>1102</v>
      </c>
      <c r="G430" t="s">
        <v>1103</v>
      </c>
      <c r="I430" t="s">
        <v>1074</v>
      </c>
      <c r="K430">
        <v>1</v>
      </c>
      <c r="M430">
        <v>0</v>
      </c>
      <c r="N430">
        <v>2.4</v>
      </c>
      <c r="O430">
        <v>40</v>
      </c>
      <c r="P430">
        <v>1.44</v>
      </c>
    </row>
    <row r="431" spans="1:16">
      <c r="A431" t="s">
        <v>1104</v>
      </c>
      <c r="B431" t="e">
        <f>-CAB.7P0.6</f>
        <v>#NAME?</v>
      </c>
      <c r="C431">
        <v>20100629</v>
      </c>
      <c r="D431">
        <v>20101004</v>
      </c>
      <c r="E431" t="s">
        <v>1076</v>
      </c>
      <c r="G431" t="s">
        <v>1105</v>
      </c>
      <c r="I431" t="s">
        <v>1074</v>
      </c>
      <c r="K431">
        <v>1</v>
      </c>
      <c r="M431">
        <v>0</v>
      </c>
      <c r="N431">
        <v>2.67</v>
      </c>
      <c r="O431">
        <v>40</v>
      </c>
      <c r="P431">
        <v>1.6020000000000001</v>
      </c>
    </row>
    <row r="432" spans="1:16">
      <c r="A432" t="s">
        <v>1106</v>
      </c>
      <c r="B432" t="e">
        <f>-CAB.BLEU4G2.5</f>
        <v>#NAME?</v>
      </c>
      <c r="C432">
        <v>20100629</v>
      </c>
      <c r="D432">
        <v>20101004</v>
      </c>
      <c r="E432" t="s">
        <v>1107</v>
      </c>
      <c r="G432" t="s">
        <v>1108</v>
      </c>
      <c r="I432" t="s">
        <v>1074</v>
      </c>
      <c r="K432">
        <v>1</v>
      </c>
      <c r="M432">
        <v>0</v>
      </c>
      <c r="N432">
        <v>7.74</v>
      </c>
      <c r="O432">
        <v>40</v>
      </c>
      <c r="P432">
        <v>4.6440000000000001</v>
      </c>
    </row>
    <row r="433" spans="1:16">
      <c r="A433" t="s">
        <v>1109</v>
      </c>
      <c r="B433" t="e">
        <f>-CAB.CABLEVERT</f>
        <v>#NAME?</v>
      </c>
      <c r="C433">
        <v>20100629</v>
      </c>
      <c r="D433">
        <v>20101004</v>
      </c>
      <c r="E433" t="s">
        <v>96</v>
      </c>
      <c r="G433" t="s">
        <v>1110</v>
      </c>
      <c r="I433" t="s">
        <v>1074</v>
      </c>
      <c r="K433">
        <v>1</v>
      </c>
      <c r="M433">
        <v>0</v>
      </c>
      <c r="N433">
        <v>1.61</v>
      </c>
      <c r="O433">
        <v>40</v>
      </c>
      <c r="P433">
        <v>0.96599999999999997</v>
      </c>
    </row>
    <row r="434" spans="1:16">
      <c r="A434" t="s">
        <v>1111</v>
      </c>
      <c r="B434" t="e">
        <f>-CAB.FILMICRO</f>
        <v>#NAME?</v>
      </c>
      <c r="C434">
        <v>20100629</v>
      </c>
      <c r="D434">
        <v>20101004</v>
      </c>
      <c r="E434" t="s">
        <v>1112</v>
      </c>
      <c r="G434" t="s">
        <v>1113</v>
      </c>
      <c r="I434" t="s">
        <v>1074</v>
      </c>
      <c r="K434">
        <v>1</v>
      </c>
      <c r="M434">
        <v>0</v>
      </c>
      <c r="N434">
        <v>2.62</v>
      </c>
      <c r="O434">
        <v>40</v>
      </c>
      <c r="P434">
        <v>1.5720000000000001</v>
      </c>
    </row>
    <row r="435" spans="1:16">
      <c r="A435" t="s">
        <v>1114</v>
      </c>
      <c r="B435" t="e">
        <f>-CAB.H032X0.5</f>
        <v>#NAME?</v>
      </c>
      <c r="C435">
        <v>20100629</v>
      </c>
      <c r="D435">
        <v>20101004</v>
      </c>
      <c r="E435" t="s">
        <v>96</v>
      </c>
      <c r="G435" t="s">
        <v>1115</v>
      </c>
      <c r="I435" t="s">
        <v>1074</v>
      </c>
      <c r="K435">
        <v>1</v>
      </c>
      <c r="M435">
        <v>0</v>
      </c>
      <c r="N435">
        <v>0.96</v>
      </c>
      <c r="O435">
        <v>40</v>
      </c>
      <c r="P435">
        <v>0.57599999999999996</v>
      </c>
    </row>
    <row r="436" spans="1:16">
      <c r="A436" t="s">
        <v>1116</v>
      </c>
      <c r="B436" t="e">
        <f>-CAB.HO32X0.75</f>
        <v>#NAME?</v>
      </c>
      <c r="C436">
        <v>20100629</v>
      </c>
      <c r="D436">
        <v>20101004</v>
      </c>
      <c r="E436" t="s">
        <v>96</v>
      </c>
      <c r="G436" t="s">
        <v>1117</v>
      </c>
      <c r="I436" t="s">
        <v>1074</v>
      </c>
      <c r="K436">
        <v>1</v>
      </c>
      <c r="M436">
        <v>0</v>
      </c>
      <c r="N436">
        <v>1.5</v>
      </c>
      <c r="O436">
        <v>40</v>
      </c>
      <c r="P436">
        <v>0.9</v>
      </c>
    </row>
    <row r="437" spans="1:16">
      <c r="A437" t="s">
        <v>1118</v>
      </c>
      <c r="B437" t="e">
        <f>-BLD.MM2P+T</f>
        <v>#NAME?</v>
      </c>
      <c r="C437">
        <v>20100629</v>
      </c>
      <c r="D437">
        <v>20101015</v>
      </c>
      <c r="E437" t="s">
        <v>153</v>
      </c>
      <c r="G437" t="s">
        <v>1119</v>
      </c>
      <c r="I437" t="s">
        <v>433</v>
      </c>
      <c r="K437">
        <v>1</v>
      </c>
      <c r="M437">
        <v>0</v>
      </c>
      <c r="N437">
        <v>10.58</v>
      </c>
      <c r="O437">
        <v>40</v>
      </c>
      <c r="P437">
        <v>6.3479999999999999</v>
      </c>
    </row>
    <row r="438" spans="1:16">
      <c r="A438" t="s">
        <v>1120</v>
      </c>
      <c r="B438" t="e">
        <f>-BLD.MN2F07</f>
        <v>#NAME?</v>
      </c>
      <c r="C438">
        <v>20100629</v>
      </c>
      <c r="D438">
        <v>20101015</v>
      </c>
      <c r="E438" t="s">
        <v>989</v>
      </c>
      <c r="G438" t="s">
        <v>1121</v>
      </c>
      <c r="I438" t="s">
        <v>433</v>
      </c>
      <c r="K438">
        <v>1</v>
      </c>
      <c r="M438">
        <v>0</v>
      </c>
      <c r="N438">
        <v>0.86</v>
      </c>
      <c r="O438">
        <v>40</v>
      </c>
      <c r="P438">
        <v>0.51600000000000001</v>
      </c>
    </row>
    <row r="439" spans="1:16">
      <c r="A439" t="s">
        <v>1122</v>
      </c>
      <c r="B439" t="e">
        <f>-BLD.PNR03B4</f>
        <v>#NAME?</v>
      </c>
      <c r="C439">
        <v>20100629</v>
      </c>
      <c r="D439">
        <v>20101015</v>
      </c>
      <c r="E439" t="s">
        <v>1024</v>
      </c>
      <c r="G439" t="s">
        <v>1123</v>
      </c>
      <c r="I439" t="s">
        <v>433</v>
      </c>
      <c r="K439">
        <v>1</v>
      </c>
      <c r="M439">
        <v>0</v>
      </c>
      <c r="N439">
        <v>2.48</v>
      </c>
      <c r="O439">
        <v>40</v>
      </c>
      <c r="P439">
        <v>1.488</v>
      </c>
    </row>
    <row r="440" spans="1:16">
      <c r="A440" t="s">
        <v>1124</v>
      </c>
      <c r="B440" t="e">
        <f>-BLD.PNR6B</f>
        <v>#NAME?</v>
      </c>
      <c r="C440">
        <v>20100629</v>
      </c>
      <c r="D440">
        <v>20101015</v>
      </c>
      <c r="E440" t="s">
        <v>1024</v>
      </c>
      <c r="G440" t="s">
        <v>1125</v>
      </c>
      <c r="I440" t="s">
        <v>433</v>
      </c>
      <c r="K440">
        <v>1</v>
      </c>
      <c r="M440">
        <v>0</v>
      </c>
      <c r="N440">
        <v>1.34</v>
      </c>
      <c r="O440">
        <v>40</v>
      </c>
      <c r="P440">
        <v>0.80400000000000005</v>
      </c>
    </row>
    <row r="441" spans="1:16">
      <c r="A441" t="s">
        <v>1126</v>
      </c>
      <c r="B441" t="e">
        <f>-BLD.R1111</f>
        <v>#NAME?</v>
      </c>
      <c r="C441">
        <v>20100629</v>
      </c>
      <c r="D441">
        <v>20101015</v>
      </c>
      <c r="E441" t="s">
        <v>319</v>
      </c>
      <c r="G441" t="s">
        <v>1127</v>
      </c>
      <c r="I441" t="s">
        <v>433</v>
      </c>
      <c r="K441">
        <v>1</v>
      </c>
      <c r="M441">
        <v>0</v>
      </c>
      <c r="N441">
        <v>8.01</v>
      </c>
      <c r="O441">
        <v>40</v>
      </c>
      <c r="P441">
        <v>4.806</v>
      </c>
    </row>
    <row r="442" spans="1:16">
      <c r="A442" t="s">
        <v>1128</v>
      </c>
      <c r="B442" t="e">
        <f>-BLD.RV1</f>
        <v>#NAME?</v>
      </c>
      <c r="C442">
        <v>20100629</v>
      </c>
      <c r="D442">
        <v>20101015</v>
      </c>
      <c r="E442" t="s">
        <v>1129</v>
      </c>
      <c r="G442" t="s">
        <v>1130</v>
      </c>
      <c r="I442" t="s">
        <v>433</v>
      </c>
      <c r="K442">
        <v>1</v>
      </c>
      <c r="M442">
        <v>0</v>
      </c>
      <c r="N442">
        <v>7.11</v>
      </c>
      <c r="O442">
        <v>40</v>
      </c>
      <c r="P442">
        <v>4.266</v>
      </c>
    </row>
    <row r="443" spans="1:16">
      <c r="A443" t="s">
        <v>1131</v>
      </c>
      <c r="B443" t="e">
        <f>-BLD.SILICONE</f>
        <v>#NAME?</v>
      </c>
      <c r="C443">
        <v>20100629</v>
      </c>
      <c r="D443">
        <v>20101015</v>
      </c>
      <c r="E443" t="s">
        <v>1132</v>
      </c>
      <c r="G443" t="s">
        <v>1133</v>
      </c>
      <c r="I443" t="s">
        <v>433</v>
      </c>
      <c r="K443">
        <v>1</v>
      </c>
      <c r="M443">
        <v>0</v>
      </c>
      <c r="N443">
        <v>2.25</v>
      </c>
      <c r="O443">
        <v>40</v>
      </c>
      <c r="P443">
        <v>1.35</v>
      </c>
    </row>
    <row r="444" spans="1:16">
      <c r="A444" t="s">
        <v>1134</v>
      </c>
      <c r="B444" t="e">
        <f>-BLD.TV2NN</f>
        <v>#NAME?</v>
      </c>
      <c r="C444">
        <v>20100629</v>
      </c>
      <c r="D444">
        <v>20101015</v>
      </c>
      <c r="E444" t="s">
        <v>1062</v>
      </c>
      <c r="G444" t="s">
        <v>1135</v>
      </c>
      <c r="I444" t="s">
        <v>433</v>
      </c>
      <c r="K444">
        <v>1</v>
      </c>
      <c r="M444">
        <v>0</v>
      </c>
      <c r="N444">
        <v>5.47</v>
      </c>
      <c r="O444">
        <v>40</v>
      </c>
      <c r="P444">
        <v>3.282</v>
      </c>
    </row>
    <row r="445" spans="1:16">
      <c r="A445" t="s">
        <v>1136</v>
      </c>
      <c r="B445" t="e">
        <f>-BLD.TV3NN</f>
        <v>#NAME?</v>
      </c>
      <c r="C445">
        <v>20100629</v>
      </c>
      <c r="D445">
        <v>20101015</v>
      </c>
      <c r="E445" t="s">
        <v>1062</v>
      </c>
      <c r="G445" t="s">
        <v>1137</v>
      </c>
      <c r="I445" t="s">
        <v>433</v>
      </c>
      <c r="K445">
        <v>1</v>
      </c>
      <c r="M445">
        <v>0</v>
      </c>
      <c r="N445">
        <v>5.68</v>
      </c>
      <c r="O445">
        <v>40</v>
      </c>
      <c r="P445">
        <v>3.4079999999999999</v>
      </c>
    </row>
    <row r="446" spans="1:16">
      <c r="A446" t="s">
        <v>1138</v>
      </c>
      <c r="B446" t="e">
        <f>-BLD.VP</f>
        <v>#NAME?</v>
      </c>
      <c r="C446">
        <v>20100629</v>
      </c>
      <c r="D446">
        <v>20101015</v>
      </c>
      <c r="E446" t="s">
        <v>1139</v>
      </c>
      <c r="G446" t="s">
        <v>1140</v>
      </c>
      <c r="I446" t="s">
        <v>433</v>
      </c>
      <c r="K446">
        <v>1</v>
      </c>
      <c r="M446">
        <v>0</v>
      </c>
      <c r="N446">
        <v>7.05</v>
      </c>
      <c r="O446">
        <v>40</v>
      </c>
      <c r="P446">
        <v>4.2300000000000004</v>
      </c>
    </row>
    <row r="447" spans="1:16">
      <c r="A447" t="s">
        <v>1141</v>
      </c>
      <c r="B447" t="e">
        <f>-BRA.MD31</f>
        <v>#NAME?</v>
      </c>
      <c r="C447">
        <v>20100629</v>
      </c>
      <c r="D447">
        <v>20101004</v>
      </c>
      <c r="E447" t="s">
        <v>1142</v>
      </c>
      <c r="G447" t="s">
        <v>1143</v>
      </c>
      <c r="I447" t="s">
        <v>573</v>
      </c>
      <c r="K447">
        <v>1</v>
      </c>
      <c r="M447">
        <v>0</v>
      </c>
      <c r="N447">
        <v>73.98</v>
      </c>
      <c r="O447">
        <v>40</v>
      </c>
      <c r="P447">
        <v>44.387999999999998</v>
      </c>
    </row>
    <row r="448" spans="1:16">
      <c r="A448" t="s">
        <v>1144</v>
      </c>
      <c r="B448" t="e">
        <f>-CAB.1.5</f>
        <v>#NAME?</v>
      </c>
      <c r="C448">
        <v>20100629</v>
      </c>
      <c r="D448">
        <v>20101004</v>
      </c>
      <c r="E448" t="s">
        <v>1145</v>
      </c>
      <c r="G448" t="s">
        <v>1146</v>
      </c>
      <c r="I448" t="s">
        <v>1074</v>
      </c>
      <c r="K448">
        <v>1</v>
      </c>
      <c r="M448">
        <v>0</v>
      </c>
      <c r="N448">
        <v>29.28</v>
      </c>
      <c r="O448">
        <v>40</v>
      </c>
      <c r="P448">
        <v>17.568000000000001</v>
      </c>
    </row>
    <row r="449" spans="1:16">
      <c r="A449" t="s">
        <v>1147</v>
      </c>
      <c r="B449" t="e">
        <f>-CAB.1.5AM</f>
        <v>#NAME?</v>
      </c>
      <c r="C449">
        <v>20100629</v>
      </c>
      <c r="D449">
        <v>20101004</v>
      </c>
      <c r="E449" t="s">
        <v>1148</v>
      </c>
      <c r="G449" t="s">
        <v>1149</v>
      </c>
      <c r="I449" t="s">
        <v>1074</v>
      </c>
      <c r="K449">
        <v>1</v>
      </c>
      <c r="M449">
        <v>0</v>
      </c>
      <c r="N449">
        <v>2.13</v>
      </c>
      <c r="O449">
        <v>40</v>
      </c>
      <c r="P449">
        <v>1.278</v>
      </c>
    </row>
    <row r="450" spans="1:16">
      <c r="A450" t="s">
        <v>1150</v>
      </c>
      <c r="B450" t="e">
        <f>-CAB.1.5S</f>
        <v>#NAME?</v>
      </c>
      <c r="C450">
        <v>20100629</v>
      </c>
      <c r="D450">
        <v>20101004</v>
      </c>
      <c r="E450" t="s">
        <v>1151</v>
      </c>
      <c r="G450" t="s">
        <v>1152</v>
      </c>
      <c r="I450" t="s">
        <v>1074</v>
      </c>
      <c r="K450">
        <v>1</v>
      </c>
      <c r="M450">
        <v>0</v>
      </c>
      <c r="N450">
        <v>0.54</v>
      </c>
      <c r="O450">
        <v>40</v>
      </c>
      <c r="P450">
        <v>0.32400000000000001</v>
      </c>
    </row>
    <row r="451" spans="1:16">
      <c r="A451" t="s">
        <v>1153</v>
      </c>
      <c r="B451" t="e">
        <f>-CAB.10S</f>
        <v>#NAME?</v>
      </c>
      <c r="C451">
        <v>20100629</v>
      </c>
      <c r="D451">
        <v>20101004</v>
      </c>
      <c r="E451" t="s">
        <v>1102</v>
      </c>
      <c r="G451" t="s">
        <v>1154</v>
      </c>
      <c r="I451" t="s">
        <v>1074</v>
      </c>
      <c r="K451">
        <v>1</v>
      </c>
      <c r="M451">
        <v>0</v>
      </c>
      <c r="N451">
        <v>1.7</v>
      </c>
      <c r="O451">
        <v>40</v>
      </c>
      <c r="P451">
        <v>1.02</v>
      </c>
    </row>
    <row r="452" spans="1:16">
      <c r="A452" t="s">
        <v>1155</v>
      </c>
      <c r="B452" t="e">
        <f>-CAB.2.5</f>
        <v>#NAME?</v>
      </c>
      <c r="C452">
        <v>20100629</v>
      </c>
      <c r="D452">
        <v>20101004</v>
      </c>
      <c r="E452" t="s">
        <v>1072</v>
      </c>
      <c r="G452" t="s">
        <v>1156</v>
      </c>
      <c r="I452" t="s">
        <v>1074</v>
      </c>
      <c r="K452">
        <v>1</v>
      </c>
      <c r="M452">
        <v>0</v>
      </c>
      <c r="N452">
        <v>50.4</v>
      </c>
      <c r="O452">
        <v>40</v>
      </c>
      <c r="P452">
        <v>30.24</v>
      </c>
    </row>
    <row r="453" spans="1:16">
      <c r="A453" t="s">
        <v>1157</v>
      </c>
      <c r="B453" t="e">
        <f>-CAB.2.5S</f>
        <v>#NAME?</v>
      </c>
      <c r="C453">
        <v>20100629</v>
      </c>
      <c r="D453">
        <v>20101004</v>
      </c>
      <c r="E453" t="s">
        <v>1084</v>
      </c>
      <c r="G453" t="s">
        <v>1158</v>
      </c>
      <c r="I453" t="s">
        <v>1074</v>
      </c>
      <c r="K453">
        <v>1</v>
      </c>
      <c r="M453">
        <v>0</v>
      </c>
      <c r="N453">
        <v>0.8</v>
      </c>
      <c r="O453">
        <v>40</v>
      </c>
      <c r="P453">
        <v>0.48</v>
      </c>
    </row>
    <row r="454" spans="1:16">
      <c r="A454" t="s">
        <v>1159</v>
      </c>
      <c r="B454" t="e">
        <f>-CAB.2P0.6</f>
        <v>#NAME?</v>
      </c>
      <c r="C454">
        <v>20100629</v>
      </c>
      <c r="D454">
        <v>20101004</v>
      </c>
      <c r="E454" t="s">
        <v>1076</v>
      </c>
      <c r="G454" t="s">
        <v>1160</v>
      </c>
      <c r="I454" t="s">
        <v>1074</v>
      </c>
      <c r="K454">
        <v>1</v>
      </c>
      <c r="M454">
        <v>0</v>
      </c>
      <c r="N454">
        <v>0.8</v>
      </c>
      <c r="O454">
        <v>40</v>
      </c>
      <c r="P454">
        <v>0.48</v>
      </c>
    </row>
    <row r="455" spans="1:16">
      <c r="A455" t="s">
        <v>1161</v>
      </c>
      <c r="B455" t="e">
        <f>-CAB.2X0.5</f>
        <v>#NAME?</v>
      </c>
      <c r="C455">
        <v>20100629</v>
      </c>
      <c r="D455">
        <v>20101004</v>
      </c>
      <c r="E455" t="s">
        <v>1162</v>
      </c>
      <c r="G455" t="s">
        <v>1163</v>
      </c>
      <c r="I455" t="s">
        <v>1074</v>
      </c>
      <c r="K455">
        <v>1</v>
      </c>
      <c r="M455">
        <v>0</v>
      </c>
      <c r="N455">
        <v>0.69</v>
      </c>
      <c r="O455">
        <v>40</v>
      </c>
      <c r="P455">
        <v>0.41399999999999998</v>
      </c>
    </row>
    <row r="456" spans="1:16">
      <c r="A456" t="s">
        <v>1164</v>
      </c>
      <c r="B456" t="e">
        <f>-CAB.2X0.75</f>
        <v>#NAME?</v>
      </c>
      <c r="C456">
        <v>20100629</v>
      </c>
      <c r="D456">
        <v>20110127</v>
      </c>
      <c r="E456" t="s">
        <v>1162</v>
      </c>
      <c r="G456" t="s">
        <v>1165</v>
      </c>
      <c r="I456" t="s">
        <v>1074</v>
      </c>
      <c r="K456">
        <v>1</v>
      </c>
      <c r="M456">
        <v>1</v>
      </c>
      <c r="N456">
        <v>1.5</v>
      </c>
      <c r="O456">
        <v>40</v>
      </c>
      <c r="P456">
        <v>0.9</v>
      </c>
    </row>
    <row r="457" spans="1:16">
      <c r="A457" t="s">
        <v>1166</v>
      </c>
      <c r="B457" t="e">
        <f>-CAB.2X2.5HP</f>
        <v>#NAME?</v>
      </c>
      <c r="C457">
        <v>20100629</v>
      </c>
      <c r="D457">
        <v>20101004</v>
      </c>
      <c r="E457" t="s">
        <v>1167</v>
      </c>
      <c r="G457" t="s">
        <v>1168</v>
      </c>
      <c r="I457" t="s">
        <v>1074</v>
      </c>
      <c r="K457">
        <v>1</v>
      </c>
      <c r="M457">
        <v>0</v>
      </c>
      <c r="N457">
        <v>4.05</v>
      </c>
      <c r="O457">
        <v>40</v>
      </c>
      <c r="P457">
        <v>2.4300000000000002</v>
      </c>
    </row>
    <row r="458" spans="1:16">
      <c r="A458" t="s">
        <v>1169</v>
      </c>
      <c r="B458" t="e">
        <f>-CAB.3P0.6</f>
        <v>#NAME?</v>
      </c>
      <c r="C458">
        <v>20100629</v>
      </c>
      <c r="D458">
        <v>20101004</v>
      </c>
      <c r="E458" t="s">
        <v>1076</v>
      </c>
      <c r="G458" t="s">
        <v>1170</v>
      </c>
      <c r="I458" t="s">
        <v>1074</v>
      </c>
      <c r="K458">
        <v>1</v>
      </c>
      <c r="M458">
        <v>0</v>
      </c>
      <c r="N458">
        <v>0.8</v>
      </c>
      <c r="O458">
        <v>40</v>
      </c>
      <c r="P458">
        <v>0.48</v>
      </c>
    </row>
    <row r="459" spans="1:16">
      <c r="A459" t="s">
        <v>1171</v>
      </c>
      <c r="B459" t="e">
        <f>-CAB.4MMAM</f>
        <v>#NAME?</v>
      </c>
      <c r="C459">
        <v>20100629</v>
      </c>
      <c r="D459">
        <v>20101004</v>
      </c>
      <c r="E459" t="s">
        <v>1172</v>
      </c>
      <c r="G459" t="s">
        <v>1173</v>
      </c>
      <c r="I459" t="s">
        <v>1074</v>
      </c>
      <c r="K459">
        <v>1</v>
      </c>
      <c r="M459">
        <v>0</v>
      </c>
      <c r="N459">
        <v>9.17</v>
      </c>
      <c r="O459">
        <v>40</v>
      </c>
      <c r="P459">
        <v>5.5019999999999998</v>
      </c>
    </row>
    <row r="460" spans="1:16">
      <c r="A460" t="s">
        <v>1174</v>
      </c>
      <c r="B460" t="e">
        <f>-CAB.4MMS</f>
        <v>#NAME?</v>
      </c>
      <c r="C460">
        <v>20100629</v>
      </c>
      <c r="D460">
        <v>20101004</v>
      </c>
      <c r="E460" t="s">
        <v>1102</v>
      </c>
      <c r="G460" t="s">
        <v>1175</v>
      </c>
      <c r="I460" t="s">
        <v>1074</v>
      </c>
      <c r="K460">
        <v>1</v>
      </c>
      <c r="M460">
        <v>0</v>
      </c>
      <c r="N460">
        <v>1.17</v>
      </c>
      <c r="O460">
        <v>40</v>
      </c>
      <c r="P460">
        <v>0.70199999999999996</v>
      </c>
    </row>
    <row r="461" spans="1:16">
      <c r="A461" t="s">
        <v>1176</v>
      </c>
      <c r="B461" t="e">
        <f>-CAB.4P0.6</f>
        <v>#NAME?</v>
      </c>
      <c r="C461">
        <v>20100629</v>
      </c>
      <c r="D461">
        <v>20101004</v>
      </c>
      <c r="E461" t="s">
        <v>96</v>
      </c>
      <c r="G461" t="s">
        <v>1177</v>
      </c>
      <c r="I461" t="s">
        <v>1074</v>
      </c>
      <c r="K461">
        <v>1</v>
      </c>
      <c r="M461">
        <v>0</v>
      </c>
      <c r="N461">
        <v>1.7</v>
      </c>
      <c r="O461">
        <v>40</v>
      </c>
      <c r="P461">
        <v>1.02</v>
      </c>
    </row>
    <row r="462" spans="1:16">
      <c r="A462" t="s">
        <v>1178</v>
      </c>
      <c r="B462" t="e">
        <f>-CAB.4PBLINDE</f>
        <v>#NAME?</v>
      </c>
      <c r="C462">
        <v>20100629</v>
      </c>
      <c r="D462">
        <v>20101004</v>
      </c>
      <c r="E462" t="s">
        <v>1179</v>
      </c>
      <c r="G462" t="s">
        <v>1180</v>
      </c>
      <c r="I462" t="s">
        <v>1074</v>
      </c>
      <c r="K462">
        <v>1</v>
      </c>
      <c r="M462">
        <v>0</v>
      </c>
      <c r="N462">
        <v>1.86</v>
      </c>
      <c r="O462">
        <v>40</v>
      </c>
      <c r="P462">
        <v>1.1160000000000001</v>
      </c>
    </row>
    <row r="463" spans="1:16">
      <c r="A463" t="s">
        <v>1181</v>
      </c>
      <c r="B463" t="e">
        <f>-CAB.AO512X1.5</f>
        <v>#NAME?</v>
      </c>
      <c r="C463">
        <v>20100629</v>
      </c>
      <c r="D463">
        <v>20101004</v>
      </c>
      <c r="E463" t="s">
        <v>96</v>
      </c>
      <c r="G463" t="s">
        <v>1182</v>
      </c>
      <c r="I463" t="s">
        <v>1074</v>
      </c>
      <c r="K463">
        <v>1</v>
      </c>
      <c r="M463">
        <v>0</v>
      </c>
      <c r="N463">
        <v>8.01</v>
      </c>
      <c r="O463">
        <v>40</v>
      </c>
      <c r="P463">
        <v>4.806</v>
      </c>
    </row>
    <row r="464" spans="1:16">
      <c r="A464" t="s">
        <v>1183</v>
      </c>
      <c r="B464" t="e">
        <f>-CAB.CABLETTE</f>
        <v>#NAME?</v>
      </c>
      <c r="C464">
        <v>20100629</v>
      </c>
      <c r="D464">
        <v>20101004</v>
      </c>
      <c r="E464" t="s">
        <v>1184</v>
      </c>
      <c r="G464" t="s">
        <v>1185</v>
      </c>
      <c r="I464" t="s">
        <v>1074</v>
      </c>
      <c r="K464">
        <v>1</v>
      </c>
      <c r="M464">
        <v>0</v>
      </c>
      <c r="N464">
        <v>5.0599999999999996</v>
      </c>
      <c r="O464">
        <v>40</v>
      </c>
      <c r="P464">
        <v>3.036</v>
      </c>
    </row>
    <row r="465" spans="1:16">
      <c r="A465" t="s">
        <v>1186</v>
      </c>
      <c r="B465" t="e">
        <f>-CAB.CP8</f>
        <v>#NAME?</v>
      </c>
      <c r="C465">
        <v>20100629</v>
      </c>
      <c r="D465">
        <v>20101004</v>
      </c>
      <c r="E465" t="s">
        <v>96</v>
      </c>
      <c r="G465" t="s">
        <v>1187</v>
      </c>
      <c r="I465" t="s">
        <v>1074</v>
      </c>
      <c r="K465">
        <v>1</v>
      </c>
      <c r="M465">
        <v>0</v>
      </c>
      <c r="N465">
        <v>1.44</v>
      </c>
      <c r="O465">
        <v>40</v>
      </c>
      <c r="P465">
        <v>0.86399999999999999</v>
      </c>
    </row>
    <row r="466" spans="1:16">
      <c r="A466" t="s">
        <v>1188</v>
      </c>
      <c r="B466" t="e">
        <f>-CAB.FILMICRO2</f>
        <v>#NAME?</v>
      </c>
      <c r="C466">
        <v>20100629</v>
      </c>
      <c r="D466">
        <v>20101004</v>
      </c>
      <c r="E466" t="s">
        <v>1112</v>
      </c>
      <c r="G466" t="s">
        <v>1189</v>
      </c>
      <c r="I466" t="s">
        <v>1074</v>
      </c>
      <c r="K466">
        <v>1</v>
      </c>
      <c r="M466">
        <v>0</v>
      </c>
      <c r="N466">
        <v>2.0299999999999998</v>
      </c>
      <c r="O466">
        <v>40</v>
      </c>
      <c r="P466">
        <v>1.218</v>
      </c>
    </row>
    <row r="467" spans="1:16">
      <c r="A467" t="s">
        <v>1190</v>
      </c>
      <c r="B467" t="e">
        <f>-CAB.HO52X2.5S</f>
        <v>#NAME?</v>
      </c>
      <c r="C467">
        <v>20100629</v>
      </c>
      <c r="D467">
        <v>20101004</v>
      </c>
      <c r="E467" t="s">
        <v>96</v>
      </c>
      <c r="G467" t="s">
        <v>1191</v>
      </c>
      <c r="I467" t="s">
        <v>1074</v>
      </c>
      <c r="K467">
        <v>1</v>
      </c>
      <c r="M467">
        <v>0</v>
      </c>
      <c r="N467">
        <v>3.2</v>
      </c>
      <c r="O467">
        <v>40</v>
      </c>
      <c r="P467">
        <v>1.92</v>
      </c>
    </row>
    <row r="468" spans="1:16">
      <c r="A468" t="s">
        <v>1192</v>
      </c>
      <c r="B468" t="e">
        <f>-CAB.HO53X1.5</f>
        <v>#NAME?</v>
      </c>
      <c r="C468">
        <v>20100629</v>
      </c>
      <c r="D468">
        <v>20101004</v>
      </c>
      <c r="E468" t="s">
        <v>96</v>
      </c>
      <c r="G468" t="s">
        <v>1193</v>
      </c>
      <c r="I468" t="s">
        <v>1074</v>
      </c>
      <c r="K468">
        <v>1</v>
      </c>
      <c r="M468">
        <v>0</v>
      </c>
      <c r="N468">
        <v>1.76</v>
      </c>
      <c r="O468">
        <v>40</v>
      </c>
      <c r="P468">
        <v>1.056</v>
      </c>
    </row>
    <row r="469" spans="1:16">
      <c r="A469" t="s">
        <v>1194</v>
      </c>
      <c r="B469" t="e">
        <f>-CAB.HO5VVF2X1.5</f>
        <v>#NAME?</v>
      </c>
      <c r="C469">
        <v>20100629</v>
      </c>
      <c r="D469">
        <v>20101004</v>
      </c>
      <c r="E469" t="s">
        <v>96</v>
      </c>
      <c r="G469" t="s">
        <v>1195</v>
      </c>
      <c r="I469" t="s">
        <v>1074</v>
      </c>
      <c r="K469">
        <v>1</v>
      </c>
      <c r="M469">
        <v>0</v>
      </c>
      <c r="N469">
        <v>1.55</v>
      </c>
      <c r="O469">
        <v>40</v>
      </c>
      <c r="P469">
        <v>0.93</v>
      </c>
    </row>
    <row r="470" spans="1:16">
      <c r="A470" t="s">
        <v>1196</v>
      </c>
      <c r="B470" t="e">
        <f>-CAB.HO5VVF2X2.5</f>
        <v>#NAME?</v>
      </c>
      <c r="C470">
        <v>20100629</v>
      </c>
      <c r="D470">
        <v>20101004</v>
      </c>
      <c r="E470" t="s">
        <v>96</v>
      </c>
      <c r="G470" t="s">
        <v>1197</v>
      </c>
      <c r="I470" t="s">
        <v>1074</v>
      </c>
      <c r="K470">
        <v>1</v>
      </c>
      <c r="M470">
        <v>0</v>
      </c>
      <c r="N470">
        <v>1.7</v>
      </c>
      <c r="O470">
        <v>40</v>
      </c>
      <c r="P470">
        <v>1.02</v>
      </c>
    </row>
    <row r="471" spans="1:16">
      <c r="A471" t="s">
        <v>1198</v>
      </c>
      <c r="B471" t="e">
        <f>-CAB.HO5VVF3X1</f>
        <v>#NAME?</v>
      </c>
      <c r="C471">
        <v>20100629</v>
      </c>
      <c r="D471">
        <v>20101004</v>
      </c>
      <c r="E471" t="s">
        <v>96</v>
      </c>
      <c r="G471" t="s">
        <v>1199</v>
      </c>
      <c r="I471" t="s">
        <v>1074</v>
      </c>
      <c r="K471">
        <v>1</v>
      </c>
      <c r="M471">
        <v>0</v>
      </c>
      <c r="N471">
        <v>1.44</v>
      </c>
      <c r="O471">
        <v>40</v>
      </c>
      <c r="P471">
        <v>0.86399999999999999</v>
      </c>
    </row>
    <row r="472" spans="1:16">
      <c r="A472" t="s">
        <v>1200</v>
      </c>
      <c r="B472" t="e">
        <f>-CAB.HO5VVF3X2.5</f>
        <v>#NAME?</v>
      </c>
      <c r="C472">
        <v>20100629</v>
      </c>
      <c r="D472">
        <v>20101004</v>
      </c>
      <c r="E472" t="s">
        <v>96</v>
      </c>
      <c r="G472" t="s">
        <v>1201</v>
      </c>
      <c r="I472" t="s">
        <v>1074</v>
      </c>
      <c r="K472">
        <v>1</v>
      </c>
      <c r="M472">
        <v>0</v>
      </c>
      <c r="N472">
        <v>3.25</v>
      </c>
      <c r="O472">
        <v>40</v>
      </c>
      <c r="P472">
        <v>1.95</v>
      </c>
    </row>
    <row r="473" spans="1:16">
      <c r="A473" t="s">
        <v>1202</v>
      </c>
      <c r="B473" t="e">
        <f>-CAB.HO5VVF4X1.5</f>
        <v>#NAME?</v>
      </c>
      <c r="C473">
        <v>20100629</v>
      </c>
      <c r="D473">
        <v>20101004</v>
      </c>
      <c r="E473" t="s">
        <v>96</v>
      </c>
      <c r="G473" t="s">
        <v>1203</v>
      </c>
      <c r="I473" t="s">
        <v>1074</v>
      </c>
      <c r="K473">
        <v>1</v>
      </c>
      <c r="M473">
        <v>0</v>
      </c>
      <c r="N473">
        <v>2.2400000000000002</v>
      </c>
      <c r="O473">
        <v>40</v>
      </c>
      <c r="P473">
        <v>1.3440000000000001</v>
      </c>
    </row>
    <row r="474" spans="1:16">
      <c r="A474" t="s">
        <v>1204</v>
      </c>
      <c r="B474" t="e">
        <f>-CAB.HO5VVF4X1MM2</f>
        <v>#NAME?</v>
      </c>
      <c r="C474">
        <v>20100629</v>
      </c>
      <c r="D474">
        <v>20101004</v>
      </c>
      <c r="E474" t="s">
        <v>96</v>
      </c>
      <c r="G474" t="s">
        <v>1205</v>
      </c>
      <c r="I474" t="s">
        <v>1074</v>
      </c>
      <c r="K474">
        <v>1</v>
      </c>
      <c r="M474">
        <v>0</v>
      </c>
      <c r="N474">
        <v>2.2999999999999998</v>
      </c>
      <c r="O474">
        <v>40</v>
      </c>
      <c r="P474">
        <v>1.38</v>
      </c>
    </row>
    <row r="475" spans="1:16">
      <c r="A475" t="s">
        <v>1206</v>
      </c>
      <c r="B475" t="e">
        <f>-CAB.HO5VVF5X1.5</f>
        <v>#NAME?</v>
      </c>
      <c r="C475">
        <v>20100629</v>
      </c>
      <c r="D475">
        <v>20101004</v>
      </c>
      <c r="E475" t="s">
        <v>96</v>
      </c>
      <c r="G475" t="s">
        <v>1207</v>
      </c>
      <c r="I475" t="s">
        <v>1074</v>
      </c>
      <c r="K475">
        <v>1</v>
      </c>
      <c r="M475">
        <v>0</v>
      </c>
      <c r="N475">
        <v>2.67</v>
      </c>
      <c r="O475">
        <v>40</v>
      </c>
      <c r="P475">
        <v>1.6020000000000001</v>
      </c>
    </row>
    <row r="476" spans="1:16">
      <c r="A476" t="s">
        <v>1208</v>
      </c>
      <c r="B476" t="e">
        <f>-CAB.HO75G2.5</f>
        <v>#NAME?</v>
      </c>
      <c r="C476">
        <v>20100629</v>
      </c>
      <c r="D476">
        <v>20101004</v>
      </c>
      <c r="E476" t="s">
        <v>96</v>
      </c>
      <c r="G476" t="s">
        <v>1209</v>
      </c>
      <c r="I476" t="s">
        <v>1074</v>
      </c>
      <c r="K476">
        <v>1</v>
      </c>
      <c r="M476">
        <v>0</v>
      </c>
      <c r="N476">
        <v>8.32</v>
      </c>
      <c r="O476">
        <v>40</v>
      </c>
      <c r="P476">
        <v>4.992</v>
      </c>
    </row>
    <row r="477" spans="1:16">
      <c r="A477" t="s">
        <v>1210</v>
      </c>
      <c r="B477" t="e">
        <f>-CAB.HO7RNF2X1.5</f>
        <v>#NAME?</v>
      </c>
      <c r="C477">
        <v>20100629</v>
      </c>
      <c r="D477">
        <v>20101004</v>
      </c>
      <c r="E477" t="s">
        <v>96</v>
      </c>
      <c r="G477" t="s">
        <v>1211</v>
      </c>
      <c r="I477" t="s">
        <v>1074</v>
      </c>
      <c r="K477">
        <v>1</v>
      </c>
      <c r="M477">
        <v>0</v>
      </c>
      <c r="N477">
        <v>1.86</v>
      </c>
      <c r="O477">
        <v>40</v>
      </c>
      <c r="P477">
        <v>1.1160000000000001</v>
      </c>
    </row>
    <row r="478" spans="1:16">
      <c r="A478" t="s">
        <v>1212</v>
      </c>
      <c r="B478" t="e">
        <f>-CAB.HO7RNF2X2.5</f>
        <v>#NAME?</v>
      </c>
      <c r="C478">
        <v>20100629</v>
      </c>
      <c r="D478">
        <v>20101004</v>
      </c>
      <c r="E478" t="s">
        <v>96</v>
      </c>
      <c r="G478" t="s">
        <v>1191</v>
      </c>
      <c r="I478" t="s">
        <v>1074</v>
      </c>
      <c r="K478">
        <v>1</v>
      </c>
      <c r="M478">
        <v>0</v>
      </c>
      <c r="N478">
        <v>3.2</v>
      </c>
      <c r="O478">
        <v>40</v>
      </c>
      <c r="P478">
        <v>1.92</v>
      </c>
    </row>
    <row r="479" spans="1:16">
      <c r="A479" t="s">
        <v>1213</v>
      </c>
      <c r="B479" t="e">
        <f>-CAB.HO7RNF3X2.5</f>
        <v>#NAME?</v>
      </c>
      <c r="C479">
        <v>20100629</v>
      </c>
      <c r="D479">
        <v>20101004</v>
      </c>
      <c r="E479" t="s">
        <v>96</v>
      </c>
      <c r="G479" t="s">
        <v>1214</v>
      </c>
      <c r="I479" t="s">
        <v>1074</v>
      </c>
      <c r="K479">
        <v>1</v>
      </c>
      <c r="M479">
        <v>0</v>
      </c>
      <c r="N479">
        <v>3.94</v>
      </c>
      <c r="O479">
        <v>40</v>
      </c>
      <c r="P479">
        <v>2.3639999999999999</v>
      </c>
    </row>
    <row r="480" spans="1:16">
      <c r="A480" t="s">
        <v>1215</v>
      </c>
      <c r="B480" t="e">
        <f>-CAB.HO7RNF3X4</f>
        <v>#NAME?</v>
      </c>
      <c r="C480">
        <v>20100629</v>
      </c>
      <c r="D480">
        <v>20101004</v>
      </c>
      <c r="E480" t="s">
        <v>96</v>
      </c>
      <c r="G480" t="s">
        <v>1216</v>
      </c>
      <c r="I480" t="s">
        <v>1074</v>
      </c>
      <c r="K480">
        <v>1</v>
      </c>
      <c r="M480">
        <v>0</v>
      </c>
      <c r="N480">
        <v>5.39</v>
      </c>
      <c r="O480">
        <v>40</v>
      </c>
      <c r="P480">
        <v>3.234</v>
      </c>
    </row>
    <row r="481" spans="1:16">
      <c r="A481" t="s">
        <v>1217</v>
      </c>
      <c r="B481" t="e">
        <f>-CAB.HO7RNF3X6</f>
        <v>#NAME?</v>
      </c>
      <c r="C481">
        <v>20100629</v>
      </c>
      <c r="D481">
        <v>20101004</v>
      </c>
      <c r="E481" t="s">
        <v>96</v>
      </c>
      <c r="G481" t="s">
        <v>1218</v>
      </c>
      <c r="I481" t="s">
        <v>1074</v>
      </c>
      <c r="K481">
        <v>1</v>
      </c>
      <c r="M481">
        <v>0</v>
      </c>
      <c r="N481">
        <v>10.18</v>
      </c>
      <c r="O481">
        <v>40</v>
      </c>
      <c r="P481">
        <v>6.1079999999999997</v>
      </c>
    </row>
    <row r="482" spans="1:16">
      <c r="A482" t="s">
        <v>1219</v>
      </c>
      <c r="B482" t="e">
        <f>-CAB.HO7RNF5G6</f>
        <v>#NAME?</v>
      </c>
      <c r="C482">
        <v>20100629</v>
      </c>
      <c r="D482">
        <v>20101004</v>
      </c>
      <c r="E482" t="s">
        <v>96</v>
      </c>
      <c r="G482" t="s">
        <v>1220</v>
      </c>
      <c r="I482" t="s">
        <v>1074</v>
      </c>
      <c r="K482">
        <v>1</v>
      </c>
      <c r="M482">
        <v>0</v>
      </c>
      <c r="N482">
        <v>15.57</v>
      </c>
      <c r="O482">
        <v>40</v>
      </c>
      <c r="P482">
        <v>9.3420000000000005</v>
      </c>
    </row>
    <row r="483" spans="1:16">
      <c r="A483" t="s">
        <v>1221</v>
      </c>
      <c r="B483" t="e">
        <f>-CAB.HO7RNF5X1.5</f>
        <v>#NAME?</v>
      </c>
      <c r="C483">
        <v>20100629</v>
      </c>
      <c r="D483">
        <v>20101004</v>
      </c>
      <c r="E483" t="s">
        <v>96</v>
      </c>
      <c r="G483" t="s">
        <v>1222</v>
      </c>
      <c r="I483" t="s">
        <v>1074</v>
      </c>
      <c r="K483">
        <v>1</v>
      </c>
      <c r="M483">
        <v>0</v>
      </c>
      <c r="N483">
        <v>4</v>
      </c>
      <c r="O483">
        <v>40</v>
      </c>
      <c r="P483">
        <v>2.4</v>
      </c>
    </row>
    <row r="484" spans="1:16">
      <c r="A484" t="s">
        <v>1223</v>
      </c>
      <c r="B484" t="e">
        <f>-CAB.HO7RNF5X10</f>
        <v>#NAME?</v>
      </c>
      <c r="C484">
        <v>20100629</v>
      </c>
      <c r="D484">
        <v>20101004</v>
      </c>
      <c r="E484" t="s">
        <v>96</v>
      </c>
      <c r="G484" t="s">
        <v>1224</v>
      </c>
      <c r="I484" t="s">
        <v>1074</v>
      </c>
      <c r="K484">
        <v>1</v>
      </c>
      <c r="M484">
        <v>0</v>
      </c>
      <c r="N484">
        <v>22.13</v>
      </c>
      <c r="O484">
        <v>40</v>
      </c>
      <c r="P484">
        <v>13.278</v>
      </c>
    </row>
    <row r="485" spans="1:16">
      <c r="A485" t="s">
        <v>1225</v>
      </c>
      <c r="B485" t="e">
        <f>-CAB.HO7RNF5X16</f>
        <v>#NAME?</v>
      </c>
      <c r="C485">
        <v>20100629</v>
      </c>
      <c r="D485">
        <v>20101004</v>
      </c>
      <c r="E485" t="s">
        <v>96</v>
      </c>
      <c r="G485" t="s">
        <v>1226</v>
      </c>
      <c r="I485" t="s">
        <v>1074</v>
      </c>
      <c r="K485">
        <v>1</v>
      </c>
      <c r="M485">
        <v>0</v>
      </c>
      <c r="N485">
        <v>27.24</v>
      </c>
      <c r="O485">
        <v>40</v>
      </c>
      <c r="P485">
        <v>16.344000000000001</v>
      </c>
    </row>
    <row r="486" spans="1:16">
      <c r="A486" t="s">
        <v>1227</v>
      </c>
      <c r="B486" t="e">
        <f>-CAB.HO7RNF5X25</f>
        <v>#NAME?</v>
      </c>
      <c r="C486">
        <v>20100629</v>
      </c>
      <c r="D486">
        <v>20101004</v>
      </c>
      <c r="E486" t="s">
        <v>96</v>
      </c>
      <c r="G486" t="s">
        <v>1228</v>
      </c>
      <c r="I486" t="s">
        <v>1074</v>
      </c>
      <c r="K486">
        <v>1</v>
      </c>
      <c r="M486">
        <v>0</v>
      </c>
      <c r="N486">
        <v>40.53</v>
      </c>
      <c r="O486">
        <v>40</v>
      </c>
      <c r="P486">
        <v>24.318000000000001</v>
      </c>
    </row>
    <row r="487" spans="1:16">
      <c r="A487" t="s">
        <v>1229</v>
      </c>
      <c r="B487" t="e">
        <f>-CAB.HO7RNF5X6</f>
        <v>#NAME?</v>
      </c>
      <c r="C487">
        <v>20100629</v>
      </c>
      <c r="D487">
        <v>20101004</v>
      </c>
      <c r="E487" t="s">
        <v>96</v>
      </c>
      <c r="G487" t="s">
        <v>1230</v>
      </c>
      <c r="I487" t="s">
        <v>1074</v>
      </c>
      <c r="K487">
        <v>1</v>
      </c>
      <c r="M487">
        <v>0</v>
      </c>
      <c r="N487">
        <v>13.34</v>
      </c>
      <c r="O487">
        <v>40</v>
      </c>
      <c r="P487">
        <v>8.0039999999999996</v>
      </c>
    </row>
    <row r="488" spans="1:16">
      <c r="A488" t="s">
        <v>1231</v>
      </c>
      <c r="B488" t="e">
        <f>-CAB.HP2X0.75</f>
        <v>#NAME?</v>
      </c>
      <c r="C488">
        <v>20100629</v>
      </c>
      <c r="D488">
        <v>20101004</v>
      </c>
      <c r="E488" t="s">
        <v>1232</v>
      </c>
      <c r="G488" t="s">
        <v>1233</v>
      </c>
      <c r="I488" t="s">
        <v>1074</v>
      </c>
      <c r="K488">
        <v>1</v>
      </c>
      <c r="M488">
        <v>0</v>
      </c>
      <c r="N488">
        <v>1.28</v>
      </c>
      <c r="O488">
        <v>40</v>
      </c>
      <c r="P488">
        <v>0.76800000000000002</v>
      </c>
    </row>
    <row r="489" spans="1:16">
      <c r="A489" t="s">
        <v>1234</v>
      </c>
      <c r="B489" t="e">
        <f>-CAB.MORPION</f>
        <v>#NAME?</v>
      </c>
      <c r="C489">
        <v>20100629</v>
      </c>
      <c r="D489">
        <v>20101004</v>
      </c>
      <c r="E489" t="s">
        <v>1235</v>
      </c>
      <c r="G489" t="s">
        <v>1236</v>
      </c>
      <c r="I489" t="s">
        <v>1074</v>
      </c>
      <c r="K489">
        <v>1</v>
      </c>
      <c r="M489">
        <v>0</v>
      </c>
      <c r="N489">
        <v>10.18</v>
      </c>
      <c r="O489">
        <v>40</v>
      </c>
      <c r="P489">
        <v>6.1079999999999997</v>
      </c>
    </row>
    <row r="490" spans="1:16">
      <c r="A490" t="s">
        <v>1237</v>
      </c>
      <c r="B490" t="e">
        <f>-CAB.R2V.5X2.5</f>
        <v>#NAME?</v>
      </c>
      <c r="C490">
        <v>20100629</v>
      </c>
      <c r="D490">
        <v>20101004</v>
      </c>
      <c r="E490" t="s">
        <v>96</v>
      </c>
      <c r="G490" t="s">
        <v>1238</v>
      </c>
      <c r="I490" t="s">
        <v>1074</v>
      </c>
      <c r="K490">
        <v>1</v>
      </c>
      <c r="M490">
        <v>0</v>
      </c>
      <c r="N490">
        <v>3.89</v>
      </c>
      <c r="O490">
        <v>40</v>
      </c>
      <c r="P490">
        <v>2.3340000000000001</v>
      </c>
    </row>
    <row r="491" spans="1:16">
      <c r="A491" t="s">
        <v>1239</v>
      </c>
      <c r="B491" t="e">
        <f>-CAB.R2V1X2.5</f>
        <v>#NAME?</v>
      </c>
      <c r="C491">
        <v>20100629</v>
      </c>
      <c r="D491">
        <v>20101004</v>
      </c>
      <c r="E491" t="s">
        <v>1240</v>
      </c>
      <c r="G491" t="s">
        <v>1241</v>
      </c>
      <c r="I491" t="s">
        <v>1074</v>
      </c>
      <c r="K491">
        <v>1</v>
      </c>
      <c r="M491">
        <v>0</v>
      </c>
      <c r="N491">
        <v>1.1200000000000001</v>
      </c>
      <c r="O491">
        <v>40</v>
      </c>
      <c r="P491">
        <v>0.67200000000000004</v>
      </c>
    </row>
    <row r="492" spans="1:16">
      <c r="A492" t="s">
        <v>1242</v>
      </c>
      <c r="B492" t="e">
        <f>-CAB.R2V2X1.5</f>
        <v>#NAME?</v>
      </c>
      <c r="C492">
        <v>20100629</v>
      </c>
      <c r="D492">
        <v>20101004</v>
      </c>
      <c r="E492" t="s">
        <v>1243</v>
      </c>
      <c r="G492" t="s">
        <v>1244</v>
      </c>
      <c r="I492" t="s">
        <v>1074</v>
      </c>
      <c r="K492">
        <v>1</v>
      </c>
      <c r="M492">
        <v>0</v>
      </c>
      <c r="N492">
        <v>1.17</v>
      </c>
      <c r="O492">
        <v>40</v>
      </c>
      <c r="P492">
        <v>0.70199999999999996</v>
      </c>
    </row>
    <row r="493" spans="1:16">
      <c r="A493" t="s">
        <v>1245</v>
      </c>
      <c r="B493" t="e">
        <f>-CAB.R2V2X10</f>
        <v>#NAME?</v>
      </c>
      <c r="C493">
        <v>20100629</v>
      </c>
      <c r="D493">
        <v>20101004</v>
      </c>
      <c r="E493" t="s">
        <v>1243</v>
      </c>
      <c r="G493" t="s">
        <v>1246</v>
      </c>
      <c r="I493" t="s">
        <v>1074</v>
      </c>
      <c r="K493">
        <v>1</v>
      </c>
      <c r="M493">
        <v>0</v>
      </c>
      <c r="N493">
        <v>5.71</v>
      </c>
      <c r="O493">
        <v>40</v>
      </c>
      <c r="P493">
        <v>3.4260000000000002</v>
      </c>
    </row>
    <row r="494" spans="1:16">
      <c r="A494" t="s">
        <v>1247</v>
      </c>
      <c r="B494" t="e">
        <f>-CAB.R2V2X16</f>
        <v>#NAME?</v>
      </c>
      <c r="C494">
        <v>20100629</v>
      </c>
      <c r="D494">
        <v>20101004</v>
      </c>
      <c r="E494" t="s">
        <v>1243</v>
      </c>
      <c r="G494" t="s">
        <v>1248</v>
      </c>
      <c r="I494" t="s">
        <v>1074</v>
      </c>
      <c r="K494">
        <v>1</v>
      </c>
      <c r="M494">
        <v>0</v>
      </c>
      <c r="N494">
        <v>9.2200000000000006</v>
      </c>
      <c r="O494">
        <v>40</v>
      </c>
      <c r="P494">
        <v>5.532</v>
      </c>
    </row>
    <row r="495" spans="1:16">
      <c r="A495" t="s">
        <v>1249</v>
      </c>
      <c r="B495" t="e">
        <f>-CAB.R2V2X2.5</f>
        <v>#NAME?</v>
      </c>
      <c r="C495">
        <v>20100629</v>
      </c>
      <c r="D495">
        <v>20101004</v>
      </c>
      <c r="E495" t="s">
        <v>1243</v>
      </c>
      <c r="G495" t="s">
        <v>1250</v>
      </c>
      <c r="I495" t="s">
        <v>1074</v>
      </c>
      <c r="K495">
        <v>1</v>
      </c>
      <c r="M495">
        <v>0</v>
      </c>
      <c r="N495">
        <v>2.19</v>
      </c>
      <c r="O495">
        <v>40</v>
      </c>
      <c r="P495">
        <v>1.3140000000000001</v>
      </c>
    </row>
    <row r="496" spans="1:16">
      <c r="A496" t="s">
        <v>1251</v>
      </c>
      <c r="B496" t="e">
        <f>-CAB.R2V2X25</f>
        <v>#NAME?</v>
      </c>
      <c r="C496">
        <v>20100629</v>
      </c>
      <c r="D496">
        <v>20101004</v>
      </c>
      <c r="E496" t="s">
        <v>1243</v>
      </c>
      <c r="G496" t="s">
        <v>1252</v>
      </c>
      <c r="I496" t="s">
        <v>1074</v>
      </c>
      <c r="K496">
        <v>1</v>
      </c>
      <c r="M496">
        <v>0</v>
      </c>
      <c r="N496">
        <v>11.89</v>
      </c>
      <c r="O496">
        <v>40</v>
      </c>
      <c r="P496">
        <v>7.1340000000000003</v>
      </c>
    </row>
    <row r="497" spans="1:16">
      <c r="A497" t="s">
        <v>1253</v>
      </c>
      <c r="B497" t="e">
        <f>-CAB.R2V2X4</f>
        <v>#NAME?</v>
      </c>
      <c r="C497">
        <v>20100629</v>
      </c>
      <c r="D497">
        <v>20101004</v>
      </c>
      <c r="E497" t="s">
        <v>1243</v>
      </c>
      <c r="G497" t="s">
        <v>1254</v>
      </c>
      <c r="I497" t="s">
        <v>1074</v>
      </c>
      <c r="K497">
        <v>1</v>
      </c>
      <c r="M497">
        <v>0</v>
      </c>
      <c r="N497">
        <v>2.13</v>
      </c>
      <c r="O497">
        <v>40</v>
      </c>
      <c r="P497">
        <v>1.278</v>
      </c>
    </row>
    <row r="498" spans="1:16">
      <c r="A498" t="s">
        <v>1255</v>
      </c>
      <c r="B498" t="e">
        <f>-CAB.R2V2X50</f>
        <v>#NAME?</v>
      </c>
      <c r="C498">
        <v>20100629</v>
      </c>
      <c r="D498">
        <v>20101004</v>
      </c>
      <c r="E498" t="s">
        <v>1243</v>
      </c>
      <c r="G498" t="s">
        <v>1256</v>
      </c>
      <c r="I498" t="s">
        <v>1074</v>
      </c>
      <c r="K498">
        <v>1</v>
      </c>
      <c r="M498">
        <v>0</v>
      </c>
      <c r="N498">
        <v>31.94</v>
      </c>
      <c r="O498">
        <v>40</v>
      </c>
      <c r="P498">
        <v>19.164000000000001</v>
      </c>
    </row>
    <row r="499" spans="1:16">
      <c r="A499" t="s">
        <v>1257</v>
      </c>
      <c r="B499" t="e">
        <f>-CAB.R2V3G2.5</f>
        <v>#NAME?</v>
      </c>
      <c r="C499">
        <v>20100629</v>
      </c>
      <c r="D499">
        <v>20101004</v>
      </c>
      <c r="E499" t="s">
        <v>96</v>
      </c>
      <c r="G499" t="s">
        <v>1258</v>
      </c>
      <c r="I499" t="s">
        <v>1074</v>
      </c>
      <c r="K499">
        <v>1</v>
      </c>
      <c r="M499">
        <v>0</v>
      </c>
      <c r="N499">
        <v>2.13</v>
      </c>
      <c r="O499">
        <v>40</v>
      </c>
      <c r="P499">
        <v>1.278</v>
      </c>
    </row>
    <row r="500" spans="1:16">
      <c r="A500" t="s">
        <v>1259</v>
      </c>
      <c r="B500" t="e">
        <f>-CAB.R2V3X1.5S</f>
        <v>#NAME?</v>
      </c>
      <c r="C500">
        <v>20100629</v>
      </c>
      <c r="D500">
        <v>20101004</v>
      </c>
      <c r="E500" t="s">
        <v>1243</v>
      </c>
      <c r="G500" t="s">
        <v>1260</v>
      </c>
      <c r="I500" t="s">
        <v>1074</v>
      </c>
      <c r="K500">
        <v>1</v>
      </c>
      <c r="M500">
        <v>0</v>
      </c>
      <c r="N500">
        <v>1.76</v>
      </c>
      <c r="O500">
        <v>40</v>
      </c>
      <c r="P500">
        <v>1.056</v>
      </c>
    </row>
    <row r="501" spans="1:16">
      <c r="A501" t="s">
        <v>1261</v>
      </c>
      <c r="B501" t="e">
        <f>-CAB.R2V3X4</f>
        <v>#NAME?</v>
      </c>
      <c r="C501">
        <v>20100629</v>
      </c>
      <c r="D501">
        <v>20101004</v>
      </c>
      <c r="E501" t="s">
        <v>1243</v>
      </c>
      <c r="G501" t="s">
        <v>1262</v>
      </c>
      <c r="I501" t="s">
        <v>1074</v>
      </c>
      <c r="K501">
        <v>1</v>
      </c>
      <c r="M501">
        <v>0</v>
      </c>
      <c r="N501">
        <v>3.36</v>
      </c>
      <c r="O501">
        <v>40</v>
      </c>
      <c r="P501">
        <v>2.016</v>
      </c>
    </row>
    <row r="502" spans="1:16">
      <c r="A502" t="s">
        <v>1263</v>
      </c>
      <c r="B502" t="e">
        <f>-CAB.R2V3X6</f>
        <v>#NAME?</v>
      </c>
      <c r="C502">
        <v>20100629</v>
      </c>
      <c r="D502">
        <v>20101004</v>
      </c>
      <c r="E502" t="s">
        <v>1243</v>
      </c>
      <c r="G502" t="s">
        <v>1264</v>
      </c>
      <c r="I502" t="s">
        <v>1074</v>
      </c>
      <c r="K502">
        <v>1</v>
      </c>
      <c r="M502">
        <v>0</v>
      </c>
      <c r="N502">
        <v>5.97</v>
      </c>
      <c r="O502">
        <v>40</v>
      </c>
      <c r="P502">
        <v>3.5819999999999999</v>
      </c>
    </row>
    <row r="503" spans="1:16">
      <c r="A503" t="s">
        <v>1265</v>
      </c>
      <c r="B503" t="e">
        <f>-CAB.R2V4X1.5</f>
        <v>#NAME?</v>
      </c>
      <c r="C503">
        <v>20100629</v>
      </c>
      <c r="D503">
        <v>20101004</v>
      </c>
      <c r="E503" t="s">
        <v>1243</v>
      </c>
      <c r="G503" t="s">
        <v>1266</v>
      </c>
      <c r="I503" t="s">
        <v>1074</v>
      </c>
      <c r="K503">
        <v>1</v>
      </c>
      <c r="M503">
        <v>0</v>
      </c>
      <c r="N503">
        <v>1.86</v>
      </c>
      <c r="O503">
        <v>40</v>
      </c>
      <c r="P503">
        <v>1.1160000000000001</v>
      </c>
    </row>
    <row r="504" spans="1:16">
      <c r="A504" t="s">
        <v>1267</v>
      </c>
      <c r="B504" t="e">
        <f>-CAB.R2V4X16</f>
        <v>#NAME?</v>
      </c>
      <c r="C504">
        <v>20100629</v>
      </c>
      <c r="D504">
        <v>20101004</v>
      </c>
      <c r="E504" t="s">
        <v>1243</v>
      </c>
      <c r="G504" t="s">
        <v>1268</v>
      </c>
      <c r="I504" t="s">
        <v>1074</v>
      </c>
      <c r="K504">
        <v>1</v>
      </c>
      <c r="M504">
        <v>0</v>
      </c>
      <c r="N504">
        <v>15.73</v>
      </c>
      <c r="O504">
        <v>40</v>
      </c>
      <c r="P504">
        <v>9.4380000000000006</v>
      </c>
    </row>
    <row r="505" spans="1:16">
      <c r="A505" t="s">
        <v>1269</v>
      </c>
      <c r="B505" t="e">
        <f>-CAB.R2V4X2.5</f>
        <v>#NAME?</v>
      </c>
      <c r="C505">
        <v>20100629</v>
      </c>
      <c r="D505">
        <v>20101004</v>
      </c>
      <c r="E505" t="s">
        <v>1243</v>
      </c>
      <c r="G505" t="s">
        <v>1270</v>
      </c>
      <c r="I505" t="s">
        <v>1074</v>
      </c>
      <c r="K505">
        <v>1</v>
      </c>
      <c r="M505">
        <v>0</v>
      </c>
      <c r="N505">
        <v>2.82</v>
      </c>
      <c r="O505">
        <v>40</v>
      </c>
      <c r="P505">
        <v>1.6919999999999999</v>
      </c>
    </row>
    <row r="506" spans="1:16">
      <c r="A506" t="s">
        <v>1271</v>
      </c>
      <c r="B506" t="e">
        <f>-CAB.R2V4X25</f>
        <v>#NAME?</v>
      </c>
      <c r="C506">
        <v>20100629</v>
      </c>
      <c r="D506">
        <v>20101004</v>
      </c>
      <c r="E506" t="s">
        <v>1243</v>
      </c>
      <c r="G506" t="s">
        <v>1272</v>
      </c>
      <c r="I506" t="s">
        <v>1074</v>
      </c>
      <c r="K506">
        <v>1</v>
      </c>
      <c r="M506">
        <v>0</v>
      </c>
      <c r="N506">
        <v>22.4</v>
      </c>
      <c r="O506">
        <v>40</v>
      </c>
      <c r="P506">
        <v>13.44</v>
      </c>
    </row>
    <row r="507" spans="1:16">
      <c r="A507" t="s">
        <v>1273</v>
      </c>
      <c r="B507" t="e">
        <f>-CAB.R2V4X4</f>
        <v>#NAME?</v>
      </c>
      <c r="C507">
        <v>20100629</v>
      </c>
      <c r="D507">
        <v>20101004</v>
      </c>
      <c r="E507" t="s">
        <v>1243</v>
      </c>
      <c r="G507" t="s">
        <v>1274</v>
      </c>
      <c r="I507" t="s">
        <v>1074</v>
      </c>
      <c r="K507">
        <v>1</v>
      </c>
      <c r="M507">
        <v>0</v>
      </c>
      <c r="N507">
        <v>4.8499999999999996</v>
      </c>
      <c r="O507">
        <v>40</v>
      </c>
      <c r="P507">
        <v>2.91</v>
      </c>
    </row>
    <row r="508" spans="1:16">
      <c r="A508" t="s">
        <v>1275</v>
      </c>
      <c r="B508" t="e">
        <f>-CAB.R2V5X1.5</f>
        <v>#NAME?</v>
      </c>
      <c r="C508">
        <v>20100629</v>
      </c>
      <c r="D508">
        <v>20101004</v>
      </c>
      <c r="E508" t="s">
        <v>1243</v>
      </c>
      <c r="G508" t="s">
        <v>1276</v>
      </c>
      <c r="I508" t="s">
        <v>1074</v>
      </c>
      <c r="K508">
        <v>1</v>
      </c>
      <c r="M508">
        <v>0</v>
      </c>
      <c r="N508">
        <v>3.25</v>
      </c>
      <c r="O508">
        <v>40</v>
      </c>
      <c r="P508">
        <v>1.95</v>
      </c>
    </row>
    <row r="509" spans="1:16">
      <c r="A509" t="s">
        <v>1277</v>
      </c>
      <c r="B509" t="e">
        <f>-CAB.R2V5X10</f>
        <v>#NAME?</v>
      </c>
      <c r="C509">
        <v>20100629</v>
      </c>
      <c r="D509">
        <v>20101004</v>
      </c>
      <c r="E509" t="s">
        <v>1243</v>
      </c>
      <c r="G509" t="s">
        <v>1278</v>
      </c>
      <c r="I509" t="s">
        <v>1074</v>
      </c>
      <c r="K509">
        <v>1</v>
      </c>
      <c r="M509">
        <v>0</v>
      </c>
      <c r="N509">
        <v>12.69</v>
      </c>
      <c r="O509">
        <v>40</v>
      </c>
      <c r="P509">
        <v>7.6139999999999999</v>
      </c>
    </row>
    <row r="510" spans="1:16">
      <c r="A510" t="s">
        <v>1279</v>
      </c>
      <c r="B510" t="e">
        <f>-CAB.R2V7X1.5</f>
        <v>#NAME?</v>
      </c>
      <c r="C510">
        <v>20100629</v>
      </c>
      <c r="D510">
        <v>20101004</v>
      </c>
      <c r="E510" t="s">
        <v>1243</v>
      </c>
      <c r="G510" t="s">
        <v>1280</v>
      </c>
      <c r="I510" t="s">
        <v>1074</v>
      </c>
      <c r="K510">
        <v>1</v>
      </c>
      <c r="M510">
        <v>0</v>
      </c>
      <c r="N510">
        <v>4.8099999999999996</v>
      </c>
      <c r="O510">
        <v>40</v>
      </c>
      <c r="P510">
        <v>2.8860000000000001</v>
      </c>
    </row>
    <row r="511" spans="1:16">
      <c r="A511" t="s">
        <v>1281</v>
      </c>
      <c r="B511" t="e">
        <f>-CAB.RG58</f>
        <v>#NAME?</v>
      </c>
      <c r="C511">
        <v>20100629</v>
      </c>
      <c r="D511">
        <v>20101004</v>
      </c>
      <c r="E511" t="s">
        <v>96</v>
      </c>
      <c r="G511" t="s">
        <v>1282</v>
      </c>
      <c r="I511" t="s">
        <v>1074</v>
      </c>
      <c r="K511">
        <v>1</v>
      </c>
      <c r="M511">
        <v>0</v>
      </c>
      <c r="N511">
        <v>2.46</v>
      </c>
      <c r="O511">
        <v>40</v>
      </c>
      <c r="P511">
        <v>1.476</v>
      </c>
    </row>
    <row r="512" spans="1:16">
      <c r="A512" t="s">
        <v>1283</v>
      </c>
      <c r="B512" t="e">
        <f>-CAB.RNF12G1.5</f>
        <v>#NAME?</v>
      </c>
      <c r="C512">
        <v>20100629</v>
      </c>
      <c r="D512">
        <v>20101004</v>
      </c>
      <c r="E512" t="s">
        <v>96</v>
      </c>
      <c r="G512" t="s">
        <v>1284</v>
      </c>
      <c r="I512" t="s">
        <v>1074</v>
      </c>
      <c r="K512">
        <v>1</v>
      </c>
      <c r="M512">
        <v>0</v>
      </c>
      <c r="N512">
        <v>13.86</v>
      </c>
      <c r="O512">
        <v>40</v>
      </c>
      <c r="P512">
        <v>8.3160000000000007</v>
      </c>
    </row>
    <row r="513" spans="1:16">
      <c r="A513" t="s">
        <v>1285</v>
      </c>
      <c r="B513" t="e">
        <f>-CAB.RNF3G1.5</f>
        <v>#NAME?</v>
      </c>
      <c r="C513">
        <v>20100629</v>
      </c>
      <c r="D513">
        <v>20101004</v>
      </c>
      <c r="E513" t="s">
        <v>96</v>
      </c>
      <c r="G513" t="s">
        <v>1286</v>
      </c>
      <c r="I513" t="s">
        <v>1074</v>
      </c>
      <c r="K513">
        <v>1</v>
      </c>
      <c r="M513">
        <v>0</v>
      </c>
      <c r="N513">
        <v>7.41</v>
      </c>
      <c r="O513">
        <v>40</v>
      </c>
      <c r="P513">
        <v>4.4459999999999997</v>
      </c>
    </row>
    <row r="514" spans="1:16">
      <c r="A514" t="s">
        <v>1287</v>
      </c>
      <c r="B514" t="e">
        <f>-CAB.SOUD25MM2</f>
        <v>#NAME?</v>
      </c>
      <c r="C514">
        <v>20100629</v>
      </c>
      <c r="D514">
        <v>20101004</v>
      </c>
      <c r="E514" t="s">
        <v>1243</v>
      </c>
      <c r="G514" t="s">
        <v>1288</v>
      </c>
      <c r="I514" t="s">
        <v>1074</v>
      </c>
      <c r="K514">
        <v>1</v>
      </c>
      <c r="M514">
        <v>0</v>
      </c>
      <c r="N514">
        <v>10.99</v>
      </c>
      <c r="O514">
        <v>40</v>
      </c>
      <c r="P514">
        <v>6.5940000000000003</v>
      </c>
    </row>
    <row r="515" spans="1:16">
      <c r="A515" t="s">
        <v>1289</v>
      </c>
      <c r="B515" t="e">
        <f>-CAH.251053</f>
        <v>#NAME?</v>
      </c>
      <c r="C515">
        <v>20100629</v>
      </c>
      <c r="D515">
        <v>20101004</v>
      </c>
      <c r="E515" t="s">
        <v>1290</v>
      </c>
      <c r="G515" t="s">
        <v>1291</v>
      </c>
      <c r="I515" t="s">
        <v>1292</v>
      </c>
      <c r="K515">
        <v>1</v>
      </c>
      <c r="M515">
        <v>0</v>
      </c>
      <c r="N515">
        <v>114.75</v>
      </c>
      <c r="O515">
        <v>40</v>
      </c>
      <c r="P515">
        <v>68.849999999999994</v>
      </c>
    </row>
    <row r="516" spans="1:16">
      <c r="A516" t="s">
        <v>1293</v>
      </c>
      <c r="B516" t="e">
        <f>-CAH.541217</f>
        <v>#NAME?</v>
      </c>
      <c r="C516">
        <v>20100629</v>
      </c>
      <c r="D516">
        <v>20101004</v>
      </c>
      <c r="E516" t="s">
        <v>1294</v>
      </c>
      <c r="G516" t="s">
        <v>1295</v>
      </c>
      <c r="I516" t="s">
        <v>1292</v>
      </c>
      <c r="K516">
        <v>1</v>
      </c>
      <c r="M516">
        <v>0</v>
      </c>
      <c r="N516">
        <v>159.26</v>
      </c>
      <c r="O516">
        <v>40</v>
      </c>
      <c r="P516">
        <v>95.555999999999997</v>
      </c>
    </row>
    <row r="517" spans="1:16">
      <c r="A517" t="s">
        <v>1296</v>
      </c>
      <c r="B517" t="e">
        <f>-CAP.30M</f>
        <v>#NAME?</v>
      </c>
      <c r="C517">
        <v>20100629</v>
      </c>
      <c r="D517">
        <v>20101004</v>
      </c>
      <c r="E517" t="s">
        <v>1297</v>
      </c>
      <c r="G517" t="s">
        <v>1298</v>
      </c>
      <c r="I517" t="s">
        <v>1299</v>
      </c>
      <c r="K517">
        <v>1</v>
      </c>
      <c r="M517">
        <v>0</v>
      </c>
      <c r="N517">
        <v>85.32</v>
      </c>
      <c r="O517">
        <v>40</v>
      </c>
      <c r="P517">
        <v>51.192</v>
      </c>
    </row>
    <row r="518" spans="1:16">
      <c r="A518" t="s">
        <v>1300</v>
      </c>
      <c r="B518" t="e">
        <f>-CAP.41761</f>
        <v>#NAME?</v>
      </c>
      <c r="C518">
        <v>20100629</v>
      </c>
      <c r="D518">
        <v>20101004</v>
      </c>
      <c r="E518" t="s">
        <v>1297</v>
      </c>
      <c r="G518" t="s">
        <v>1301</v>
      </c>
      <c r="I518" t="s">
        <v>1299</v>
      </c>
      <c r="K518">
        <v>1</v>
      </c>
      <c r="M518">
        <v>0</v>
      </c>
      <c r="N518">
        <v>19.670000000000002</v>
      </c>
      <c r="O518">
        <v>40</v>
      </c>
      <c r="P518">
        <v>11.802</v>
      </c>
    </row>
    <row r="519" spans="1:16">
      <c r="A519" t="s">
        <v>1302</v>
      </c>
      <c r="B519" t="e">
        <f>-CAP.736819</f>
        <v>#NAME?</v>
      </c>
      <c r="C519">
        <v>20100629</v>
      </c>
      <c r="D519">
        <v>20101004</v>
      </c>
      <c r="E519" t="s">
        <v>120</v>
      </c>
      <c r="G519" t="s">
        <v>1303</v>
      </c>
      <c r="I519" t="s">
        <v>1299</v>
      </c>
      <c r="K519">
        <v>1</v>
      </c>
      <c r="M519">
        <v>0</v>
      </c>
      <c r="N519">
        <v>2.77</v>
      </c>
      <c r="O519">
        <v>40</v>
      </c>
      <c r="P519">
        <v>1.6619999999999999</v>
      </c>
    </row>
    <row r="520" spans="1:16">
      <c r="A520" t="s">
        <v>1304</v>
      </c>
      <c r="B520" t="e">
        <f>-CAP.MKP8</f>
        <v>#NAME?</v>
      </c>
      <c r="C520">
        <v>20100629</v>
      </c>
      <c r="D520">
        <v>20101004</v>
      </c>
      <c r="E520" t="s">
        <v>1297</v>
      </c>
      <c r="G520" t="s">
        <v>1305</v>
      </c>
      <c r="I520" t="s">
        <v>1299</v>
      </c>
      <c r="K520">
        <v>1</v>
      </c>
      <c r="M520">
        <v>0</v>
      </c>
      <c r="N520">
        <v>37.06</v>
      </c>
      <c r="O520">
        <v>40</v>
      </c>
      <c r="P520">
        <v>22.236000000000001</v>
      </c>
    </row>
    <row r="521" spans="1:16">
      <c r="A521" t="s">
        <v>1306</v>
      </c>
      <c r="B521" t="e">
        <f>-CAP.SERMKP10</f>
        <v>#NAME?</v>
      </c>
      <c r="C521">
        <v>20100629</v>
      </c>
      <c r="D521">
        <v>20101004</v>
      </c>
      <c r="E521" t="s">
        <v>1297</v>
      </c>
      <c r="G521" t="s">
        <v>1307</v>
      </c>
      <c r="I521" t="s">
        <v>1299</v>
      </c>
      <c r="K521">
        <v>1</v>
      </c>
      <c r="M521">
        <v>0</v>
      </c>
      <c r="N521">
        <v>19.91</v>
      </c>
      <c r="O521">
        <v>40</v>
      </c>
      <c r="P521">
        <v>11.946</v>
      </c>
    </row>
    <row r="522" spans="1:16">
      <c r="A522" t="s">
        <v>1308</v>
      </c>
      <c r="B522" t="e">
        <f>-CAR.06NF005C4</f>
        <v>#NAME?</v>
      </c>
      <c r="C522">
        <v>20100629</v>
      </c>
      <c r="D522">
        <v>20101004</v>
      </c>
      <c r="E522" t="s">
        <v>899</v>
      </c>
      <c r="G522" t="s">
        <v>1309</v>
      </c>
      <c r="I522" t="s">
        <v>1310</v>
      </c>
      <c r="K522">
        <v>1</v>
      </c>
      <c r="M522">
        <v>0</v>
      </c>
      <c r="N522">
        <v>283.41000000000003</v>
      </c>
      <c r="O522">
        <v>40</v>
      </c>
      <c r="P522">
        <v>170.04599999999999</v>
      </c>
    </row>
    <row r="523" spans="1:16">
      <c r="A523" t="s">
        <v>1311</v>
      </c>
      <c r="B523" t="e">
        <f>-CEL.KM13</f>
        <v>#NAME?</v>
      </c>
      <c r="C523">
        <v>20100629</v>
      </c>
      <c r="D523">
        <v>20101004</v>
      </c>
      <c r="E523" t="s">
        <v>1312</v>
      </c>
      <c r="G523" t="s">
        <v>1313</v>
      </c>
      <c r="I523" t="s">
        <v>1314</v>
      </c>
      <c r="K523">
        <v>1</v>
      </c>
      <c r="M523">
        <v>0</v>
      </c>
      <c r="N523">
        <v>152.86000000000001</v>
      </c>
      <c r="O523">
        <v>40</v>
      </c>
      <c r="P523">
        <v>91.715999999999994</v>
      </c>
    </row>
    <row r="524" spans="1:16">
      <c r="A524" t="s">
        <v>1315</v>
      </c>
      <c r="B524" t="e">
        <f>-CEL.MZ00</f>
        <v>#NAME?</v>
      </c>
      <c r="C524">
        <v>20100629</v>
      </c>
      <c r="D524">
        <v>20101004</v>
      </c>
      <c r="E524" t="s">
        <v>116</v>
      </c>
      <c r="G524" t="s">
        <v>1316</v>
      </c>
      <c r="I524" t="s">
        <v>1314</v>
      </c>
      <c r="K524">
        <v>1</v>
      </c>
      <c r="M524">
        <v>0</v>
      </c>
      <c r="N524">
        <v>28.07</v>
      </c>
      <c r="O524">
        <v>40</v>
      </c>
      <c r="P524">
        <v>16.841999999999999</v>
      </c>
    </row>
    <row r="525" spans="1:16">
      <c r="A525" t="s">
        <v>1317</v>
      </c>
      <c r="B525" t="e">
        <f>-CES.019411</f>
        <v>#NAME?</v>
      </c>
      <c r="C525">
        <v>20100629</v>
      </c>
      <c r="D525">
        <v>20101004</v>
      </c>
      <c r="E525" t="s">
        <v>1318</v>
      </c>
      <c r="G525" t="s">
        <v>1319</v>
      </c>
      <c r="I525" t="s">
        <v>1320</v>
      </c>
      <c r="K525">
        <v>1</v>
      </c>
      <c r="M525">
        <v>0</v>
      </c>
      <c r="N525">
        <v>31.59</v>
      </c>
      <c r="O525">
        <v>40</v>
      </c>
      <c r="P525">
        <v>18.954000000000001</v>
      </c>
    </row>
    <row r="526" spans="1:16">
      <c r="A526" t="s">
        <v>1321</v>
      </c>
      <c r="B526" t="e">
        <f>-CES.019412</f>
        <v>#NAME?</v>
      </c>
      <c r="C526">
        <v>20100629</v>
      </c>
      <c r="D526">
        <v>20101004</v>
      </c>
      <c r="E526" t="s">
        <v>1318</v>
      </c>
      <c r="G526" t="s">
        <v>1322</v>
      </c>
      <c r="I526" t="s">
        <v>1320</v>
      </c>
      <c r="K526">
        <v>1</v>
      </c>
      <c r="M526">
        <v>0</v>
      </c>
      <c r="N526">
        <v>40.74</v>
      </c>
      <c r="O526">
        <v>40</v>
      </c>
      <c r="P526">
        <v>24.443999999999999</v>
      </c>
    </row>
    <row r="527" spans="1:16">
      <c r="A527" t="s">
        <v>1323</v>
      </c>
      <c r="B527" t="e">
        <f>-CH.70161</f>
        <v>#NAME?</v>
      </c>
      <c r="C527">
        <v>20100629</v>
      </c>
      <c r="D527">
        <v>20101004</v>
      </c>
      <c r="E527" t="s">
        <v>55</v>
      </c>
      <c r="G527" t="s">
        <v>1324</v>
      </c>
      <c r="I527" t="s">
        <v>1325</v>
      </c>
      <c r="K527">
        <v>1</v>
      </c>
      <c r="M527">
        <v>0</v>
      </c>
      <c r="N527">
        <v>115.51</v>
      </c>
      <c r="O527">
        <v>40</v>
      </c>
      <c r="P527">
        <v>69.305999999999997</v>
      </c>
    </row>
    <row r="528" spans="1:16">
      <c r="A528" t="s">
        <v>1326</v>
      </c>
      <c r="B528" t="s">
        <v>1327</v>
      </c>
      <c r="C528">
        <v>20101012</v>
      </c>
      <c r="D528">
        <v>20110127</v>
      </c>
      <c r="E528" t="s">
        <v>59</v>
      </c>
      <c r="F528" t="s">
        <v>1328</v>
      </c>
      <c r="G528" t="s">
        <v>1329</v>
      </c>
      <c r="I528" t="s">
        <v>61</v>
      </c>
      <c r="K528">
        <v>1</v>
      </c>
      <c r="M528">
        <v>1</v>
      </c>
      <c r="N528">
        <v>30.975999999999999</v>
      </c>
      <c r="O528">
        <v>40</v>
      </c>
      <c r="P528">
        <v>18.585999999999999</v>
      </c>
    </row>
    <row r="529" spans="1:16">
      <c r="A529" t="s">
        <v>1330</v>
      </c>
      <c r="B529" t="e">
        <f>-CH.ACCU4M</f>
        <v>#NAME?</v>
      </c>
      <c r="C529">
        <v>20100629</v>
      </c>
      <c r="D529">
        <v>20101004</v>
      </c>
      <c r="E529" t="s">
        <v>1331</v>
      </c>
      <c r="G529" t="s">
        <v>1332</v>
      </c>
      <c r="I529" t="s">
        <v>1325</v>
      </c>
      <c r="K529">
        <v>1</v>
      </c>
      <c r="M529">
        <v>0</v>
      </c>
      <c r="N529">
        <v>2437.56</v>
      </c>
      <c r="O529">
        <v>40</v>
      </c>
      <c r="P529">
        <v>1462.5360000000001</v>
      </c>
    </row>
    <row r="530" spans="1:16">
      <c r="A530" t="s">
        <v>1333</v>
      </c>
      <c r="B530" t="e">
        <f>-CH.ACOVA1000</f>
        <v>#NAME?</v>
      </c>
      <c r="C530">
        <v>20100629</v>
      </c>
      <c r="D530">
        <v>20101004</v>
      </c>
      <c r="E530" t="s">
        <v>1334</v>
      </c>
      <c r="G530" t="s">
        <v>1335</v>
      </c>
      <c r="I530" t="s">
        <v>1325</v>
      </c>
      <c r="K530">
        <v>1</v>
      </c>
      <c r="M530">
        <v>0</v>
      </c>
      <c r="N530">
        <v>1070.2</v>
      </c>
      <c r="O530">
        <v>40</v>
      </c>
      <c r="P530">
        <v>642.12</v>
      </c>
    </row>
    <row r="531" spans="1:16">
      <c r="A531" t="s">
        <v>1336</v>
      </c>
      <c r="B531" t="e">
        <f>-CH.BH200</f>
        <v>#NAME?</v>
      </c>
      <c r="C531">
        <v>20100629</v>
      </c>
      <c r="D531">
        <v>20101004</v>
      </c>
      <c r="E531" t="s">
        <v>1337</v>
      </c>
      <c r="G531" t="s">
        <v>1338</v>
      </c>
      <c r="I531" t="s">
        <v>1325</v>
      </c>
      <c r="K531">
        <v>1</v>
      </c>
      <c r="M531">
        <v>0</v>
      </c>
      <c r="N531">
        <v>158.65</v>
      </c>
      <c r="O531">
        <v>40</v>
      </c>
      <c r="P531">
        <v>95.19</v>
      </c>
    </row>
    <row r="532" spans="1:16">
      <c r="A532" t="s">
        <v>1339</v>
      </c>
      <c r="B532" t="e">
        <f>-CH.DELC20</f>
        <v>#NAME?</v>
      </c>
      <c r="C532">
        <v>20100629</v>
      </c>
      <c r="D532">
        <v>20101004</v>
      </c>
      <c r="E532" t="s">
        <v>1340</v>
      </c>
      <c r="G532" t="s">
        <v>1341</v>
      </c>
      <c r="I532" t="s">
        <v>1325</v>
      </c>
      <c r="K532">
        <v>1</v>
      </c>
      <c r="M532">
        <v>0</v>
      </c>
      <c r="N532">
        <v>67.73</v>
      </c>
      <c r="O532">
        <v>40</v>
      </c>
      <c r="P532">
        <v>40.637999999999998</v>
      </c>
    </row>
    <row r="533" spans="1:16">
      <c r="A533" t="s">
        <v>1342</v>
      </c>
      <c r="B533" t="e">
        <f>-CH.HD3254</f>
        <v>#NAME?</v>
      </c>
      <c r="C533">
        <v>20100629</v>
      </c>
      <c r="D533">
        <v>20101004</v>
      </c>
      <c r="E533" t="s">
        <v>55</v>
      </c>
      <c r="G533" t="s">
        <v>1343</v>
      </c>
      <c r="I533" t="s">
        <v>1325</v>
      </c>
      <c r="K533">
        <v>1</v>
      </c>
      <c r="M533">
        <v>0</v>
      </c>
      <c r="N533">
        <v>80.27</v>
      </c>
      <c r="O533">
        <v>40</v>
      </c>
      <c r="P533">
        <v>48.161999999999999</v>
      </c>
    </row>
    <row r="534" spans="1:16">
      <c r="A534" t="s">
        <v>1344</v>
      </c>
      <c r="B534" t="e">
        <f>-CH.HL4733</f>
        <v>#NAME?</v>
      </c>
      <c r="C534">
        <v>20100629</v>
      </c>
      <c r="D534">
        <v>20101004</v>
      </c>
      <c r="E534" t="s">
        <v>1345</v>
      </c>
      <c r="G534" t="s">
        <v>1346</v>
      </c>
      <c r="I534" t="s">
        <v>1325</v>
      </c>
      <c r="K534">
        <v>1</v>
      </c>
      <c r="M534">
        <v>0</v>
      </c>
      <c r="N534">
        <v>61.32</v>
      </c>
      <c r="O534">
        <v>40</v>
      </c>
      <c r="P534">
        <v>36.792000000000002</v>
      </c>
    </row>
    <row r="535" spans="1:16">
      <c r="A535" t="s">
        <v>1347</v>
      </c>
      <c r="B535" t="e">
        <f>-CH.JAEKPO301</f>
        <v>#NAME?</v>
      </c>
      <c r="C535">
        <v>20100629</v>
      </c>
      <c r="D535">
        <v>20101004</v>
      </c>
      <c r="E535" t="s">
        <v>1348</v>
      </c>
      <c r="G535" t="s">
        <v>1349</v>
      </c>
      <c r="I535" t="s">
        <v>1325</v>
      </c>
      <c r="K535">
        <v>1</v>
      </c>
      <c r="M535">
        <v>0</v>
      </c>
      <c r="N535">
        <v>193.64</v>
      </c>
      <c r="O535">
        <v>40</v>
      </c>
      <c r="P535">
        <v>116.184</v>
      </c>
    </row>
    <row r="536" spans="1:16">
      <c r="A536" t="s">
        <v>1350</v>
      </c>
      <c r="B536" t="e">
        <f>-CH.OMAS102</f>
        <v>#NAME?</v>
      </c>
      <c r="C536">
        <v>20100629</v>
      </c>
      <c r="D536">
        <v>20101004</v>
      </c>
      <c r="E536" t="s">
        <v>55</v>
      </c>
      <c r="G536" t="s">
        <v>1351</v>
      </c>
      <c r="I536" t="s">
        <v>1325</v>
      </c>
      <c r="K536">
        <v>1</v>
      </c>
      <c r="M536">
        <v>0</v>
      </c>
      <c r="N536">
        <v>102.47</v>
      </c>
      <c r="O536">
        <v>40</v>
      </c>
      <c r="P536">
        <v>61.481999999999999</v>
      </c>
    </row>
    <row r="537" spans="1:16">
      <c r="A537" t="s">
        <v>1352</v>
      </c>
      <c r="B537" t="s">
        <v>1353</v>
      </c>
      <c r="C537">
        <v>20101014</v>
      </c>
      <c r="D537">
        <v>20110127</v>
      </c>
      <c r="E537" t="s">
        <v>1354</v>
      </c>
      <c r="F537" t="s">
        <v>1355</v>
      </c>
      <c r="G537" t="s">
        <v>1356</v>
      </c>
      <c r="H537" t="s">
        <v>1357</v>
      </c>
      <c r="I537" t="s">
        <v>1358</v>
      </c>
      <c r="K537">
        <v>1</v>
      </c>
      <c r="M537">
        <v>1</v>
      </c>
      <c r="N537">
        <v>6.75</v>
      </c>
      <c r="O537">
        <v>40</v>
      </c>
      <c r="P537">
        <v>4.05</v>
      </c>
    </row>
    <row r="538" spans="1:16">
      <c r="A538" t="s">
        <v>1359</v>
      </c>
      <c r="B538" t="s">
        <v>1360</v>
      </c>
      <c r="C538">
        <v>20101014</v>
      </c>
      <c r="D538">
        <v>20110127</v>
      </c>
      <c r="E538" t="s">
        <v>1354</v>
      </c>
      <c r="F538" t="s">
        <v>1361</v>
      </c>
      <c r="G538" t="s">
        <v>1362</v>
      </c>
      <c r="H538" t="s">
        <v>1363</v>
      </c>
      <c r="I538" t="s">
        <v>1358</v>
      </c>
      <c r="K538">
        <v>1</v>
      </c>
      <c r="M538">
        <v>1</v>
      </c>
      <c r="N538">
        <v>7.6950000000000003</v>
      </c>
      <c r="O538">
        <v>40</v>
      </c>
      <c r="P538">
        <v>4.617</v>
      </c>
    </row>
    <row r="539" spans="1:16">
      <c r="A539" t="s">
        <v>1364</v>
      </c>
      <c r="B539" t="e">
        <f>-CH.RS660</f>
        <v>#NAME?</v>
      </c>
      <c r="C539">
        <v>20100629</v>
      </c>
      <c r="D539">
        <v>20101004</v>
      </c>
      <c r="E539" t="s">
        <v>55</v>
      </c>
      <c r="G539" t="s">
        <v>1365</v>
      </c>
      <c r="I539" t="s">
        <v>1325</v>
      </c>
      <c r="K539">
        <v>1</v>
      </c>
      <c r="M539">
        <v>0</v>
      </c>
      <c r="N539">
        <v>77.38</v>
      </c>
      <c r="O539">
        <v>40</v>
      </c>
      <c r="P539">
        <v>46.427999999999997</v>
      </c>
    </row>
    <row r="540" spans="1:16">
      <c r="A540" t="s">
        <v>1366</v>
      </c>
      <c r="B540" t="e">
        <f>-CH.SAUTER500W</f>
        <v>#NAME?</v>
      </c>
      <c r="C540">
        <v>20100629</v>
      </c>
      <c r="D540">
        <v>20101004</v>
      </c>
      <c r="E540" t="s">
        <v>598</v>
      </c>
      <c r="G540" t="s">
        <v>1367</v>
      </c>
      <c r="I540" t="s">
        <v>1325</v>
      </c>
      <c r="K540">
        <v>1</v>
      </c>
      <c r="M540">
        <v>0</v>
      </c>
      <c r="N540">
        <v>86.43</v>
      </c>
      <c r="O540">
        <v>40</v>
      </c>
      <c r="P540">
        <v>51.857999999999997</v>
      </c>
    </row>
    <row r="541" spans="1:16">
      <c r="A541" t="s">
        <v>1368</v>
      </c>
      <c r="B541" t="e">
        <f>-CH.SIERRA2000</f>
        <v>#NAME?</v>
      </c>
      <c r="C541">
        <v>20100629</v>
      </c>
      <c r="D541">
        <v>20101004</v>
      </c>
      <c r="E541" t="s">
        <v>55</v>
      </c>
      <c r="G541" t="s">
        <v>1369</v>
      </c>
      <c r="I541" t="s">
        <v>1325</v>
      </c>
      <c r="K541">
        <v>1</v>
      </c>
      <c r="M541">
        <v>0</v>
      </c>
      <c r="N541">
        <v>121.73</v>
      </c>
      <c r="O541">
        <v>40</v>
      </c>
      <c r="P541">
        <v>73.037999999999997</v>
      </c>
    </row>
    <row r="542" spans="1:16">
      <c r="A542" t="s">
        <v>1370</v>
      </c>
      <c r="B542" t="s">
        <v>1371</v>
      </c>
      <c r="C542">
        <v>20100629</v>
      </c>
      <c r="D542">
        <v>20101004</v>
      </c>
      <c r="E542" t="s">
        <v>96</v>
      </c>
      <c r="G542" t="s">
        <v>1372</v>
      </c>
      <c r="I542" t="s">
        <v>1074</v>
      </c>
      <c r="K542">
        <v>1</v>
      </c>
      <c r="M542">
        <v>0</v>
      </c>
      <c r="N542">
        <v>4.54</v>
      </c>
      <c r="O542">
        <v>40</v>
      </c>
      <c r="P542">
        <v>2.7240000000000002</v>
      </c>
    </row>
    <row r="543" spans="1:16">
      <c r="A543" t="s">
        <v>1373</v>
      </c>
      <c r="B543" t="e">
        <f>-CAB.HO5VVF2X0.75</f>
        <v>#NAME?</v>
      </c>
      <c r="C543">
        <v>20100629</v>
      </c>
      <c r="D543">
        <v>20101004</v>
      </c>
      <c r="E543" t="s">
        <v>96</v>
      </c>
      <c r="G543" t="s">
        <v>1374</v>
      </c>
      <c r="I543" t="s">
        <v>1074</v>
      </c>
      <c r="K543">
        <v>1</v>
      </c>
      <c r="M543">
        <v>0</v>
      </c>
      <c r="N543">
        <v>0.96</v>
      </c>
      <c r="O543">
        <v>40</v>
      </c>
      <c r="P543">
        <v>0.57599999999999996</v>
      </c>
    </row>
    <row r="544" spans="1:16">
      <c r="A544" t="s">
        <v>1375</v>
      </c>
      <c r="B544" t="e">
        <f>-CAB.HO5VVF2X1</f>
        <v>#NAME?</v>
      </c>
      <c r="C544">
        <v>20100629</v>
      </c>
      <c r="D544">
        <v>20101004</v>
      </c>
      <c r="E544" t="s">
        <v>96</v>
      </c>
      <c r="G544" t="s">
        <v>1376</v>
      </c>
      <c r="I544" t="s">
        <v>1074</v>
      </c>
      <c r="K544">
        <v>1</v>
      </c>
      <c r="M544">
        <v>0</v>
      </c>
      <c r="N544">
        <v>1.1200000000000001</v>
      </c>
      <c r="O544">
        <v>40</v>
      </c>
      <c r="P544">
        <v>0.67200000000000004</v>
      </c>
    </row>
    <row r="545" spans="1:16">
      <c r="A545" t="s">
        <v>1377</v>
      </c>
      <c r="B545" t="e">
        <f>-CAB.HO5VVF2X1N</f>
        <v>#NAME?</v>
      </c>
      <c r="C545">
        <v>20100629</v>
      </c>
      <c r="D545">
        <v>20101004</v>
      </c>
      <c r="E545" t="s">
        <v>96</v>
      </c>
      <c r="G545" t="s">
        <v>1378</v>
      </c>
      <c r="I545" t="s">
        <v>1074</v>
      </c>
      <c r="K545">
        <v>1</v>
      </c>
      <c r="M545">
        <v>0</v>
      </c>
      <c r="N545">
        <v>1.07</v>
      </c>
      <c r="O545">
        <v>40</v>
      </c>
      <c r="P545">
        <v>0.64200000000000002</v>
      </c>
    </row>
    <row r="546" spans="1:16">
      <c r="A546" t="s">
        <v>1379</v>
      </c>
      <c r="B546" t="e">
        <f>-CAB.HO5VVF2X4</f>
        <v>#NAME?</v>
      </c>
      <c r="C546">
        <v>20100629</v>
      </c>
      <c r="D546">
        <v>20101004</v>
      </c>
      <c r="E546" t="s">
        <v>96</v>
      </c>
      <c r="G546" t="s">
        <v>1380</v>
      </c>
      <c r="I546" t="s">
        <v>1074</v>
      </c>
      <c r="K546">
        <v>1</v>
      </c>
      <c r="M546">
        <v>0</v>
      </c>
      <c r="N546">
        <v>2.46</v>
      </c>
      <c r="O546">
        <v>40</v>
      </c>
      <c r="P546">
        <v>1.476</v>
      </c>
    </row>
    <row r="547" spans="1:16">
      <c r="A547" t="s">
        <v>1381</v>
      </c>
      <c r="B547" t="e">
        <f>-CAB.HO5VVF3X0.75</f>
        <v>#NAME?</v>
      </c>
      <c r="C547">
        <v>20100629</v>
      </c>
      <c r="D547">
        <v>20101004</v>
      </c>
      <c r="E547" t="s">
        <v>96</v>
      </c>
      <c r="G547" t="s">
        <v>1382</v>
      </c>
      <c r="I547" t="s">
        <v>1074</v>
      </c>
      <c r="K547">
        <v>1</v>
      </c>
      <c r="M547">
        <v>0</v>
      </c>
      <c r="N547">
        <v>0.8</v>
      </c>
      <c r="O547">
        <v>40</v>
      </c>
      <c r="P547">
        <v>0.48</v>
      </c>
    </row>
    <row r="548" spans="1:16">
      <c r="A548" t="s">
        <v>1383</v>
      </c>
      <c r="B548" t="e">
        <f>-CAB.HO5VVF3X1N</f>
        <v>#NAME?</v>
      </c>
      <c r="C548">
        <v>20100629</v>
      </c>
      <c r="D548">
        <v>20101004</v>
      </c>
      <c r="E548" t="s">
        <v>96</v>
      </c>
      <c r="G548" t="s">
        <v>1384</v>
      </c>
      <c r="I548" t="s">
        <v>1074</v>
      </c>
      <c r="K548">
        <v>1</v>
      </c>
      <c r="M548">
        <v>0</v>
      </c>
      <c r="N548">
        <v>1.34</v>
      </c>
      <c r="O548">
        <v>40</v>
      </c>
      <c r="P548">
        <v>0.80400000000000005</v>
      </c>
    </row>
    <row r="549" spans="1:16">
      <c r="A549" t="s">
        <v>1385</v>
      </c>
      <c r="B549" t="e">
        <f>-CAB.HO5VVF3X4</f>
        <v>#NAME?</v>
      </c>
      <c r="C549">
        <v>20100629</v>
      </c>
      <c r="D549">
        <v>20101004</v>
      </c>
      <c r="E549" t="s">
        <v>96</v>
      </c>
      <c r="G549" t="s">
        <v>1386</v>
      </c>
      <c r="I549" t="s">
        <v>1074</v>
      </c>
      <c r="K549">
        <v>1</v>
      </c>
      <c r="M549">
        <v>0</v>
      </c>
      <c r="N549">
        <v>4.8499999999999996</v>
      </c>
      <c r="O549">
        <v>40</v>
      </c>
      <c r="P549">
        <v>2.91</v>
      </c>
    </row>
    <row r="550" spans="1:16">
      <c r="A550" t="s">
        <v>1387</v>
      </c>
      <c r="B550" t="e">
        <f>-CAB.HO5VVF4X0.75</f>
        <v>#NAME?</v>
      </c>
      <c r="C550">
        <v>20100629</v>
      </c>
      <c r="D550">
        <v>20101004</v>
      </c>
      <c r="E550" t="s">
        <v>96</v>
      </c>
      <c r="G550" t="s">
        <v>1388</v>
      </c>
      <c r="I550" t="s">
        <v>1074</v>
      </c>
      <c r="K550">
        <v>1</v>
      </c>
      <c r="M550">
        <v>0</v>
      </c>
      <c r="N550">
        <v>1.07</v>
      </c>
      <c r="O550">
        <v>40</v>
      </c>
      <c r="P550">
        <v>0.64200000000000002</v>
      </c>
    </row>
    <row r="551" spans="1:16">
      <c r="A551" t="s">
        <v>1389</v>
      </c>
      <c r="B551" t="e">
        <f>-CAB.HO5VVF4X2.5</f>
        <v>#NAME?</v>
      </c>
      <c r="C551">
        <v>20100629</v>
      </c>
      <c r="D551">
        <v>20101004</v>
      </c>
      <c r="E551" t="s">
        <v>96</v>
      </c>
      <c r="G551" t="s">
        <v>1390</v>
      </c>
      <c r="I551" t="s">
        <v>1074</v>
      </c>
      <c r="K551">
        <v>1</v>
      </c>
      <c r="M551">
        <v>0</v>
      </c>
      <c r="N551">
        <v>2.77</v>
      </c>
      <c r="O551">
        <v>40</v>
      </c>
      <c r="P551">
        <v>1.6619999999999999</v>
      </c>
    </row>
    <row r="552" spans="1:16">
      <c r="A552" t="s">
        <v>1391</v>
      </c>
      <c r="B552" t="e">
        <f>-CAB.HO5VVF4X4</f>
        <v>#NAME?</v>
      </c>
      <c r="C552">
        <v>20100629</v>
      </c>
      <c r="D552">
        <v>20101004</v>
      </c>
      <c r="E552" t="s">
        <v>96</v>
      </c>
      <c r="G552" t="s">
        <v>1392</v>
      </c>
      <c r="I552" t="s">
        <v>1074</v>
      </c>
      <c r="K552">
        <v>1</v>
      </c>
      <c r="M552">
        <v>0</v>
      </c>
      <c r="N552">
        <v>6.18</v>
      </c>
      <c r="O552">
        <v>40</v>
      </c>
      <c r="P552">
        <v>3.7080000000000002</v>
      </c>
    </row>
    <row r="553" spans="1:16">
      <c r="A553" t="s">
        <v>1393</v>
      </c>
      <c r="B553" t="e">
        <f>-CAB.HO5VVF5X2.5</f>
        <v>#NAME?</v>
      </c>
      <c r="C553">
        <v>20100629</v>
      </c>
      <c r="D553">
        <v>20101004</v>
      </c>
      <c r="E553" t="s">
        <v>96</v>
      </c>
      <c r="G553" t="s">
        <v>1394</v>
      </c>
      <c r="I553" t="s">
        <v>1074</v>
      </c>
      <c r="K553">
        <v>1</v>
      </c>
      <c r="M553">
        <v>0</v>
      </c>
      <c r="N553">
        <v>4.2699999999999996</v>
      </c>
      <c r="O553">
        <v>40</v>
      </c>
      <c r="P553">
        <v>2.5619999999999998</v>
      </c>
    </row>
    <row r="554" spans="1:16">
      <c r="A554" t="s">
        <v>1395</v>
      </c>
      <c r="B554" t="e">
        <f>-CAB.HO5VVF5X4</f>
        <v>#NAME?</v>
      </c>
      <c r="C554">
        <v>20100629</v>
      </c>
      <c r="D554">
        <v>20101004</v>
      </c>
      <c r="E554" t="s">
        <v>96</v>
      </c>
      <c r="G554" t="s">
        <v>1396</v>
      </c>
      <c r="I554" t="s">
        <v>1074</v>
      </c>
      <c r="K554">
        <v>1</v>
      </c>
      <c r="M554">
        <v>0</v>
      </c>
      <c r="N554">
        <v>8.5299999999999994</v>
      </c>
      <c r="O554">
        <v>40</v>
      </c>
      <c r="P554">
        <v>5.1180000000000003</v>
      </c>
    </row>
    <row r="555" spans="1:16">
      <c r="A555" t="s">
        <v>1397</v>
      </c>
      <c r="B555" t="e">
        <f>-CAB.HO5VVF5X6</f>
        <v>#NAME?</v>
      </c>
      <c r="C555">
        <v>20100629</v>
      </c>
      <c r="D555">
        <v>20101004</v>
      </c>
      <c r="E555" t="s">
        <v>96</v>
      </c>
      <c r="G555" t="s">
        <v>1398</v>
      </c>
      <c r="I555" t="s">
        <v>1074</v>
      </c>
      <c r="K555">
        <v>1</v>
      </c>
      <c r="M555">
        <v>0</v>
      </c>
      <c r="N555">
        <v>6.13</v>
      </c>
      <c r="O555">
        <v>40</v>
      </c>
      <c r="P555">
        <v>3.6779999999999999</v>
      </c>
    </row>
    <row r="556" spans="1:16">
      <c r="A556" t="s">
        <v>1399</v>
      </c>
      <c r="B556" t="e">
        <f>-CAB.HO72X1.5</f>
        <v>#NAME?</v>
      </c>
      <c r="C556">
        <v>20100629</v>
      </c>
      <c r="D556">
        <v>20101004</v>
      </c>
      <c r="E556" t="s">
        <v>96</v>
      </c>
      <c r="G556" t="s">
        <v>1400</v>
      </c>
      <c r="I556" t="s">
        <v>1074</v>
      </c>
      <c r="K556">
        <v>1</v>
      </c>
      <c r="M556">
        <v>0</v>
      </c>
      <c r="N556">
        <v>3.04</v>
      </c>
      <c r="O556">
        <v>40</v>
      </c>
      <c r="P556">
        <v>1.8240000000000001</v>
      </c>
    </row>
    <row r="557" spans="1:16">
      <c r="A557" t="s">
        <v>1401</v>
      </c>
      <c r="B557" t="e">
        <f>-CAB.HO73G6</f>
        <v>#NAME?</v>
      </c>
      <c r="C557">
        <v>20100629</v>
      </c>
      <c r="D557">
        <v>20101004</v>
      </c>
      <c r="E557" t="s">
        <v>96</v>
      </c>
      <c r="G557" t="s">
        <v>1402</v>
      </c>
      <c r="I557" t="s">
        <v>1074</v>
      </c>
      <c r="K557">
        <v>1</v>
      </c>
      <c r="M557">
        <v>0</v>
      </c>
      <c r="N557">
        <v>10.18</v>
      </c>
      <c r="O557">
        <v>40</v>
      </c>
      <c r="P557">
        <v>6.1079999999999997</v>
      </c>
    </row>
    <row r="558" spans="1:16">
      <c r="A558" t="s">
        <v>1403</v>
      </c>
      <c r="B558" t="e">
        <f>-CAB.HO7RNF2X6</f>
        <v>#NAME?</v>
      </c>
      <c r="C558">
        <v>20100629</v>
      </c>
      <c r="D558">
        <v>20101004</v>
      </c>
      <c r="E558" t="s">
        <v>96</v>
      </c>
      <c r="G558" t="s">
        <v>1404</v>
      </c>
      <c r="I558" t="s">
        <v>1074</v>
      </c>
      <c r="K558">
        <v>1</v>
      </c>
      <c r="M558">
        <v>0</v>
      </c>
      <c r="N558">
        <v>5.44</v>
      </c>
      <c r="O558">
        <v>40</v>
      </c>
      <c r="P558">
        <v>3.2639999999999998</v>
      </c>
    </row>
    <row r="559" spans="1:16">
      <c r="A559" t="s">
        <v>1405</v>
      </c>
      <c r="B559" t="e">
        <f>-CAB.HO7RNF3X1.5</f>
        <v>#NAME?</v>
      </c>
      <c r="C559">
        <v>20100629</v>
      </c>
      <c r="D559">
        <v>20101004</v>
      </c>
      <c r="E559" t="s">
        <v>96</v>
      </c>
      <c r="G559" t="s">
        <v>1406</v>
      </c>
      <c r="I559" t="s">
        <v>1074</v>
      </c>
      <c r="K559">
        <v>1</v>
      </c>
      <c r="M559">
        <v>0</v>
      </c>
      <c r="N559">
        <v>4.32</v>
      </c>
      <c r="O559">
        <v>40</v>
      </c>
      <c r="P559">
        <v>2.5920000000000001</v>
      </c>
    </row>
    <row r="560" spans="1:16">
      <c r="A560" t="s">
        <v>1407</v>
      </c>
      <c r="B560" t="e">
        <f>-CAB.HO7RNF4X1.5</f>
        <v>#NAME?</v>
      </c>
      <c r="C560">
        <v>20100629</v>
      </c>
      <c r="D560">
        <v>20101004</v>
      </c>
      <c r="E560" t="s">
        <v>96</v>
      </c>
      <c r="G560" t="s">
        <v>1408</v>
      </c>
      <c r="I560" t="s">
        <v>1074</v>
      </c>
      <c r="K560">
        <v>1</v>
      </c>
      <c r="M560">
        <v>0</v>
      </c>
      <c r="N560">
        <v>4.2699999999999996</v>
      </c>
      <c r="O560">
        <v>40</v>
      </c>
      <c r="P560">
        <v>2.5619999999999998</v>
      </c>
    </row>
    <row r="561" spans="1:16">
      <c r="A561" t="s">
        <v>1409</v>
      </c>
      <c r="B561" t="e">
        <f>-CAB.HO7RNF4X16</f>
        <v>#NAME?</v>
      </c>
      <c r="C561">
        <v>20100629</v>
      </c>
      <c r="D561">
        <v>20101004</v>
      </c>
      <c r="E561" t="s">
        <v>96</v>
      </c>
      <c r="G561" t="s">
        <v>1410</v>
      </c>
      <c r="I561" t="s">
        <v>1074</v>
      </c>
      <c r="K561">
        <v>1</v>
      </c>
      <c r="M561">
        <v>0</v>
      </c>
      <c r="N561">
        <v>40.47</v>
      </c>
      <c r="O561">
        <v>40</v>
      </c>
      <c r="P561">
        <v>24.282</v>
      </c>
    </row>
    <row r="562" spans="1:16">
      <c r="A562" t="s">
        <v>1411</v>
      </c>
      <c r="B562" t="e">
        <f>-CAB.HO7RNF4X2.5</f>
        <v>#NAME?</v>
      </c>
      <c r="C562">
        <v>20100629</v>
      </c>
      <c r="D562">
        <v>20101004</v>
      </c>
      <c r="E562" t="s">
        <v>1412</v>
      </c>
      <c r="G562" t="s">
        <v>1413</v>
      </c>
      <c r="I562" t="s">
        <v>1074</v>
      </c>
      <c r="K562">
        <v>1</v>
      </c>
      <c r="M562">
        <v>0</v>
      </c>
      <c r="N562">
        <v>5.28</v>
      </c>
      <c r="O562">
        <v>40</v>
      </c>
      <c r="P562">
        <v>3.1680000000000001</v>
      </c>
    </row>
    <row r="563" spans="1:16">
      <c r="A563" t="s">
        <v>1414</v>
      </c>
      <c r="B563" t="e">
        <f>-CAB.HO7RNF4X25</f>
        <v>#NAME?</v>
      </c>
      <c r="C563">
        <v>20100629</v>
      </c>
      <c r="D563">
        <v>20101004</v>
      </c>
      <c r="E563" t="s">
        <v>96</v>
      </c>
      <c r="G563" t="s">
        <v>1415</v>
      </c>
      <c r="I563" t="s">
        <v>1074</v>
      </c>
      <c r="K563">
        <v>1</v>
      </c>
      <c r="M563">
        <v>0</v>
      </c>
      <c r="N563">
        <v>34.67</v>
      </c>
      <c r="O563">
        <v>40</v>
      </c>
      <c r="P563">
        <v>20.802</v>
      </c>
    </row>
    <row r="564" spans="1:16">
      <c r="A564" t="s">
        <v>1416</v>
      </c>
      <c r="B564" t="e">
        <f>-CAB.HO7RNF4X4</f>
        <v>#NAME?</v>
      </c>
      <c r="C564">
        <v>20100629</v>
      </c>
      <c r="D564">
        <v>20101004</v>
      </c>
      <c r="E564" t="s">
        <v>96</v>
      </c>
      <c r="G564" t="s">
        <v>1417</v>
      </c>
      <c r="I564" t="s">
        <v>1074</v>
      </c>
      <c r="K564">
        <v>1</v>
      </c>
      <c r="M564">
        <v>0</v>
      </c>
      <c r="N564">
        <v>6.83</v>
      </c>
      <c r="O564">
        <v>40</v>
      </c>
      <c r="P564">
        <v>4.0979999999999999</v>
      </c>
    </row>
    <row r="565" spans="1:16">
      <c r="A565" t="s">
        <v>1418</v>
      </c>
      <c r="B565" t="e">
        <f>-CAB.HO7RNF5X2.5</f>
        <v>#NAME?</v>
      </c>
      <c r="C565">
        <v>20100629</v>
      </c>
      <c r="D565">
        <v>20101004</v>
      </c>
      <c r="E565" t="s">
        <v>96</v>
      </c>
      <c r="G565" t="s">
        <v>1419</v>
      </c>
      <c r="I565" t="s">
        <v>1074</v>
      </c>
      <c r="K565">
        <v>1</v>
      </c>
      <c r="M565">
        <v>0</v>
      </c>
      <c r="N565">
        <v>5.6</v>
      </c>
      <c r="O565">
        <v>40</v>
      </c>
      <c r="P565">
        <v>3.36</v>
      </c>
    </row>
    <row r="566" spans="1:16">
      <c r="A566" t="s">
        <v>1420</v>
      </c>
      <c r="B566" t="e">
        <f>-CAB.HO7RNF5X4</f>
        <v>#NAME?</v>
      </c>
      <c r="C566">
        <v>20100629</v>
      </c>
      <c r="D566">
        <v>20101004</v>
      </c>
      <c r="E566" t="s">
        <v>96</v>
      </c>
      <c r="G566" t="s">
        <v>1421</v>
      </c>
      <c r="I566" t="s">
        <v>1074</v>
      </c>
      <c r="K566">
        <v>1</v>
      </c>
      <c r="M566">
        <v>0</v>
      </c>
      <c r="N566">
        <v>7.57</v>
      </c>
      <c r="O566">
        <v>40</v>
      </c>
      <c r="P566">
        <v>4.5419999999999998</v>
      </c>
    </row>
    <row r="567" spans="1:16">
      <c r="A567" t="s">
        <v>1422</v>
      </c>
      <c r="B567" t="e">
        <f>-CAB.HO7RNF7X1.5</f>
        <v>#NAME?</v>
      </c>
      <c r="C567">
        <v>20100629</v>
      </c>
      <c r="D567">
        <v>20101004</v>
      </c>
      <c r="E567" t="s">
        <v>96</v>
      </c>
      <c r="G567" t="s">
        <v>1423</v>
      </c>
      <c r="I567" t="s">
        <v>1074</v>
      </c>
      <c r="K567">
        <v>1</v>
      </c>
      <c r="M567">
        <v>0</v>
      </c>
      <c r="N567">
        <v>6.4</v>
      </c>
      <c r="O567">
        <v>40</v>
      </c>
      <c r="P567">
        <v>3.84</v>
      </c>
    </row>
    <row r="568" spans="1:16">
      <c r="A568" t="s">
        <v>1424</v>
      </c>
      <c r="B568" t="e">
        <f>-CAB.HO7VR25MM2</f>
        <v>#NAME?</v>
      </c>
      <c r="C568">
        <v>20100629</v>
      </c>
      <c r="D568">
        <v>20101004</v>
      </c>
      <c r="E568" t="s">
        <v>1425</v>
      </c>
      <c r="G568" t="s">
        <v>1426</v>
      </c>
      <c r="I568" t="s">
        <v>1074</v>
      </c>
      <c r="K568">
        <v>1</v>
      </c>
      <c r="M568">
        <v>0</v>
      </c>
      <c r="N568">
        <v>9.76</v>
      </c>
      <c r="O568">
        <v>40</v>
      </c>
      <c r="P568">
        <v>5.8559999999999999</v>
      </c>
    </row>
    <row r="569" spans="1:16">
      <c r="A569" t="s">
        <v>1427</v>
      </c>
      <c r="B569" t="e">
        <f>-CAB.HP2X2.5</f>
        <v>#NAME?</v>
      </c>
      <c r="C569">
        <v>20100629</v>
      </c>
      <c r="D569">
        <v>20101004</v>
      </c>
      <c r="E569" t="s">
        <v>1428</v>
      </c>
      <c r="G569" t="s">
        <v>1429</v>
      </c>
      <c r="H569" t="s">
        <v>1430</v>
      </c>
      <c r="I569" t="s">
        <v>1074</v>
      </c>
      <c r="K569">
        <v>1</v>
      </c>
      <c r="M569">
        <v>0</v>
      </c>
      <c r="N569">
        <v>2.67</v>
      </c>
      <c r="O569">
        <v>40</v>
      </c>
      <c r="P569">
        <v>1.6020000000000001</v>
      </c>
    </row>
    <row r="570" spans="1:16">
      <c r="A570" t="s">
        <v>1431</v>
      </c>
      <c r="B570" t="e">
        <f>-CAB.INFOR100</f>
        <v>#NAME?</v>
      </c>
      <c r="C570">
        <v>20100629</v>
      </c>
      <c r="D570">
        <v>20101004</v>
      </c>
      <c r="E570" t="s">
        <v>96</v>
      </c>
      <c r="G570" t="s">
        <v>1432</v>
      </c>
      <c r="I570" t="s">
        <v>1074</v>
      </c>
      <c r="K570">
        <v>1</v>
      </c>
      <c r="M570">
        <v>0</v>
      </c>
      <c r="N570">
        <v>1.28</v>
      </c>
      <c r="O570">
        <v>40</v>
      </c>
      <c r="P570">
        <v>0.76800000000000002</v>
      </c>
    </row>
    <row r="571" spans="1:16">
      <c r="A571" t="s">
        <v>1433</v>
      </c>
      <c r="B571" t="e">
        <f>-CAB.INTER2</f>
        <v>#NAME?</v>
      </c>
      <c r="C571">
        <v>20100629</v>
      </c>
      <c r="D571">
        <v>20101004</v>
      </c>
      <c r="E571" t="s">
        <v>1179</v>
      </c>
      <c r="G571" t="s">
        <v>1434</v>
      </c>
      <c r="I571" t="s">
        <v>1074</v>
      </c>
      <c r="K571">
        <v>1</v>
      </c>
      <c r="M571">
        <v>0</v>
      </c>
      <c r="N571">
        <v>1.34</v>
      </c>
      <c r="O571">
        <v>40</v>
      </c>
      <c r="P571">
        <v>0.80400000000000005</v>
      </c>
    </row>
    <row r="572" spans="1:16">
      <c r="A572" t="s">
        <v>1435</v>
      </c>
      <c r="B572" t="e">
        <f>-CAB.INVUL4X16</f>
        <v>#NAME?</v>
      </c>
      <c r="C572">
        <v>20100629</v>
      </c>
      <c r="D572">
        <v>20101004</v>
      </c>
      <c r="E572" t="s">
        <v>96</v>
      </c>
      <c r="G572" t="s">
        <v>1436</v>
      </c>
      <c r="I572" t="s">
        <v>1074</v>
      </c>
      <c r="K572">
        <v>1</v>
      </c>
      <c r="M572">
        <v>0</v>
      </c>
      <c r="N572">
        <v>8.86</v>
      </c>
      <c r="O572">
        <v>40</v>
      </c>
      <c r="P572">
        <v>5.3159999999999998</v>
      </c>
    </row>
    <row r="573" spans="1:16">
      <c r="A573" t="s">
        <v>1437</v>
      </c>
      <c r="B573" t="e">
        <f>-CAB.MCB12X022</f>
        <v>#NAME?</v>
      </c>
      <c r="C573">
        <v>20100629</v>
      </c>
      <c r="D573">
        <v>20101004</v>
      </c>
      <c r="E573" t="s">
        <v>96</v>
      </c>
      <c r="G573" t="s">
        <v>1438</v>
      </c>
      <c r="I573" t="s">
        <v>1074</v>
      </c>
      <c r="K573">
        <v>1</v>
      </c>
      <c r="M573">
        <v>0</v>
      </c>
      <c r="N573">
        <v>8.8000000000000007</v>
      </c>
      <c r="O573">
        <v>40</v>
      </c>
      <c r="P573">
        <v>5.28</v>
      </c>
    </row>
    <row r="574" spans="1:16">
      <c r="A574" t="s">
        <v>1439</v>
      </c>
      <c r="B574" t="e">
        <f>-CAB.MCEC2X1.5</f>
        <v>#NAME?</v>
      </c>
      <c r="C574">
        <v>20100629</v>
      </c>
      <c r="D574">
        <v>20101004</v>
      </c>
      <c r="E574" t="s">
        <v>96</v>
      </c>
      <c r="G574" t="s">
        <v>1440</v>
      </c>
      <c r="I574" t="s">
        <v>1074</v>
      </c>
      <c r="K574">
        <v>1</v>
      </c>
      <c r="M574">
        <v>0</v>
      </c>
      <c r="N574">
        <v>7.74</v>
      </c>
      <c r="O574">
        <v>40</v>
      </c>
      <c r="P574">
        <v>4.6440000000000001</v>
      </c>
    </row>
    <row r="575" spans="1:16">
      <c r="A575" t="s">
        <v>1441</v>
      </c>
      <c r="B575" t="e">
        <f>-CAB.MCEC2X2.5</f>
        <v>#NAME?</v>
      </c>
      <c r="C575">
        <v>20100629</v>
      </c>
      <c r="D575">
        <v>20101004</v>
      </c>
      <c r="E575" t="s">
        <v>1442</v>
      </c>
      <c r="G575" t="s">
        <v>1443</v>
      </c>
      <c r="I575" t="s">
        <v>1074</v>
      </c>
      <c r="K575">
        <v>1</v>
      </c>
      <c r="M575">
        <v>0</v>
      </c>
      <c r="N575">
        <v>8.1</v>
      </c>
      <c r="O575">
        <v>40</v>
      </c>
      <c r="P575">
        <v>4.8600000000000003</v>
      </c>
    </row>
    <row r="576" spans="1:16">
      <c r="A576" t="s">
        <v>1444</v>
      </c>
      <c r="B576" t="e">
        <f>-CAB.R2V2X6</f>
        <v>#NAME?</v>
      </c>
      <c r="C576">
        <v>20100629</v>
      </c>
      <c r="D576">
        <v>20101004</v>
      </c>
      <c r="E576" t="s">
        <v>1243</v>
      </c>
      <c r="G576" t="s">
        <v>1445</v>
      </c>
      <c r="I576" t="s">
        <v>1074</v>
      </c>
      <c r="K576">
        <v>1</v>
      </c>
      <c r="M576">
        <v>0</v>
      </c>
      <c r="N576">
        <v>3.58</v>
      </c>
      <c r="O576">
        <v>40</v>
      </c>
      <c r="P576">
        <v>2.1480000000000001</v>
      </c>
    </row>
    <row r="577" spans="1:16">
      <c r="A577" t="s">
        <v>1446</v>
      </c>
      <c r="B577" t="e">
        <f>-CAB.R2V3X1.5</f>
        <v>#NAME?</v>
      </c>
      <c r="C577">
        <v>20100629</v>
      </c>
      <c r="D577">
        <v>20101004</v>
      </c>
      <c r="E577" t="s">
        <v>1243</v>
      </c>
      <c r="G577" t="s">
        <v>1447</v>
      </c>
      <c r="I577" t="s">
        <v>1074</v>
      </c>
      <c r="K577">
        <v>1</v>
      </c>
      <c r="M577">
        <v>0</v>
      </c>
      <c r="N577">
        <v>1.44</v>
      </c>
      <c r="O577">
        <v>40</v>
      </c>
      <c r="P577">
        <v>0.86399999999999999</v>
      </c>
    </row>
    <row r="578" spans="1:16">
      <c r="A578" t="s">
        <v>1448</v>
      </c>
      <c r="B578" t="e">
        <f>-CAB.R2V3X10</f>
        <v>#NAME?</v>
      </c>
      <c r="C578">
        <v>20100629</v>
      </c>
      <c r="D578">
        <v>20101004</v>
      </c>
      <c r="E578" t="s">
        <v>1243</v>
      </c>
      <c r="G578" t="s">
        <v>1449</v>
      </c>
      <c r="I578" t="s">
        <v>1074</v>
      </c>
      <c r="K578">
        <v>1</v>
      </c>
      <c r="M578">
        <v>0</v>
      </c>
      <c r="N578">
        <v>7.95</v>
      </c>
      <c r="O578">
        <v>40</v>
      </c>
      <c r="P578">
        <v>4.7699999999999996</v>
      </c>
    </row>
    <row r="579" spans="1:16">
      <c r="A579" t="s">
        <v>1450</v>
      </c>
      <c r="B579" t="e">
        <f>-CAB.R2V3X16</f>
        <v>#NAME?</v>
      </c>
      <c r="C579">
        <v>20100629</v>
      </c>
      <c r="D579">
        <v>20101004</v>
      </c>
      <c r="E579" t="s">
        <v>1243</v>
      </c>
      <c r="G579" t="s">
        <v>1451</v>
      </c>
      <c r="I579" t="s">
        <v>1074</v>
      </c>
      <c r="K579">
        <v>1</v>
      </c>
      <c r="M579">
        <v>0</v>
      </c>
      <c r="N579">
        <v>14.24</v>
      </c>
      <c r="O579">
        <v>40</v>
      </c>
      <c r="P579">
        <v>8.5440000000000005</v>
      </c>
    </row>
    <row r="580" spans="1:16">
      <c r="A580" t="s">
        <v>1452</v>
      </c>
      <c r="B580" t="e">
        <f>-CAB.R2V3X2.5</f>
        <v>#NAME?</v>
      </c>
      <c r="C580">
        <v>20100629</v>
      </c>
      <c r="D580">
        <v>20101004</v>
      </c>
      <c r="E580" t="s">
        <v>1243</v>
      </c>
      <c r="G580" t="s">
        <v>1453</v>
      </c>
      <c r="I580" t="s">
        <v>1074</v>
      </c>
      <c r="K580">
        <v>1</v>
      </c>
      <c r="M580">
        <v>0</v>
      </c>
      <c r="N580">
        <v>2.19</v>
      </c>
      <c r="O580">
        <v>40</v>
      </c>
      <c r="P580">
        <v>1.3140000000000001</v>
      </c>
    </row>
    <row r="581" spans="1:16">
      <c r="A581" t="s">
        <v>1454</v>
      </c>
      <c r="B581" t="e">
        <f>-CAB.R2V3X25</f>
        <v>#NAME?</v>
      </c>
      <c r="C581">
        <v>20100629</v>
      </c>
      <c r="D581">
        <v>20101004</v>
      </c>
      <c r="E581" t="s">
        <v>1243</v>
      </c>
      <c r="G581" t="s">
        <v>1455</v>
      </c>
      <c r="I581" t="s">
        <v>1074</v>
      </c>
      <c r="K581">
        <v>1</v>
      </c>
      <c r="M581">
        <v>0</v>
      </c>
      <c r="N581">
        <v>20.32</v>
      </c>
      <c r="O581">
        <v>40</v>
      </c>
      <c r="P581">
        <v>12.192</v>
      </c>
    </row>
    <row r="582" spans="1:16">
      <c r="A582" t="s">
        <v>1456</v>
      </c>
      <c r="B582" t="e">
        <f>-CAB.R2V4G4</f>
        <v>#NAME?</v>
      </c>
      <c r="C582">
        <v>20100629</v>
      </c>
      <c r="D582">
        <v>20101004</v>
      </c>
      <c r="E582" t="s">
        <v>1243</v>
      </c>
      <c r="G582" t="s">
        <v>1457</v>
      </c>
      <c r="I582" t="s">
        <v>1074</v>
      </c>
      <c r="K582">
        <v>1</v>
      </c>
      <c r="M582">
        <v>0</v>
      </c>
      <c r="N582">
        <v>4.21</v>
      </c>
      <c r="O582">
        <v>40</v>
      </c>
      <c r="P582">
        <v>2.5259999999999998</v>
      </c>
    </row>
    <row r="583" spans="1:16">
      <c r="A583" t="s">
        <v>1458</v>
      </c>
      <c r="B583" t="e">
        <f>-CAB.R2V4X1.5S</f>
        <v>#NAME?</v>
      </c>
      <c r="C583">
        <v>20100629</v>
      </c>
      <c r="D583">
        <v>20101004</v>
      </c>
      <c r="E583" t="s">
        <v>1243</v>
      </c>
      <c r="G583" t="s">
        <v>1459</v>
      </c>
      <c r="I583" t="s">
        <v>1074</v>
      </c>
      <c r="K583">
        <v>1</v>
      </c>
      <c r="M583">
        <v>0</v>
      </c>
      <c r="N583">
        <v>3.04</v>
      </c>
      <c r="O583">
        <v>40</v>
      </c>
      <c r="P583">
        <v>1.8240000000000001</v>
      </c>
    </row>
    <row r="584" spans="1:16">
      <c r="A584" t="s">
        <v>1460</v>
      </c>
      <c r="B584" t="e">
        <f>-CAB.R2V4X10</f>
        <v>#NAME?</v>
      </c>
      <c r="C584">
        <v>20100629</v>
      </c>
      <c r="D584">
        <v>20101004</v>
      </c>
      <c r="E584" t="s">
        <v>1243</v>
      </c>
      <c r="G584" t="s">
        <v>1461</v>
      </c>
      <c r="I584" t="s">
        <v>1074</v>
      </c>
      <c r="K584">
        <v>1</v>
      </c>
      <c r="M584">
        <v>0</v>
      </c>
      <c r="N584">
        <v>13.49</v>
      </c>
      <c r="O584">
        <v>40</v>
      </c>
      <c r="P584">
        <v>8.0939999999999994</v>
      </c>
    </row>
    <row r="585" spans="1:16">
      <c r="A585" t="s">
        <v>1462</v>
      </c>
      <c r="B585" t="e">
        <f>-CAB.R2V4X35</f>
        <v>#NAME?</v>
      </c>
      <c r="C585">
        <v>20100629</v>
      </c>
      <c r="D585">
        <v>20101004</v>
      </c>
      <c r="E585" t="s">
        <v>1243</v>
      </c>
      <c r="G585" t="s">
        <v>1463</v>
      </c>
      <c r="I585" t="s">
        <v>1074</v>
      </c>
      <c r="K585">
        <v>1</v>
      </c>
      <c r="M585">
        <v>0</v>
      </c>
      <c r="N585">
        <v>26.61</v>
      </c>
      <c r="O585">
        <v>40</v>
      </c>
      <c r="P585">
        <v>15.965999999999999</v>
      </c>
    </row>
    <row r="586" spans="1:16">
      <c r="A586" t="s">
        <v>1464</v>
      </c>
      <c r="B586" t="e">
        <f>-CAB.R2V4X50</f>
        <v>#NAME?</v>
      </c>
      <c r="C586">
        <v>20100629</v>
      </c>
      <c r="D586">
        <v>20101004</v>
      </c>
      <c r="E586" t="s">
        <v>1240</v>
      </c>
      <c r="G586" t="s">
        <v>1465</v>
      </c>
      <c r="I586" t="s">
        <v>1074</v>
      </c>
      <c r="K586">
        <v>1</v>
      </c>
      <c r="M586">
        <v>0</v>
      </c>
      <c r="N586">
        <v>44.69</v>
      </c>
      <c r="O586">
        <v>40</v>
      </c>
      <c r="P586">
        <v>26.814</v>
      </c>
    </row>
    <row r="587" spans="1:16">
      <c r="A587" t="s">
        <v>1466</v>
      </c>
      <c r="B587" t="e">
        <f>-CAB.R2V4X6</f>
        <v>#NAME?</v>
      </c>
      <c r="C587">
        <v>20100629</v>
      </c>
      <c r="D587">
        <v>20101004</v>
      </c>
      <c r="E587" t="s">
        <v>1243</v>
      </c>
      <c r="G587" t="s">
        <v>1467</v>
      </c>
      <c r="I587" t="s">
        <v>1074</v>
      </c>
      <c r="K587">
        <v>1</v>
      </c>
      <c r="M587">
        <v>0</v>
      </c>
      <c r="N587">
        <v>6.13</v>
      </c>
      <c r="O587">
        <v>40</v>
      </c>
      <c r="P587">
        <v>3.6779999999999999</v>
      </c>
    </row>
    <row r="588" spans="1:16">
      <c r="A588" t="s">
        <v>1468</v>
      </c>
      <c r="B588" t="e">
        <f>-CAB.R2V5X16</f>
        <v>#NAME?</v>
      </c>
      <c r="C588">
        <v>20100629</v>
      </c>
      <c r="D588">
        <v>20101004</v>
      </c>
      <c r="E588" t="s">
        <v>1243</v>
      </c>
      <c r="G588" t="s">
        <v>1469</v>
      </c>
      <c r="I588" t="s">
        <v>1074</v>
      </c>
      <c r="K588">
        <v>1</v>
      </c>
      <c r="M588">
        <v>0</v>
      </c>
      <c r="N588">
        <v>20.21</v>
      </c>
      <c r="O588">
        <v>40</v>
      </c>
      <c r="P588">
        <v>12.125999999999999</v>
      </c>
    </row>
    <row r="589" spans="1:16">
      <c r="A589" t="s">
        <v>1470</v>
      </c>
      <c r="B589" t="e">
        <f>-CAB.R2V5X2.5</f>
        <v>#NAME?</v>
      </c>
      <c r="C589">
        <v>20100629</v>
      </c>
      <c r="D589">
        <v>20101004</v>
      </c>
      <c r="E589" t="s">
        <v>1243</v>
      </c>
      <c r="G589" t="s">
        <v>1471</v>
      </c>
      <c r="I589" t="s">
        <v>1074</v>
      </c>
      <c r="K589">
        <v>1</v>
      </c>
      <c r="M589">
        <v>0</v>
      </c>
      <c r="N589">
        <v>2.35</v>
      </c>
      <c r="O589">
        <v>40</v>
      </c>
      <c r="P589">
        <v>1.41</v>
      </c>
    </row>
    <row r="590" spans="1:16">
      <c r="A590" t="s">
        <v>1472</v>
      </c>
      <c r="B590" t="e">
        <f>-CAB.R2V5X4</f>
        <v>#NAME?</v>
      </c>
      <c r="C590">
        <v>20100629</v>
      </c>
      <c r="D590">
        <v>20101004</v>
      </c>
      <c r="E590" t="s">
        <v>1243</v>
      </c>
      <c r="G590" t="s">
        <v>1473</v>
      </c>
      <c r="I590" t="s">
        <v>1074</v>
      </c>
      <c r="K590">
        <v>1</v>
      </c>
      <c r="M590">
        <v>0</v>
      </c>
      <c r="N590">
        <v>4.21</v>
      </c>
      <c r="O590">
        <v>40</v>
      </c>
      <c r="P590">
        <v>2.5259999999999998</v>
      </c>
    </row>
    <row r="591" spans="1:16">
      <c r="A591" t="s">
        <v>1474</v>
      </c>
      <c r="B591" t="e">
        <f>-CAB.R2V5X6</f>
        <v>#NAME?</v>
      </c>
      <c r="C591">
        <v>20100629</v>
      </c>
      <c r="D591">
        <v>20101004</v>
      </c>
      <c r="E591" t="s">
        <v>1243</v>
      </c>
      <c r="G591" t="s">
        <v>1475</v>
      </c>
      <c r="I591" t="s">
        <v>1074</v>
      </c>
      <c r="K591">
        <v>1</v>
      </c>
      <c r="M591">
        <v>0</v>
      </c>
      <c r="N591">
        <v>7.52</v>
      </c>
      <c r="O591">
        <v>40</v>
      </c>
      <c r="P591">
        <v>4.5119999999999996</v>
      </c>
    </row>
    <row r="592" spans="1:16">
      <c r="A592" t="s">
        <v>1476</v>
      </c>
      <c r="B592" t="e">
        <f>-CAB.RAYONNE</f>
        <v>#NAME?</v>
      </c>
      <c r="C592">
        <v>20100629</v>
      </c>
      <c r="D592">
        <v>20101004</v>
      </c>
      <c r="E592" t="s">
        <v>1477</v>
      </c>
      <c r="G592" t="s">
        <v>1478</v>
      </c>
      <c r="I592" t="s">
        <v>1074</v>
      </c>
      <c r="K592">
        <v>1</v>
      </c>
      <c r="M592">
        <v>0</v>
      </c>
      <c r="N592">
        <v>9.76</v>
      </c>
      <c r="O592">
        <v>40</v>
      </c>
      <c r="P592">
        <v>5.8559999999999999</v>
      </c>
    </row>
    <row r="593" spans="1:16">
      <c r="A593" t="s">
        <v>1479</v>
      </c>
      <c r="B593" t="s">
        <v>1480</v>
      </c>
      <c r="C593">
        <v>20100629</v>
      </c>
      <c r="D593">
        <v>20101004</v>
      </c>
      <c r="E593" t="s">
        <v>96</v>
      </c>
      <c r="G593" t="s">
        <v>1481</v>
      </c>
      <c r="I593" t="s">
        <v>1074</v>
      </c>
      <c r="K593">
        <v>1</v>
      </c>
      <c r="M593">
        <v>0</v>
      </c>
      <c r="N593">
        <v>2.93</v>
      </c>
      <c r="O593">
        <v>40</v>
      </c>
      <c r="P593">
        <v>1.758</v>
      </c>
    </row>
    <row r="594" spans="1:16">
      <c r="A594" t="s">
        <v>1482</v>
      </c>
      <c r="B594" t="e">
        <f>-CAB.RNF4G4</f>
        <v>#NAME?</v>
      </c>
      <c r="C594">
        <v>20100629</v>
      </c>
      <c r="D594">
        <v>20101004</v>
      </c>
      <c r="E594" t="s">
        <v>96</v>
      </c>
      <c r="G594" t="s">
        <v>1483</v>
      </c>
      <c r="I594" t="s">
        <v>1074</v>
      </c>
      <c r="K594">
        <v>1</v>
      </c>
      <c r="M594">
        <v>0</v>
      </c>
      <c r="N594">
        <v>9.8699999999999992</v>
      </c>
      <c r="O594">
        <v>40</v>
      </c>
      <c r="P594">
        <v>5.9219999999999997</v>
      </c>
    </row>
    <row r="595" spans="1:16">
      <c r="A595" t="s">
        <v>1484</v>
      </c>
      <c r="B595" t="e">
        <f>-CAB.TELE/AR</f>
        <v>#NAME?</v>
      </c>
      <c r="C595">
        <v>20100629</v>
      </c>
      <c r="D595">
        <v>20101004</v>
      </c>
      <c r="E595" t="s">
        <v>96</v>
      </c>
      <c r="G595" t="s">
        <v>1485</v>
      </c>
      <c r="I595" t="s">
        <v>1074</v>
      </c>
      <c r="K595">
        <v>1</v>
      </c>
      <c r="M595">
        <v>0</v>
      </c>
      <c r="N595">
        <v>6.4</v>
      </c>
      <c r="O595">
        <v>40</v>
      </c>
      <c r="P595">
        <v>3.84</v>
      </c>
    </row>
    <row r="596" spans="1:16">
      <c r="A596" t="s">
        <v>1486</v>
      </c>
      <c r="B596" t="e">
        <f>-CAB.TELPLAT</f>
        <v>#NAME?</v>
      </c>
      <c r="C596">
        <v>20100629</v>
      </c>
      <c r="D596">
        <v>20101004</v>
      </c>
      <c r="E596" t="s">
        <v>1179</v>
      </c>
      <c r="G596" t="s">
        <v>1487</v>
      </c>
      <c r="I596" t="s">
        <v>1074</v>
      </c>
      <c r="K596">
        <v>1</v>
      </c>
      <c r="M596">
        <v>0</v>
      </c>
      <c r="N596">
        <v>1.55</v>
      </c>
      <c r="O596">
        <v>40</v>
      </c>
      <c r="P596">
        <v>0.93</v>
      </c>
    </row>
    <row r="597" spans="1:16">
      <c r="A597" t="s">
        <v>1488</v>
      </c>
      <c r="B597" t="e">
        <f>-CAB.TORSADE3COND</f>
        <v>#NAME?</v>
      </c>
      <c r="C597">
        <v>20100629</v>
      </c>
      <c r="D597">
        <v>20101004</v>
      </c>
      <c r="E597" t="s">
        <v>1489</v>
      </c>
      <c r="G597" t="s">
        <v>1490</v>
      </c>
      <c r="I597" t="s">
        <v>1074</v>
      </c>
      <c r="K597">
        <v>1</v>
      </c>
      <c r="M597">
        <v>0</v>
      </c>
      <c r="N597">
        <v>12.42</v>
      </c>
      <c r="O597">
        <v>40</v>
      </c>
      <c r="P597">
        <v>7.452</v>
      </c>
    </row>
    <row r="598" spans="1:16">
      <c r="A598" t="s">
        <v>1491</v>
      </c>
      <c r="B598" t="e">
        <f>-CAB.TWINAX</f>
        <v>#NAME?</v>
      </c>
      <c r="C598">
        <v>20100629</v>
      </c>
      <c r="D598">
        <v>20101004</v>
      </c>
      <c r="E598" t="s">
        <v>96</v>
      </c>
      <c r="G598" t="s">
        <v>1492</v>
      </c>
      <c r="I598" t="s">
        <v>1074</v>
      </c>
      <c r="K598">
        <v>1</v>
      </c>
      <c r="M598">
        <v>0</v>
      </c>
      <c r="N598">
        <v>3.47</v>
      </c>
      <c r="O598">
        <v>40</v>
      </c>
      <c r="P598">
        <v>2.0819999999999999</v>
      </c>
    </row>
    <row r="599" spans="1:16">
      <c r="A599" t="s">
        <v>1493</v>
      </c>
      <c r="B599" t="e">
        <f>-CAH.252819</f>
        <v>#NAME?</v>
      </c>
      <c r="C599">
        <v>20100629</v>
      </c>
      <c r="D599">
        <v>20101004</v>
      </c>
      <c r="E599" t="s">
        <v>588</v>
      </c>
      <c r="G599" t="s">
        <v>1494</v>
      </c>
      <c r="I599" t="s">
        <v>1292</v>
      </c>
      <c r="K599">
        <v>1</v>
      </c>
      <c r="M599">
        <v>0</v>
      </c>
      <c r="N599">
        <v>202.91</v>
      </c>
      <c r="O599">
        <v>40</v>
      </c>
      <c r="P599">
        <v>121.746</v>
      </c>
    </row>
    <row r="600" spans="1:16">
      <c r="A600" t="s">
        <v>1495</v>
      </c>
      <c r="B600" t="e">
        <f>-CAH.252820</f>
        <v>#NAME?</v>
      </c>
      <c r="C600">
        <v>20100629</v>
      </c>
      <c r="D600">
        <v>20101004</v>
      </c>
      <c r="E600" t="s">
        <v>1496</v>
      </c>
      <c r="G600" t="s">
        <v>1497</v>
      </c>
      <c r="I600" t="s">
        <v>1292</v>
      </c>
      <c r="K600">
        <v>1</v>
      </c>
      <c r="M600">
        <v>0</v>
      </c>
      <c r="N600">
        <v>258.77</v>
      </c>
      <c r="O600">
        <v>40</v>
      </c>
      <c r="P600">
        <v>155.262</v>
      </c>
    </row>
    <row r="601" spans="1:16">
      <c r="A601" t="s">
        <v>1498</v>
      </c>
      <c r="B601" t="e">
        <f>-CAH.252830</f>
        <v>#NAME?</v>
      </c>
      <c r="C601">
        <v>20100629</v>
      </c>
      <c r="D601">
        <v>20101004</v>
      </c>
      <c r="E601" t="s">
        <v>588</v>
      </c>
      <c r="G601" t="s">
        <v>1499</v>
      </c>
      <c r="I601" t="s">
        <v>1292</v>
      </c>
      <c r="K601">
        <v>1</v>
      </c>
      <c r="M601">
        <v>0</v>
      </c>
      <c r="N601">
        <v>195.35</v>
      </c>
      <c r="O601">
        <v>40</v>
      </c>
      <c r="P601">
        <v>117.21</v>
      </c>
    </row>
    <row r="602" spans="1:16">
      <c r="A602" t="s">
        <v>1500</v>
      </c>
      <c r="B602" t="e">
        <f>-CAH.351022</f>
        <v>#NAME?</v>
      </c>
      <c r="C602">
        <v>20100629</v>
      </c>
      <c r="D602">
        <v>20101004</v>
      </c>
      <c r="E602" t="s">
        <v>1501</v>
      </c>
      <c r="G602" t="s">
        <v>1502</v>
      </c>
      <c r="I602" t="s">
        <v>1292</v>
      </c>
      <c r="K602">
        <v>1</v>
      </c>
      <c r="M602">
        <v>0</v>
      </c>
      <c r="N602">
        <v>66.89</v>
      </c>
      <c r="O602">
        <v>40</v>
      </c>
      <c r="P602">
        <v>40.134</v>
      </c>
    </row>
    <row r="603" spans="1:16">
      <c r="A603" t="s">
        <v>1503</v>
      </c>
      <c r="B603" t="e">
        <f>-CAH.903103</f>
        <v>#NAME?</v>
      </c>
      <c r="C603">
        <v>20100629</v>
      </c>
      <c r="D603">
        <v>20101004</v>
      </c>
      <c r="E603" t="s">
        <v>194</v>
      </c>
      <c r="G603" t="s">
        <v>1504</v>
      </c>
      <c r="I603" t="s">
        <v>1292</v>
      </c>
      <c r="K603">
        <v>1</v>
      </c>
      <c r="M603">
        <v>0</v>
      </c>
      <c r="N603">
        <v>5.78</v>
      </c>
      <c r="O603">
        <v>40</v>
      </c>
      <c r="P603">
        <v>3.468</v>
      </c>
    </row>
    <row r="604" spans="1:16">
      <c r="A604" t="s">
        <v>1505</v>
      </c>
      <c r="B604" t="e">
        <f>-CAP.16M</f>
        <v>#NAME?</v>
      </c>
      <c r="C604">
        <v>20100629</v>
      </c>
      <c r="D604">
        <v>20101004</v>
      </c>
      <c r="E604" t="s">
        <v>1297</v>
      </c>
      <c r="G604" t="s">
        <v>1506</v>
      </c>
      <c r="I604" t="s">
        <v>1299</v>
      </c>
      <c r="K604">
        <v>1</v>
      </c>
      <c r="M604">
        <v>0</v>
      </c>
      <c r="N604">
        <v>53.73</v>
      </c>
      <c r="O604">
        <v>40</v>
      </c>
      <c r="P604">
        <v>32.238</v>
      </c>
    </row>
    <row r="605" spans="1:16">
      <c r="A605" t="s">
        <v>1507</v>
      </c>
      <c r="B605" t="e">
        <f>-CAP.20M</f>
        <v>#NAME?</v>
      </c>
      <c r="C605">
        <v>20100629</v>
      </c>
      <c r="D605">
        <v>20101004</v>
      </c>
      <c r="E605" t="s">
        <v>1297</v>
      </c>
      <c r="G605" t="s">
        <v>1508</v>
      </c>
      <c r="I605" t="s">
        <v>1299</v>
      </c>
      <c r="K605">
        <v>1</v>
      </c>
      <c r="M605">
        <v>0</v>
      </c>
      <c r="N605">
        <v>53.26</v>
      </c>
      <c r="O605">
        <v>40</v>
      </c>
      <c r="P605">
        <v>31.956</v>
      </c>
    </row>
    <row r="606" spans="1:16">
      <c r="A606" t="s">
        <v>1509</v>
      </c>
      <c r="B606" t="e">
        <f>-CAP.25M</f>
        <v>#NAME?</v>
      </c>
      <c r="C606">
        <v>20100629</v>
      </c>
      <c r="D606">
        <v>20101004</v>
      </c>
      <c r="E606" t="s">
        <v>1297</v>
      </c>
      <c r="G606" t="s">
        <v>1510</v>
      </c>
      <c r="I606" t="s">
        <v>1299</v>
      </c>
      <c r="K606">
        <v>1</v>
      </c>
      <c r="M606">
        <v>0</v>
      </c>
      <c r="N606">
        <v>69.260000000000005</v>
      </c>
      <c r="O606">
        <v>40</v>
      </c>
      <c r="P606">
        <v>41.555999999999997</v>
      </c>
    </row>
    <row r="607" spans="1:16">
      <c r="A607" t="s">
        <v>1511</v>
      </c>
      <c r="B607" t="e">
        <f>-CAP.41668</f>
        <v>#NAME?</v>
      </c>
      <c r="C607">
        <v>20100629</v>
      </c>
      <c r="D607">
        <v>20101004</v>
      </c>
      <c r="E607" t="s">
        <v>1297</v>
      </c>
      <c r="G607" t="s">
        <v>1512</v>
      </c>
      <c r="I607" t="s">
        <v>1299</v>
      </c>
      <c r="K607">
        <v>1</v>
      </c>
      <c r="M607">
        <v>0</v>
      </c>
      <c r="N607">
        <v>24.76</v>
      </c>
      <c r="O607">
        <v>40</v>
      </c>
      <c r="P607">
        <v>14.856</v>
      </c>
    </row>
    <row r="608" spans="1:16">
      <c r="A608" t="s">
        <v>1513</v>
      </c>
      <c r="B608" t="e">
        <f>-CAP.PIEUVRE</f>
        <v>#NAME?</v>
      </c>
      <c r="C608">
        <v>20100629</v>
      </c>
      <c r="D608">
        <v>20101004</v>
      </c>
      <c r="E608" t="s">
        <v>120</v>
      </c>
      <c r="G608" t="s">
        <v>1514</v>
      </c>
      <c r="I608" t="s">
        <v>1299</v>
      </c>
      <c r="K608">
        <v>1</v>
      </c>
      <c r="M608">
        <v>0</v>
      </c>
      <c r="N608">
        <v>38.26</v>
      </c>
      <c r="O608">
        <v>40</v>
      </c>
      <c r="P608">
        <v>22.956</v>
      </c>
    </row>
    <row r="609" spans="1:16">
      <c r="A609" t="s">
        <v>1515</v>
      </c>
      <c r="B609" t="e">
        <f>-CAR.069420291</f>
        <v>#NAME?</v>
      </c>
      <c r="C609">
        <v>20100629</v>
      </c>
      <c r="D609">
        <v>20101004</v>
      </c>
      <c r="E609" t="s">
        <v>899</v>
      </c>
      <c r="G609" t="s">
        <v>1309</v>
      </c>
      <c r="I609" t="s">
        <v>1310</v>
      </c>
      <c r="K609">
        <v>1</v>
      </c>
      <c r="M609">
        <v>0</v>
      </c>
      <c r="N609">
        <v>275.05</v>
      </c>
      <c r="O609">
        <v>40</v>
      </c>
      <c r="P609">
        <v>165.03</v>
      </c>
    </row>
    <row r="610" spans="1:16">
      <c r="A610" t="s">
        <v>1516</v>
      </c>
      <c r="B610" t="e">
        <f>-CEL.EG1</f>
        <v>#NAME?</v>
      </c>
      <c r="C610">
        <v>20100629</v>
      </c>
      <c r="D610">
        <v>20101004</v>
      </c>
      <c r="E610" t="s">
        <v>1517</v>
      </c>
      <c r="G610" t="s">
        <v>1518</v>
      </c>
      <c r="I610" t="s">
        <v>1314</v>
      </c>
      <c r="K610">
        <v>1</v>
      </c>
      <c r="M610">
        <v>0</v>
      </c>
      <c r="N610">
        <v>67.16</v>
      </c>
      <c r="O610">
        <v>40</v>
      </c>
      <c r="P610">
        <v>40.295999999999999</v>
      </c>
    </row>
    <row r="611" spans="1:16">
      <c r="A611" t="s">
        <v>1519</v>
      </c>
      <c r="B611" t="e">
        <f>-CH.6850</f>
        <v>#NAME?</v>
      </c>
      <c r="C611">
        <v>20100629</v>
      </c>
      <c r="D611">
        <v>20101004</v>
      </c>
      <c r="E611" t="s">
        <v>55</v>
      </c>
      <c r="G611" t="s">
        <v>1520</v>
      </c>
      <c r="I611" t="s">
        <v>1325</v>
      </c>
      <c r="K611">
        <v>1</v>
      </c>
      <c r="M611">
        <v>0</v>
      </c>
      <c r="N611">
        <v>102.01</v>
      </c>
      <c r="O611">
        <v>40</v>
      </c>
      <c r="P611">
        <v>61.206000000000003</v>
      </c>
    </row>
    <row r="612" spans="1:16">
      <c r="A612" t="s">
        <v>1521</v>
      </c>
      <c r="B612" t="e">
        <f>-CH.A9E</f>
        <v>#NAME?</v>
      </c>
      <c r="C612">
        <v>20100629</v>
      </c>
      <c r="D612">
        <v>20101004</v>
      </c>
      <c r="E612" t="s">
        <v>1334</v>
      </c>
      <c r="G612" t="s">
        <v>1522</v>
      </c>
      <c r="I612" t="s">
        <v>1325</v>
      </c>
      <c r="K612">
        <v>1</v>
      </c>
      <c r="M612">
        <v>0</v>
      </c>
      <c r="N612">
        <v>823.23</v>
      </c>
      <c r="O612">
        <v>40</v>
      </c>
      <c r="P612">
        <v>493.93799999999999</v>
      </c>
    </row>
    <row r="613" spans="1:16">
      <c r="A613" t="s">
        <v>1523</v>
      </c>
      <c r="B613" t="e">
        <f>-CH.ACOVA750</f>
        <v>#NAME?</v>
      </c>
      <c r="C613">
        <v>20100629</v>
      </c>
      <c r="D613">
        <v>20101004</v>
      </c>
      <c r="E613" t="s">
        <v>1334</v>
      </c>
      <c r="G613" t="s">
        <v>1524</v>
      </c>
      <c r="I613" t="s">
        <v>1325</v>
      </c>
      <c r="K613">
        <v>1</v>
      </c>
      <c r="M613">
        <v>0</v>
      </c>
      <c r="N613">
        <v>987.88</v>
      </c>
      <c r="O613">
        <v>40</v>
      </c>
      <c r="P613">
        <v>592.72799999999995</v>
      </c>
    </row>
    <row r="614" spans="1:16">
      <c r="A614" t="s">
        <v>1525</v>
      </c>
      <c r="B614" t="e">
        <f>-CH.BLINDE</f>
        <v>#NAME?</v>
      </c>
      <c r="C614">
        <v>20100629</v>
      </c>
      <c r="D614">
        <v>20101004</v>
      </c>
      <c r="E614" t="s">
        <v>1526</v>
      </c>
      <c r="G614" t="s">
        <v>1527</v>
      </c>
      <c r="I614" t="s">
        <v>1325</v>
      </c>
      <c r="K614">
        <v>1</v>
      </c>
      <c r="M614">
        <v>0</v>
      </c>
      <c r="N614">
        <v>99.6</v>
      </c>
      <c r="O614">
        <v>40</v>
      </c>
      <c r="P614">
        <v>59.76</v>
      </c>
    </row>
    <row r="615" spans="1:16">
      <c r="A615" t="s">
        <v>1528</v>
      </c>
      <c r="B615" t="e">
        <f>-CH.DELC15</f>
        <v>#NAME?</v>
      </c>
      <c r="C615">
        <v>20100629</v>
      </c>
      <c r="D615">
        <v>20101004</v>
      </c>
      <c r="E615" t="s">
        <v>1340</v>
      </c>
      <c r="G615" t="s">
        <v>1529</v>
      </c>
      <c r="I615" t="s">
        <v>1325</v>
      </c>
      <c r="K615">
        <v>1</v>
      </c>
      <c r="M615">
        <v>0</v>
      </c>
      <c r="N615">
        <v>61.17</v>
      </c>
      <c r="O615">
        <v>40</v>
      </c>
      <c r="P615">
        <v>36.701999999999998</v>
      </c>
    </row>
    <row r="616" spans="1:16">
      <c r="A616" t="s">
        <v>1530</v>
      </c>
      <c r="B616" t="e">
        <f>-CH.DELC20TURBO</f>
        <v>#NAME?</v>
      </c>
      <c r="C616">
        <v>20100629</v>
      </c>
      <c r="D616">
        <v>20101004</v>
      </c>
      <c r="E616" t="s">
        <v>1531</v>
      </c>
      <c r="G616" t="s">
        <v>1532</v>
      </c>
      <c r="I616" t="s">
        <v>1325</v>
      </c>
      <c r="K616">
        <v>1</v>
      </c>
      <c r="M616">
        <v>0</v>
      </c>
      <c r="N616">
        <v>83.15</v>
      </c>
      <c r="O616">
        <v>40</v>
      </c>
      <c r="P616">
        <v>49.89</v>
      </c>
    </row>
    <row r="617" spans="1:16">
      <c r="A617" t="s">
        <v>1533</v>
      </c>
      <c r="B617" t="e">
        <f>-CH.EQUATEUR</f>
        <v>#NAME?</v>
      </c>
      <c r="C617">
        <v>20100629</v>
      </c>
      <c r="D617">
        <v>20101004</v>
      </c>
      <c r="E617" t="s">
        <v>1334</v>
      </c>
      <c r="G617" t="s">
        <v>1534</v>
      </c>
      <c r="I617" t="s">
        <v>1325</v>
      </c>
      <c r="K617">
        <v>1</v>
      </c>
      <c r="M617">
        <v>0</v>
      </c>
      <c r="N617">
        <v>187.27</v>
      </c>
      <c r="O617">
        <v>40</v>
      </c>
      <c r="P617">
        <v>112.36199999999999</v>
      </c>
    </row>
    <row r="618" spans="1:16">
      <c r="A618" t="s">
        <v>1535</v>
      </c>
      <c r="B618" t="e">
        <f>-CH.FSW505E</f>
        <v>#NAME?</v>
      </c>
      <c r="C618">
        <v>20100629</v>
      </c>
      <c r="D618">
        <v>20101004</v>
      </c>
      <c r="E618" t="s">
        <v>1536</v>
      </c>
      <c r="G618" t="s">
        <v>1537</v>
      </c>
      <c r="I618" t="s">
        <v>1325</v>
      </c>
      <c r="K618">
        <v>1</v>
      </c>
      <c r="M618">
        <v>0</v>
      </c>
      <c r="N618">
        <v>41.35</v>
      </c>
      <c r="O618">
        <v>40</v>
      </c>
      <c r="P618">
        <v>24.81</v>
      </c>
    </row>
    <row r="619" spans="1:16">
      <c r="A619" t="s">
        <v>1538</v>
      </c>
      <c r="B619" t="e">
        <f>-CH.GC3000</f>
        <v>#NAME?</v>
      </c>
      <c r="C619">
        <v>20100629</v>
      </c>
      <c r="D619">
        <v>20101004</v>
      </c>
      <c r="E619" t="s">
        <v>1539</v>
      </c>
      <c r="G619" t="s">
        <v>1540</v>
      </c>
      <c r="I619" t="s">
        <v>1325</v>
      </c>
      <c r="K619">
        <v>1</v>
      </c>
      <c r="M619">
        <v>0</v>
      </c>
      <c r="N619">
        <v>235.04</v>
      </c>
      <c r="O619">
        <v>40</v>
      </c>
      <c r="P619">
        <v>141.024</v>
      </c>
    </row>
    <row r="620" spans="1:16">
      <c r="A620" t="s">
        <v>1541</v>
      </c>
      <c r="B620" t="e">
        <f>-CH.HD3445</f>
        <v>#NAME?</v>
      </c>
      <c r="C620">
        <v>20100629</v>
      </c>
      <c r="D620">
        <v>20101004</v>
      </c>
      <c r="E620" t="s">
        <v>1542</v>
      </c>
      <c r="G620" t="s">
        <v>1543</v>
      </c>
      <c r="I620" t="s">
        <v>1325</v>
      </c>
      <c r="K620">
        <v>1</v>
      </c>
      <c r="M620">
        <v>0</v>
      </c>
      <c r="N620">
        <v>150.22999999999999</v>
      </c>
      <c r="O620">
        <v>40</v>
      </c>
      <c r="P620">
        <v>90.138000000000005</v>
      </c>
    </row>
    <row r="621" spans="1:16">
      <c r="A621" t="s">
        <v>1544</v>
      </c>
      <c r="B621" t="e">
        <f>-CH.HD3454</f>
        <v>#NAME?</v>
      </c>
      <c r="C621">
        <v>20100629</v>
      </c>
      <c r="D621">
        <v>20101004</v>
      </c>
      <c r="E621" t="s">
        <v>1545</v>
      </c>
      <c r="G621" t="s">
        <v>1546</v>
      </c>
      <c r="I621" t="s">
        <v>1325</v>
      </c>
      <c r="K621">
        <v>1</v>
      </c>
      <c r="M621">
        <v>0</v>
      </c>
      <c r="N621">
        <v>94.26</v>
      </c>
      <c r="O621">
        <v>40</v>
      </c>
      <c r="P621">
        <v>56.555999999999997</v>
      </c>
    </row>
    <row r="622" spans="1:16">
      <c r="A622" t="s">
        <v>1547</v>
      </c>
      <c r="B622" t="e">
        <f>-CH.HD3455</f>
        <v>#NAME?</v>
      </c>
      <c r="C622">
        <v>20100629</v>
      </c>
      <c r="D622">
        <v>20101004</v>
      </c>
      <c r="E622" t="s">
        <v>598</v>
      </c>
      <c r="G622" t="s">
        <v>1548</v>
      </c>
      <c r="I622" t="s">
        <v>1325</v>
      </c>
      <c r="K622">
        <v>1</v>
      </c>
      <c r="M622">
        <v>0</v>
      </c>
      <c r="N622">
        <v>118.96</v>
      </c>
      <c r="O622">
        <v>40</v>
      </c>
      <c r="P622">
        <v>71.376000000000005</v>
      </c>
    </row>
    <row r="623" spans="1:16">
      <c r="A623" t="s">
        <v>1549</v>
      </c>
      <c r="B623" t="e">
        <f>-CH.HD3500</f>
        <v>#NAME?</v>
      </c>
      <c r="C623">
        <v>20100629</v>
      </c>
      <c r="D623">
        <v>20101004</v>
      </c>
      <c r="E623" t="s">
        <v>1550</v>
      </c>
      <c r="G623" t="s">
        <v>1551</v>
      </c>
      <c r="I623" t="s">
        <v>1325</v>
      </c>
      <c r="K623">
        <v>1</v>
      </c>
      <c r="M623">
        <v>0</v>
      </c>
      <c r="N623">
        <v>73.680000000000007</v>
      </c>
      <c r="O623">
        <v>40</v>
      </c>
      <c r="P623">
        <v>44.207999999999998</v>
      </c>
    </row>
    <row r="624" spans="1:16">
      <c r="A624" t="s">
        <v>1552</v>
      </c>
      <c r="B624" t="e">
        <f>-CH.JAEGER</f>
        <v>#NAME?</v>
      </c>
      <c r="C624">
        <v>20100629</v>
      </c>
      <c r="D624">
        <v>20101004</v>
      </c>
      <c r="E624" t="s">
        <v>1348</v>
      </c>
      <c r="G624" t="s">
        <v>1553</v>
      </c>
      <c r="I624" t="s">
        <v>1325</v>
      </c>
      <c r="K624">
        <v>1</v>
      </c>
      <c r="M624">
        <v>0</v>
      </c>
      <c r="N624">
        <v>182.26</v>
      </c>
      <c r="O624">
        <v>40</v>
      </c>
      <c r="P624">
        <v>109.35599999999999</v>
      </c>
    </row>
    <row r="625" spans="1:16">
      <c r="A625" t="s">
        <v>1554</v>
      </c>
      <c r="B625" t="s">
        <v>1555</v>
      </c>
      <c r="C625">
        <v>20101014</v>
      </c>
      <c r="D625">
        <v>20110127</v>
      </c>
      <c r="E625" t="s">
        <v>1556</v>
      </c>
      <c r="F625" t="s">
        <v>1557</v>
      </c>
      <c r="G625" t="s">
        <v>1558</v>
      </c>
      <c r="H625" t="s">
        <v>1559</v>
      </c>
      <c r="I625" t="s">
        <v>1358</v>
      </c>
      <c r="K625">
        <v>1</v>
      </c>
      <c r="M625">
        <v>1</v>
      </c>
      <c r="N625">
        <v>27.54</v>
      </c>
      <c r="O625">
        <v>40</v>
      </c>
      <c r="P625">
        <v>16.524000000000001</v>
      </c>
    </row>
    <row r="626" spans="1:16">
      <c r="A626" t="s">
        <v>1560</v>
      </c>
      <c r="B626" t="s">
        <v>1561</v>
      </c>
      <c r="C626">
        <v>20101014</v>
      </c>
      <c r="D626">
        <v>20110127</v>
      </c>
      <c r="E626" t="s">
        <v>1354</v>
      </c>
      <c r="F626" t="s">
        <v>1562</v>
      </c>
      <c r="G626" t="s">
        <v>1563</v>
      </c>
      <c r="H626" t="s">
        <v>1564</v>
      </c>
      <c r="I626" t="s">
        <v>1358</v>
      </c>
      <c r="K626">
        <v>1</v>
      </c>
      <c r="M626">
        <v>1</v>
      </c>
      <c r="N626">
        <v>4.7249999999999996</v>
      </c>
      <c r="O626">
        <v>40</v>
      </c>
      <c r="P626">
        <v>2.835</v>
      </c>
    </row>
    <row r="627" spans="1:16">
      <c r="A627" t="s">
        <v>1565</v>
      </c>
      <c r="B627" t="s">
        <v>1566</v>
      </c>
      <c r="C627">
        <v>20101014</v>
      </c>
      <c r="D627">
        <v>20110127</v>
      </c>
      <c r="E627" t="s">
        <v>1354</v>
      </c>
      <c r="F627" t="s">
        <v>1562</v>
      </c>
      <c r="G627" t="s">
        <v>1563</v>
      </c>
      <c r="H627" t="s">
        <v>1567</v>
      </c>
      <c r="I627" t="s">
        <v>1358</v>
      </c>
      <c r="K627">
        <v>1</v>
      </c>
      <c r="M627">
        <v>1</v>
      </c>
      <c r="N627">
        <v>4.7249999999999996</v>
      </c>
      <c r="O627">
        <v>40</v>
      </c>
      <c r="P627">
        <v>2.835</v>
      </c>
    </row>
    <row r="628" spans="1:16">
      <c r="A628" t="s">
        <v>1568</v>
      </c>
      <c r="B628" t="s">
        <v>1569</v>
      </c>
      <c r="C628">
        <v>20101014</v>
      </c>
      <c r="D628">
        <v>20110127</v>
      </c>
      <c r="E628" t="s">
        <v>1354</v>
      </c>
      <c r="F628" t="s">
        <v>1562</v>
      </c>
      <c r="G628" t="s">
        <v>1563</v>
      </c>
      <c r="H628" t="s">
        <v>1570</v>
      </c>
      <c r="I628" t="s">
        <v>1358</v>
      </c>
      <c r="K628">
        <v>1</v>
      </c>
      <c r="M628">
        <v>1</v>
      </c>
      <c r="N628">
        <v>4.7249999999999996</v>
      </c>
      <c r="O628">
        <v>40</v>
      </c>
      <c r="P628">
        <v>2.835</v>
      </c>
    </row>
    <row r="629" spans="1:16">
      <c r="A629" t="s">
        <v>1571</v>
      </c>
      <c r="B629" t="e">
        <f>-CH.SLOW</f>
        <v>#NAME?</v>
      </c>
      <c r="C629">
        <v>20100629</v>
      </c>
      <c r="D629">
        <v>20101004</v>
      </c>
      <c r="E629" t="s">
        <v>55</v>
      </c>
      <c r="G629" t="s">
        <v>1572</v>
      </c>
      <c r="I629" t="s">
        <v>1325</v>
      </c>
      <c r="K629">
        <v>1</v>
      </c>
      <c r="M629">
        <v>0</v>
      </c>
      <c r="N629">
        <v>114.48</v>
      </c>
      <c r="O629">
        <v>40</v>
      </c>
      <c r="P629">
        <v>68.688000000000002</v>
      </c>
    </row>
    <row r="630" spans="1:16">
      <c r="A630" t="s">
        <v>1573</v>
      </c>
      <c r="B630" t="e">
        <f>-CH.SLOW2000W</f>
        <v>#NAME?</v>
      </c>
      <c r="C630">
        <v>20100629</v>
      </c>
      <c r="D630">
        <v>20101004</v>
      </c>
      <c r="E630" t="s">
        <v>55</v>
      </c>
      <c r="G630" t="s">
        <v>1574</v>
      </c>
      <c r="I630" t="s">
        <v>1325</v>
      </c>
      <c r="K630">
        <v>1</v>
      </c>
      <c r="M630">
        <v>0</v>
      </c>
      <c r="N630">
        <v>114.48</v>
      </c>
      <c r="O630">
        <v>40</v>
      </c>
      <c r="P630">
        <v>68.688000000000002</v>
      </c>
    </row>
    <row r="631" spans="1:16">
      <c r="A631" t="s">
        <v>1575</v>
      </c>
      <c r="B631" t="e">
        <f>-CH.T2000BLANC</f>
        <v>#NAME?</v>
      </c>
      <c r="C631">
        <v>20100629</v>
      </c>
      <c r="D631">
        <v>20101004</v>
      </c>
      <c r="E631" t="s">
        <v>1340</v>
      </c>
      <c r="G631" t="s">
        <v>1576</v>
      </c>
      <c r="I631" t="s">
        <v>1325</v>
      </c>
      <c r="K631">
        <v>1</v>
      </c>
      <c r="M631">
        <v>0</v>
      </c>
      <c r="N631">
        <v>78.22</v>
      </c>
      <c r="O631">
        <v>40</v>
      </c>
      <c r="P631">
        <v>46.932000000000002</v>
      </c>
    </row>
    <row r="632" spans="1:16">
      <c r="A632" t="s">
        <v>1577</v>
      </c>
      <c r="B632" t="e">
        <f>-CH.THERM1000W</f>
        <v>#NAME?</v>
      </c>
      <c r="C632">
        <v>20100629</v>
      </c>
      <c r="D632">
        <v>20101004</v>
      </c>
      <c r="E632" t="s">
        <v>1578</v>
      </c>
      <c r="G632" t="s">
        <v>1579</v>
      </c>
      <c r="I632" t="s">
        <v>1325</v>
      </c>
      <c r="K632">
        <v>1</v>
      </c>
      <c r="M632">
        <v>0</v>
      </c>
      <c r="N632">
        <v>77.81</v>
      </c>
      <c r="O632">
        <v>40</v>
      </c>
      <c r="P632">
        <v>46.686</v>
      </c>
    </row>
    <row r="633" spans="1:16">
      <c r="A633" t="s">
        <v>1580</v>
      </c>
      <c r="B633" t="e">
        <f>-CH.THERM2000W</f>
        <v>#NAME?</v>
      </c>
      <c r="C633">
        <v>20100629</v>
      </c>
      <c r="D633">
        <v>20101004</v>
      </c>
      <c r="E633" t="s">
        <v>1578</v>
      </c>
      <c r="G633" t="s">
        <v>1581</v>
      </c>
      <c r="I633" t="s">
        <v>1325</v>
      </c>
      <c r="K633">
        <v>1</v>
      </c>
      <c r="M633">
        <v>0</v>
      </c>
      <c r="N633">
        <v>105.41</v>
      </c>
      <c r="O633">
        <v>40</v>
      </c>
      <c r="P633">
        <v>63.246000000000002</v>
      </c>
    </row>
    <row r="634" spans="1:16">
      <c r="A634" t="s">
        <v>1582</v>
      </c>
      <c r="B634" t="e">
        <f>-CH.THERMOSTAT</f>
        <v>#NAME?</v>
      </c>
      <c r="C634">
        <v>20100629</v>
      </c>
      <c r="D634">
        <v>20101004</v>
      </c>
      <c r="E634" t="s">
        <v>1348</v>
      </c>
      <c r="G634" t="s">
        <v>1583</v>
      </c>
      <c r="I634" t="s">
        <v>1325</v>
      </c>
      <c r="K634">
        <v>1</v>
      </c>
      <c r="M634">
        <v>0</v>
      </c>
      <c r="N634">
        <v>42.71</v>
      </c>
      <c r="O634">
        <v>40</v>
      </c>
      <c r="P634">
        <v>25.626000000000001</v>
      </c>
    </row>
    <row r="635" spans="1:16">
      <c r="A635" t="s">
        <v>1584</v>
      </c>
      <c r="B635" t="e">
        <f>-CLA.020954</f>
        <v>#NAME?</v>
      </c>
      <c r="C635">
        <v>20100629</v>
      </c>
      <c r="D635">
        <v>20101004</v>
      </c>
      <c r="E635" t="s">
        <v>112</v>
      </c>
      <c r="G635" t="s">
        <v>1585</v>
      </c>
      <c r="I635" t="s">
        <v>1586</v>
      </c>
      <c r="K635">
        <v>1</v>
      </c>
      <c r="M635">
        <v>0</v>
      </c>
      <c r="N635">
        <v>8.9</v>
      </c>
      <c r="O635">
        <v>40</v>
      </c>
      <c r="P635">
        <v>5.34</v>
      </c>
    </row>
    <row r="636" spans="1:16">
      <c r="A636" t="s">
        <v>1587</v>
      </c>
      <c r="B636" t="e">
        <f>-CLA.021105</f>
        <v>#NAME?</v>
      </c>
      <c r="C636">
        <v>20100629</v>
      </c>
      <c r="D636">
        <v>20101004</v>
      </c>
      <c r="E636" t="s">
        <v>1588</v>
      </c>
      <c r="G636" t="s">
        <v>1589</v>
      </c>
      <c r="I636" t="s">
        <v>1586</v>
      </c>
      <c r="K636">
        <v>1</v>
      </c>
      <c r="M636">
        <v>0</v>
      </c>
      <c r="N636">
        <v>32.76</v>
      </c>
      <c r="O636">
        <v>40</v>
      </c>
      <c r="P636">
        <v>19.655999999999999</v>
      </c>
    </row>
    <row r="637" spans="1:16">
      <c r="A637" t="s">
        <v>1590</v>
      </c>
      <c r="B637" t="e">
        <f>-CLA.021322</f>
        <v>#NAME?</v>
      </c>
      <c r="C637">
        <v>20100629</v>
      </c>
      <c r="D637">
        <v>20101004</v>
      </c>
      <c r="E637" t="s">
        <v>1591</v>
      </c>
      <c r="G637" t="s">
        <v>1592</v>
      </c>
      <c r="I637" t="s">
        <v>1586</v>
      </c>
      <c r="K637">
        <v>1</v>
      </c>
      <c r="M637">
        <v>0</v>
      </c>
      <c r="N637">
        <v>24.46</v>
      </c>
      <c r="O637">
        <v>40</v>
      </c>
      <c r="P637">
        <v>14.676</v>
      </c>
    </row>
    <row r="638" spans="1:16">
      <c r="A638" t="s">
        <v>1593</v>
      </c>
      <c r="B638" t="e">
        <f>-CLA.021323</f>
        <v>#NAME?</v>
      </c>
      <c r="C638">
        <v>20100629</v>
      </c>
      <c r="D638">
        <v>20101004</v>
      </c>
      <c r="E638" t="s">
        <v>1594</v>
      </c>
      <c r="G638" t="s">
        <v>1595</v>
      </c>
      <c r="I638" t="s">
        <v>1586</v>
      </c>
      <c r="K638">
        <v>1</v>
      </c>
      <c r="M638">
        <v>0</v>
      </c>
      <c r="N638">
        <v>24.46</v>
      </c>
      <c r="O638">
        <v>40</v>
      </c>
      <c r="P638">
        <v>14.676</v>
      </c>
    </row>
    <row r="639" spans="1:16">
      <c r="A639" t="s">
        <v>1596</v>
      </c>
      <c r="B639" t="e">
        <f>-CLA.03702</f>
        <v>#NAME?</v>
      </c>
      <c r="C639">
        <v>20100629</v>
      </c>
      <c r="D639">
        <v>20101004</v>
      </c>
      <c r="E639" t="s">
        <v>1597</v>
      </c>
      <c r="G639" t="s">
        <v>1598</v>
      </c>
      <c r="I639" t="s">
        <v>1586</v>
      </c>
      <c r="K639">
        <v>1</v>
      </c>
      <c r="M639">
        <v>0</v>
      </c>
      <c r="N639">
        <v>9.77</v>
      </c>
      <c r="O639">
        <v>40</v>
      </c>
      <c r="P639">
        <v>5.8620000000000001</v>
      </c>
    </row>
    <row r="640" spans="1:16">
      <c r="A640" t="s">
        <v>1599</v>
      </c>
      <c r="B640" t="e">
        <f>-CLA.047820</f>
        <v>#NAME?</v>
      </c>
      <c r="C640">
        <v>20100629</v>
      </c>
      <c r="D640">
        <v>20101004</v>
      </c>
      <c r="E640" t="s">
        <v>1600</v>
      </c>
      <c r="G640" t="s">
        <v>1601</v>
      </c>
      <c r="I640" t="s">
        <v>1586</v>
      </c>
      <c r="K640">
        <v>1</v>
      </c>
      <c r="M640">
        <v>0</v>
      </c>
      <c r="N640">
        <v>108.36</v>
      </c>
      <c r="O640">
        <v>40</v>
      </c>
      <c r="P640">
        <v>65.016000000000005</v>
      </c>
    </row>
    <row r="641" spans="1:16">
      <c r="A641" t="s">
        <v>1602</v>
      </c>
      <c r="B641" t="e">
        <f>-CLA.06817</f>
        <v>#NAME?</v>
      </c>
      <c r="C641">
        <v>20100629</v>
      </c>
      <c r="D641">
        <v>20101004</v>
      </c>
      <c r="E641" t="s">
        <v>112</v>
      </c>
      <c r="G641" t="s">
        <v>1603</v>
      </c>
      <c r="I641" t="s">
        <v>1586</v>
      </c>
      <c r="K641">
        <v>1</v>
      </c>
      <c r="M641">
        <v>0</v>
      </c>
      <c r="N641">
        <v>50.04</v>
      </c>
      <c r="O641">
        <v>40</v>
      </c>
      <c r="P641">
        <v>30.024000000000001</v>
      </c>
    </row>
    <row r="642" spans="1:16">
      <c r="A642" t="s">
        <v>1604</v>
      </c>
      <c r="B642" t="e">
        <f>-CLA.076472</f>
        <v>#NAME?</v>
      </c>
      <c r="C642">
        <v>20100629</v>
      </c>
      <c r="D642">
        <v>20101004</v>
      </c>
      <c r="E642" t="s">
        <v>1605</v>
      </c>
      <c r="G642" t="s">
        <v>1606</v>
      </c>
      <c r="I642" t="s">
        <v>1586</v>
      </c>
      <c r="K642">
        <v>1</v>
      </c>
      <c r="M642">
        <v>0</v>
      </c>
      <c r="N642">
        <v>8.82</v>
      </c>
      <c r="O642">
        <v>40</v>
      </c>
      <c r="P642">
        <v>5.2919999999999998</v>
      </c>
    </row>
    <row r="643" spans="1:16">
      <c r="A643" t="s">
        <v>1607</v>
      </c>
      <c r="B643" t="e">
        <f>-CLA.087220</f>
        <v>#NAME?</v>
      </c>
      <c r="C643">
        <v>20100629</v>
      </c>
      <c r="D643">
        <v>20101004</v>
      </c>
      <c r="E643" t="s">
        <v>1608</v>
      </c>
      <c r="G643" t="s">
        <v>1609</v>
      </c>
      <c r="I643" t="s">
        <v>1586</v>
      </c>
      <c r="K643">
        <v>1</v>
      </c>
      <c r="M643">
        <v>0</v>
      </c>
      <c r="N643">
        <v>83.69</v>
      </c>
      <c r="O643">
        <v>40</v>
      </c>
      <c r="P643">
        <v>50.213999999999999</v>
      </c>
    </row>
    <row r="644" spans="1:16">
      <c r="A644" t="s">
        <v>1610</v>
      </c>
      <c r="B644" t="e">
        <f>-CLA.21999</f>
        <v>#NAME?</v>
      </c>
      <c r="C644">
        <v>20100629</v>
      </c>
      <c r="D644">
        <v>20101004</v>
      </c>
      <c r="E644" t="s">
        <v>112</v>
      </c>
      <c r="G644" t="s">
        <v>1611</v>
      </c>
      <c r="I644" t="s">
        <v>1586</v>
      </c>
      <c r="K644">
        <v>1</v>
      </c>
      <c r="M644">
        <v>0</v>
      </c>
      <c r="N644">
        <v>8.42</v>
      </c>
      <c r="O644">
        <v>40</v>
      </c>
      <c r="P644">
        <v>5.0519999999999996</v>
      </c>
    </row>
    <row r="645" spans="1:16">
      <c r="A645" t="s">
        <v>1612</v>
      </c>
      <c r="B645" t="e">
        <f>-CLA.22278</f>
        <v>#NAME?</v>
      </c>
      <c r="C645">
        <v>20100629</v>
      </c>
      <c r="D645">
        <v>20101004</v>
      </c>
      <c r="E645" t="s">
        <v>112</v>
      </c>
      <c r="G645" t="s">
        <v>1613</v>
      </c>
      <c r="I645" t="s">
        <v>1586</v>
      </c>
      <c r="K645">
        <v>1</v>
      </c>
      <c r="M645">
        <v>0</v>
      </c>
      <c r="N645">
        <v>19.47</v>
      </c>
      <c r="O645">
        <v>40</v>
      </c>
      <c r="P645">
        <v>11.682</v>
      </c>
    </row>
    <row r="646" spans="1:16">
      <c r="A646" t="s">
        <v>1614</v>
      </c>
      <c r="B646" t="e">
        <f>-CLA.25442</f>
        <v>#NAME?</v>
      </c>
      <c r="C646">
        <v>20100629</v>
      </c>
      <c r="D646">
        <v>20101004</v>
      </c>
      <c r="E646" t="s">
        <v>1615</v>
      </c>
      <c r="G646" t="s">
        <v>1616</v>
      </c>
      <c r="I646" t="s">
        <v>1586</v>
      </c>
      <c r="K646">
        <v>1</v>
      </c>
      <c r="M646">
        <v>0</v>
      </c>
      <c r="N646">
        <v>16.66</v>
      </c>
      <c r="O646">
        <v>40</v>
      </c>
      <c r="P646">
        <v>9.9960000000000004</v>
      </c>
    </row>
    <row r="647" spans="1:16">
      <c r="A647" t="s">
        <v>1617</v>
      </c>
      <c r="B647" t="e">
        <f>-CLA.39497</f>
        <v>#NAME?</v>
      </c>
      <c r="C647">
        <v>20100629</v>
      </c>
      <c r="D647">
        <v>20101004</v>
      </c>
      <c r="E647" t="s">
        <v>112</v>
      </c>
      <c r="G647" t="s">
        <v>1618</v>
      </c>
      <c r="I647" t="s">
        <v>1586</v>
      </c>
      <c r="K647">
        <v>1</v>
      </c>
      <c r="M647">
        <v>0</v>
      </c>
      <c r="N647">
        <v>158.38</v>
      </c>
      <c r="O647">
        <v>40</v>
      </c>
      <c r="P647">
        <v>95.028000000000006</v>
      </c>
    </row>
    <row r="648" spans="1:16">
      <c r="A648" t="s">
        <v>1619</v>
      </c>
      <c r="B648" t="e">
        <f>-BLD.1601180</f>
        <v>#NAME?</v>
      </c>
      <c r="C648">
        <v>20100629</v>
      </c>
      <c r="D648">
        <v>20101015</v>
      </c>
      <c r="E648" t="s">
        <v>1620</v>
      </c>
      <c r="G648" t="s">
        <v>1621</v>
      </c>
      <c r="I648" t="s">
        <v>433</v>
      </c>
      <c r="K648">
        <v>1</v>
      </c>
      <c r="M648">
        <v>0</v>
      </c>
      <c r="N648">
        <v>9.32</v>
      </c>
      <c r="O648">
        <v>40</v>
      </c>
      <c r="P648">
        <v>5.5919999999999996</v>
      </c>
    </row>
    <row r="649" spans="1:16">
      <c r="A649" t="s">
        <v>1622</v>
      </c>
      <c r="B649" t="e">
        <f>-BLD.17</f>
        <v>#NAME?</v>
      </c>
      <c r="C649">
        <v>20100629</v>
      </c>
      <c r="D649">
        <v>20101015</v>
      </c>
      <c r="E649" t="s">
        <v>1623</v>
      </c>
      <c r="G649" t="s">
        <v>1624</v>
      </c>
      <c r="I649" t="s">
        <v>433</v>
      </c>
      <c r="K649">
        <v>1</v>
      </c>
      <c r="M649">
        <v>0</v>
      </c>
      <c r="N649">
        <v>16.39</v>
      </c>
      <c r="O649">
        <v>40</v>
      </c>
      <c r="P649">
        <v>9.8339999999999996</v>
      </c>
    </row>
    <row r="650" spans="1:16">
      <c r="A650" t="s">
        <v>1625</v>
      </c>
      <c r="B650" t="e">
        <f>-BLD.17201</f>
        <v>#NAME?</v>
      </c>
      <c r="C650">
        <v>20100629</v>
      </c>
      <c r="D650">
        <v>20101015</v>
      </c>
      <c r="E650" t="s">
        <v>1626</v>
      </c>
      <c r="G650" t="s">
        <v>1627</v>
      </c>
      <c r="I650" t="s">
        <v>433</v>
      </c>
      <c r="K650">
        <v>1</v>
      </c>
      <c r="M650">
        <v>0</v>
      </c>
      <c r="N650">
        <v>6.14</v>
      </c>
      <c r="O650">
        <v>40</v>
      </c>
      <c r="P650">
        <v>3.6840000000000002</v>
      </c>
    </row>
    <row r="651" spans="1:16">
      <c r="A651" t="s">
        <v>1628</v>
      </c>
      <c r="B651" t="e">
        <f>-BLD.19161</f>
        <v>#NAME?</v>
      </c>
      <c r="C651">
        <v>20100629</v>
      </c>
      <c r="D651">
        <v>20101015</v>
      </c>
      <c r="E651" t="s">
        <v>746</v>
      </c>
      <c r="G651" t="s">
        <v>1629</v>
      </c>
      <c r="I651" t="s">
        <v>433</v>
      </c>
      <c r="K651">
        <v>1</v>
      </c>
      <c r="M651">
        <v>0</v>
      </c>
      <c r="N651">
        <v>6.06</v>
      </c>
      <c r="O651">
        <v>40</v>
      </c>
      <c r="P651">
        <v>3.6360000000000001</v>
      </c>
    </row>
    <row r="652" spans="1:16">
      <c r="A652" t="s">
        <v>1630</v>
      </c>
      <c r="B652" t="e">
        <f>-ECL.10406</f>
        <v>#NAME?</v>
      </c>
      <c r="C652">
        <v>20100629</v>
      </c>
      <c r="D652">
        <v>20101004</v>
      </c>
      <c r="E652" t="s">
        <v>1631</v>
      </c>
      <c r="G652" t="s">
        <v>1632</v>
      </c>
      <c r="I652" t="s">
        <v>1633</v>
      </c>
      <c r="K652">
        <v>1</v>
      </c>
      <c r="M652">
        <v>0</v>
      </c>
      <c r="N652">
        <v>0.92</v>
      </c>
      <c r="O652">
        <v>40</v>
      </c>
      <c r="P652">
        <v>0.55200000000000005</v>
      </c>
    </row>
    <row r="653" spans="1:16">
      <c r="A653" t="s">
        <v>1634</v>
      </c>
      <c r="B653" t="e">
        <f>-ECL.1320B</f>
        <v>#NAME?</v>
      </c>
      <c r="C653">
        <v>20100629</v>
      </c>
      <c r="D653">
        <v>20101004</v>
      </c>
      <c r="E653" t="s">
        <v>1635</v>
      </c>
      <c r="G653" t="s">
        <v>1636</v>
      </c>
      <c r="I653" t="s">
        <v>1633</v>
      </c>
      <c r="K653">
        <v>1</v>
      </c>
      <c r="M653">
        <v>0</v>
      </c>
      <c r="N653">
        <v>16.47</v>
      </c>
      <c r="O653">
        <v>40</v>
      </c>
      <c r="P653">
        <v>9.8819999999999997</v>
      </c>
    </row>
    <row r="654" spans="1:16">
      <c r="A654" t="s">
        <v>1637</v>
      </c>
      <c r="B654" t="e">
        <f>-ECL.140240</f>
        <v>#NAME?</v>
      </c>
      <c r="C654">
        <v>20100629</v>
      </c>
      <c r="D654">
        <v>20101004</v>
      </c>
      <c r="E654" t="s">
        <v>1638</v>
      </c>
      <c r="G654" t="s">
        <v>1639</v>
      </c>
      <c r="I654" t="s">
        <v>1633</v>
      </c>
      <c r="K654">
        <v>1</v>
      </c>
      <c r="M654">
        <v>0</v>
      </c>
      <c r="N654">
        <v>37.06</v>
      </c>
      <c r="O654">
        <v>40</v>
      </c>
      <c r="P654">
        <v>22.236000000000001</v>
      </c>
    </row>
    <row r="655" spans="1:16">
      <c r="A655" t="s">
        <v>1640</v>
      </c>
      <c r="B655" t="e">
        <f>-ECL.140460</f>
        <v>#NAME?</v>
      </c>
      <c r="C655">
        <v>20100629</v>
      </c>
      <c r="D655">
        <v>20101004</v>
      </c>
      <c r="E655" t="s">
        <v>1641</v>
      </c>
      <c r="G655" t="s">
        <v>1642</v>
      </c>
      <c r="I655" t="s">
        <v>1633</v>
      </c>
      <c r="K655">
        <v>1</v>
      </c>
      <c r="M655">
        <v>0</v>
      </c>
      <c r="N655">
        <v>30.89</v>
      </c>
      <c r="O655">
        <v>40</v>
      </c>
      <c r="P655">
        <v>18.533999999999999</v>
      </c>
    </row>
    <row r="656" spans="1:16">
      <c r="A656" t="s">
        <v>1643</v>
      </c>
      <c r="B656" t="e">
        <f>-ECL.15WETANCH</f>
        <v>#NAME?</v>
      </c>
      <c r="C656">
        <v>20100629</v>
      </c>
      <c r="D656">
        <v>20101004</v>
      </c>
      <c r="E656" t="s">
        <v>1644</v>
      </c>
      <c r="G656" t="s">
        <v>1645</v>
      </c>
      <c r="I656" t="s">
        <v>1633</v>
      </c>
      <c r="K656">
        <v>1</v>
      </c>
      <c r="M656">
        <v>0</v>
      </c>
      <c r="N656">
        <v>50.94</v>
      </c>
      <c r="O656">
        <v>40</v>
      </c>
      <c r="P656">
        <v>30.564</v>
      </c>
    </row>
    <row r="657" spans="1:16">
      <c r="A657" t="s">
        <v>1646</v>
      </c>
      <c r="B657" t="e">
        <f>-ECL.36WETANCH</f>
        <v>#NAME?</v>
      </c>
      <c r="C657">
        <v>20100629</v>
      </c>
      <c r="D657">
        <v>20101004</v>
      </c>
      <c r="E657" t="s">
        <v>1644</v>
      </c>
      <c r="G657" t="s">
        <v>1647</v>
      </c>
      <c r="I657" t="s">
        <v>1633</v>
      </c>
      <c r="K657">
        <v>1</v>
      </c>
      <c r="M657">
        <v>0</v>
      </c>
      <c r="N657">
        <v>50.94</v>
      </c>
      <c r="O657">
        <v>40</v>
      </c>
      <c r="P657">
        <v>30.564</v>
      </c>
    </row>
    <row r="658" spans="1:16">
      <c r="A658" t="s">
        <v>1648</v>
      </c>
      <c r="B658" t="e">
        <f>-ECL.400</f>
        <v>#NAME?</v>
      </c>
      <c r="C658">
        <v>20100629</v>
      </c>
      <c r="D658">
        <v>20101004</v>
      </c>
      <c r="E658" t="s">
        <v>1649</v>
      </c>
      <c r="G658" t="s">
        <v>1650</v>
      </c>
      <c r="I658" t="s">
        <v>1633</v>
      </c>
      <c r="K658">
        <v>1</v>
      </c>
      <c r="M658">
        <v>0</v>
      </c>
      <c r="N658">
        <v>25.31</v>
      </c>
      <c r="O658">
        <v>40</v>
      </c>
      <c r="P658">
        <v>15.186</v>
      </c>
    </row>
    <row r="659" spans="1:16">
      <c r="A659" t="s">
        <v>1651</v>
      </c>
      <c r="B659" t="e">
        <f>-ECL.61403</f>
        <v>#NAME?</v>
      </c>
      <c r="C659">
        <v>20100629</v>
      </c>
      <c r="D659">
        <v>20101004</v>
      </c>
      <c r="E659" t="s">
        <v>899</v>
      </c>
      <c r="G659" t="s">
        <v>1652</v>
      </c>
      <c r="I659" t="s">
        <v>1633</v>
      </c>
      <c r="K659">
        <v>1</v>
      </c>
      <c r="M659">
        <v>0</v>
      </c>
      <c r="N659">
        <v>231.53</v>
      </c>
      <c r="O659">
        <v>40</v>
      </c>
      <c r="P659">
        <v>138.91800000000001</v>
      </c>
    </row>
    <row r="660" spans="1:16">
      <c r="A660" t="s">
        <v>1653</v>
      </c>
      <c r="B660" t="e">
        <f>-ECL.91127</f>
        <v>#NAME?</v>
      </c>
      <c r="C660">
        <v>20100629</v>
      </c>
      <c r="D660">
        <v>20101004</v>
      </c>
      <c r="E660" t="s">
        <v>804</v>
      </c>
      <c r="G660" t="s">
        <v>1654</v>
      </c>
      <c r="I660" t="s">
        <v>1633</v>
      </c>
      <c r="K660">
        <v>1</v>
      </c>
      <c r="M660">
        <v>0</v>
      </c>
      <c r="N660">
        <v>144.63</v>
      </c>
      <c r="O660">
        <v>40</v>
      </c>
      <c r="P660">
        <v>86.778000000000006</v>
      </c>
    </row>
    <row r="661" spans="1:16">
      <c r="A661" t="s">
        <v>1655</v>
      </c>
      <c r="B661" t="e">
        <f>-ECL.BALLAST20W</f>
        <v>#NAME?</v>
      </c>
      <c r="C661">
        <v>20100629</v>
      </c>
      <c r="D661">
        <v>20101004</v>
      </c>
      <c r="E661" t="s">
        <v>804</v>
      </c>
      <c r="G661" t="s">
        <v>1656</v>
      </c>
      <c r="I661" t="s">
        <v>1633</v>
      </c>
      <c r="K661">
        <v>1</v>
      </c>
      <c r="M661">
        <v>0</v>
      </c>
      <c r="N661">
        <v>16.2</v>
      </c>
      <c r="O661">
        <v>40</v>
      </c>
      <c r="P661">
        <v>9.7200000000000006</v>
      </c>
    </row>
    <row r="662" spans="1:16">
      <c r="A662" t="s">
        <v>1657</v>
      </c>
      <c r="B662" t="e">
        <f>-ECL.BALLAST58W</f>
        <v>#NAME?</v>
      </c>
      <c r="C662">
        <v>20100629</v>
      </c>
      <c r="D662">
        <v>20101004</v>
      </c>
      <c r="E662" t="s">
        <v>804</v>
      </c>
      <c r="G662" t="s">
        <v>1658</v>
      </c>
      <c r="I662" t="s">
        <v>1633</v>
      </c>
      <c r="K662">
        <v>1</v>
      </c>
      <c r="M662">
        <v>0</v>
      </c>
      <c r="N662">
        <v>10.71</v>
      </c>
      <c r="O662">
        <v>40</v>
      </c>
      <c r="P662">
        <v>6.4260000000000002</v>
      </c>
    </row>
    <row r="663" spans="1:16">
      <c r="A663" t="s">
        <v>1659</v>
      </c>
      <c r="B663" t="e">
        <f>-ECL.BALLAST65W</f>
        <v>#NAME?</v>
      </c>
      <c r="C663">
        <v>20100629</v>
      </c>
      <c r="D663">
        <v>20101004</v>
      </c>
      <c r="E663" t="s">
        <v>804</v>
      </c>
      <c r="G663" t="s">
        <v>1660</v>
      </c>
      <c r="I663" t="s">
        <v>1633</v>
      </c>
      <c r="K663">
        <v>1</v>
      </c>
      <c r="M663">
        <v>0</v>
      </c>
      <c r="N663">
        <v>21.31</v>
      </c>
      <c r="O663">
        <v>40</v>
      </c>
      <c r="P663">
        <v>12.786</v>
      </c>
    </row>
    <row r="664" spans="1:16">
      <c r="A664" t="s">
        <v>1661</v>
      </c>
      <c r="B664" t="e">
        <f>-ECL.COFREGLUX</f>
        <v>#NAME?</v>
      </c>
      <c r="C664">
        <v>20100629</v>
      </c>
      <c r="D664">
        <v>20101004</v>
      </c>
      <c r="E664" t="s">
        <v>588</v>
      </c>
      <c r="G664" t="s">
        <v>1662</v>
      </c>
      <c r="I664" t="s">
        <v>1633</v>
      </c>
      <c r="K664">
        <v>1</v>
      </c>
      <c r="M664">
        <v>0</v>
      </c>
      <c r="N664">
        <v>118.87</v>
      </c>
      <c r="O664">
        <v>40</v>
      </c>
      <c r="P664">
        <v>71.322000000000003</v>
      </c>
    </row>
    <row r="665" spans="1:16">
      <c r="A665" t="s">
        <v>1663</v>
      </c>
      <c r="B665" t="e">
        <f>-ECL.EC15G</f>
        <v>#NAME?</v>
      </c>
      <c r="C665">
        <v>20100629</v>
      </c>
      <c r="D665">
        <v>20101004</v>
      </c>
      <c r="E665" t="s">
        <v>1664</v>
      </c>
      <c r="G665" t="s">
        <v>1665</v>
      </c>
      <c r="I665" t="s">
        <v>1633</v>
      </c>
      <c r="K665">
        <v>1</v>
      </c>
      <c r="M665">
        <v>0</v>
      </c>
      <c r="N665">
        <v>93.22</v>
      </c>
      <c r="O665">
        <v>40</v>
      </c>
      <c r="P665">
        <v>55.932000000000002</v>
      </c>
    </row>
    <row r="666" spans="1:16">
      <c r="A666" t="s">
        <v>1666</v>
      </c>
      <c r="B666" t="e">
        <f>-ECL.FS11</f>
        <v>#NAME?</v>
      </c>
      <c r="C666">
        <v>20100629</v>
      </c>
      <c r="D666">
        <v>20101004</v>
      </c>
      <c r="E666" t="s">
        <v>1667</v>
      </c>
      <c r="G666" t="s">
        <v>1668</v>
      </c>
      <c r="I666" t="s">
        <v>1633</v>
      </c>
      <c r="K666">
        <v>1</v>
      </c>
      <c r="M666">
        <v>0</v>
      </c>
      <c r="N666">
        <v>0.88</v>
      </c>
      <c r="O666">
        <v>40</v>
      </c>
      <c r="P666">
        <v>0.52800000000000002</v>
      </c>
    </row>
    <row r="667" spans="1:16">
      <c r="A667" t="s">
        <v>1669</v>
      </c>
      <c r="B667" t="e">
        <f>-ECL.ITREO75B</f>
        <v>#NAME?</v>
      </c>
      <c r="C667">
        <v>20100629</v>
      </c>
      <c r="D667">
        <v>20101004</v>
      </c>
      <c r="E667" t="s">
        <v>1635</v>
      </c>
      <c r="G667" t="s">
        <v>1670</v>
      </c>
      <c r="I667" t="s">
        <v>1633</v>
      </c>
      <c r="K667">
        <v>1</v>
      </c>
      <c r="M667">
        <v>0</v>
      </c>
      <c r="N667">
        <v>18.13</v>
      </c>
      <c r="O667">
        <v>40</v>
      </c>
      <c r="P667">
        <v>10.878</v>
      </c>
    </row>
    <row r="668" spans="1:16">
      <c r="A668" t="s">
        <v>1671</v>
      </c>
      <c r="B668" t="e">
        <f>-ECL.LUMINOX60</f>
        <v>#NAME?</v>
      </c>
      <c r="C668">
        <v>20100629</v>
      </c>
      <c r="D668">
        <v>20101004</v>
      </c>
      <c r="E668" t="s">
        <v>1672</v>
      </c>
      <c r="G668" t="s">
        <v>1673</v>
      </c>
      <c r="I668" t="s">
        <v>1633</v>
      </c>
      <c r="K668">
        <v>1</v>
      </c>
      <c r="M668">
        <v>0</v>
      </c>
      <c r="N668">
        <v>100.35</v>
      </c>
      <c r="O668">
        <v>40</v>
      </c>
      <c r="P668">
        <v>60.21</v>
      </c>
    </row>
    <row r="669" spans="1:16">
      <c r="A669" t="s">
        <v>1674</v>
      </c>
      <c r="B669" t="e">
        <f>-ECL.MONOLINE18W</f>
        <v>#NAME?</v>
      </c>
      <c r="C669">
        <v>20100629</v>
      </c>
      <c r="D669">
        <v>20101004</v>
      </c>
      <c r="E669" t="s">
        <v>1675</v>
      </c>
      <c r="G669" t="s">
        <v>1676</v>
      </c>
      <c r="I669" t="s">
        <v>1633</v>
      </c>
      <c r="K669">
        <v>1</v>
      </c>
      <c r="M669">
        <v>0</v>
      </c>
      <c r="N669">
        <v>29.27</v>
      </c>
      <c r="O669">
        <v>40</v>
      </c>
      <c r="P669">
        <v>17.562000000000001</v>
      </c>
    </row>
    <row r="670" spans="1:16">
      <c r="A670" t="s">
        <v>1677</v>
      </c>
      <c r="B670" t="e">
        <f>-ECL.MONOLINE58W</f>
        <v>#NAME?</v>
      </c>
      <c r="C670">
        <v>20100629</v>
      </c>
      <c r="D670">
        <v>20101004</v>
      </c>
      <c r="E670" t="s">
        <v>1675</v>
      </c>
      <c r="G670" t="s">
        <v>1678</v>
      </c>
      <c r="I670" t="s">
        <v>1633</v>
      </c>
      <c r="K670">
        <v>1</v>
      </c>
      <c r="M670">
        <v>0</v>
      </c>
      <c r="N670">
        <v>40.57</v>
      </c>
      <c r="O670">
        <v>40</v>
      </c>
      <c r="P670">
        <v>24.341999999999999</v>
      </c>
    </row>
    <row r="671" spans="1:16">
      <c r="A671" t="s">
        <v>1679</v>
      </c>
      <c r="B671" t="e">
        <f>-ECL.PEL2000</f>
        <v>#NAME?</v>
      </c>
      <c r="C671">
        <v>20100629</v>
      </c>
      <c r="D671">
        <v>20101004</v>
      </c>
      <c r="E671" t="s">
        <v>899</v>
      </c>
      <c r="G671" t="s">
        <v>1680</v>
      </c>
      <c r="I671" t="s">
        <v>1633</v>
      </c>
      <c r="K671">
        <v>1</v>
      </c>
      <c r="M671">
        <v>0</v>
      </c>
      <c r="N671">
        <v>316.41000000000003</v>
      </c>
      <c r="O671">
        <v>40</v>
      </c>
      <c r="P671">
        <v>189.846</v>
      </c>
    </row>
    <row r="672" spans="1:16">
      <c r="A672" t="s">
        <v>1681</v>
      </c>
      <c r="B672" t="e">
        <f>-ECL.PROFIL118</f>
        <v>#NAME?</v>
      </c>
      <c r="C672">
        <v>20100629</v>
      </c>
      <c r="D672">
        <v>20101004</v>
      </c>
      <c r="E672" t="s">
        <v>1682</v>
      </c>
      <c r="G672" t="s">
        <v>1683</v>
      </c>
      <c r="I672" t="s">
        <v>1633</v>
      </c>
      <c r="K672">
        <v>1</v>
      </c>
      <c r="M672">
        <v>0</v>
      </c>
      <c r="N672">
        <v>85.47</v>
      </c>
      <c r="O672">
        <v>40</v>
      </c>
      <c r="P672">
        <v>51.281999999999996</v>
      </c>
    </row>
    <row r="673" spans="1:16">
      <c r="A673" t="s">
        <v>1684</v>
      </c>
      <c r="B673" t="e">
        <f>-ECL.PROFIL136</f>
        <v>#NAME?</v>
      </c>
      <c r="C673">
        <v>20100629</v>
      </c>
      <c r="D673">
        <v>20101004</v>
      </c>
      <c r="E673" t="s">
        <v>1682</v>
      </c>
      <c r="G673" t="s">
        <v>1685</v>
      </c>
      <c r="I673" t="s">
        <v>1633</v>
      </c>
      <c r="K673">
        <v>1</v>
      </c>
      <c r="M673">
        <v>0</v>
      </c>
      <c r="N673">
        <v>94.5</v>
      </c>
      <c r="O673">
        <v>40</v>
      </c>
      <c r="P673">
        <v>56.7</v>
      </c>
    </row>
    <row r="674" spans="1:16">
      <c r="A674" t="s">
        <v>1686</v>
      </c>
      <c r="B674" t="e">
        <f>-ECL.PRQI1000</f>
        <v>#NAME?</v>
      </c>
      <c r="C674">
        <v>20100629</v>
      </c>
      <c r="D674">
        <v>20101004</v>
      </c>
      <c r="E674" t="s">
        <v>899</v>
      </c>
      <c r="G674" t="s">
        <v>1687</v>
      </c>
      <c r="I674" t="s">
        <v>1633</v>
      </c>
      <c r="K674">
        <v>1</v>
      </c>
      <c r="M674">
        <v>0</v>
      </c>
      <c r="N674">
        <v>170.01</v>
      </c>
      <c r="O674">
        <v>40</v>
      </c>
      <c r="P674">
        <v>102.006</v>
      </c>
    </row>
    <row r="675" spans="1:16">
      <c r="A675" t="s">
        <v>1688</v>
      </c>
      <c r="B675" t="e">
        <f>-ECL.RAFT118</f>
        <v>#NAME?</v>
      </c>
      <c r="C675">
        <v>20100629</v>
      </c>
      <c r="D675">
        <v>20101004</v>
      </c>
      <c r="E675" t="s">
        <v>1675</v>
      </c>
      <c r="G675" t="s">
        <v>1689</v>
      </c>
      <c r="I675" t="s">
        <v>1633</v>
      </c>
      <c r="K675">
        <v>1</v>
      </c>
      <c r="M675">
        <v>0</v>
      </c>
      <c r="N675">
        <v>67.7</v>
      </c>
      <c r="O675">
        <v>40</v>
      </c>
      <c r="P675">
        <v>40.619999999999997</v>
      </c>
    </row>
    <row r="676" spans="1:16">
      <c r="A676" t="s">
        <v>1690</v>
      </c>
      <c r="B676" t="e">
        <f>-ECL.RAFT136</f>
        <v>#NAME?</v>
      </c>
      <c r="C676">
        <v>20100629</v>
      </c>
      <c r="D676">
        <v>20101004</v>
      </c>
      <c r="E676" t="s">
        <v>1675</v>
      </c>
      <c r="G676" t="s">
        <v>1691</v>
      </c>
      <c r="I676" t="s">
        <v>1633</v>
      </c>
      <c r="K676">
        <v>1</v>
      </c>
      <c r="M676">
        <v>0</v>
      </c>
      <c r="N676">
        <v>54.04</v>
      </c>
      <c r="O676">
        <v>40</v>
      </c>
      <c r="P676">
        <v>32.423999999999999</v>
      </c>
    </row>
    <row r="677" spans="1:16">
      <c r="A677" t="s">
        <v>1692</v>
      </c>
      <c r="B677" t="e">
        <f>-ECL.RAFT218</f>
        <v>#NAME?</v>
      </c>
      <c r="C677">
        <v>20100629</v>
      </c>
      <c r="D677">
        <v>20101004</v>
      </c>
      <c r="E677" t="s">
        <v>1675</v>
      </c>
      <c r="G677" t="s">
        <v>1693</v>
      </c>
      <c r="I677" t="s">
        <v>1633</v>
      </c>
      <c r="K677">
        <v>1</v>
      </c>
      <c r="M677">
        <v>0</v>
      </c>
      <c r="N677">
        <v>106.76</v>
      </c>
      <c r="O677">
        <v>40</v>
      </c>
      <c r="P677">
        <v>64.055999999999997</v>
      </c>
    </row>
    <row r="678" spans="1:16">
      <c r="A678" t="s">
        <v>1694</v>
      </c>
      <c r="B678" t="e">
        <f>-ECL.RAFT258</f>
        <v>#NAME?</v>
      </c>
      <c r="C678">
        <v>20100629</v>
      </c>
      <c r="D678">
        <v>20101004</v>
      </c>
      <c r="E678" t="s">
        <v>1675</v>
      </c>
      <c r="G678" t="s">
        <v>1695</v>
      </c>
      <c r="I678" t="s">
        <v>1633</v>
      </c>
      <c r="K678">
        <v>1</v>
      </c>
      <c r="M678">
        <v>0</v>
      </c>
      <c r="N678">
        <v>117.9</v>
      </c>
      <c r="O678">
        <v>40</v>
      </c>
      <c r="P678">
        <v>70.739999999999995</v>
      </c>
    </row>
    <row r="679" spans="1:16">
      <c r="A679" t="s">
        <v>1696</v>
      </c>
      <c r="B679" t="e">
        <f>-ECL.RELETTE8W</f>
        <v>#NAME?</v>
      </c>
      <c r="C679">
        <v>20100629</v>
      </c>
      <c r="D679">
        <v>20101004</v>
      </c>
      <c r="E679" t="s">
        <v>1675</v>
      </c>
      <c r="G679" t="s">
        <v>1697</v>
      </c>
      <c r="I679" t="s">
        <v>1633</v>
      </c>
      <c r="K679">
        <v>1</v>
      </c>
      <c r="M679">
        <v>0</v>
      </c>
      <c r="N679">
        <v>22.65</v>
      </c>
      <c r="O679">
        <v>40</v>
      </c>
      <c r="P679">
        <v>13.59</v>
      </c>
    </row>
    <row r="680" spans="1:16">
      <c r="A680" t="s">
        <v>1698</v>
      </c>
      <c r="B680" t="e">
        <f>-ELE.5426</f>
        <v>#NAME?</v>
      </c>
      <c r="C680">
        <v>20100629</v>
      </c>
      <c r="D680">
        <v>20101004</v>
      </c>
      <c r="E680" t="s">
        <v>1699</v>
      </c>
      <c r="G680" t="s">
        <v>1700</v>
      </c>
      <c r="I680" t="s">
        <v>1701</v>
      </c>
      <c r="K680">
        <v>1</v>
      </c>
      <c r="M680">
        <v>0</v>
      </c>
      <c r="N680">
        <v>9.86</v>
      </c>
      <c r="O680">
        <v>40</v>
      </c>
      <c r="P680">
        <v>5.9160000000000004</v>
      </c>
    </row>
    <row r="681" spans="1:16">
      <c r="A681" t="s">
        <v>1702</v>
      </c>
      <c r="B681" t="e">
        <f>-ELE.5458</f>
        <v>#NAME?</v>
      </c>
      <c r="C681">
        <v>20100629</v>
      </c>
      <c r="D681">
        <v>20101004</v>
      </c>
      <c r="E681" t="s">
        <v>1703</v>
      </c>
      <c r="G681" t="s">
        <v>1704</v>
      </c>
      <c r="I681" t="s">
        <v>1701</v>
      </c>
      <c r="K681">
        <v>1</v>
      </c>
      <c r="M681">
        <v>0</v>
      </c>
      <c r="N681">
        <v>8.75</v>
      </c>
      <c r="O681">
        <v>40</v>
      </c>
      <c r="P681">
        <v>5.25</v>
      </c>
    </row>
    <row r="682" spans="1:16">
      <c r="A682" t="s">
        <v>1705</v>
      </c>
      <c r="B682" t="e">
        <f>-CH.SOUF+PROG</f>
        <v>#NAME?</v>
      </c>
      <c r="C682">
        <v>20100629</v>
      </c>
      <c r="D682">
        <v>20101004</v>
      </c>
      <c r="E682" t="s">
        <v>55</v>
      </c>
      <c r="G682" t="s">
        <v>1706</v>
      </c>
      <c r="I682" t="s">
        <v>1325</v>
      </c>
      <c r="K682">
        <v>1</v>
      </c>
      <c r="M682">
        <v>0</v>
      </c>
      <c r="N682">
        <v>115.61</v>
      </c>
      <c r="O682">
        <v>40</v>
      </c>
      <c r="P682">
        <v>69.366</v>
      </c>
    </row>
    <row r="683" spans="1:16">
      <c r="A683" t="s">
        <v>1707</v>
      </c>
      <c r="B683" t="e">
        <f>-CH.ST988E</f>
        <v>#NAME?</v>
      </c>
      <c r="C683">
        <v>20100629</v>
      </c>
      <c r="D683">
        <v>20101004</v>
      </c>
      <c r="E683" t="s">
        <v>55</v>
      </c>
      <c r="G683" t="s">
        <v>1708</v>
      </c>
      <c r="I683" t="s">
        <v>1325</v>
      </c>
      <c r="K683">
        <v>1</v>
      </c>
      <c r="M683">
        <v>0</v>
      </c>
      <c r="N683">
        <v>81.92</v>
      </c>
      <c r="O683">
        <v>40</v>
      </c>
      <c r="P683">
        <v>49.152000000000001</v>
      </c>
    </row>
    <row r="684" spans="1:16">
      <c r="A684" t="s">
        <v>1709</v>
      </c>
      <c r="B684" t="e">
        <f>-CH.T1000BLANC</f>
        <v>#NAME?</v>
      </c>
      <c r="C684">
        <v>20100629</v>
      </c>
      <c r="D684">
        <v>20101004</v>
      </c>
      <c r="E684" t="s">
        <v>1710</v>
      </c>
      <c r="G684" t="s">
        <v>1711</v>
      </c>
      <c r="I684" t="s">
        <v>1325</v>
      </c>
      <c r="K684">
        <v>1</v>
      </c>
      <c r="M684">
        <v>0</v>
      </c>
      <c r="N684">
        <v>78.22</v>
      </c>
      <c r="O684">
        <v>40</v>
      </c>
      <c r="P684">
        <v>46.932000000000002</v>
      </c>
    </row>
    <row r="685" spans="1:16">
      <c r="A685" t="s">
        <v>1712</v>
      </c>
      <c r="B685" t="e">
        <f>-CH.T1250BLANC</f>
        <v>#NAME?</v>
      </c>
      <c r="C685">
        <v>20100629</v>
      </c>
      <c r="D685">
        <v>20101004</v>
      </c>
      <c r="E685" t="s">
        <v>1340</v>
      </c>
      <c r="G685" t="s">
        <v>1713</v>
      </c>
      <c r="I685" t="s">
        <v>1325</v>
      </c>
      <c r="K685">
        <v>1</v>
      </c>
      <c r="M685">
        <v>0</v>
      </c>
      <c r="N685">
        <v>78.22</v>
      </c>
      <c r="O685">
        <v>40</v>
      </c>
      <c r="P685">
        <v>46.932000000000002</v>
      </c>
    </row>
    <row r="686" spans="1:16">
      <c r="A686" t="s">
        <v>1714</v>
      </c>
      <c r="B686" t="e">
        <f>-BLD.1601140</f>
        <v>#NAME?</v>
      </c>
      <c r="C686">
        <v>20100629</v>
      </c>
      <c r="D686">
        <v>20101015</v>
      </c>
      <c r="E686" t="s">
        <v>1620</v>
      </c>
      <c r="G686" t="s">
        <v>1715</v>
      </c>
      <c r="I686" t="s">
        <v>433</v>
      </c>
      <c r="K686">
        <v>1</v>
      </c>
      <c r="M686">
        <v>0</v>
      </c>
      <c r="N686">
        <v>10.25</v>
      </c>
      <c r="O686">
        <v>40</v>
      </c>
      <c r="P686">
        <v>6.15</v>
      </c>
    </row>
    <row r="687" spans="1:16">
      <c r="A687" t="s">
        <v>1716</v>
      </c>
      <c r="B687" t="e">
        <f>-BLD.1601160</f>
        <v>#NAME?</v>
      </c>
      <c r="C687">
        <v>20100629</v>
      </c>
      <c r="D687">
        <v>20101015</v>
      </c>
      <c r="E687" t="s">
        <v>1620</v>
      </c>
      <c r="G687" t="s">
        <v>1717</v>
      </c>
      <c r="I687" t="s">
        <v>433</v>
      </c>
      <c r="K687">
        <v>1</v>
      </c>
      <c r="M687">
        <v>0</v>
      </c>
      <c r="N687">
        <v>10.87</v>
      </c>
      <c r="O687">
        <v>40</v>
      </c>
      <c r="P687">
        <v>6.5220000000000002</v>
      </c>
    </row>
    <row r="688" spans="1:16">
      <c r="A688" t="s">
        <v>1718</v>
      </c>
      <c r="B688" t="e">
        <f>-ECL.140230</f>
        <v>#NAME?</v>
      </c>
      <c r="C688">
        <v>20100629</v>
      </c>
      <c r="D688">
        <v>20101004</v>
      </c>
      <c r="E688" t="s">
        <v>1719</v>
      </c>
      <c r="G688" t="s">
        <v>1720</v>
      </c>
      <c r="I688" t="s">
        <v>1633</v>
      </c>
      <c r="K688">
        <v>1</v>
      </c>
      <c r="M688">
        <v>0</v>
      </c>
      <c r="N688">
        <v>33.950000000000003</v>
      </c>
      <c r="O688">
        <v>40</v>
      </c>
      <c r="P688">
        <v>20.37</v>
      </c>
    </row>
    <row r="689" spans="1:16">
      <c r="A689" t="s">
        <v>1721</v>
      </c>
      <c r="B689" t="e">
        <f>-ECL.18WETANCH</f>
        <v>#NAME?</v>
      </c>
      <c r="C689">
        <v>20100629</v>
      </c>
      <c r="D689">
        <v>20101004</v>
      </c>
      <c r="E689" t="s">
        <v>1722</v>
      </c>
      <c r="G689" t="s">
        <v>1723</v>
      </c>
      <c r="I689" t="s">
        <v>1633</v>
      </c>
      <c r="K689">
        <v>1</v>
      </c>
      <c r="M689">
        <v>0</v>
      </c>
      <c r="N689">
        <v>50.94</v>
      </c>
      <c r="O689">
        <v>40</v>
      </c>
      <c r="P689">
        <v>30.564</v>
      </c>
    </row>
    <row r="690" spans="1:16">
      <c r="A690" t="s">
        <v>1724</v>
      </c>
      <c r="B690" t="e">
        <f>-ECL.200VA</f>
        <v>#NAME?</v>
      </c>
      <c r="C690">
        <v>20100629</v>
      </c>
      <c r="D690">
        <v>20101004</v>
      </c>
      <c r="E690" t="s">
        <v>39</v>
      </c>
      <c r="G690" t="s">
        <v>1725</v>
      </c>
      <c r="I690" t="s">
        <v>1633</v>
      </c>
      <c r="K690">
        <v>1</v>
      </c>
      <c r="M690">
        <v>0</v>
      </c>
      <c r="N690">
        <v>104.46</v>
      </c>
      <c r="O690">
        <v>40</v>
      </c>
      <c r="P690">
        <v>62.676000000000002</v>
      </c>
    </row>
    <row r="691" spans="1:16">
      <c r="A691" t="s">
        <v>1726</v>
      </c>
      <c r="B691" t="e">
        <f>-ECL.35154</f>
        <v>#NAME?</v>
      </c>
      <c r="C691">
        <v>20100629</v>
      </c>
      <c r="D691">
        <v>20101004</v>
      </c>
      <c r="E691" t="s">
        <v>1682</v>
      </c>
      <c r="G691" t="s">
        <v>1727</v>
      </c>
      <c r="I691" t="s">
        <v>1633</v>
      </c>
      <c r="K691">
        <v>1</v>
      </c>
      <c r="M691">
        <v>0</v>
      </c>
      <c r="N691">
        <v>118.4</v>
      </c>
      <c r="O691">
        <v>40</v>
      </c>
      <c r="P691">
        <v>71.040000000000006</v>
      </c>
    </row>
    <row r="692" spans="1:16">
      <c r="A692" t="s">
        <v>1728</v>
      </c>
      <c r="B692" t="e">
        <f>-ECL.414064</f>
        <v>#NAME?</v>
      </c>
      <c r="C692">
        <v>20100629</v>
      </c>
      <c r="D692">
        <v>20101004</v>
      </c>
      <c r="E692" t="s">
        <v>899</v>
      </c>
      <c r="G692" t="s">
        <v>1729</v>
      </c>
      <c r="I692" t="s">
        <v>1633</v>
      </c>
      <c r="K692">
        <v>1</v>
      </c>
      <c r="M692">
        <v>0</v>
      </c>
      <c r="N692">
        <v>443.52</v>
      </c>
      <c r="O692">
        <v>40</v>
      </c>
      <c r="P692">
        <v>266.11200000000002</v>
      </c>
    </row>
    <row r="693" spans="1:16">
      <c r="A693" t="s">
        <v>1730</v>
      </c>
      <c r="B693" t="e">
        <f>-ECL.5012</f>
        <v>#NAME?</v>
      </c>
      <c r="C693">
        <v>20100629</v>
      </c>
      <c r="D693">
        <v>20101004</v>
      </c>
      <c r="E693" t="s">
        <v>144</v>
      </c>
      <c r="G693" t="s">
        <v>1731</v>
      </c>
      <c r="I693" t="s">
        <v>1633</v>
      </c>
      <c r="K693">
        <v>1</v>
      </c>
      <c r="M693">
        <v>0</v>
      </c>
      <c r="N693">
        <v>57.42</v>
      </c>
      <c r="O693">
        <v>40</v>
      </c>
      <c r="P693">
        <v>34.451999999999998</v>
      </c>
    </row>
    <row r="694" spans="1:16">
      <c r="A694" t="s">
        <v>1732</v>
      </c>
      <c r="B694" t="e">
        <f>-ECL.53010</f>
        <v>#NAME?</v>
      </c>
      <c r="C694">
        <v>20100629</v>
      </c>
      <c r="D694">
        <v>20101004</v>
      </c>
      <c r="E694" t="s">
        <v>1733</v>
      </c>
      <c r="G694" t="s">
        <v>1734</v>
      </c>
      <c r="I694" t="s">
        <v>1633</v>
      </c>
      <c r="K694">
        <v>1</v>
      </c>
      <c r="M694">
        <v>0</v>
      </c>
      <c r="N694">
        <v>23.76</v>
      </c>
      <c r="O694">
        <v>40</v>
      </c>
      <c r="P694">
        <v>14.256</v>
      </c>
    </row>
    <row r="695" spans="1:16">
      <c r="A695" t="s">
        <v>1735</v>
      </c>
      <c r="B695" t="e">
        <f>-ECL.55414</f>
        <v>#NAME?</v>
      </c>
      <c r="C695">
        <v>20100629</v>
      </c>
      <c r="D695">
        <v>20101004</v>
      </c>
      <c r="E695" t="s">
        <v>1682</v>
      </c>
      <c r="G695" t="s">
        <v>1736</v>
      </c>
      <c r="I695" t="s">
        <v>1633</v>
      </c>
      <c r="K695">
        <v>1</v>
      </c>
      <c r="M695">
        <v>0</v>
      </c>
      <c r="N695">
        <v>100.35</v>
      </c>
      <c r="O695">
        <v>40</v>
      </c>
      <c r="P695">
        <v>60.21</v>
      </c>
    </row>
    <row r="696" spans="1:16">
      <c r="A696" t="s">
        <v>1737</v>
      </c>
      <c r="B696" t="e">
        <f>-ECL.80400</f>
        <v>#NAME?</v>
      </c>
      <c r="C696">
        <v>20100629</v>
      </c>
      <c r="D696">
        <v>20101004</v>
      </c>
      <c r="E696" t="s">
        <v>672</v>
      </c>
      <c r="G696" t="s">
        <v>1738</v>
      </c>
      <c r="I696" t="s">
        <v>1633</v>
      </c>
      <c r="K696">
        <v>1</v>
      </c>
      <c r="M696">
        <v>0</v>
      </c>
      <c r="N696">
        <v>7.74</v>
      </c>
      <c r="O696">
        <v>40</v>
      </c>
      <c r="P696">
        <v>4.6440000000000001</v>
      </c>
    </row>
    <row r="697" spans="1:16">
      <c r="A697" t="s">
        <v>1739</v>
      </c>
      <c r="B697" t="e">
        <f>-ECL.87030</f>
        <v>#NAME?</v>
      </c>
      <c r="C697">
        <v>20100629</v>
      </c>
      <c r="D697">
        <v>20101004</v>
      </c>
      <c r="E697" t="s">
        <v>1740</v>
      </c>
      <c r="G697" t="s">
        <v>1741</v>
      </c>
      <c r="I697" t="s">
        <v>1633</v>
      </c>
      <c r="K697">
        <v>1</v>
      </c>
      <c r="M697">
        <v>0</v>
      </c>
      <c r="N697">
        <v>87.52</v>
      </c>
      <c r="O697">
        <v>40</v>
      </c>
      <c r="P697">
        <v>52.512</v>
      </c>
    </row>
    <row r="698" spans="1:16">
      <c r="A698" t="s">
        <v>1742</v>
      </c>
      <c r="B698" t="e">
        <f>-ECL.BALLAST40W</f>
        <v>#NAME?</v>
      </c>
      <c r="C698">
        <v>20100629</v>
      </c>
      <c r="D698">
        <v>20101004</v>
      </c>
      <c r="E698" t="s">
        <v>804</v>
      </c>
      <c r="G698" t="s">
        <v>1743</v>
      </c>
      <c r="I698" t="s">
        <v>1633</v>
      </c>
      <c r="K698">
        <v>1</v>
      </c>
      <c r="M698">
        <v>0</v>
      </c>
      <c r="N698">
        <v>18.22</v>
      </c>
      <c r="O698">
        <v>40</v>
      </c>
      <c r="P698">
        <v>10.932</v>
      </c>
    </row>
    <row r="699" spans="1:16">
      <c r="A699" t="s">
        <v>1744</v>
      </c>
      <c r="B699" t="e">
        <f>-ECL.FS22</f>
        <v>#NAME?</v>
      </c>
      <c r="C699">
        <v>20100629</v>
      </c>
      <c r="D699">
        <v>20110127</v>
      </c>
      <c r="E699" t="s">
        <v>1745</v>
      </c>
      <c r="G699" t="s">
        <v>1746</v>
      </c>
      <c r="I699" t="s">
        <v>1633</v>
      </c>
      <c r="K699">
        <v>1</v>
      </c>
      <c r="M699">
        <v>1</v>
      </c>
      <c r="N699">
        <v>0.88</v>
      </c>
      <c r="O699">
        <v>40</v>
      </c>
      <c r="P699">
        <v>0.52800000000000002</v>
      </c>
    </row>
    <row r="700" spans="1:16">
      <c r="A700" t="s">
        <v>1747</v>
      </c>
      <c r="B700" t="e">
        <f>-ECL.MONOLINE36W</f>
        <v>#NAME?</v>
      </c>
      <c r="C700">
        <v>20100629</v>
      </c>
      <c r="D700">
        <v>20101004</v>
      </c>
      <c r="E700" t="s">
        <v>1675</v>
      </c>
      <c r="G700" t="s">
        <v>1748</v>
      </c>
      <c r="I700" t="s">
        <v>1633</v>
      </c>
      <c r="K700">
        <v>1</v>
      </c>
      <c r="M700">
        <v>0</v>
      </c>
      <c r="N700">
        <v>28.08</v>
      </c>
      <c r="O700">
        <v>40</v>
      </c>
      <c r="P700">
        <v>16.847999999999999</v>
      </c>
    </row>
    <row r="701" spans="1:16">
      <c r="A701" t="s">
        <v>1749</v>
      </c>
      <c r="B701" t="e">
        <f>-ECL.MONOLINE8</f>
        <v>#NAME?</v>
      </c>
      <c r="C701">
        <v>20100629</v>
      </c>
      <c r="D701">
        <v>20101004</v>
      </c>
      <c r="E701" t="s">
        <v>1675</v>
      </c>
      <c r="G701" t="s">
        <v>1750</v>
      </c>
      <c r="I701" t="s">
        <v>1633</v>
      </c>
      <c r="K701">
        <v>1</v>
      </c>
      <c r="M701">
        <v>0</v>
      </c>
      <c r="N701">
        <v>35.01</v>
      </c>
      <c r="O701">
        <v>40</v>
      </c>
      <c r="P701">
        <v>21.006</v>
      </c>
    </row>
    <row r="702" spans="1:16">
      <c r="A702" t="s">
        <v>1751</v>
      </c>
      <c r="B702" t="e">
        <f>-ECL.PROFIL158</f>
        <v>#NAME?</v>
      </c>
      <c r="C702">
        <v>20100629</v>
      </c>
      <c r="D702">
        <v>20101004</v>
      </c>
      <c r="E702" t="s">
        <v>1682</v>
      </c>
      <c r="G702" t="s">
        <v>1752</v>
      </c>
      <c r="I702" t="s">
        <v>1633</v>
      </c>
      <c r="K702">
        <v>1</v>
      </c>
      <c r="M702">
        <v>0</v>
      </c>
      <c r="N702">
        <v>102.45</v>
      </c>
      <c r="O702">
        <v>40</v>
      </c>
      <c r="P702">
        <v>61.47</v>
      </c>
    </row>
    <row r="703" spans="1:16">
      <c r="A703" t="s">
        <v>1753</v>
      </c>
      <c r="B703" t="e">
        <f>-ECL.PROFIL236</f>
        <v>#NAME?</v>
      </c>
      <c r="C703">
        <v>20100629</v>
      </c>
      <c r="D703">
        <v>20101004</v>
      </c>
      <c r="E703" t="s">
        <v>1682</v>
      </c>
      <c r="G703" t="s">
        <v>1754</v>
      </c>
      <c r="I703" t="s">
        <v>1633</v>
      </c>
      <c r="K703">
        <v>1</v>
      </c>
      <c r="M703">
        <v>0</v>
      </c>
      <c r="N703">
        <v>76.14</v>
      </c>
      <c r="O703">
        <v>40</v>
      </c>
      <c r="P703">
        <v>45.683999999999997</v>
      </c>
    </row>
    <row r="704" spans="1:16">
      <c r="A704" t="s">
        <v>1755</v>
      </c>
      <c r="B704" t="e">
        <f>-ECL.PROFIL258</f>
        <v>#NAME?</v>
      </c>
      <c r="C704">
        <v>20100629</v>
      </c>
      <c r="D704">
        <v>20101004</v>
      </c>
      <c r="E704" t="s">
        <v>1682</v>
      </c>
      <c r="G704" t="s">
        <v>1756</v>
      </c>
      <c r="I704" t="s">
        <v>1633</v>
      </c>
      <c r="K704">
        <v>1</v>
      </c>
      <c r="M704">
        <v>0</v>
      </c>
      <c r="N704">
        <v>97.67</v>
      </c>
      <c r="O704">
        <v>40</v>
      </c>
      <c r="P704">
        <v>58.601999999999997</v>
      </c>
    </row>
    <row r="705" spans="1:16">
      <c r="A705" t="s">
        <v>1757</v>
      </c>
      <c r="B705" t="e">
        <f>-ECL.PROJECTEUR/P</f>
        <v>#NAME?</v>
      </c>
      <c r="C705">
        <v>20100629</v>
      </c>
      <c r="D705">
        <v>20101004</v>
      </c>
      <c r="E705" t="s">
        <v>899</v>
      </c>
      <c r="G705" t="s">
        <v>1758</v>
      </c>
      <c r="I705" t="s">
        <v>1633</v>
      </c>
      <c r="K705">
        <v>1</v>
      </c>
      <c r="M705">
        <v>0</v>
      </c>
      <c r="N705">
        <v>63.45</v>
      </c>
      <c r="O705">
        <v>40</v>
      </c>
      <c r="P705">
        <v>38.07</v>
      </c>
    </row>
    <row r="706" spans="1:16">
      <c r="A706" t="s">
        <v>1759</v>
      </c>
      <c r="B706" t="e">
        <f>-ECL.RAFT158</f>
        <v>#NAME?</v>
      </c>
      <c r="C706">
        <v>20100629</v>
      </c>
      <c r="D706">
        <v>20101004</v>
      </c>
      <c r="E706" t="s">
        <v>1675</v>
      </c>
      <c r="G706" t="s">
        <v>1760</v>
      </c>
      <c r="I706" t="s">
        <v>1633</v>
      </c>
      <c r="K706">
        <v>1</v>
      </c>
      <c r="M706">
        <v>0</v>
      </c>
      <c r="N706">
        <v>77.959999999999994</v>
      </c>
      <c r="O706">
        <v>40</v>
      </c>
      <c r="P706">
        <v>46.776000000000003</v>
      </c>
    </row>
    <row r="707" spans="1:16">
      <c r="A707" t="s">
        <v>1761</v>
      </c>
      <c r="B707" t="e">
        <f>-ECL.RAFT236</f>
        <v>#NAME?</v>
      </c>
      <c r="C707">
        <v>20100629</v>
      </c>
      <c r="D707">
        <v>20101004</v>
      </c>
      <c r="E707" t="s">
        <v>1675</v>
      </c>
      <c r="G707" t="s">
        <v>1762</v>
      </c>
      <c r="I707" t="s">
        <v>1633</v>
      </c>
      <c r="K707">
        <v>1</v>
      </c>
      <c r="M707">
        <v>0</v>
      </c>
      <c r="N707">
        <v>94.77</v>
      </c>
      <c r="O707">
        <v>40</v>
      </c>
      <c r="P707">
        <v>56.862000000000002</v>
      </c>
    </row>
    <row r="708" spans="1:16">
      <c r="A708" t="s">
        <v>1763</v>
      </c>
      <c r="B708" t="e">
        <f>-ECL.REGLETTE6W</f>
        <v>#NAME?</v>
      </c>
      <c r="C708">
        <v>20100629</v>
      </c>
      <c r="D708">
        <v>20101004</v>
      </c>
      <c r="E708" t="s">
        <v>1675</v>
      </c>
      <c r="G708" t="s">
        <v>1764</v>
      </c>
      <c r="I708" t="s">
        <v>1633</v>
      </c>
      <c r="K708">
        <v>1</v>
      </c>
      <c r="M708">
        <v>0</v>
      </c>
      <c r="N708">
        <v>35.07</v>
      </c>
      <c r="O708">
        <v>40</v>
      </c>
      <c r="P708">
        <v>21.042000000000002</v>
      </c>
    </row>
    <row r="709" spans="1:16">
      <c r="A709" t="s">
        <v>1765</v>
      </c>
      <c r="B709" t="e">
        <f>-ECL.REGULUX</f>
        <v>#NAME?</v>
      </c>
      <c r="C709">
        <v>20100629</v>
      </c>
      <c r="D709">
        <v>20101004</v>
      </c>
      <c r="E709" t="s">
        <v>1766</v>
      </c>
      <c r="G709" t="s">
        <v>1767</v>
      </c>
      <c r="I709" t="s">
        <v>1633</v>
      </c>
      <c r="K709">
        <v>1</v>
      </c>
      <c r="M709">
        <v>0</v>
      </c>
      <c r="N709">
        <v>83.61</v>
      </c>
      <c r="O709">
        <v>40</v>
      </c>
      <c r="P709">
        <v>50.165999999999997</v>
      </c>
    </row>
    <row r="710" spans="1:16">
      <c r="A710" t="s">
        <v>1768</v>
      </c>
      <c r="B710" t="e">
        <f>-ECL.SHUNTS12V</f>
        <v>#NAME?</v>
      </c>
      <c r="C710">
        <v>20100629</v>
      </c>
      <c r="D710">
        <v>20101004</v>
      </c>
      <c r="E710" t="s">
        <v>1769</v>
      </c>
      <c r="G710" t="s">
        <v>1770</v>
      </c>
      <c r="I710" t="s">
        <v>1633</v>
      </c>
      <c r="K710">
        <v>1</v>
      </c>
      <c r="M710">
        <v>0</v>
      </c>
      <c r="N710">
        <v>20.72</v>
      </c>
      <c r="O710">
        <v>40</v>
      </c>
      <c r="P710">
        <v>12.432</v>
      </c>
    </row>
    <row r="711" spans="1:16">
      <c r="A711" t="s">
        <v>1771</v>
      </c>
      <c r="B711" t="e">
        <f>-ECL.THO100950</f>
        <v>#NAME?</v>
      </c>
      <c r="C711">
        <v>20100629</v>
      </c>
      <c r="D711">
        <v>20101004</v>
      </c>
      <c r="E711" t="s">
        <v>1682</v>
      </c>
      <c r="G711" t="s">
        <v>1772</v>
      </c>
      <c r="I711" t="s">
        <v>1633</v>
      </c>
      <c r="K711">
        <v>1</v>
      </c>
      <c r="M711">
        <v>0</v>
      </c>
      <c r="N711">
        <v>79.790000000000006</v>
      </c>
      <c r="O711">
        <v>40</v>
      </c>
      <c r="P711">
        <v>47.874000000000002</v>
      </c>
    </row>
    <row r="712" spans="1:16">
      <c r="A712" t="s">
        <v>1773</v>
      </c>
      <c r="B712" t="e">
        <f>-ECL.THO100952</f>
        <v>#NAME?</v>
      </c>
      <c r="C712">
        <v>20100629</v>
      </c>
      <c r="D712">
        <v>20101004</v>
      </c>
      <c r="E712" t="s">
        <v>1682</v>
      </c>
      <c r="G712" t="s">
        <v>1774</v>
      </c>
      <c r="I712" t="s">
        <v>1633</v>
      </c>
      <c r="K712">
        <v>1</v>
      </c>
      <c r="M712">
        <v>0</v>
      </c>
      <c r="N712">
        <v>95.18</v>
      </c>
      <c r="O712">
        <v>40</v>
      </c>
      <c r="P712">
        <v>57.107999999999997</v>
      </c>
    </row>
    <row r="713" spans="1:16">
      <c r="A713" t="s">
        <v>1775</v>
      </c>
      <c r="B713" t="e">
        <f>-ELE.5205C</f>
        <v>#NAME?</v>
      </c>
      <c r="C713">
        <v>20100629</v>
      </c>
      <c r="D713">
        <v>20101004</v>
      </c>
      <c r="E713" t="s">
        <v>1776</v>
      </c>
      <c r="G713" t="s">
        <v>1777</v>
      </c>
      <c r="I713" t="s">
        <v>1701</v>
      </c>
      <c r="K713">
        <v>1</v>
      </c>
      <c r="M713">
        <v>0</v>
      </c>
      <c r="N713">
        <v>2.08</v>
      </c>
      <c r="O713">
        <v>40</v>
      </c>
      <c r="P713">
        <v>1.248</v>
      </c>
    </row>
    <row r="714" spans="1:16">
      <c r="A714" t="s">
        <v>1778</v>
      </c>
      <c r="B714" t="e">
        <f>-ELG.311101</f>
        <v>#NAME?</v>
      </c>
      <c r="C714">
        <v>20100629</v>
      </c>
      <c r="D714">
        <v>20101004</v>
      </c>
      <c r="E714" t="s">
        <v>10</v>
      </c>
      <c r="G714" t="s">
        <v>1779</v>
      </c>
      <c r="I714" t="s">
        <v>1780</v>
      </c>
      <c r="K714">
        <v>1</v>
      </c>
      <c r="M714">
        <v>0</v>
      </c>
      <c r="N714">
        <v>98.33</v>
      </c>
      <c r="O714">
        <v>40</v>
      </c>
      <c r="P714">
        <v>58.997999999999998</v>
      </c>
    </row>
    <row r="715" spans="1:16">
      <c r="A715" t="s">
        <v>1781</v>
      </c>
      <c r="B715" t="e">
        <f>-ELG.423322</f>
        <v>#NAME?</v>
      </c>
      <c r="C715">
        <v>20100629</v>
      </c>
      <c r="D715">
        <v>20101004</v>
      </c>
      <c r="E715" t="s">
        <v>1782</v>
      </c>
      <c r="G715" t="s">
        <v>1783</v>
      </c>
      <c r="I715" t="s">
        <v>1780</v>
      </c>
      <c r="K715">
        <v>1</v>
      </c>
      <c r="M715">
        <v>0</v>
      </c>
      <c r="N715">
        <v>1.7</v>
      </c>
      <c r="O715">
        <v>40</v>
      </c>
      <c r="P715">
        <v>1.02</v>
      </c>
    </row>
    <row r="716" spans="1:16">
      <c r="A716" t="s">
        <v>1784</v>
      </c>
      <c r="B716" t="e">
        <f>-ELG.523109</f>
        <v>#NAME?</v>
      </c>
      <c r="C716">
        <v>20100629</v>
      </c>
      <c r="D716">
        <v>20101004</v>
      </c>
      <c r="E716" t="s">
        <v>1785</v>
      </c>
      <c r="G716" t="s">
        <v>1786</v>
      </c>
      <c r="I716" t="s">
        <v>1780</v>
      </c>
      <c r="K716">
        <v>1</v>
      </c>
      <c r="M716">
        <v>0</v>
      </c>
      <c r="N716">
        <v>405.03</v>
      </c>
      <c r="O716">
        <v>40</v>
      </c>
      <c r="P716">
        <v>243.018</v>
      </c>
    </row>
    <row r="717" spans="1:16">
      <c r="A717" t="s">
        <v>1787</v>
      </c>
      <c r="B717" t="e">
        <f>-ELG.211106</f>
        <v>#NAME?</v>
      </c>
      <c r="C717">
        <v>20100629</v>
      </c>
      <c r="D717">
        <v>20101004</v>
      </c>
      <c r="E717" t="s">
        <v>1788</v>
      </c>
      <c r="G717" t="s">
        <v>1789</v>
      </c>
      <c r="I717" t="s">
        <v>1780</v>
      </c>
      <c r="K717">
        <v>1</v>
      </c>
      <c r="M717">
        <v>0</v>
      </c>
      <c r="N717">
        <v>150.66</v>
      </c>
      <c r="O717">
        <v>40</v>
      </c>
      <c r="P717">
        <v>90.396000000000001</v>
      </c>
    </row>
    <row r="718" spans="1:16">
      <c r="A718" t="s">
        <v>1790</v>
      </c>
      <c r="B718" t="e">
        <f>-ELG.412141</f>
        <v>#NAME?</v>
      </c>
      <c r="C718">
        <v>20100629</v>
      </c>
      <c r="D718">
        <v>20101004</v>
      </c>
      <c r="E718" t="s">
        <v>1791</v>
      </c>
      <c r="G718" t="s">
        <v>1792</v>
      </c>
      <c r="I718" t="s">
        <v>1780</v>
      </c>
      <c r="K718">
        <v>1</v>
      </c>
      <c r="M718">
        <v>0</v>
      </c>
      <c r="N718">
        <v>193.46</v>
      </c>
      <c r="O718">
        <v>40</v>
      </c>
      <c r="P718">
        <v>116.07599999999999</v>
      </c>
    </row>
    <row r="719" spans="1:16">
      <c r="A719" t="s">
        <v>1793</v>
      </c>
      <c r="B719" t="e">
        <f>-ELG.523122</f>
        <v>#NAME?</v>
      </c>
      <c r="C719">
        <v>20100629</v>
      </c>
      <c r="D719">
        <v>20101004</v>
      </c>
      <c r="E719" t="s">
        <v>1794</v>
      </c>
      <c r="G719" t="s">
        <v>1795</v>
      </c>
      <c r="I719" t="s">
        <v>1780</v>
      </c>
      <c r="K719">
        <v>1</v>
      </c>
      <c r="M719">
        <v>0</v>
      </c>
      <c r="N719">
        <v>25.43</v>
      </c>
      <c r="O719">
        <v>40</v>
      </c>
      <c r="P719">
        <v>15.257999999999999</v>
      </c>
    </row>
    <row r="720" spans="1:16">
      <c r="A720" t="s">
        <v>1796</v>
      </c>
      <c r="B720" t="e">
        <f>-ELG.523306</f>
        <v>#NAME?</v>
      </c>
      <c r="C720">
        <v>20100629</v>
      </c>
      <c r="D720">
        <v>20101004</v>
      </c>
      <c r="E720" t="s">
        <v>1797</v>
      </c>
      <c r="G720" t="s">
        <v>1797</v>
      </c>
      <c r="I720" t="s">
        <v>1780</v>
      </c>
      <c r="K720">
        <v>1</v>
      </c>
      <c r="M720">
        <v>0</v>
      </c>
      <c r="N720">
        <v>66.180000000000007</v>
      </c>
      <c r="O720">
        <v>40</v>
      </c>
      <c r="P720">
        <v>39.707999999999998</v>
      </c>
    </row>
    <row r="721" spans="1:16">
      <c r="A721" t="s">
        <v>1798</v>
      </c>
      <c r="B721" t="e">
        <f>-ELG.523717</f>
        <v>#NAME?</v>
      </c>
      <c r="C721">
        <v>20100629</v>
      </c>
      <c r="D721">
        <v>20101004</v>
      </c>
      <c r="E721" t="s">
        <v>1799</v>
      </c>
      <c r="G721" t="s">
        <v>1799</v>
      </c>
      <c r="I721" t="s">
        <v>1780</v>
      </c>
      <c r="K721">
        <v>1</v>
      </c>
      <c r="M721">
        <v>0</v>
      </c>
      <c r="N721">
        <v>31.62</v>
      </c>
      <c r="O721">
        <v>40</v>
      </c>
      <c r="P721">
        <v>18.972000000000001</v>
      </c>
    </row>
    <row r="722" spans="1:16">
      <c r="A722" t="s">
        <v>1800</v>
      </c>
      <c r="B722" t="e">
        <f>-ELG.611099</f>
        <v>#NAME?</v>
      </c>
      <c r="C722">
        <v>20100629</v>
      </c>
      <c r="D722">
        <v>20101004</v>
      </c>
      <c r="E722" t="s">
        <v>1801</v>
      </c>
      <c r="G722" t="s">
        <v>1802</v>
      </c>
      <c r="I722" t="s">
        <v>1780</v>
      </c>
      <c r="K722">
        <v>1</v>
      </c>
      <c r="M722">
        <v>0</v>
      </c>
      <c r="N722">
        <v>498.72</v>
      </c>
      <c r="O722">
        <v>40</v>
      </c>
      <c r="P722">
        <v>299.23200000000003</v>
      </c>
    </row>
    <row r="723" spans="1:16">
      <c r="A723" t="s">
        <v>1803</v>
      </c>
      <c r="B723" t="e">
        <f>-ELG.803112</f>
        <v>#NAME?</v>
      </c>
      <c r="C723">
        <v>20100629</v>
      </c>
      <c r="D723">
        <v>20101004</v>
      </c>
      <c r="E723" t="s">
        <v>1804</v>
      </c>
      <c r="G723" t="s">
        <v>1805</v>
      </c>
      <c r="I723" t="s">
        <v>1780</v>
      </c>
      <c r="K723">
        <v>1</v>
      </c>
      <c r="M723">
        <v>0</v>
      </c>
      <c r="N723">
        <v>1341.85</v>
      </c>
      <c r="O723">
        <v>40</v>
      </c>
      <c r="P723">
        <v>805.11</v>
      </c>
    </row>
    <row r="724" spans="1:16">
      <c r="A724" t="s">
        <v>1806</v>
      </c>
      <c r="B724" t="e">
        <f>-ELG.803207</f>
        <v>#NAME?</v>
      </c>
      <c r="C724">
        <v>20100629</v>
      </c>
      <c r="D724">
        <v>20101004</v>
      </c>
      <c r="E724" t="s">
        <v>1804</v>
      </c>
      <c r="G724" t="s">
        <v>1807</v>
      </c>
      <c r="I724" t="s">
        <v>1780</v>
      </c>
      <c r="K724">
        <v>1</v>
      </c>
      <c r="M724">
        <v>0</v>
      </c>
      <c r="N724">
        <v>1101.06</v>
      </c>
      <c r="O724">
        <v>40</v>
      </c>
      <c r="P724">
        <v>660.63599999999997</v>
      </c>
    </row>
    <row r="725" spans="1:16">
      <c r="A725" t="s">
        <v>1808</v>
      </c>
      <c r="B725" t="e">
        <f>-ELG.803209</f>
        <v>#NAME?</v>
      </c>
      <c r="C725">
        <v>20100629</v>
      </c>
      <c r="D725">
        <v>20101004</v>
      </c>
      <c r="E725" t="s">
        <v>1804</v>
      </c>
      <c r="G725" t="s">
        <v>1809</v>
      </c>
      <c r="I725" t="s">
        <v>1780</v>
      </c>
      <c r="K725">
        <v>1</v>
      </c>
      <c r="M725">
        <v>0</v>
      </c>
      <c r="N725">
        <v>1234.8499999999999</v>
      </c>
      <c r="O725">
        <v>40</v>
      </c>
      <c r="P725">
        <v>740.91</v>
      </c>
    </row>
    <row r="726" spans="1:16">
      <c r="A726" t="s">
        <v>1810</v>
      </c>
      <c r="B726" t="e">
        <f>-ELG.803212</f>
        <v>#NAME?</v>
      </c>
      <c r="C726">
        <v>20100629</v>
      </c>
      <c r="D726">
        <v>20101004</v>
      </c>
      <c r="E726" t="s">
        <v>1804</v>
      </c>
      <c r="G726" t="s">
        <v>1811</v>
      </c>
      <c r="I726" t="s">
        <v>1780</v>
      </c>
      <c r="K726">
        <v>1</v>
      </c>
      <c r="M726">
        <v>0</v>
      </c>
      <c r="N726">
        <v>1481.81</v>
      </c>
      <c r="O726">
        <v>40</v>
      </c>
      <c r="P726">
        <v>889.08600000000001</v>
      </c>
    </row>
    <row r="727" spans="1:16">
      <c r="A727" t="s">
        <v>1812</v>
      </c>
      <c r="B727" t="e">
        <f>-ELG.809003</f>
        <v>#NAME?</v>
      </c>
      <c r="C727">
        <v>20100629</v>
      </c>
      <c r="D727">
        <v>20101004</v>
      </c>
      <c r="E727" t="s">
        <v>1813</v>
      </c>
      <c r="G727" t="s">
        <v>1814</v>
      </c>
      <c r="I727" t="s">
        <v>1780</v>
      </c>
      <c r="K727">
        <v>1</v>
      </c>
      <c r="M727">
        <v>0</v>
      </c>
      <c r="N727">
        <v>199.23</v>
      </c>
      <c r="O727">
        <v>40</v>
      </c>
      <c r="P727">
        <v>119.538</v>
      </c>
    </row>
    <row r="728" spans="1:16">
      <c r="A728" t="s">
        <v>1815</v>
      </c>
      <c r="B728" t="e">
        <f>-ELG.809107</f>
        <v>#NAME?</v>
      </c>
      <c r="C728">
        <v>20100629</v>
      </c>
      <c r="D728">
        <v>20101004</v>
      </c>
      <c r="E728" t="s">
        <v>1813</v>
      </c>
      <c r="G728" t="s">
        <v>1816</v>
      </c>
      <c r="I728" t="s">
        <v>1780</v>
      </c>
      <c r="K728">
        <v>1</v>
      </c>
      <c r="M728">
        <v>0</v>
      </c>
      <c r="N728">
        <v>226.72</v>
      </c>
      <c r="O728">
        <v>40</v>
      </c>
      <c r="P728">
        <v>136.03200000000001</v>
      </c>
    </row>
    <row r="729" spans="1:16">
      <c r="A729" t="s">
        <v>1817</v>
      </c>
      <c r="B729" t="e">
        <f>-ELG.816109</f>
        <v>#NAME?</v>
      </c>
      <c r="C729">
        <v>20100629</v>
      </c>
      <c r="D729">
        <v>20101004</v>
      </c>
      <c r="E729" t="s">
        <v>1804</v>
      </c>
      <c r="G729" t="s">
        <v>1818</v>
      </c>
      <c r="I729" t="s">
        <v>1780</v>
      </c>
      <c r="K729">
        <v>1</v>
      </c>
      <c r="M729">
        <v>0</v>
      </c>
      <c r="N729">
        <v>1070.2</v>
      </c>
      <c r="O729">
        <v>40</v>
      </c>
      <c r="P729">
        <v>642.12</v>
      </c>
    </row>
    <row r="730" spans="1:16">
      <c r="A730" t="s">
        <v>1819</v>
      </c>
      <c r="B730" t="e">
        <f>-ELG.816112</f>
        <v>#NAME?</v>
      </c>
      <c r="C730">
        <v>20100629</v>
      </c>
      <c r="D730">
        <v>20101004</v>
      </c>
      <c r="E730" t="s">
        <v>1804</v>
      </c>
      <c r="G730" t="s">
        <v>1820</v>
      </c>
      <c r="I730" t="s">
        <v>1780</v>
      </c>
      <c r="K730">
        <v>1</v>
      </c>
      <c r="M730">
        <v>0</v>
      </c>
      <c r="N730">
        <v>1341.85</v>
      </c>
      <c r="O730">
        <v>40</v>
      </c>
      <c r="P730">
        <v>805.11</v>
      </c>
    </row>
    <row r="731" spans="1:16">
      <c r="A731" t="s">
        <v>1821</v>
      </c>
      <c r="B731" t="e">
        <f>-ELG.816209</f>
        <v>#NAME?</v>
      </c>
      <c r="C731">
        <v>20100629</v>
      </c>
      <c r="D731">
        <v>20101004</v>
      </c>
      <c r="E731" t="s">
        <v>1804</v>
      </c>
      <c r="G731" t="s">
        <v>1822</v>
      </c>
      <c r="I731" t="s">
        <v>1780</v>
      </c>
      <c r="K731">
        <v>1</v>
      </c>
      <c r="M731">
        <v>0</v>
      </c>
      <c r="N731">
        <v>1234.8499999999999</v>
      </c>
      <c r="O731">
        <v>40</v>
      </c>
      <c r="P731">
        <v>740.91</v>
      </c>
    </row>
    <row r="732" spans="1:16">
      <c r="A732" t="s">
        <v>1823</v>
      </c>
      <c r="B732" t="e">
        <f>-ELG.AG2S</f>
        <v>#NAME?</v>
      </c>
      <c r="C732">
        <v>20100629</v>
      </c>
      <c r="D732">
        <v>20101004</v>
      </c>
      <c r="E732" t="s">
        <v>1824</v>
      </c>
      <c r="G732" t="s">
        <v>1825</v>
      </c>
      <c r="I732" t="s">
        <v>1780</v>
      </c>
      <c r="K732">
        <v>1</v>
      </c>
      <c r="M732">
        <v>0</v>
      </c>
      <c r="N732">
        <v>315.10000000000002</v>
      </c>
      <c r="O732">
        <v>40</v>
      </c>
      <c r="P732">
        <v>189.06</v>
      </c>
    </row>
    <row r="733" spans="1:16">
      <c r="A733" t="s">
        <v>1826</v>
      </c>
      <c r="B733" t="e">
        <f>-ELG.AM100G</f>
        <v>#NAME?</v>
      </c>
      <c r="C733">
        <v>20100629</v>
      </c>
      <c r="D733">
        <v>20101004</v>
      </c>
      <c r="E733" t="s">
        <v>1827</v>
      </c>
      <c r="G733" t="s">
        <v>1828</v>
      </c>
      <c r="I733" t="s">
        <v>1780</v>
      </c>
      <c r="K733">
        <v>1</v>
      </c>
      <c r="M733">
        <v>0</v>
      </c>
      <c r="N733">
        <v>64.84</v>
      </c>
      <c r="O733">
        <v>40</v>
      </c>
      <c r="P733">
        <v>38.904000000000003</v>
      </c>
    </row>
    <row r="734" spans="1:16">
      <c r="A734" t="s">
        <v>1829</v>
      </c>
      <c r="B734" t="e">
        <f>-ELG.AM120G</f>
        <v>#NAME?</v>
      </c>
      <c r="C734">
        <v>20100629</v>
      </c>
      <c r="D734">
        <v>20101004</v>
      </c>
      <c r="E734" t="s">
        <v>1827</v>
      </c>
      <c r="G734" t="s">
        <v>1830</v>
      </c>
      <c r="I734" t="s">
        <v>1780</v>
      </c>
      <c r="K734">
        <v>1</v>
      </c>
      <c r="M734">
        <v>0</v>
      </c>
      <c r="N734">
        <v>79.569999999999993</v>
      </c>
      <c r="O734">
        <v>40</v>
      </c>
      <c r="P734">
        <v>47.741999999999997</v>
      </c>
    </row>
    <row r="735" spans="1:16">
      <c r="A735" t="s">
        <v>1831</v>
      </c>
      <c r="B735" t="e">
        <f>-ELG.B125LK</f>
        <v>#NAME?</v>
      </c>
      <c r="C735">
        <v>20100629</v>
      </c>
      <c r="D735">
        <v>20101004</v>
      </c>
      <c r="E735" t="s">
        <v>1832</v>
      </c>
      <c r="G735" t="s">
        <v>1833</v>
      </c>
      <c r="I735" t="s">
        <v>1780</v>
      </c>
      <c r="K735">
        <v>1</v>
      </c>
      <c r="M735">
        <v>0</v>
      </c>
      <c r="N735">
        <v>24.14</v>
      </c>
      <c r="O735">
        <v>40</v>
      </c>
      <c r="P735">
        <v>14.484</v>
      </c>
    </row>
    <row r="736" spans="1:16">
      <c r="A736" t="s">
        <v>1834</v>
      </c>
      <c r="B736" t="e">
        <f>-ELG.GB125NP</f>
        <v>#NAME?</v>
      </c>
      <c r="C736">
        <v>20100629</v>
      </c>
      <c r="D736">
        <v>20101004</v>
      </c>
      <c r="E736" t="s">
        <v>1832</v>
      </c>
      <c r="G736" t="s">
        <v>1835</v>
      </c>
      <c r="I736" t="s">
        <v>1780</v>
      </c>
      <c r="K736">
        <v>1</v>
      </c>
      <c r="M736">
        <v>0</v>
      </c>
      <c r="N736">
        <v>11.11</v>
      </c>
      <c r="O736">
        <v>40</v>
      </c>
      <c r="P736">
        <v>6.6660000000000004</v>
      </c>
    </row>
    <row r="737" spans="1:16">
      <c r="A737" t="s">
        <v>1836</v>
      </c>
      <c r="B737" t="e">
        <f>-ELG.GEF600</f>
        <v>#NAME?</v>
      </c>
      <c r="C737">
        <v>20100629</v>
      </c>
      <c r="D737">
        <v>20101004</v>
      </c>
      <c r="E737" t="s">
        <v>1837</v>
      </c>
      <c r="G737" t="s">
        <v>1838</v>
      </c>
      <c r="I737" t="s">
        <v>1780</v>
      </c>
      <c r="K737">
        <v>1</v>
      </c>
      <c r="M737">
        <v>0</v>
      </c>
      <c r="N737">
        <v>189.28</v>
      </c>
      <c r="O737">
        <v>40</v>
      </c>
      <c r="P737">
        <v>113.568</v>
      </c>
    </row>
    <row r="738" spans="1:16">
      <c r="A738" t="s">
        <v>1839</v>
      </c>
      <c r="B738" t="e">
        <f>-ELG.PAL90</f>
        <v>#NAME?</v>
      </c>
      <c r="C738">
        <v>20100629</v>
      </c>
      <c r="D738">
        <v>20101004</v>
      </c>
      <c r="E738" t="s">
        <v>1139</v>
      </c>
      <c r="G738" t="s">
        <v>1840</v>
      </c>
      <c r="I738" t="s">
        <v>1780</v>
      </c>
      <c r="K738">
        <v>1</v>
      </c>
      <c r="M738">
        <v>0</v>
      </c>
      <c r="N738">
        <v>148.18</v>
      </c>
      <c r="O738">
        <v>40</v>
      </c>
      <c r="P738">
        <v>88.908000000000001</v>
      </c>
    </row>
    <row r="739" spans="1:16">
      <c r="A739" t="s">
        <v>1841</v>
      </c>
      <c r="B739" t="e">
        <f>-ELG.T82B</f>
        <v>#NAME?</v>
      </c>
      <c r="C739">
        <v>20100629</v>
      </c>
      <c r="D739">
        <v>20101004</v>
      </c>
      <c r="E739" t="s">
        <v>1842</v>
      </c>
      <c r="G739" t="s">
        <v>1843</v>
      </c>
      <c r="I739" t="s">
        <v>1780</v>
      </c>
      <c r="K739">
        <v>1</v>
      </c>
      <c r="M739">
        <v>0</v>
      </c>
      <c r="N739">
        <v>2.74</v>
      </c>
      <c r="O739">
        <v>40</v>
      </c>
      <c r="P739">
        <v>1.6439999999999999</v>
      </c>
    </row>
    <row r="740" spans="1:16">
      <c r="A740" t="s">
        <v>1844</v>
      </c>
      <c r="B740" t="e">
        <f>-ELG.TE125</f>
        <v>#NAME?</v>
      </c>
      <c r="C740">
        <v>20100629</v>
      </c>
      <c r="D740">
        <v>20101004</v>
      </c>
      <c r="E740" t="s">
        <v>1845</v>
      </c>
      <c r="G740" t="s">
        <v>1846</v>
      </c>
      <c r="I740" t="s">
        <v>1780</v>
      </c>
      <c r="K740">
        <v>1</v>
      </c>
      <c r="M740">
        <v>0</v>
      </c>
      <c r="N740">
        <v>16.190000000000001</v>
      </c>
      <c r="O740">
        <v>40</v>
      </c>
      <c r="P740">
        <v>9.7140000000000004</v>
      </c>
    </row>
    <row r="741" spans="1:16">
      <c r="A741" t="s">
        <v>1847</v>
      </c>
      <c r="B741" t="e">
        <f>-ELG.VCO100</f>
        <v>#NAME?</v>
      </c>
      <c r="C741">
        <v>20100629</v>
      </c>
      <c r="D741">
        <v>20101004</v>
      </c>
      <c r="E741" t="s">
        <v>1139</v>
      </c>
      <c r="G741" t="s">
        <v>1848</v>
      </c>
      <c r="I741" t="s">
        <v>1780</v>
      </c>
      <c r="K741">
        <v>1</v>
      </c>
      <c r="M741">
        <v>0</v>
      </c>
      <c r="N741">
        <v>59.05</v>
      </c>
      <c r="O741">
        <v>40</v>
      </c>
      <c r="P741">
        <v>35.43</v>
      </c>
    </row>
    <row r="742" spans="1:16">
      <c r="A742" t="s">
        <v>1849</v>
      </c>
      <c r="B742" t="e">
        <f>-ELG.VEM200</f>
        <v>#NAME?</v>
      </c>
      <c r="C742">
        <v>20100629</v>
      </c>
      <c r="D742">
        <v>20101004</v>
      </c>
      <c r="E742" t="s">
        <v>10</v>
      </c>
      <c r="G742" t="s">
        <v>1850</v>
      </c>
      <c r="I742" t="s">
        <v>1780</v>
      </c>
      <c r="K742">
        <v>1</v>
      </c>
      <c r="M742">
        <v>0</v>
      </c>
      <c r="N742">
        <v>98.33</v>
      </c>
      <c r="O742">
        <v>40</v>
      </c>
      <c r="P742">
        <v>58.997999999999998</v>
      </c>
    </row>
    <row r="743" spans="1:16">
      <c r="A743" t="s">
        <v>1851</v>
      </c>
      <c r="B743" t="e">
        <f>-ERA.000800</f>
        <v>#NAME?</v>
      </c>
      <c r="C743">
        <v>20100629</v>
      </c>
      <c r="D743">
        <v>20101004</v>
      </c>
      <c r="E743" t="s">
        <v>1852</v>
      </c>
      <c r="G743" t="s">
        <v>1853</v>
      </c>
      <c r="I743" t="s">
        <v>1854</v>
      </c>
      <c r="K743">
        <v>1</v>
      </c>
      <c r="M743">
        <v>0</v>
      </c>
      <c r="N743">
        <v>2.4700000000000002</v>
      </c>
      <c r="O743">
        <v>40</v>
      </c>
      <c r="P743">
        <v>1.482</v>
      </c>
    </row>
    <row r="744" spans="1:16">
      <c r="A744" t="s">
        <v>1855</v>
      </c>
      <c r="B744" t="e">
        <f>-ERA.000843</f>
        <v>#NAME?</v>
      </c>
      <c r="C744">
        <v>20100629</v>
      </c>
      <c r="D744">
        <v>20101004</v>
      </c>
      <c r="E744" t="s">
        <v>1856</v>
      </c>
      <c r="G744" t="s">
        <v>1857</v>
      </c>
      <c r="I744" t="s">
        <v>1854</v>
      </c>
      <c r="K744">
        <v>1</v>
      </c>
      <c r="M744">
        <v>0</v>
      </c>
      <c r="N744">
        <v>18.13</v>
      </c>
      <c r="O744">
        <v>40</v>
      </c>
      <c r="P744">
        <v>10.878</v>
      </c>
    </row>
    <row r="745" spans="1:16">
      <c r="A745" t="s">
        <v>1858</v>
      </c>
      <c r="B745" t="e">
        <f>-ERA.000844</f>
        <v>#NAME?</v>
      </c>
      <c r="C745">
        <v>20100629</v>
      </c>
      <c r="D745">
        <v>20101004</v>
      </c>
      <c r="E745" t="s">
        <v>1859</v>
      </c>
      <c r="G745" t="s">
        <v>1860</v>
      </c>
      <c r="I745" t="s">
        <v>1854</v>
      </c>
      <c r="K745">
        <v>1</v>
      </c>
      <c r="M745">
        <v>0</v>
      </c>
      <c r="N745">
        <v>20.3</v>
      </c>
      <c r="O745">
        <v>40</v>
      </c>
      <c r="P745">
        <v>12.18</v>
      </c>
    </row>
    <row r="746" spans="1:16">
      <c r="A746" t="s">
        <v>1861</v>
      </c>
      <c r="B746" t="e">
        <f>-ERA.000860</f>
        <v>#NAME?</v>
      </c>
      <c r="C746">
        <v>20100629</v>
      </c>
      <c r="D746">
        <v>20101004</v>
      </c>
      <c r="E746" t="s">
        <v>126</v>
      </c>
      <c r="G746" t="s">
        <v>1862</v>
      </c>
      <c r="I746" t="s">
        <v>1854</v>
      </c>
      <c r="K746">
        <v>1</v>
      </c>
      <c r="M746">
        <v>0</v>
      </c>
      <c r="N746">
        <v>44.89</v>
      </c>
      <c r="O746">
        <v>40</v>
      </c>
      <c r="P746">
        <v>26.934000000000001</v>
      </c>
    </row>
    <row r="747" spans="1:16">
      <c r="A747" t="s">
        <v>1863</v>
      </c>
      <c r="B747" t="e">
        <f>-ERA.000940</f>
        <v>#NAME?</v>
      </c>
      <c r="C747">
        <v>20100629</v>
      </c>
      <c r="D747">
        <v>20101004</v>
      </c>
      <c r="E747" t="s">
        <v>130</v>
      </c>
      <c r="G747" t="s">
        <v>1864</v>
      </c>
      <c r="I747" t="s">
        <v>1854</v>
      </c>
      <c r="K747">
        <v>1</v>
      </c>
      <c r="M747">
        <v>0</v>
      </c>
      <c r="N747">
        <v>38.270000000000003</v>
      </c>
      <c r="O747">
        <v>40</v>
      </c>
      <c r="P747">
        <v>22.962</v>
      </c>
    </row>
    <row r="748" spans="1:16">
      <c r="A748" t="s">
        <v>1865</v>
      </c>
      <c r="B748" t="e">
        <f>-ERA.000950</f>
        <v>#NAME?</v>
      </c>
      <c r="C748">
        <v>20100629</v>
      </c>
      <c r="D748">
        <v>20101004</v>
      </c>
      <c r="E748" t="s">
        <v>126</v>
      </c>
      <c r="G748" t="s">
        <v>1866</v>
      </c>
      <c r="I748" t="s">
        <v>1854</v>
      </c>
      <c r="K748">
        <v>1</v>
      </c>
      <c r="M748">
        <v>0</v>
      </c>
      <c r="N748">
        <v>50.09</v>
      </c>
      <c r="O748">
        <v>40</v>
      </c>
      <c r="P748">
        <v>30.053999999999998</v>
      </c>
    </row>
    <row r="749" spans="1:16">
      <c r="A749" t="s">
        <v>1867</v>
      </c>
      <c r="B749" t="e">
        <f>-ERA.000998</f>
        <v>#NAME?</v>
      </c>
      <c r="C749">
        <v>20100629</v>
      </c>
      <c r="D749">
        <v>20101004</v>
      </c>
      <c r="E749" t="s">
        <v>126</v>
      </c>
      <c r="G749" t="s">
        <v>1868</v>
      </c>
      <c r="I749" t="s">
        <v>1854</v>
      </c>
      <c r="K749">
        <v>1</v>
      </c>
      <c r="M749">
        <v>0</v>
      </c>
      <c r="N749">
        <v>15.35</v>
      </c>
      <c r="O749">
        <v>40</v>
      </c>
      <c r="P749">
        <v>9.2100000000000009</v>
      </c>
    </row>
    <row r="750" spans="1:16">
      <c r="A750" t="s">
        <v>1869</v>
      </c>
      <c r="B750" t="e">
        <f>-ERA.003140</f>
        <v>#NAME?</v>
      </c>
      <c r="C750">
        <v>20100629</v>
      </c>
      <c r="D750">
        <v>20101004</v>
      </c>
      <c r="E750" t="s">
        <v>310</v>
      </c>
      <c r="G750" t="s">
        <v>1870</v>
      </c>
      <c r="I750" t="s">
        <v>1854</v>
      </c>
      <c r="K750">
        <v>1</v>
      </c>
      <c r="M750">
        <v>0</v>
      </c>
      <c r="N750">
        <v>11.77</v>
      </c>
      <c r="O750">
        <v>40</v>
      </c>
      <c r="P750">
        <v>7.0620000000000003</v>
      </c>
    </row>
    <row r="751" spans="1:16">
      <c r="A751" t="s">
        <v>1871</v>
      </c>
      <c r="B751" t="e">
        <f>-ERA.003150</f>
        <v>#NAME?</v>
      </c>
      <c r="C751">
        <v>20100629</v>
      </c>
      <c r="D751">
        <v>20101004</v>
      </c>
      <c r="E751" t="s">
        <v>310</v>
      </c>
      <c r="G751" t="s">
        <v>1872</v>
      </c>
      <c r="I751" t="s">
        <v>1854</v>
      </c>
      <c r="K751">
        <v>1</v>
      </c>
      <c r="M751">
        <v>0</v>
      </c>
      <c r="N751">
        <v>19.82</v>
      </c>
      <c r="O751">
        <v>40</v>
      </c>
      <c r="P751">
        <v>11.891999999999999</v>
      </c>
    </row>
    <row r="752" spans="1:16">
      <c r="A752" t="s">
        <v>1873</v>
      </c>
      <c r="B752" t="e">
        <f>-ERA.004100</f>
        <v>#NAME?</v>
      </c>
      <c r="C752">
        <v>20100629</v>
      </c>
      <c r="D752">
        <v>20110127</v>
      </c>
      <c r="E752" t="s">
        <v>1874</v>
      </c>
      <c r="G752" t="s">
        <v>1875</v>
      </c>
      <c r="I752" t="s">
        <v>1854</v>
      </c>
      <c r="K752">
        <v>1</v>
      </c>
      <c r="M752">
        <v>1</v>
      </c>
      <c r="N752">
        <v>13.95</v>
      </c>
      <c r="O752">
        <v>40</v>
      </c>
      <c r="P752">
        <v>8.3699999999999992</v>
      </c>
    </row>
    <row r="753" spans="1:16">
      <c r="A753" t="s">
        <v>1876</v>
      </c>
      <c r="B753" t="e">
        <f>-ERA.0061101</f>
        <v>#NAME?</v>
      </c>
      <c r="C753">
        <v>20100629</v>
      </c>
      <c r="D753">
        <v>20101004</v>
      </c>
      <c r="E753" t="s">
        <v>126</v>
      </c>
      <c r="G753" t="s">
        <v>1868</v>
      </c>
      <c r="I753" t="s">
        <v>1854</v>
      </c>
      <c r="K753">
        <v>1</v>
      </c>
      <c r="M753">
        <v>0</v>
      </c>
      <c r="N753">
        <v>23.13</v>
      </c>
      <c r="O753">
        <v>40</v>
      </c>
      <c r="P753">
        <v>13.878</v>
      </c>
    </row>
    <row r="754" spans="1:16">
      <c r="A754" t="s">
        <v>1877</v>
      </c>
      <c r="B754" t="e">
        <f>-ERA.0061102</f>
        <v>#NAME?</v>
      </c>
      <c r="C754">
        <v>20100629</v>
      </c>
      <c r="D754">
        <v>20101004</v>
      </c>
      <c r="E754" t="s">
        <v>1878</v>
      </c>
      <c r="G754" t="s">
        <v>1879</v>
      </c>
      <c r="I754" t="s">
        <v>1854</v>
      </c>
      <c r="K754">
        <v>1</v>
      </c>
      <c r="M754">
        <v>0</v>
      </c>
      <c r="N754">
        <v>17.91</v>
      </c>
      <c r="O754">
        <v>40</v>
      </c>
      <c r="P754">
        <v>10.746</v>
      </c>
    </row>
    <row r="755" spans="1:16">
      <c r="A755" t="s">
        <v>1880</v>
      </c>
      <c r="B755" t="e">
        <f>-ERA.007580</f>
        <v>#NAME?</v>
      </c>
      <c r="C755">
        <v>20100629</v>
      </c>
      <c r="D755">
        <v>20101004</v>
      </c>
      <c r="E755" t="s">
        <v>130</v>
      </c>
      <c r="G755" t="s">
        <v>1881</v>
      </c>
      <c r="I755" t="s">
        <v>1854</v>
      </c>
      <c r="K755">
        <v>1</v>
      </c>
      <c r="M755">
        <v>0</v>
      </c>
      <c r="N755">
        <v>18.510000000000002</v>
      </c>
      <c r="O755">
        <v>40</v>
      </c>
      <c r="P755">
        <v>11.106</v>
      </c>
    </row>
    <row r="756" spans="1:16">
      <c r="A756" t="s">
        <v>1882</v>
      </c>
      <c r="B756" t="e">
        <f>-ERA.01035L</f>
        <v>#NAME?</v>
      </c>
      <c r="C756">
        <v>20100629</v>
      </c>
      <c r="D756">
        <v>20101004</v>
      </c>
      <c r="E756" t="s">
        <v>310</v>
      </c>
      <c r="G756" t="s">
        <v>1883</v>
      </c>
      <c r="I756" t="s">
        <v>1854</v>
      </c>
      <c r="K756">
        <v>1</v>
      </c>
      <c r="M756">
        <v>0</v>
      </c>
      <c r="N756">
        <v>10.210000000000001</v>
      </c>
      <c r="O756">
        <v>40</v>
      </c>
      <c r="P756">
        <v>6.1260000000000003</v>
      </c>
    </row>
    <row r="757" spans="1:16">
      <c r="A757" t="s">
        <v>1884</v>
      </c>
      <c r="B757" t="e">
        <f>-ERA.01535L</f>
        <v>#NAME?</v>
      </c>
      <c r="C757">
        <v>20100629</v>
      </c>
      <c r="D757">
        <v>20101004</v>
      </c>
      <c r="E757" t="s">
        <v>1885</v>
      </c>
      <c r="G757" t="s">
        <v>1886</v>
      </c>
      <c r="I757" t="s">
        <v>1854</v>
      </c>
      <c r="K757">
        <v>1</v>
      </c>
      <c r="M757">
        <v>0</v>
      </c>
      <c r="N757">
        <v>11.02</v>
      </c>
      <c r="O757">
        <v>40</v>
      </c>
      <c r="P757">
        <v>6.6120000000000001</v>
      </c>
    </row>
    <row r="758" spans="1:16">
      <c r="A758" t="s">
        <v>1887</v>
      </c>
      <c r="B758" t="e">
        <f>-ERA.2043</f>
        <v>#NAME?</v>
      </c>
      <c r="C758">
        <v>20100629</v>
      </c>
      <c r="D758">
        <v>20101004</v>
      </c>
      <c r="E758" t="s">
        <v>1794</v>
      </c>
      <c r="G758" t="s">
        <v>1888</v>
      </c>
      <c r="I758" t="s">
        <v>1854</v>
      </c>
      <c r="K758">
        <v>1</v>
      </c>
      <c r="M758">
        <v>0</v>
      </c>
      <c r="N758">
        <v>83.36</v>
      </c>
      <c r="O758">
        <v>40</v>
      </c>
      <c r="P758">
        <v>50.015999999999998</v>
      </c>
    </row>
    <row r="759" spans="1:16">
      <c r="A759" t="s">
        <v>1889</v>
      </c>
      <c r="B759" t="e">
        <f>-CLA.39498</f>
        <v>#NAME?</v>
      </c>
      <c r="C759">
        <v>20100629</v>
      </c>
      <c r="D759">
        <v>20101004</v>
      </c>
      <c r="E759" t="s">
        <v>1890</v>
      </c>
      <c r="G759" t="s">
        <v>1891</v>
      </c>
      <c r="I759" t="s">
        <v>1586</v>
      </c>
      <c r="K759">
        <v>1</v>
      </c>
      <c r="M759">
        <v>0</v>
      </c>
      <c r="N759">
        <v>25</v>
      </c>
      <c r="O759">
        <v>40</v>
      </c>
      <c r="P759">
        <v>15</v>
      </c>
    </row>
    <row r="760" spans="1:16">
      <c r="A760" t="s">
        <v>1892</v>
      </c>
      <c r="B760" t="e">
        <f>-CLA.43273</f>
        <v>#NAME?</v>
      </c>
      <c r="C760">
        <v>20100629</v>
      </c>
      <c r="D760">
        <v>20101004</v>
      </c>
      <c r="E760" t="s">
        <v>1893</v>
      </c>
      <c r="G760" t="s">
        <v>1894</v>
      </c>
      <c r="I760" t="s">
        <v>1586</v>
      </c>
      <c r="K760">
        <v>1</v>
      </c>
      <c r="M760">
        <v>0</v>
      </c>
      <c r="N760">
        <v>69.19</v>
      </c>
      <c r="O760">
        <v>40</v>
      </c>
      <c r="P760">
        <v>41.514000000000003</v>
      </c>
    </row>
    <row r="761" spans="1:16">
      <c r="A761" t="s">
        <v>1895</v>
      </c>
      <c r="B761" t="e">
        <f>-CLA.44306</f>
        <v>#NAME?</v>
      </c>
      <c r="C761">
        <v>20100629</v>
      </c>
      <c r="D761">
        <v>20101004</v>
      </c>
      <c r="E761" t="s">
        <v>1682</v>
      </c>
      <c r="G761" t="s">
        <v>1896</v>
      </c>
      <c r="I761" t="s">
        <v>1586</v>
      </c>
      <c r="K761">
        <v>1</v>
      </c>
      <c r="M761">
        <v>0</v>
      </c>
      <c r="N761">
        <v>338.94</v>
      </c>
      <c r="O761">
        <v>40</v>
      </c>
      <c r="P761">
        <v>203.364</v>
      </c>
    </row>
    <row r="762" spans="1:16">
      <c r="A762" t="s">
        <v>1897</v>
      </c>
      <c r="B762" t="e">
        <f>-CLA.45029</f>
        <v>#NAME?</v>
      </c>
      <c r="C762">
        <v>20100629</v>
      </c>
      <c r="D762">
        <v>20101004</v>
      </c>
      <c r="E762" t="s">
        <v>899</v>
      </c>
      <c r="G762" t="s">
        <v>1898</v>
      </c>
      <c r="I762" t="s">
        <v>1586</v>
      </c>
      <c r="K762">
        <v>1</v>
      </c>
      <c r="M762">
        <v>0</v>
      </c>
      <c r="N762">
        <v>209.63</v>
      </c>
      <c r="O762">
        <v>40</v>
      </c>
      <c r="P762">
        <v>125.77800000000001</v>
      </c>
    </row>
    <row r="763" spans="1:16">
      <c r="A763" t="s">
        <v>1899</v>
      </c>
      <c r="B763" t="e">
        <f>-CLA.45083</f>
        <v>#NAME?</v>
      </c>
      <c r="C763">
        <v>20100629</v>
      </c>
      <c r="D763">
        <v>20101004</v>
      </c>
      <c r="E763" t="s">
        <v>1766</v>
      </c>
      <c r="G763" t="s">
        <v>1900</v>
      </c>
      <c r="I763" t="s">
        <v>1586</v>
      </c>
      <c r="K763">
        <v>1</v>
      </c>
      <c r="M763">
        <v>0</v>
      </c>
      <c r="N763">
        <v>220.35</v>
      </c>
      <c r="O763">
        <v>40</v>
      </c>
      <c r="P763">
        <v>132.21</v>
      </c>
    </row>
    <row r="764" spans="1:16">
      <c r="A764" t="s">
        <v>1901</v>
      </c>
      <c r="B764" t="e">
        <f>-CLA.47524</f>
        <v>#NAME?</v>
      </c>
      <c r="C764">
        <v>20100629</v>
      </c>
      <c r="D764">
        <v>20101004</v>
      </c>
      <c r="E764" t="s">
        <v>1902</v>
      </c>
      <c r="G764" t="s">
        <v>1903</v>
      </c>
      <c r="I764" t="s">
        <v>1586</v>
      </c>
      <c r="K764">
        <v>1</v>
      </c>
      <c r="M764">
        <v>0</v>
      </c>
      <c r="N764">
        <v>11.26</v>
      </c>
      <c r="O764">
        <v>40</v>
      </c>
      <c r="P764">
        <v>6.7560000000000002</v>
      </c>
    </row>
    <row r="765" spans="1:16">
      <c r="A765" t="s">
        <v>1904</v>
      </c>
      <c r="B765" t="e">
        <f>-CLA.47805</f>
        <v>#NAME?</v>
      </c>
      <c r="C765">
        <v>20100629</v>
      </c>
      <c r="D765">
        <v>20101004</v>
      </c>
      <c r="E765" t="s">
        <v>1905</v>
      </c>
      <c r="G765" t="s">
        <v>1906</v>
      </c>
      <c r="I765" t="s">
        <v>1586</v>
      </c>
      <c r="K765">
        <v>1</v>
      </c>
      <c r="M765">
        <v>0</v>
      </c>
      <c r="N765">
        <v>108.36</v>
      </c>
      <c r="O765">
        <v>40</v>
      </c>
      <c r="P765">
        <v>65.016000000000005</v>
      </c>
    </row>
    <row r="766" spans="1:16">
      <c r="A766" t="s">
        <v>1907</v>
      </c>
      <c r="B766" t="e">
        <f>-CLA.51485</f>
        <v>#NAME?</v>
      </c>
      <c r="C766">
        <v>20100629</v>
      </c>
      <c r="D766">
        <v>20101004</v>
      </c>
      <c r="E766" t="s">
        <v>1908</v>
      </c>
      <c r="G766" t="s">
        <v>1909</v>
      </c>
      <c r="I766" t="s">
        <v>1586</v>
      </c>
      <c r="K766">
        <v>1</v>
      </c>
      <c r="M766">
        <v>0</v>
      </c>
      <c r="N766">
        <v>106</v>
      </c>
      <c r="O766">
        <v>40</v>
      </c>
      <c r="P766">
        <v>63.6</v>
      </c>
    </row>
    <row r="767" spans="1:16">
      <c r="A767" t="s">
        <v>1910</v>
      </c>
      <c r="B767" t="e">
        <f>-CLA.51486</f>
        <v>#NAME?</v>
      </c>
      <c r="C767">
        <v>20100629</v>
      </c>
      <c r="D767">
        <v>20101004</v>
      </c>
      <c r="E767" t="s">
        <v>1682</v>
      </c>
      <c r="G767" t="s">
        <v>1911</v>
      </c>
      <c r="I767" t="s">
        <v>1586</v>
      </c>
      <c r="K767">
        <v>1</v>
      </c>
      <c r="M767">
        <v>0</v>
      </c>
      <c r="N767">
        <v>100.02</v>
      </c>
      <c r="O767">
        <v>40</v>
      </c>
      <c r="P767">
        <v>60.012</v>
      </c>
    </row>
    <row r="768" spans="1:16">
      <c r="A768" t="s">
        <v>1912</v>
      </c>
      <c r="B768" t="e">
        <f>-CLA.51692</f>
        <v>#NAME?</v>
      </c>
      <c r="C768">
        <v>20100629</v>
      </c>
      <c r="D768">
        <v>20101004</v>
      </c>
      <c r="E768" t="s">
        <v>1682</v>
      </c>
      <c r="G768" t="s">
        <v>1913</v>
      </c>
      <c r="I768" t="s">
        <v>1586</v>
      </c>
      <c r="K768">
        <v>1</v>
      </c>
      <c r="M768">
        <v>0</v>
      </c>
      <c r="N768">
        <v>83.36</v>
      </c>
      <c r="O768">
        <v>40</v>
      </c>
      <c r="P768">
        <v>50.015999999999998</v>
      </c>
    </row>
    <row r="769" spans="1:16">
      <c r="A769" t="s">
        <v>1914</v>
      </c>
      <c r="B769" t="e">
        <f>-CLA.52094</f>
        <v>#NAME?</v>
      </c>
      <c r="C769">
        <v>20100629</v>
      </c>
      <c r="D769">
        <v>20101004</v>
      </c>
      <c r="E769" t="s">
        <v>1675</v>
      </c>
      <c r="G769" t="s">
        <v>1915</v>
      </c>
      <c r="I769" t="s">
        <v>1586</v>
      </c>
      <c r="K769">
        <v>1</v>
      </c>
      <c r="M769">
        <v>0</v>
      </c>
      <c r="N769">
        <v>62.26</v>
      </c>
      <c r="O769">
        <v>40</v>
      </c>
      <c r="P769">
        <v>37.356000000000002</v>
      </c>
    </row>
    <row r="770" spans="1:16">
      <c r="A770" t="s">
        <v>1916</v>
      </c>
      <c r="B770" t="e">
        <f>-CLA.53660</f>
        <v>#NAME?</v>
      </c>
      <c r="C770">
        <v>20100629</v>
      </c>
      <c r="D770">
        <v>20101004</v>
      </c>
      <c r="E770" t="s">
        <v>1917</v>
      </c>
      <c r="G770" t="s">
        <v>1917</v>
      </c>
      <c r="I770" t="s">
        <v>1586</v>
      </c>
      <c r="K770">
        <v>1</v>
      </c>
      <c r="M770">
        <v>0</v>
      </c>
      <c r="N770">
        <v>86.68</v>
      </c>
      <c r="O770">
        <v>40</v>
      </c>
      <c r="P770">
        <v>52.008000000000003</v>
      </c>
    </row>
    <row r="771" spans="1:16">
      <c r="A771" t="s">
        <v>1918</v>
      </c>
      <c r="B771" t="e">
        <f>-CLA.53662</f>
        <v>#NAME?</v>
      </c>
      <c r="C771">
        <v>20100629</v>
      </c>
      <c r="D771">
        <v>20101004</v>
      </c>
      <c r="E771" t="s">
        <v>1682</v>
      </c>
      <c r="G771" t="s">
        <v>1919</v>
      </c>
      <c r="I771" t="s">
        <v>1586</v>
      </c>
      <c r="K771">
        <v>1</v>
      </c>
      <c r="M771">
        <v>0</v>
      </c>
      <c r="N771">
        <v>91.56</v>
      </c>
      <c r="O771">
        <v>40</v>
      </c>
      <c r="P771">
        <v>54.936</v>
      </c>
    </row>
    <row r="772" spans="1:16">
      <c r="A772" t="s">
        <v>1920</v>
      </c>
      <c r="B772" t="e">
        <f>-CLA.56491</f>
        <v>#NAME?</v>
      </c>
      <c r="C772">
        <v>20100629</v>
      </c>
      <c r="D772">
        <v>20101004</v>
      </c>
      <c r="E772" t="s">
        <v>1921</v>
      </c>
      <c r="G772" t="s">
        <v>1922</v>
      </c>
      <c r="I772" t="s">
        <v>1586</v>
      </c>
      <c r="K772">
        <v>1</v>
      </c>
      <c r="M772">
        <v>0</v>
      </c>
      <c r="N772">
        <v>115.33</v>
      </c>
      <c r="O772">
        <v>40</v>
      </c>
      <c r="P772">
        <v>69.197999999999993</v>
      </c>
    </row>
    <row r="773" spans="1:16">
      <c r="A773" t="s">
        <v>1923</v>
      </c>
      <c r="B773" t="e">
        <f>-CLA.69764</f>
        <v>#NAME?</v>
      </c>
      <c r="C773">
        <v>20100629</v>
      </c>
      <c r="D773">
        <v>20101004</v>
      </c>
      <c r="E773" t="s">
        <v>1924</v>
      </c>
      <c r="G773" t="s">
        <v>1925</v>
      </c>
      <c r="I773" t="s">
        <v>1586</v>
      </c>
      <c r="K773">
        <v>1</v>
      </c>
      <c r="M773">
        <v>0</v>
      </c>
      <c r="N773">
        <v>2.77</v>
      </c>
      <c r="O773">
        <v>40</v>
      </c>
      <c r="P773">
        <v>1.6619999999999999</v>
      </c>
    </row>
    <row r="774" spans="1:16">
      <c r="A774" t="s">
        <v>1926</v>
      </c>
      <c r="B774" t="e">
        <f>-CLA.74891</f>
        <v>#NAME?</v>
      </c>
      <c r="C774">
        <v>20100629</v>
      </c>
      <c r="D774">
        <v>20101004</v>
      </c>
      <c r="E774" t="s">
        <v>112</v>
      </c>
      <c r="G774" t="s">
        <v>1927</v>
      </c>
      <c r="I774" t="s">
        <v>1586</v>
      </c>
      <c r="K774">
        <v>1</v>
      </c>
      <c r="M774">
        <v>0</v>
      </c>
      <c r="N774">
        <v>2.19</v>
      </c>
      <c r="O774">
        <v>40</v>
      </c>
      <c r="P774">
        <v>1.3140000000000001</v>
      </c>
    </row>
    <row r="775" spans="1:16">
      <c r="A775" t="s">
        <v>1928</v>
      </c>
      <c r="B775" t="e">
        <f>-CLA.75686</f>
        <v>#NAME?</v>
      </c>
      <c r="C775">
        <v>20100629</v>
      </c>
      <c r="D775">
        <v>20101004</v>
      </c>
      <c r="E775" t="s">
        <v>112</v>
      </c>
      <c r="G775" t="s">
        <v>1929</v>
      </c>
      <c r="I775" t="s">
        <v>1586</v>
      </c>
      <c r="K775">
        <v>1</v>
      </c>
      <c r="M775">
        <v>0</v>
      </c>
      <c r="N775">
        <v>8.24</v>
      </c>
      <c r="O775">
        <v>40</v>
      </c>
      <c r="P775">
        <v>4.944</v>
      </c>
    </row>
    <row r="776" spans="1:16">
      <c r="A776" t="s">
        <v>1930</v>
      </c>
      <c r="B776" t="e">
        <f>-CLA.76801</f>
        <v>#NAME?</v>
      </c>
      <c r="C776">
        <v>20100629</v>
      </c>
      <c r="D776">
        <v>20101004</v>
      </c>
      <c r="E776" t="s">
        <v>1931</v>
      </c>
      <c r="G776" t="s">
        <v>1932</v>
      </c>
      <c r="I776" t="s">
        <v>1586</v>
      </c>
      <c r="K776">
        <v>1</v>
      </c>
      <c r="M776">
        <v>0</v>
      </c>
      <c r="N776">
        <v>3.47</v>
      </c>
      <c r="O776">
        <v>40</v>
      </c>
      <c r="P776">
        <v>2.0819999999999999</v>
      </c>
    </row>
    <row r="777" spans="1:16">
      <c r="A777" t="s">
        <v>1933</v>
      </c>
      <c r="B777" t="e">
        <f>-CLA.76835</f>
        <v>#NAME?</v>
      </c>
      <c r="C777">
        <v>20100629</v>
      </c>
      <c r="D777">
        <v>20101004</v>
      </c>
      <c r="E777" t="s">
        <v>1931</v>
      </c>
      <c r="G777" t="s">
        <v>1934</v>
      </c>
      <c r="I777" t="s">
        <v>1586</v>
      </c>
      <c r="K777">
        <v>1</v>
      </c>
      <c r="M777">
        <v>0</v>
      </c>
      <c r="N777">
        <v>3.47</v>
      </c>
      <c r="O777">
        <v>40</v>
      </c>
      <c r="P777">
        <v>2.0819999999999999</v>
      </c>
    </row>
    <row r="778" spans="1:16">
      <c r="A778" t="s">
        <v>1935</v>
      </c>
      <c r="B778" t="e">
        <f>-CLA.87209</f>
        <v>#NAME?</v>
      </c>
      <c r="C778">
        <v>20100629</v>
      </c>
      <c r="D778">
        <v>20101004</v>
      </c>
      <c r="E778" t="s">
        <v>1297</v>
      </c>
      <c r="G778" t="s">
        <v>1936</v>
      </c>
      <c r="I778" t="s">
        <v>1586</v>
      </c>
      <c r="K778">
        <v>1</v>
      </c>
      <c r="M778">
        <v>0</v>
      </c>
      <c r="N778">
        <v>63.9</v>
      </c>
      <c r="O778">
        <v>40</v>
      </c>
      <c r="P778">
        <v>38.340000000000003</v>
      </c>
    </row>
    <row r="779" spans="1:16">
      <c r="A779" t="s">
        <v>1937</v>
      </c>
      <c r="B779" t="e">
        <f>-CLI.20M1/41/2</f>
        <v>#NAME?</v>
      </c>
      <c r="C779">
        <v>20100629</v>
      </c>
      <c r="D779">
        <v>20101004</v>
      </c>
      <c r="E779" t="s">
        <v>1813</v>
      </c>
      <c r="G779" t="s">
        <v>1938</v>
      </c>
      <c r="I779" t="s">
        <v>1939</v>
      </c>
      <c r="K779">
        <v>1</v>
      </c>
      <c r="M779">
        <v>0</v>
      </c>
      <c r="N779">
        <v>316.93</v>
      </c>
      <c r="O779">
        <v>40</v>
      </c>
      <c r="P779">
        <v>190.15799999999999</v>
      </c>
    </row>
    <row r="780" spans="1:16">
      <c r="A780" t="s">
        <v>1940</v>
      </c>
      <c r="B780" t="e">
        <f>-CLI.913093</f>
        <v>#NAME?</v>
      </c>
      <c r="C780">
        <v>20100629</v>
      </c>
      <c r="D780">
        <v>20101004</v>
      </c>
      <c r="E780" t="s">
        <v>1813</v>
      </c>
      <c r="G780" t="s">
        <v>1941</v>
      </c>
      <c r="I780" t="s">
        <v>1939</v>
      </c>
      <c r="K780">
        <v>1</v>
      </c>
      <c r="M780">
        <v>0</v>
      </c>
      <c r="N780">
        <v>181.35</v>
      </c>
      <c r="O780">
        <v>40</v>
      </c>
      <c r="P780">
        <v>108.81</v>
      </c>
    </row>
    <row r="781" spans="1:16">
      <c r="A781" t="s">
        <v>1942</v>
      </c>
      <c r="B781" t="e">
        <f>-CLI.ADB2X245</f>
        <v>#NAME?</v>
      </c>
      <c r="C781">
        <v>20100629</v>
      </c>
      <c r="D781">
        <v>20101004</v>
      </c>
      <c r="E781" t="s">
        <v>1804</v>
      </c>
      <c r="G781" t="s">
        <v>1943</v>
      </c>
      <c r="I781" t="s">
        <v>1939</v>
      </c>
      <c r="K781">
        <v>1</v>
      </c>
      <c r="M781">
        <v>0</v>
      </c>
      <c r="N781">
        <v>3892.27</v>
      </c>
      <c r="O781">
        <v>40</v>
      </c>
      <c r="P781">
        <v>2335.3620000000001</v>
      </c>
    </row>
    <row r="782" spans="1:16">
      <c r="A782" t="s">
        <v>1944</v>
      </c>
      <c r="B782" t="e">
        <f>-CLI.CLIM</f>
        <v>#NAME?</v>
      </c>
      <c r="C782">
        <v>20100629</v>
      </c>
      <c r="D782">
        <v>20101004</v>
      </c>
      <c r="E782" t="s">
        <v>1945</v>
      </c>
      <c r="G782" t="s">
        <v>1946</v>
      </c>
      <c r="I782" t="s">
        <v>1939</v>
      </c>
      <c r="K782">
        <v>1</v>
      </c>
      <c r="M782">
        <v>0</v>
      </c>
      <c r="N782">
        <v>1204.17</v>
      </c>
      <c r="O782">
        <v>40</v>
      </c>
      <c r="P782">
        <v>722.50199999999995</v>
      </c>
    </row>
    <row r="783" spans="1:16">
      <c r="A783" t="s">
        <v>1947</v>
      </c>
      <c r="B783" t="e">
        <f>-CLI.CS3200M</f>
        <v>#NAME?</v>
      </c>
      <c r="C783">
        <v>20100629</v>
      </c>
      <c r="D783">
        <v>20101004</v>
      </c>
      <c r="E783" t="s">
        <v>1804</v>
      </c>
      <c r="G783" t="s">
        <v>1948</v>
      </c>
      <c r="I783" t="s">
        <v>1939</v>
      </c>
      <c r="K783">
        <v>1</v>
      </c>
      <c r="M783">
        <v>0</v>
      </c>
      <c r="N783">
        <v>2093.94</v>
      </c>
      <c r="O783">
        <v>40</v>
      </c>
      <c r="P783">
        <v>1256.364</v>
      </c>
    </row>
    <row r="784" spans="1:16">
      <c r="A784" t="s">
        <v>1949</v>
      </c>
      <c r="B784" t="e">
        <f>-CLI.DIAM23CM</f>
        <v>#NAME?</v>
      </c>
      <c r="C784">
        <v>20100629</v>
      </c>
      <c r="D784">
        <v>20101004</v>
      </c>
      <c r="E784" t="s">
        <v>1139</v>
      </c>
      <c r="G784" t="s">
        <v>1950</v>
      </c>
      <c r="I784" t="s">
        <v>1939</v>
      </c>
      <c r="K784">
        <v>1</v>
      </c>
      <c r="M784">
        <v>0</v>
      </c>
      <c r="N784">
        <v>34.409999999999997</v>
      </c>
      <c r="O784">
        <v>40</v>
      </c>
      <c r="P784">
        <v>20.646000000000001</v>
      </c>
    </row>
    <row r="785" spans="1:16">
      <c r="A785" t="s">
        <v>1951</v>
      </c>
      <c r="B785" t="e">
        <f>-CLI.DIAM40CM</f>
        <v>#NAME?</v>
      </c>
      <c r="C785">
        <v>20100629</v>
      </c>
      <c r="D785">
        <v>20101004</v>
      </c>
      <c r="E785" t="s">
        <v>1139</v>
      </c>
      <c r="G785" t="s">
        <v>1952</v>
      </c>
      <c r="I785" t="s">
        <v>1939</v>
      </c>
      <c r="K785">
        <v>1</v>
      </c>
      <c r="M785">
        <v>0</v>
      </c>
      <c r="N785">
        <v>77.069999999999993</v>
      </c>
      <c r="O785">
        <v>40</v>
      </c>
      <c r="P785">
        <v>46.241999999999997</v>
      </c>
    </row>
    <row r="786" spans="1:16">
      <c r="A786" t="s">
        <v>1953</v>
      </c>
      <c r="B786" t="e">
        <f>-CLI.HR3218</f>
        <v>#NAME?</v>
      </c>
      <c r="C786">
        <v>20100629</v>
      </c>
      <c r="D786">
        <v>20101004</v>
      </c>
      <c r="E786" t="s">
        <v>1139</v>
      </c>
      <c r="G786" t="s">
        <v>1954</v>
      </c>
      <c r="I786" t="s">
        <v>1939</v>
      </c>
      <c r="K786">
        <v>1</v>
      </c>
      <c r="M786">
        <v>0</v>
      </c>
      <c r="N786">
        <v>40.299999999999997</v>
      </c>
      <c r="O786">
        <v>40</v>
      </c>
      <c r="P786">
        <v>24.18</v>
      </c>
    </row>
    <row r="787" spans="1:16">
      <c r="A787" t="s">
        <v>1955</v>
      </c>
      <c r="B787" t="e">
        <f>-CLI.HR3287</f>
        <v>#NAME?</v>
      </c>
      <c r="C787">
        <v>20100629</v>
      </c>
      <c r="D787">
        <v>20101004</v>
      </c>
      <c r="E787" t="s">
        <v>1956</v>
      </c>
      <c r="G787" t="s">
        <v>1957</v>
      </c>
      <c r="I787" t="s">
        <v>1939</v>
      </c>
      <c r="K787">
        <v>1</v>
      </c>
      <c r="M787">
        <v>0</v>
      </c>
      <c r="N787">
        <v>62.94</v>
      </c>
      <c r="O787">
        <v>40</v>
      </c>
      <c r="P787">
        <v>37.764000000000003</v>
      </c>
    </row>
    <row r="788" spans="1:16">
      <c r="A788" t="s">
        <v>1958</v>
      </c>
      <c r="B788" t="e">
        <f>-CLI.HR3610</f>
        <v>#NAME?</v>
      </c>
      <c r="C788">
        <v>20100629</v>
      </c>
      <c r="D788">
        <v>20101004</v>
      </c>
      <c r="E788" t="s">
        <v>1139</v>
      </c>
      <c r="G788" t="s">
        <v>1959</v>
      </c>
      <c r="I788" t="s">
        <v>1939</v>
      </c>
      <c r="K788">
        <v>1</v>
      </c>
      <c r="M788">
        <v>0</v>
      </c>
      <c r="N788">
        <v>59.17</v>
      </c>
      <c r="O788">
        <v>40</v>
      </c>
      <c r="P788">
        <v>35.502000000000002</v>
      </c>
    </row>
    <row r="789" spans="1:16">
      <c r="A789" t="s">
        <v>1960</v>
      </c>
      <c r="B789" t="e">
        <f>-CLI.LIAISON9M</f>
        <v>#NAME?</v>
      </c>
      <c r="C789">
        <v>20100629</v>
      </c>
      <c r="D789">
        <v>20101004</v>
      </c>
      <c r="E789" t="s">
        <v>1813</v>
      </c>
      <c r="G789" t="s">
        <v>1961</v>
      </c>
      <c r="I789" t="s">
        <v>1939</v>
      </c>
      <c r="K789">
        <v>1</v>
      </c>
      <c r="M789">
        <v>0</v>
      </c>
      <c r="N789">
        <v>430.7</v>
      </c>
      <c r="O789">
        <v>40</v>
      </c>
      <c r="P789">
        <v>258.42</v>
      </c>
    </row>
    <row r="790" spans="1:16">
      <c r="A790" t="s">
        <v>1962</v>
      </c>
      <c r="B790" t="e">
        <f>-CLI.SUPRA2700</f>
        <v>#NAME?</v>
      </c>
      <c r="C790">
        <v>20100629</v>
      </c>
      <c r="D790">
        <v>20101004</v>
      </c>
      <c r="E790" t="s">
        <v>1804</v>
      </c>
      <c r="G790" t="s">
        <v>1963</v>
      </c>
      <c r="I790" t="s">
        <v>1939</v>
      </c>
      <c r="K790">
        <v>1</v>
      </c>
      <c r="M790">
        <v>0</v>
      </c>
      <c r="N790">
        <v>1097.54</v>
      </c>
      <c r="O790">
        <v>40</v>
      </c>
      <c r="P790">
        <v>658.524</v>
      </c>
    </row>
    <row r="791" spans="1:16">
      <c r="A791" t="s">
        <v>1964</v>
      </c>
      <c r="B791" t="e">
        <f>-CLI.V308</f>
        <v>#NAME?</v>
      </c>
      <c r="C791">
        <v>20100629</v>
      </c>
      <c r="D791">
        <v>20101004</v>
      </c>
      <c r="E791" t="s">
        <v>1139</v>
      </c>
      <c r="G791" t="s">
        <v>1965</v>
      </c>
      <c r="I791" t="s">
        <v>1939</v>
      </c>
      <c r="K791">
        <v>1</v>
      </c>
      <c r="M791">
        <v>0</v>
      </c>
      <c r="N791">
        <v>47.99</v>
      </c>
      <c r="O791">
        <v>40</v>
      </c>
      <c r="P791">
        <v>28.794</v>
      </c>
    </row>
    <row r="792" spans="1:16">
      <c r="A792" t="s">
        <v>1966</v>
      </c>
      <c r="B792" t="e">
        <f>-CMT.8201KI5W</f>
        <v>#NAME?</v>
      </c>
      <c r="C792">
        <v>20100629</v>
      </c>
      <c r="D792">
        <v>20101004</v>
      </c>
      <c r="E792" t="s">
        <v>1967</v>
      </c>
      <c r="G792" t="s">
        <v>1968</v>
      </c>
      <c r="I792" t="s">
        <v>1969</v>
      </c>
      <c r="K792">
        <v>1</v>
      </c>
      <c r="M792">
        <v>0</v>
      </c>
      <c r="N792">
        <v>129.66999999999999</v>
      </c>
      <c r="O792">
        <v>40</v>
      </c>
      <c r="P792">
        <v>77.802000000000007</v>
      </c>
    </row>
    <row r="793" spans="1:16">
      <c r="A793" t="s">
        <v>1970</v>
      </c>
      <c r="B793" t="e">
        <f>-CMT.8201KP2W</f>
        <v>#NAME?</v>
      </c>
      <c r="C793">
        <v>20100629</v>
      </c>
      <c r="D793">
        <v>20101004</v>
      </c>
      <c r="E793" t="s">
        <v>1967</v>
      </c>
      <c r="G793" t="s">
        <v>1971</v>
      </c>
      <c r="I793" t="s">
        <v>1969</v>
      </c>
      <c r="K793">
        <v>1</v>
      </c>
      <c r="M793">
        <v>0</v>
      </c>
      <c r="N793">
        <v>174.42</v>
      </c>
      <c r="O793">
        <v>40</v>
      </c>
      <c r="P793">
        <v>104.652</v>
      </c>
    </row>
    <row r="794" spans="1:16">
      <c r="A794" t="s">
        <v>1972</v>
      </c>
      <c r="B794" t="e">
        <f>-COD.15116</f>
        <v>#NAME?</v>
      </c>
      <c r="C794">
        <v>20100629</v>
      </c>
      <c r="D794">
        <v>20101015</v>
      </c>
      <c r="E794" t="s">
        <v>804</v>
      </c>
      <c r="G794" t="s">
        <v>1973</v>
      </c>
      <c r="I794" t="s">
        <v>1974</v>
      </c>
      <c r="K794">
        <v>1</v>
      </c>
      <c r="M794">
        <v>0</v>
      </c>
      <c r="N794">
        <v>7.74</v>
      </c>
      <c r="O794">
        <v>40</v>
      </c>
      <c r="P794">
        <v>4.6440000000000001</v>
      </c>
    </row>
    <row r="795" spans="1:16">
      <c r="A795" t="s">
        <v>1975</v>
      </c>
      <c r="B795" t="e">
        <f>-COD.15PMB22</f>
        <v>#NAME?</v>
      </c>
      <c r="C795">
        <v>20100629</v>
      </c>
      <c r="D795">
        <v>20101015</v>
      </c>
      <c r="E795" t="s">
        <v>1976</v>
      </c>
      <c r="G795" t="s">
        <v>1977</v>
      </c>
      <c r="I795" t="s">
        <v>1974</v>
      </c>
      <c r="K795">
        <v>1</v>
      </c>
      <c r="M795">
        <v>0</v>
      </c>
      <c r="N795">
        <v>18.36</v>
      </c>
      <c r="O795">
        <v>40</v>
      </c>
      <c r="P795">
        <v>11.016</v>
      </c>
    </row>
    <row r="796" spans="1:16">
      <c r="A796" t="s">
        <v>1978</v>
      </c>
      <c r="B796" t="e">
        <f>-COD.16257</f>
        <v>#NAME?</v>
      </c>
      <c r="C796">
        <v>20100629</v>
      </c>
      <c r="D796">
        <v>20101015</v>
      </c>
      <c r="E796" t="s">
        <v>1979</v>
      </c>
      <c r="G796" t="s">
        <v>1979</v>
      </c>
      <c r="I796" t="s">
        <v>1974</v>
      </c>
      <c r="K796">
        <v>1</v>
      </c>
      <c r="M796">
        <v>0</v>
      </c>
      <c r="N796">
        <v>43.74</v>
      </c>
      <c r="O796">
        <v>40</v>
      </c>
      <c r="P796">
        <v>26.244</v>
      </c>
    </row>
    <row r="797" spans="1:16">
      <c r="A797" t="s">
        <v>1980</v>
      </c>
      <c r="B797" t="e">
        <f>-COD.21071</f>
        <v>#NAME?</v>
      </c>
      <c r="C797">
        <v>20100629</v>
      </c>
      <c r="D797">
        <v>20101015</v>
      </c>
      <c r="E797" t="s">
        <v>1981</v>
      </c>
      <c r="G797" t="s">
        <v>1982</v>
      </c>
      <c r="I797" t="s">
        <v>1974</v>
      </c>
      <c r="K797">
        <v>1</v>
      </c>
      <c r="M797">
        <v>0</v>
      </c>
      <c r="N797">
        <v>25.72</v>
      </c>
      <c r="O797">
        <v>40</v>
      </c>
      <c r="P797">
        <v>15.432</v>
      </c>
    </row>
    <row r="798" spans="1:16">
      <c r="A798" t="s">
        <v>1983</v>
      </c>
      <c r="B798" t="e">
        <f>-COD.22204</f>
        <v>#NAME?</v>
      </c>
      <c r="C798">
        <v>20100629</v>
      </c>
      <c r="D798">
        <v>20101015</v>
      </c>
      <c r="E798" t="s">
        <v>899</v>
      </c>
      <c r="G798" t="s">
        <v>1984</v>
      </c>
      <c r="I798" t="s">
        <v>1974</v>
      </c>
      <c r="K798">
        <v>1</v>
      </c>
      <c r="M798">
        <v>0</v>
      </c>
      <c r="N798">
        <v>292.64999999999998</v>
      </c>
      <c r="O798">
        <v>40</v>
      </c>
      <c r="P798">
        <v>175.59</v>
      </c>
    </row>
    <row r="799" spans="1:16">
      <c r="A799" t="s">
        <v>1985</v>
      </c>
      <c r="B799" t="e">
        <f>-COD.33250A</f>
        <v>#NAME?</v>
      </c>
      <c r="C799">
        <v>20100629</v>
      </c>
      <c r="D799">
        <v>20101015</v>
      </c>
      <c r="E799" t="s">
        <v>1986</v>
      </c>
      <c r="G799" t="s">
        <v>1987</v>
      </c>
      <c r="I799" t="s">
        <v>1974</v>
      </c>
      <c r="K799">
        <v>1</v>
      </c>
      <c r="M799">
        <v>0</v>
      </c>
      <c r="N799">
        <v>39.869999999999997</v>
      </c>
      <c r="O799">
        <v>40</v>
      </c>
      <c r="P799">
        <v>23.922000000000001</v>
      </c>
    </row>
    <row r="800" spans="1:16">
      <c r="A800" t="s">
        <v>1988</v>
      </c>
      <c r="B800" t="e">
        <f>-COD.60WBOXER</f>
        <v>#NAME?</v>
      </c>
      <c r="C800">
        <v>20100629</v>
      </c>
      <c r="D800">
        <v>20101015</v>
      </c>
      <c r="E800" t="s">
        <v>39</v>
      </c>
      <c r="G800" t="s">
        <v>1989</v>
      </c>
      <c r="I800" t="s">
        <v>1974</v>
      </c>
      <c r="K800">
        <v>1</v>
      </c>
      <c r="M800">
        <v>0</v>
      </c>
      <c r="N800">
        <v>38.58</v>
      </c>
      <c r="O800">
        <v>40</v>
      </c>
      <c r="P800">
        <v>23.148</v>
      </c>
    </row>
    <row r="801" spans="1:16">
      <c r="A801" t="s">
        <v>1990</v>
      </c>
      <c r="B801" t="e">
        <f>-COD.80500</f>
        <v>#NAME?</v>
      </c>
      <c r="C801">
        <v>20100629</v>
      </c>
      <c r="D801">
        <v>20101015</v>
      </c>
      <c r="E801" t="s">
        <v>1991</v>
      </c>
      <c r="G801" t="s">
        <v>1992</v>
      </c>
      <c r="I801" t="s">
        <v>1974</v>
      </c>
      <c r="K801">
        <v>1</v>
      </c>
      <c r="M801">
        <v>0</v>
      </c>
      <c r="N801">
        <v>6.68</v>
      </c>
      <c r="O801">
        <v>40</v>
      </c>
      <c r="P801">
        <v>4.008</v>
      </c>
    </row>
    <row r="802" spans="1:16">
      <c r="A802" t="s">
        <v>1993</v>
      </c>
      <c r="B802" t="e">
        <f>-COD.9115165</f>
        <v>#NAME?</v>
      </c>
      <c r="C802">
        <v>20100629</v>
      </c>
      <c r="D802">
        <v>20101015</v>
      </c>
      <c r="E802" t="s">
        <v>112</v>
      </c>
      <c r="G802" t="s">
        <v>1994</v>
      </c>
      <c r="I802" t="s">
        <v>1974</v>
      </c>
      <c r="K802">
        <v>1</v>
      </c>
      <c r="M802">
        <v>0</v>
      </c>
      <c r="N802">
        <v>1.28</v>
      </c>
      <c r="O802">
        <v>40</v>
      </c>
      <c r="P802">
        <v>0.76800000000000002</v>
      </c>
    </row>
    <row r="803" spans="1:16">
      <c r="A803" t="s">
        <v>1995</v>
      </c>
      <c r="B803" t="e">
        <f>-COD.9130453</f>
        <v>#NAME?</v>
      </c>
      <c r="C803">
        <v>20100629</v>
      </c>
      <c r="D803">
        <v>20101015</v>
      </c>
      <c r="E803" t="s">
        <v>1996</v>
      </c>
      <c r="G803" t="s">
        <v>1997</v>
      </c>
      <c r="I803" t="s">
        <v>1974</v>
      </c>
      <c r="K803">
        <v>1</v>
      </c>
      <c r="M803">
        <v>0</v>
      </c>
      <c r="N803">
        <v>58.16</v>
      </c>
      <c r="O803">
        <v>40</v>
      </c>
      <c r="P803">
        <v>34.896000000000001</v>
      </c>
    </row>
    <row r="804" spans="1:16">
      <c r="A804" t="s">
        <v>1998</v>
      </c>
      <c r="B804" t="e">
        <f>-COD.9130984</f>
        <v>#NAME?</v>
      </c>
      <c r="C804">
        <v>20100629</v>
      </c>
      <c r="D804">
        <v>20101015</v>
      </c>
      <c r="E804" t="s">
        <v>1999</v>
      </c>
      <c r="G804" t="s">
        <v>2000</v>
      </c>
      <c r="I804" t="s">
        <v>1974</v>
      </c>
      <c r="K804">
        <v>1</v>
      </c>
      <c r="M804">
        <v>0</v>
      </c>
      <c r="N804">
        <v>12.62</v>
      </c>
      <c r="O804">
        <v>40</v>
      </c>
      <c r="P804">
        <v>7.5720000000000001</v>
      </c>
    </row>
    <row r="805" spans="1:16">
      <c r="A805" t="s">
        <v>2001</v>
      </c>
      <c r="B805" t="e">
        <f>-COD.DOUILL250</f>
        <v>#NAME?</v>
      </c>
      <c r="C805">
        <v>20100629</v>
      </c>
      <c r="D805">
        <v>20101015</v>
      </c>
      <c r="E805" t="s">
        <v>672</v>
      </c>
      <c r="G805" t="s">
        <v>2002</v>
      </c>
      <c r="I805" t="s">
        <v>1974</v>
      </c>
      <c r="K805">
        <v>1</v>
      </c>
      <c r="M805">
        <v>0</v>
      </c>
      <c r="N805">
        <v>41.69</v>
      </c>
      <c r="O805">
        <v>40</v>
      </c>
      <c r="P805">
        <v>25.013999999999999</v>
      </c>
    </row>
    <row r="806" spans="1:16">
      <c r="A806" t="s">
        <v>2003</v>
      </c>
      <c r="B806" t="e">
        <f>-COD.G15T8</f>
        <v>#NAME?</v>
      </c>
      <c r="C806">
        <v>20100629</v>
      </c>
      <c r="D806">
        <v>20101015</v>
      </c>
      <c r="E806" t="s">
        <v>1597</v>
      </c>
      <c r="G806" t="s">
        <v>2004</v>
      </c>
      <c r="I806" t="s">
        <v>1974</v>
      </c>
      <c r="K806">
        <v>1</v>
      </c>
      <c r="M806">
        <v>0</v>
      </c>
      <c r="N806">
        <v>37.06</v>
      </c>
      <c r="O806">
        <v>40</v>
      </c>
      <c r="P806">
        <v>22.236000000000001</v>
      </c>
    </row>
    <row r="807" spans="1:16">
      <c r="A807" t="s">
        <v>2005</v>
      </c>
      <c r="B807" t="e">
        <f>-COD.LAMPECHEL</f>
        <v>#NAME?</v>
      </c>
      <c r="C807">
        <v>20100629</v>
      </c>
      <c r="D807">
        <v>20101015</v>
      </c>
      <c r="E807" t="s">
        <v>2006</v>
      </c>
      <c r="G807" t="s">
        <v>2007</v>
      </c>
      <c r="I807" t="s">
        <v>1974</v>
      </c>
      <c r="K807">
        <v>1</v>
      </c>
      <c r="M807">
        <v>0</v>
      </c>
      <c r="N807">
        <v>11.21</v>
      </c>
      <c r="O807">
        <v>40</v>
      </c>
      <c r="P807">
        <v>6.726</v>
      </c>
    </row>
    <row r="808" spans="1:16">
      <c r="A808" t="s">
        <v>2008</v>
      </c>
      <c r="B808" t="e">
        <f>-COD.SECTRA</f>
        <v>#NAME?</v>
      </c>
      <c r="C808">
        <v>20100629</v>
      </c>
      <c r="D808">
        <v>20101015</v>
      </c>
      <c r="E808" t="s">
        <v>2009</v>
      </c>
      <c r="G808" t="s">
        <v>2010</v>
      </c>
      <c r="I808" t="s">
        <v>1974</v>
      </c>
      <c r="K808">
        <v>1</v>
      </c>
      <c r="M808">
        <v>0</v>
      </c>
      <c r="N808">
        <v>290.7</v>
      </c>
      <c r="O808">
        <v>40</v>
      </c>
      <c r="P808">
        <v>174.42</v>
      </c>
    </row>
    <row r="809" spans="1:16">
      <c r="A809" t="s">
        <v>2011</v>
      </c>
      <c r="B809" t="e">
        <f>-COF.2142</f>
        <v>#NAME?</v>
      </c>
      <c r="C809">
        <v>20100629</v>
      </c>
      <c r="D809">
        <v>20101004</v>
      </c>
      <c r="E809" t="s">
        <v>2012</v>
      </c>
      <c r="G809" t="s">
        <v>2013</v>
      </c>
      <c r="I809" t="s">
        <v>2014</v>
      </c>
      <c r="K809">
        <v>1</v>
      </c>
      <c r="M809">
        <v>0</v>
      </c>
      <c r="N809">
        <v>52.74</v>
      </c>
      <c r="O809">
        <v>40</v>
      </c>
      <c r="P809">
        <v>31.643999999999998</v>
      </c>
    </row>
    <row r="810" spans="1:16">
      <c r="A810" t="s">
        <v>2015</v>
      </c>
      <c r="B810" t="e">
        <f>-COF.313311</f>
        <v>#NAME?</v>
      </c>
      <c r="C810">
        <v>20100629</v>
      </c>
      <c r="D810">
        <v>20101004</v>
      </c>
      <c r="E810" t="s">
        <v>2016</v>
      </c>
      <c r="G810" t="s">
        <v>2017</v>
      </c>
      <c r="I810" t="s">
        <v>2014</v>
      </c>
      <c r="K810">
        <v>1</v>
      </c>
      <c r="M810">
        <v>0</v>
      </c>
      <c r="N810">
        <v>400.6</v>
      </c>
      <c r="O810">
        <v>40</v>
      </c>
      <c r="P810">
        <v>240.36</v>
      </c>
    </row>
    <row r="811" spans="1:16">
      <c r="A811" t="s">
        <v>2018</v>
      </c>
      <c r="B811" t="e">
        <f>-COF.3884CK2</f>
        <v>#NAME?</v>
      </c>
      <c r="C811">
        <v>20100629</v>
      </c>
      <c r="D811">
        <v>20101004</v>
      </c>
      <c r="E811" t="s">
        <v>1967</v>
      </c>
      <c r="G811" t="s">
        <v>2019</v>
      </c>
      <c r="I811" t="s">
        <v>2014</v>
      </c>
      <c r="K811">
        <v>1</v>
      </c>
      <c r="M811">
        <v>0</v>
      </c>
      <c r="N811">
        <v>194.68</v>
      </c>
      <c r="O811">
        <v>40</v>
      </c>
      <c r="P811">
        <v>116.80800000000001</v>
      </c>
    </row>
    <row r="812" spans="1:16">
      <c r="A812" t="s">
        <v>2020</v>
      </c>
      <c r="B812" t="e">
        <f>-COF.KITCK2</f>
        <v>#NAME?</v>
      </c>
      <c r="C812">
        <v>20100629</v>
      </c>
      <c r="D812">
        <v>20101004</v>
      </c>
      <c r="E812" t="s">
        <v>1967</v>
      </c>
      <c r="G812" t="s">
        <v>2021</v>
      </c>
      <c r="I812" t="s">
        <v>2014</v>
      </c>
      <c r="K812">
        <v>1</v>
      </c>
      <c r="M812">
        <v>0</v>
      </c>
      <c r="N812">
        <v>203.74</v>
      </c>
      <c r="O812">
        <v>40</v>
      </c>
      <c r="P812">
        <v>122.244</v>
      </c>
    </row>
    <row r="813" spans="1:16">
      <c r="A813" t="s">
        <v>2022</v>
      </c>
      <c r="B813" t="e">
        <f>-COF.KV2F</f>
        <v>#NAME?</v>
      </c>
      <c r="C813">
        <v>20100629</v>
      </c>
      <c r="D813">
        <v>20101004</v>
      </c>
      <c r="E813" t="s">
        <v>1967</v>
      </c>
      <c r="G813" t="s">
        <v>2023</v>
      </c>
      <c r="I813" t="s">
        <v>2014</v>
      </c>
      <c r="K813">
        <v>1</v>
      </c>
      <c r="M813">
        <v>0</v>
      </c>
      <c r="N813">
        <v>221.86</v>
      </c>
      <c r="O813">
        <v>40</v>
      </c>
      <c r="P813">
        <v>133.11600000000001</v>
      </c>
    </row>
    <row r="814" spans="1:16">
      <c r="A814" t="s">
        <v>2024</v>
      </c>
      <c r="B814" t="e">
        <f>-COF.PT48CC</f>
        <v>#NAME?</v>
      </c>
      <c r="C814">
        <v>20100629</v>
      </c>
      <c r="D814">
        <v>20101004</v>
      </c>
      <c r="E814" t="s">
        <v>2025</v>
      </c>
      <c r="G814" t="s">
        <v>2026</v>
      </c>
      <c r="I814" t="s">
        <v>2014</v>
      </c>
      <c r="K814">
        <v>1</v>
      </c>
      <c r="M814">
        <v>0</v>
      </c>
      <c r="N814">
        <v>85.66</v>
      </c>
      <c r="O814">
        <v>40</v>
      </c>
      <c r="P814">
        <v>51.396000000000001</v>
      </c>
    </row>
    <row r="815" spans="1:16">
      <c r="A815" t="s">
        <v>2027</v>
      </c>
      <c r="B815" t="e">
        <f>-DAA.TXSA2</f>
        <v>#NAME?</v>
      </c>
      <c r="C815">
        <v>20100629</v>
      </c>
      <c r="D815">
        <v>20101004</v>
      </c>
      <c r="E815" t="s">
        <v>185</v>
      </c>
      <c r="G815" t="s">
        <v>2028</v>
      </c>
      <c r="I815" t="s">
        <v>2029</v>
      </c>
      <c r="K815">
        <v>1</v>
      </c>
      <c r="M815">
        <v>0</v>
      </c>
      <c r="N815">
        <v>73.28</v>
      </c>
      <c r="O815">
        <v>40</v>
      </c>
      <c r="P815">
        <v>43.968000000000004</v>
      </c>
    </row>
    <row r="816" spans="1:16">
      <c r="A816" t="s">
        <v>2030</v>
      </c>
      <c r="B816" t="e">
        <f>-DIF.703421</f>
        <v>#NAME?</v>
      </c>
      <c r="C816">
        <v>20100629</v>
      </c>
      <c r="D816">
        <v>20101004</v>
      </c>
      <c r="E816" t="s">
        <v>1348</v>
      </c>
      <c r="G816" t="s">
        <v>2031</v>
      </c>
      <c r="I816" t="s">
        <v>2032</v>
      </c>
      <c r="K816">
        <v>1</v>
      </c>
      <c r="M816">
        <v>0</v>
      </c>
      <c r="N816">
        <v>46.91</v>
      </c>
      <c r="O816">
        <v>40</v>
      </c>
      <c r="P816">
        <v>28.146000000000001</v>
      </c>
    </row>
    <row r="817" spans="1:16">
      <c r="A817" t="s">
        <v>2033</v>
      </c>
      <c r="B817" t="e">
        <f>-DIF.703510</f>
        <v>#NAME?</v>
      </c>
      <c r="C817">
        <v>20100629</v>
      </c>
      <c r="D817">
        <v>20101004</v>
      </c>
      <c r="E817" t="s">
        <v>2034</v>
      </c>
      <c r="G817" t="s">
        <v>2035</v>
      </c>
      <c r="I817" t="s">
        <v>2032</v>
      </c>
      <c r="K817">
        <v>1</v>
      </c>
      <c r="M817">
        <v>0</v>
      </c>
      <c r="N817">
        <v>70.650000000000006</v>
      </c>
      <c r="O817">
        <v>40</v>
      </c>
      <c r="P817">
        <v>42.39</v>
      </c>
    </row>
    <row r="818" spans="1:16">
      <c r="A818" t="s">
        <v>2036</v>
      </c>
      <c r="B818" t="e">
        <f>-DIF.703515</f>
        <v>#NAME?</v>
      </c>
      <c r="C818">
        <v>20100629</v>
      </c>
      <c r="D818">
        <v>20101004</v>
      </c>
      <c r="E818" t="s">
        <v>1348</v>
      </c>
      <c r="G818" t="s">
        <v>2037</v>
      </c>
      <c r="I818" t="s">
        <v>2032</v>
      </c>
      <c r="K818">
        <v>1</v>
      </c>
      <c r="M818">
        <v>0</v>
      </c>
      <c r="N818">
        <v>83.97</v>
      </c>
      <c r="O818">
        <v>40</v>
      </c>
      <c r="P818">
        <v>50.381999999999998</v>
      </c>
    </row>
    <row r="819" spans="1:16">
      <c r="A819" t="s">
        <v>2038</v>
      </c>
      <c r="B819" t="e">
        <f>-DIF.703527</f>
        <v>#NAME?</v>
      </c>
      <c r="C819">
        <v>20100629</v>
      </c>
      <c r="D819">
        <v>20101004</v>
      </c>
      <c r="E819" t="s">
        <v>1348</v>
      </c>
      <c r="G819" t="s">
        <v>2039</v>
      </c>
      <c r="I819" t="s">
        <v>2032</v>
      </c>
      <c r="K819">
        <v>1</v>
      </c>
      <c r="M819">
        <v>0</v>
      </c>
      <c r="N819">
        <v>59.64</v>
      </c>
      <c r="O819">
        <v>40</v>
      </c>
      <c r="P819">
        <v>35.783999999999999</v>
      </c>
    </row>
    <row r="820" spans="1:16">
      <c r="A820" t="s">
        <v>2040</v>
      </c>
      <c r="B820" t="e">
        <f>-DIF.703540</f>
        <v>#NAME?</v>
      </c>
      <c r="C820">
        <v>20100629</v>
      </c>
      <c r="D820">
        <v>20101004</v>
      </c>
      <c r="E820" t="s">
        <v>1348</v>
      </c>
      <c r="G820" t="s">
        <v>2041</v>
      </c>
      <c r="I820" t="s">
        <v>2032</v>
      </c>
      <c r="K820">
        <v>1</v>
      </c>
      <c r="M820">
        <v>0</v>
      </c>
      <c r="N820">
        <v>133.56</v>
      </c>
      <c r="O820">
        <v>40</v>
      </c>
      <c r="P820">
        <v>80.135999999999996</v>
      </c>
    </row>
    <row r="821" spans="1:16">
      <c r="A821" t="s">
        <v>2042</v>
      </c>
      <c r="B821" t="e">
        <f>-DIF.807040</f>
        <v>#NAME?</v>
      </c>
      <c r="C821">
        <v>20100629</v>
      </c>
      <c r="D821">
        <v>20101004</v>
      </c>
      <c r="E821" t="s">
        <v>1526</v>
      </c>
      <c r="G821" t="s">
        <v>2043</v>
      </c>
      <c r="I821" t="s">
        <v>2032</v>
      </c>
      <c r="K821">
        <v>1</v>
      </c>
      <c r="M821">
        <v>0</v>
      </c>
      <c r="N821">
        <v>106.58</v>
      </c>
      <c r="O821">
        <v>40</v>
      </c>
      <c r="P821">
        <v>63.948</v>
      </c>
    </row>
    <row r="822" spans="1:16">
      <c r="A822" t="s">
        <v>2044</v>
      </c>
      <c r="B822" t="e">
        <f>-ELG.523322</f>
        <v>#NAME?</v>
      </c>
      <c r="C822">
        <v>20100629</v>
      </c>
      <c r="D822">
        <v>20101004</v>
      </c>
      <c r="E822" t="s">
        <v>2045</v>
      </c>
      <c r="G822" t="s">
        <v>2045</v>
      </c>
      <c r="I822" t="s">
        <v>1780</v>
      </c>
      <c r="K822">
        <v>1</v>
      </c>
      <c r="M822">
        <v>0</v>
      </c>
      <c r="N822">
        <v>2.75</v>
      </c>
      <c r="O822">
        <v>40</v>
      </c>
      <c r="P822">
        <v>1.65</v>
      </c>
    </row>
    <row r="823" spans="1:16">
      <c r="A823" t="s">
        <v>2046</v>
      </c>
      <c r="B823" t="e">
        <f>-ELG.523381</f>
        <v>#NAME?</v>
      </c>
      <c r="C823">
        <v>20100629</v>
      </c>
      <c r="D823">
        <v>20101004</v>
      </c>
      <c r="E823" t="s">
        <v>2047</v>
      </c>
      <c r="G823" t="s">
        <v>2047</v>
      </c>
      <c r="I823" t="s">
        <v>1780</v>
      </c>
      <c r="K823">
        <v>1</v>
      </c>
      <c r="M823">
        <v>0</v>
      </c>
      <c r="N823">
        <v>24.35</v>
      </c>
      <c r="O823">
        <v>40</v>
      </c>
      <c r="P823">
        <v>14.61</v>
      </c>
    </row>
    <row r="824" spans="1:16">
      <c r="A824" t="s">
        <v>2048</v>
      </c>
      <c r="B824" t="e">
        <f>-ELG.523422</f>
        <v>#NAME?</v>
      </c>
      <c r="C824">
        <v>20100629</v>
      </c>
      <c r="D824">
        <v>20101004</v>
      </c>
      <c r="E824" t="s">
        <v>2049</v>
      </c>
      <c r="G824" t="s">
        <v>2049</v>
      </c>
      <c r="I824" t="s">
        <v>1780</v>
      </c>
      <c r="K824">
        <v>1</v>
      </c>
      <c r="M824">
        <v>0</v>
      </c>
      <c r="N824">
        <v>3.92</v>
      </c>
      <c r="O824">
        <v>40</v>
      </c>
      <c r="P824">
        <v>2.3519999999999999</v>
      </c>
    </row>
    <row r="825" spans="1:16">
      <c r="A825" t="s">
        <v>2050</v>
      </c>
      <c r="B825" t="e">
        <f>-ELG.523463</f>
        <v>#NAME?</v>
      </c>
      <c r="C825">
        <v>20100629</v>
      </c>
      <c r="D825">
        <v>20101004</v>
      </c>
      <c r="E825" t="s">
        <v>2051</v>
      </c>
      <c r="G825" t="s">
        <v>2052</v>
      </c>
      <c r="I825" t="s">
        <v>1780</v>
      </c>
      <c r="K825">
        <v>1</v>
      </c>
      <c r="M825">
        <v>0</v>
      </c>
      <c r="N825">
        <v>27.16</v>
      </c>
      <c r="O825">
        <v>40</v>
      </c>
      <c r="P825">
        <v>16.295999999999999</v>
      </c>
    </row>
    <row r="826" spans="1:16">
      <c r="A826" t="s">
        <v>2053</v>
      </c>
      <c r="B826" t="e">
        <f>-ELG.611202</f>
        <v>#NAME?</v>
      </c>
      <c r="C826">
        <v>20100629</v>
      </c>
      <c r="D826">
        <v>20101004</v>
      </c>
      <c r="E826" t="s">
        <v>1801</v>
      </c>
      <c r="G826" t="s">
        <v>2054</v>
      </c>
      <c r="I826" t="s">
        <v>1780</v>
      </c>
      <c r="K826">
        <v>1</v>
      </c>
      <c r="M826">
        <v>0</v>
      </c>
      <c r="N826">
        <v>986.63</v>
      </c>
      <c r="O826">
        <v>40</v>
      </c>
      <c r="P826">
        <v>591.97799999999995</v>
      </c>
    </row>
    <row r="827" spans="1:16">
      <c r="A827" t="s">
        <v>2055</v>
      </c>
      <c r="B827" t="e">
        <f>-ELG.611203</f>
        <v>#NAME?</v>
      </c>
      <c r="C827">
        <v>20100629</v>
      </c>
      <c r="D827">
        <v>20101004</v>
      </c>
      <c r="E827" t="s">
        <v>1801</v>
      </c>
      <c r="G827" t="s">
        <v>2056</v>
      </c>
      <c r="I827" t="s">
        <v>1780</v>
      </c>
      <c r="K827">
        <v>1</v>
      </c>
      <c r="M827">
        <v>0</v>
      </c>
      <c r="N827">
        <v>904.49</v>
      </c>
      <c r="O827">
        <v>40</v>
      </c>
      <c r="P827">
        <v>542.69399999999996</v>
      </c>
    </row>
    <row r="828" spans="1:16">
      <c r="A828" t="s">
        <v>2057</v>
      </c>
      <c r="B828" t="e">
        <f>-ELG.803107</f>
        <v>#NAME?</v>
      </c>
      <c r="C828">
        <v>20100629</v>
      </c>
      <c r="D828">
        <v>20101004</v>
      </c>
      <c r="E828" t="s">
        <v>1804</v>
      </c>
      <c r="G828" t="s">
        <v>2058</v>
      </c>
      <c r="I828" t="s">
        <v>1780</v>
      </c>
      <c r="K828">
        <v>1</v>
      </c>
      <c r="M828">
        <v>0</v>
      </c>
      <c r="N828">
        <v>926.13</v>
      </c>
      <c r="O828">
        <v>40</v>
      </c>
      <c r="P828">
        <v>555.678</v>
      </c>
    </row>
    <row r="829" spans="1:16">
      <c r="A829" t="s">
        <v>2059</v>
      </c>
      <c r="B829" t="e">
        <f>-ELG.803109</f>
        <v>#NAME?</v>
      </c>
      <c r="C829">
        <v>20100629</v>
      </c>
      <c r="D829">
        <v>20101004</v>
      </c>
      <c r="E829" t="s">
        <v>1804</v>
      </c>
      <c r="G829" t="s">
        <v>1818</v>
      </c>
      <c r="I829" t="s">
        <v>1780</v>
      </c>
      <c r="K829">
        <v>1</v>
      </c>
      <c r="M829">
        <v>0</v>
      </c>
      <c r="N829">
        <v>1070.2</v>
      </c>
      <c r="O829">
        <v>40</v>
      </c>
      <c r="P829">
        <v>642.12</v>
      </c>
    </row>
    <row r="830" spans="1:16">
      <c r="A830" t="s">
        <v>2060</v>
      </c>
      <c r="B830" t="e">
        <f>-ELG.806807</f>
        <v>#NAME?</v>
      </c>
      <c r="C830">
        <v>20100629</v>
      </c>
      <c r="D830">
        <v>20101004</v>
      </c>
      <c r="E830" t="s">
        <v>1804</v>
      </c>
      <c r="G830" t="s">
        <v>2061</v>
      </c>
      <c r="I830" t="s">
        <v>1780</v>
      </c>
      <c r="K830">
        <v>1</v>
      </c>
      <c r="M830">
        <v>0</v>
      </c>
      <c r="N830">
        <v>926.13</v>
      </c>
      <c r="O830">
        <v>40</v>
      </c>
      <c r="P830">
        <v>555.678</v>
      </c>
    </row>
    <row r="831" spans="1:16">
      <c r="A831" t="s">
        <v>2062</v>
      </c>
      <c r="B831" t="e">
        <f>-ELG.806907</f>
        <v>#NAME?</v>
      </c>
      <c r="C831">
        <v>20100629</v>
      </c>
      <c r="D831">
        <v>20101004</v>
      </c>
      <c r="E831" t="s">
        <v>1804</v>
      </c>
      <c r="G831" t="s">
        <v>2063</v>
      </c>
      <c r="I831" t="s">
        <v>1780</v>
      </c>
      <c r="K831">
        <v>1</v>
      </c>
      <c r="M831">
        <v>0</v>
      </c>
      <c r="N831">
        <v>1101.06</v>
      </c>
      <c r="O831">
        <v>40</v>
      </c>
      <c r="P831">
        <v>660.63599999999997</v>
      </c>
    </row>
    <row r="832" spans="1:16">
      <c r="A832" t="s">
        <v>2064</v>
      </c>
      <c r="B832" t="e">
        <f>-ELG.809103</f>
        <v>#NAME?</v>
      </c>
      <c r="C832">
        <v>20100629</v>
      </c>
      <c r="D832">
        <v>20101004</v>
      </c>
      <c r="E832" t="s">
        <v>1813</v>
      </c>
      <c r="G832" t="s">
        <v>2065</v>
      </c>
      <c r="I832" t="s">
        <v>1780</v>
      </c>
      <c r="K832">
        <v>1</v>
      </c>
      <c r="M832">
        <v>0</v>
      </c>
      <c r="N832">
        <v>244.49</v>
      </c>
      <c r="O832">
        <v>40</v>
      </c>
      <c r="P832">
        <v>146.69399999999999</v>
      </c>
    </row>
    <row r="833" spans="1:16">
      <c r="A833" t="s">
        <v>2066</v>
      </c>
      <c r="B833" t="e">
        <f>-ELG.809105</f>
        <v>#NAME?</v>
      </c>
      <c r="C833">
        <v>20100629</v>
      </c>
      <c r="D833">
        <v>20101004</v>
      </c>
      <c r="E833" t="s">
        <v>1813</v>
      </c>
      <c r="G833" t="s">
        <v>2067</v>
      </c>
      <c r="I833" t="s">
        <v>1780</v>
      </c>
      <c r="K833">
        <v>1</v>
      </c>
      <c r="M833">
        <v>0</v>
      </c>
      <c r="N833">
        <v>164.81</v>
      </c>
      <c r="O833">
        <v>40</v>
      </c>
      <c r="P833">
        <v>98.885999999999996</v>
      </c>
    </row>
    <row r="834" spans="1:16">
      <c r="A834" t="s">
        <v>2068</v>
      </c>
      <c r="B834" t="e">
        <f>-ELG.809542</f>
        <v>#NAME?</v>
      </c>
      <c r="C834">
        <v>20100629</v>
      </c>
      <c r="D834">
        <v>20101004</v>
      </c>
      <c r="E834" t="s">
        <v>1794</v>
      </c>
      <c r="G834" t="s">
        <v>2069</v>
      </c>
      <c r="I834" t="s">
        <v>1780</v>
      </c>
      <c r="K834">
        <v>1</v>
      </c>
      <c r="M834">
        <v>0</v>
      </c>
      <c r="N834">
        <v>150.66</v>
      </c>
      <c r="O834">
        <v>40</v>
      </c>
      <c r="P834">
        <v>90.396000000000001</v>
      </c>
    </row>
    <row r="835" spans="1:16">
      <c r="A835" t="s">
        <v>2070</v>
      </c>
      <c r="B835" t="e">
        <f>-ELG.816212</f>
        <v>#NAME?</v>
      </c>
      <c r="C835">
        <v>20100629</v>
      </c>
      <c r="D835">
        <v>20101004</v>
      </c>
      <c r="E835" t="s">
        <v>1804</v>
      </c>
      <c r="G835" t="s">
        <v>2071</v>
      </c>
      <c r="I835" t="s">
        <v>1780</v>
      </c>
      <c r="K835">
        <v>1</v>
      </c>
      <c r="M835">
        <v>0</v>
      </c>
      <c r="N835">
        <v>1481.81</v>
      </c>
      <c r="O835">
        <v>40</v>
      </c>
      <c r="P835">
        <v>889.08600000000001</v>
      </c>
    </row>
    <row r="836" spans="1:16">
      <c r="A836" t="s">
        <v>2072</v>
      </c>
      <c r="B836" t="e">
        <f>-ELG.AM100GT</f>
        <v>#NAME?</v>
      </c>
      <c r="C836">
        <v>20100629</v>
      </c>
      <c r="D836">
        <v>20101004</v>
      </c>
      <c r="E836" t="s">
        <v>1827</v>
      </c>
      <c r="G836" t="s">
        <v>2073</v>
      </c>
      <c r="I836" t="s">
        <v>1780</v>
      </c>
      <c r="K836">
        <v>1</v>
      </c>
      <c r="M836">
        <v>0</v>
      </c>
      <c r="N836">
        <v>109.73</v>
      </c>
      <c r="O836">
        <v>40</v>
      </c>
      <c r="P836">
        <v>65.837999999999994</v>
      </c>
    </row>
    <row r="837" spans="1:16">
      <c r="A837" t="s">
        <v>2074</v>
      </c>
      <c r="B837" t="e">
        <f>-ELG.AM150G</f>
        <v>#NAME?</v>
      </c>
      <c r="C837">
        <v>20100629</v>
      </c>
      <c r="D837">
        <v>20101004</v>
      </c>
      <c r="E837" t="s">
        <v>1827</v>
      </c>
      <c r="G837" t="s">
        <v>2075</v>
      </c>
      <c r="I837" t="s">
        <v>1780</v>
      </c>
      <c r="K837">
        <v>1</v>
      </c>
      <c r="M837">
        <v>0</v>
      </c>
      <c r="N837">
        <v>130.34</v>
      </c>
      <c r="O837">
        <v>40</v>
      </c>
      <c r="P837">
        <v>78.203999999999994</v>
      </c>
    </row>
    <row r="838" spans="1:16">
      <c r="A838" t="s">
        <v>2076</v>
      </c>
      <c r="B838" t="e">
        <f>-ELG.AM250N4</f>
        <v>#NAME?</v>
      </c>
      <c r="C838">
        <v>20100629</v>
      </c>
      <c r="D838">
        <v>20101004</v>
      </c>
      <c r="E838" t="s">
        <v>1139</v>
      </c>
      <c r="G838" t="s">
        <v>2077</v>
      </c>
      <c r="I838" t="s">
        <v>1780</v>
      </c>
      <c r="K838">
        <v>1</v>
      </c>
      <c r="M838">
        <v>0</v>
      </c>
      <c r="N838">
        <v>176.36</v>
      </c>
      <c r="O838">
        <v>40</v>
      </c>
      <c r="P838">
        <v>105.816</v>
      </c>
    </row>
    <row r="839" spans="1:16">
      <c r="A839" t="s">
        <v>2078</v>
      </c>
      <c r="B839" t="e">
        <f>-ELG.AVM150A</f>
        <v>#NAME?</v>
      </c>
      <c r="C839">
        <v>20100629</v>
      </c>
      <c r="D839">
        <v>20101004</v>
      </c>
      <c r="E839" t="s">
        <v>1827</v>
      </c>
      <c r="G839" t="s">
        <v>2079</v>
      </c>
      <c r="I839" t="s">
        <v>1780</v>
      </c>
      <c r="K839">
        <v>1</v>
      </c>
      <c r="M839">
        <v>0</v>
      </c>
      <c r="N839">
        <v>166.62</v>
      </c>
      <c r="O839">
        <v>40</v>
      </c>
      <c r="P839">
        <v>99.971999999999994</v>
      </c>
    </row>
    <row r="840" spans="1:16">
      <c r="A840" t="s">
        <v>2080</v>
      </c>
      <c r="B840" t="e">
        <f>-ELG.GEF350</f>
        <v>#NAME?</v>
      </c>
      <c r="C840">
        <v>20100629</v>
      </c>
      <c r="D840">
        <v>20101004</v>
      </c>
      <c r="E840" t="s">
        <v>1824</v>
      </c>
      <c r="G840" t="s">
        <v>2081</v>
      </c>
      <c r="I840" t="s">
        <v>1780</v>
      </c>
      <c r="K840">
        <v>1</v>
      </c>
      <c r="M840">
        <v>0</v>
      </c>
      <c r="N840">
        <v>426.86</v>
      </c>
      <c r="O840">
        <v>40</v>
      </c>
      <c r="P840">
        <v>256.11599999999999</v>
      </c>
    </row>
    <row r="841" spans="1:16">
      <c r="A841" t="s">
        <v>2082</v>
      </c>
      <c r="B841" t="e">
        <f>-ELG.PAL140</f>
        <v>#NAME?</v>
      </c>
      <c r="C841">
        <v>20100629</v>
      </c>
      <c r="D841">
        <v>20101004</v>
      </c>
      <c r="E841" t="s">
        <v>1139</v>
      </c>
      <c r="G841" t="s">
        <v>2083</v>
      </c>
      <c r="I841" t="s">
        <v>1780</v>
      </c>
      <c r="K841">
        <v>1</v>
      </c>
      <c r="M841">
        <v>0</v>
      </c>
      <c r="N841">
        <v>246.65</v>
      </c>
      <c r="O841">
        <v>40</v>
      </c>
      <c r="P841">
        <v>147.99</v>
      </c>
    </row>
    <row r="842" spans="1:16">
      <c r="A842" t="s">
        <v>2084</v>
      </c>
      <c r="B842" t="e">
        <f>-ELG.VCM320</f>
        <v>#NAME?</v>
      </c>
      <c r="C842">
        <v>20100629</v>
      </c>
      <c r="D842">
        <v>20101004</v>
      </c>
      <c r="E842" t="s">
        <v>2085</v>
      </c>
      <c r="G842" t="s">
        <v>2086</v>
      </c>
      <c r="I842" t="s">
        <v>1780</v>
      </c>
      <c r="K842">
        <v>1</v>
      </c>
      <c r="M842">
        <v>0</v>
      </c>
      <c r="N842">
        <v>248.45</v>
      </c>
      <c r="O842">
        <v>40</v>
      </c>
      <c r="P842">
        <v>149.07</v>
      </c>
    </row>
    <row r="843" spans="1:16">
      <c r="A843" t="s">
        <v>2087</v>
      </c>
      <c r="B843" t="e">
        <f>-ELG.VCM700</f>
        <v>#NAME?</v>
      </c>
      <c r="C843">
        <v>20100629</v>
      </c>
      <c r="D843">
        <v>20101004</v>
      </c>
      <c r="E843" t="s">
        <v>1139</v>
      </c>
      <c r="G843" t="s">
        <v>2088</v>
      </c>
      <c r="I843" t="s">
        <v>1780</v>
      </c>
      <c r="K843">
        <v>1</v>
      </c>
      <c r="M843">
        <v>0</v>
      </c>
      <c r="N843">
        <v>382.81</v>
      </c>
      <c r="O843">
        <v>40</v>
      </c>
      <c r="P843">
        <v>229.68600000000001</v>
      </c>
    </row>
    <row r="844" spans="1:16">
      <c r="A844" t="s">
        <v>2089</v>
      </c>
      <c r="B844" t="e">
        <f>-ELG.VCMN</f>
        <v>#NAME?</v>
      </c>
      <c r="C844">
        <v>20100629</v>
      </c>
      <c r="D844">
        <v>20101004</v>
      </c>
      <c r="E844" t="s">
        <v>1824</v>
      </c>
      <c r="G844" t="s">
        <v>2090</v>
      </c>
      <c r="I844" t="s">
        <v>1780</v>
      </c>
      <c r="K844">
        <v>1</v>
      </c>
      <c r="M844">
        <v>0</v>
      </c>
      <c r="N844">
        <v>166.62</v>
      </c>
      <c r="O844">
        <v>40</v>
      </c>
      <c r="P844">
        <v>99.971999999999994</v>
      </c>
    </row>
    <row r="845" spans="1:16">
      <c r="A845" t="s">
        <v>2091</v>
      </c>
      <c r="B845" t="e">
        <f>-ELG.VCO120</f>
        <v>#NAME?</v>
      </c>
      <c r="C845">
        <v>20100629</v>
      </c>
      <c r="D845">
        <v>20101004</v>
      </c>
      <c r="E845" t="s">
        <v>1139</v>
      </c>
      <c r="G845" t="s">
        <v>2092</v>
      </c>
      <c r="I845" t="s">
        <v>1780</v>
      </c>
      <c r="K845">
        <v>1</v>
      </c>
      <c r="M845">
        <v>0</v>
      </c>
      <c r="N845">
        <v>64.61</v>
      </c>
      <c r="O845">
        <v>40</v>
      </c>
      <c r="P845">
        <v>38.765999999999998</v>
      </c>
    </row>
    <row r="846" spans="1:16">
      <c r="A846" t="s">
        <v>2093</v>
      </c>
      <c r="B846" t="e">
        <f>-ELG.VEM100</f>
        <v>#NAME?</v>
      </c>
      <c r="C846">
        <v>20100629</v>
      </c>
      <c r="D846">
        <v>20101004</v>
      </c>
      <c r="E846" t="s">
        <v>10</v>
      </c>
      <c r="G846" t="s">
        <v>2094</v>
      </c>
      <c r="I846" t="s">
        <v>1780</v>
      </c>
      <c r="K846">
        <v>1</v>
      </c>
      <c r="M846">
        <v>0</v>
      </c>
      <c r="N846">
        <v>76.63</v>
      </c>
      <c r="O846">
        <v>40</v>
      </c>
      <c r="P846">
        <v>45.978000000000002</v>
      </c>
    </row>
    <row r="847" spans="1:16">
      <c r="A847" t="s">
        <v>2095</v>
      </c>
      <c r="B847" t="e">
        <f>-ENT.011512017</f>
        <v>#NAME?</v>
      </c>
      <c r="C847">
        <v>20100629</v>
      </c>
      <c r="D847">
        <v>20101004</v>
      </c>
      <c r="E847" t="s">
        <v>2096</v>
      </c>
      <c r="G847" t="s">
        <v>2097</v>
      </c>
      <c r="I847" t="s">
        <v>2098</v>
      </c>
      <c r="K847">
        <v>1</v>
      </c>
      <c r="M847">
        <v>0</v>
      </c>
      <c r="N847">
        <v>2.0699999999999998</v>
      </c>
      <c r="O847">
        <v>40</v>
      </c>
      <c r="P847">
        <v>1.242</v>
      </c>
    </row>
    <row r="848" spans="1:16">
      <c r="A848" t="s">
        <v>2099</v>
      </c>
      <c r="B848" t="e">
        <f>-ERA.000804</f>
        <v>#NAME?</v>
      </c>
      <c r="C848">
        <v>20100629</v>
      </c>
      <c r="D848">
        <v>20101004</v>
      </c>
      <c r="E848" t="s">
        <v>2100</v>
      </c>
      <c r="G848" t="s">
        <v>2101</v>
      </c>
      <c r="I848" t="s">
        <v>1854</v>
      </c>
      <c r="K848">
        <v>1</v>
      </c>
      <c r="M848">
        <v>0</v>
      </c>
      <c r="N848">
        <v>7.43</v>
      </c>
      <c r="O848">
        <v>40</v>
      </c>
      <c r="P848">
        <v>4.4580000000000002</v>
      </c>
    </row>
    <row r="849" spans="1:16">
      <c r="A849" t="s">
        <v>2102</v>
      </c>
      <c r="B849" t="e">
        <f>-ERA.000850</f>
        <v>#NAME?</v>
      </c>
      <c r="C849">
        <v>20100629</v>
      </c>
      <c r="D849">
        <v>20101004</v>
      </c>
      <c r="E849" t="s">
        <v>2103</v>
      </c>
      <c r="G849" t="s">
        <v>2104</v>
      </c>
      <c r="I849" t="s">
        <v>1854</v>
      </c>
      <c r="K849">
        <v>1</v>
      </c>
      <c r="M849">
        <v>0</v>
      </c>
      <c r="N849">
        <v>47.97</v>
      </c>
      <c r="O849">
        <v>40</v>
      </c>
      <c r="P849">
        <v>28.782</v>
      </c>
    </row>
    <row r="850" spans="1:16">
      <c r="A850" t="s">
        <v>2105</v>
      </c>
      <c r="B850" t="e">
        <f>-ERA.000851</f>
        <v>#NAME?</v>
      </c>
      <c r="C850">
        <v>20100629</v>
      </c>
      <c r="D850">
        <v>20101004</v>
      </c>
      <c r="E850" t="s">
        <v>126</v>
      </c>
      <c r="G850" t="s">
        <v>2106</v>
      </c>
      <c r="I850" t="s">
        <v>1854</v>
      </c>
      <c r="K850">
        <v>1</v>
      </c>
      <c r="M850">
        <v>0</v>
      </c>
      <c r="N850">
        <v>8.1</v>
      </c>
      <c r="O850">
        <v>40</v>
      </c>
      <c r="P850">
        <v>4.8600000000000003</v>
      </c>
    </row>
    <row r="851" spans="1:16">
      <c r="A851" t="s">
        <v>2107</v>
      </c>
      <c r="B851" t="e">
        <f>-ERA.000870</f>
        <v>#NAME?</v>
      </c>
      <c r="C851">
        <v>20100629</v>
      </c>
      <c r="D851">
        <v>20101004</v>
      </c>
      <c r="E851" t="s">
        <v>126</v>
      </c>
      <c r="G851" t="s">
        <v>2108</v>
      </c>
      <c r="I851" t="s">
        <v>1854</v>
      </c>
      <c r="K851">
        <v>1</v>
      </c>
      <c r="M851">
        <v>0</v>
      </c>
      <c r="N851">
        <v>28.89</v>
      </c>
      <c r="O851">
        <v>40</v>
      </c>
      <c r="P851">
        <v>17.334</v>
      </c>
    </row>
    <row r="852" spans="1:16">
      <c r="A852" t="s">
        <v>2109</v>
      </c>
      <c r="B852" t="e">
        <f>-ERA.001303</f>
        <v>#NAME?</v>
      </c>
      <c r="C852">
        <v>20100629</v>
      </c>
      <c r="D852">
        <v>20110127</v>
      </c>
      <c r="E852" t="s">
        <v>2110</v>
      </c>
      <c r="G852" t="s">
        <v>2111</v>
      </c>
      <c r="I852" t="s">
        <v>1854</v>
      </c>
      <c r="K852">
        <v>1</v>
      </c>
      <c r="M852">
        <v>1</v>
      </c>
      <c r="N852">
        <v>31.73</v>
      </c>
      <c r="O852">
        <v>40</v>
      </c>
      <c r="P852">
        <v>19.038</v>
      </c>
    </row>
    <row r="853" spans="1:16">
      <c r="A853" t="s">
        <v>2112</v>
      </c>
      <c r="B853" t="e">
        <f>-ERA.001550</f>
        <v>#NAME?</v>
      </c>
      <c r="C853">
        <v>20100629</v>
      </c>
      <c r="D853">
        <v>20101004</v>
      </c>
      <c r="E853" t="s">
        <v>1885</v>
      </c>
      <c r="G853" t="s">
        <v>2113</v>
      </c>
      <c r="I853" t="s">
        <v>1854</v>
      </c>
      <c r="K853">
        <v>1</v>
      </c>
      <c r="M853">
        <v>0</v>
      </c>
      <c r="N853">
        <v>28.28</v>
      </c>
      <c r="O853">
        <v>40</v>
      </c>
      <c r="P853">
        <v>16.968</v>
      </c>
    </row>
    <row r="854" spans="1:16">
      <c r="A854" t="s">
        <v>2114</v>
      </c>
      <c r="B854" t="e">
        <f>-ERA.002604</f>
        <v>#NAME?</v>
      </c>
      <c r="C854">
        <v>20100629</v>
      </c>
      <c r="D854">
        <v>20101004</v>
      </c>
      <c r="E854" t="s">
        <v>2110</v>
      </c>
      <c r="G854" t="s">
        <v>2115</v>
      </c>
      <c r="I854" t="s">
        <v>1854</v>
      </c>
      <c r="K854">
        <v>1</v>
      </c>
      <c r="M854">
        <v>0</v>
      </c>
      <c r="N854">
        <v>28.47</v>
      </c>
      <c r="O854">
        <v>40</v>
      </c>
      <c r="P854">
        <v>17.082000000000001</v>
      </c>
    </row>
    <row r="855" spans="1:16">
      <c r="A855" t="s">
        <v>2116</v>
      </c>
      <c r="B855" t="e">
        <f>-ERA.01540L</f>
        <v>#NAME?</v>
      </c>
      <c r="C855">
        <v>20100629</v>
      </c>
      <c r="D855">
        <v>20101004</v>
      </c>
      <c r="E855" t="s">
        <v>1885</v>
      </c>
      <c r="G855" t="s">
        <v>2117</v>
      </c>
      <c r="I855" t="s">
        <v>1854</v>
      </c>
      <c r="K855">
        <v>1</v>
      </c>
      <c r="M855">
        <v>0</v>
      </c>
      <c r="N855">
        <v>19.05</v>
      </c>
      <c r="O855">
        <v>40</v>
      </c>
      <c r="P855">
        <v>11.43</v>
      </c>
    </row>
    <row r="856" spans="1:16">
      <c r="A856" t="s">
        <v>2118</v>
      </c>
      <c r="B856" t="e">
        <f>-ERA.02035L</f>
        <v>#NAME?</v>
      </c>
      <c r="C856">
        <v>20100629</v>
      </c>
      <c r="D856">
        <v>20101004</v>
      </c>
      <c r="E856" t="s">
        <v>2119</v>
      </c>
      <c r="G856" t="s">
        <v>2120</v>
      </c>
      <c r="I856" t="s">
        <v>1854</v>
      </c>
      <c r="K856">
        <v>1</v>
      </c>
      <c r="M856">
        <v>0</v>
      </c>
      <c r="N856">
        <v>13.96</v>
      </c>
      <c r="O856">
        <v>40</v>
      </c>
      <c r="P856">
        <v>8.3759999999999994</v>
      </c>
    </row>
    <row r="857" spans="1:16">
      <c r="A857" t="s">
        <v>2121</v>
      </c>
      <c r="B857" t="e">
        <f>-ERA.02040L</f>
        <v>#NAME?</v>
      </c>
      <c r="C857">
        <v>20100629</v>
      </c>
      <c r="D857">
        <v>20101004</v>
      </c>
      <c r="E857" t="s">
        <v>2119</v>
      </c>
      <c r="G857" t="s">
        <v>2122</v>
      </c>
      <c r="I857" t="s">
        <v>1854</v>
      </c>
      <c r="K857">
        <v>1</v>
      </c>
      <c r="M857">
        <v>0</v>
      </c>
      <c r="N857">
        <v>24.89</v>
      </c>
      <c r="O857">
        <v>40</v>
      </c>
      <c r="P857">
        <v>14.933999999999999</v>
      </c>
    </row>
    <row r="858" spans="1:16">
      <c r="A858" t="s">
        <v>2123</v>
      </c>
      <c r="B858" t="e">
        <f>-ERA.925</f>
        <v>#NAME?</v>
      </c>
      <c r="C858">
        <v>20100629</v>
      </c>
      <c r="D858">
        <v>20101004</v>
      </c>
      <c r="E858" t="s">
        <v>130</v>
      </c>
      <c r="G858" t="s">
        <v>2124</v>
      </c>
      <c r="I858" t="s">
        <v>1854</v>
      </c>
      <c r="K858">
        <v>1</v>
      </c>
      <c r="M858">
        <v>0</v>
      </c>
      <c r="N858">
        <v>27.2</v>
      </c>
      <c r="O858">
        <v>40</v>
      </c>
      <c r="P858">
        <v>16.32</v>
      </c>
    </row>
    <row r="859" spans="1:16">
      <c r="A859" t="s">
        <v>2125</v>
      </c>
      <c r="B859" t="e">
        <f>-ERE.24V160VA</f>
        <v>#NAME?</v>
      </c>
      <c r="C859">
        <v>20100629</v>
      </c>
      <c r="D859">
        <v>20101004</v>
      </c>
      <c r="E859" t="s">
        <v>39</v>
      </c>
      <c r="G859" t="s">
        <v>2126</v>
      </c>
      <c r="I859" t="s">
        <v>2127</v>
      </c>
      <c r="K859">
        <v>1</v>
      </c>
      <c r="M859">
        <v>0</v>
      </c>
      <c r="N859">
        <v>85.31</v>
      </c>
      <c r="O859">
        <v>40</v>
      </c>
      <c r="P859">
        <v>51.186</v>
      </c>
    </row>
    <row r="860" spans="1:16">
      <c r="A860" t="s">
        <v>2128</v>
      </c>
      <c r="B860" t="e">
        <f>-ERE.E224SB100</f>
        <v>#NAME?</v>
      </c>
      <c r="C860">
        <v>20100629</v>
      </c>
      <c r="D860">
        <v>20101004</v>
      </c>
      <c r="E860" t="s">
        <v>39</v>
      </c>
      <c r="G860" t="s">
        <v>2129</v>
      </c>
      <c r="I860" t="s">
        <v>2127</v>
      </c>
      <c r="K860">
        <v>1</v>
      </c>
      <c r="M860">
        <v>0</v>
      </c>
      <c r="N860">
        <v>62.96</v>
      </c>
      <c r="O860">
        <v>40</v>
      </c>
      <c r="P860">
        <v>37.776000000000003</v>
      </c>
    </row>
    <row r="861" spans="1:16">
      <c r="A861" t="s">
        <v>2130</v>
      </c>
      <c r="B861" t="e">
        <f>-ERI.160510</f>
        <v>#NAME?</v>
      </c>
      <c r="C861">
        <v>20100629</v>
      </c>
      <c r="D861">
        <v>20101004</v>
      </c>
      <c r="E861" t="s">
        <v>2131</v>
      </c>
      <c r="G861" t="s">
        <v>2132</v>
      </c>
      <c r="I861" t="s">
        <v>2133</v>
      </c>
      <c r="K861">
        <v>1</v>
      </c>
      <c r="M861">
        <v>0</v>
      </c>
      <c r="N861">
        <v>0.92</v>
      </c>
      <c r="O861">
        <v>40</v>
      </c>
      <c r="P861">
        <v>0.55200000000000005</v>
      </c>
    </row>
    <row r="862" spans="1:16">
      <c r="A862" t="s">
        <v>2134</v>
      </c>
      <c r="B862" t="e">
        <f>-ERS.MF2001</f>
        <v>#NAME?</v>
      </c>
      <c r="C862">
        <v>20100629</v>
      </c>
      <c r="D862">
        <v>20101004</v>
      </c>
      <c r="E862" t="s">
        <v>2135</v>
      </c>
      <c r="G862" t="s">
        <v>2136</v>
      </c>
      <c r="I862" t="s">
        <v>2137</v>
      </c>
      <c r="K862">
        <v>1</v>
      </c>
      <c r="M862">
        <v>0</v>
      </c>
      <c r="N862">
        <v>176.99</v>
      </c>
      <c r="O862">
        <v>40</v>
      </c>
      <c r="P862">
        <v>106.194</v>
      </c>
    </row>
    <row r="863" spans="1:16">
      <c r="A863" t="s">
        <v>2138</v>
      </c>
      <c r="B863" t="e">
        <f>-ERS.MF302</f>
        <v>#NAME?</v>
      </c>
      <c r="C863">
        <v>20100629</v>
      </c>
      <c r="D863">
        <v>20101004</v>
      </c>
      <c r="E863" t="s">
        <v>2135</v>
      </c>
      <c r="G863" t="s">
        <v>2139</v>
      </c>
      <c r="I863" t="s">
        <v>2137</v>
      </c>
      <c r="K863">
        <v>1</v>
      </c>
      <c r="M863">
        <v>0</v>
      </c>
      <c r="N863">
        <v>182.66</v>
      </c>
      <c r="O863">
        <v>40</v>
      </c>
      <c r="P863">
        <v>109.596</v>
      </c>
    </row>
    <row r="864" spans="1:16">
      <c r="A864" t="s">
        <v>2140</v>
      </c>
      <c r="B864" t="e">
        <f>-FIN.14018230</f>
        <v>#NAME?</v>
      </c>
      <c r="C864">
        <v>20100629</v>
      </c>
      <c r="D864">
        <v>20101004</v>
      </c>
      <c r="E864" t="s">
        <v>2141</v>
      </c>
      <c r="G864" t="s">
        <v>2142</v>
      </c>
      <c r="I864" t="s">
        <v>2143</v>
      </c>
      <c r="K864">
        <v>1</v>
      </c>
      <c r="M864">
        <v>0</v>
      </c>
      <c r="N864">
        <v>67.92</v>
      </c>
      <c r="O864">
        <v>40</v>
      </c>
      <c r="P864">
        <v>40.752000000000002</v>
      </c>
    </row>
    <row r="865" spans="1:16">
      <c r="A865" t="s">
        <v>2144</v>
      </c>
      <c r="B865" t="e">
        <f>-FIN.180112</f>
        <v>#NAME?</v>
      </c>
      <c r="C865">
        <v>20100629</v>
      </c>
      <c r="D865">
        <v>20101004</v>
      </c>
      <c r="E865" t="s">
        <v>2145</v>
      </c>
      <c r="G865" t="s">
        <v>2146</v>
      </c>
      <c r="I865" t="s">
        <v>2143</v>
      </c>
      <c r="K865">
        <v>1</v>
      </c>
      <c r="M865">
        <v>0</v>
      </c>
      <c r="N865">
        <v>49.87</v>
      </c>
      <c r="O865">
        <v>40</v>
      </c>
      <c r="P865">
        <v>29.922000000000001</v>
      </c>
    </row>
    <row r="866" spans="1:16">
      <c r="A866" t="s">
        <v>2147</v>
      </c>
      <c r="B866" t="e">
        <f>-FIN.26018012</f>
        <v>#NAME?</v>
      </c>
      <c r="C866">
        <v>20100629</v>
      </c>
      <c r="D866">
        <v>20110127</v>
      </c>
      <c r="E866" t="s">
        <v>2148</v>
      </c>
      <c r="G866" t="s">
        <v>2149</v>
      </c>
      <c r="I866" t="s">
        <v>2143</v>
      </c>
      <c r="K866">
        <v>1</v>
      </c>
      <c r="M866">
        <v>1</v>
      </c>
      <c r="N866">
        <v>14.46</v>
      </c>
      <c r="O866">
        <v>40</v>
      </c>
      <c r="P866">
        <v>8.6760000000000002</v>
      </c>
    </row>
    <row r="867" spans="1:16">
      <c r="A867" t="s">
        <v>2150</v>
      </c>
      <c r="B867" t="e">
        <f>-CH.T1750BLANC</f>
        <v>#NAME?</v>
      </c>
      <c r="C867">
        <v>20100629</v>
      </c>
      <c r="D867">
        <v>20101004</v>
      </c>
      <c r="E867" t="s">
        <v>1340</v>
      </c>
      <c r="G867" t="s">
        <v>2151</v>
      </c>
      <c r="I867" t="s">
        <v>1325</v>
      </c>
      <c r="K867">
        <v>1</v>
      </c>
      <c r="M867">
        <v>0</v>
      </c>
      <c r="N867">
        <v>78.22</v>
      </c>
      <c r="O867">
        <v>40</v>
      </c>
      <c r="P867">
        <v>46.932000000000002</v>
      </c>
    </row>
    <row r="868" spans="1:16">
      <c r="A868" t="s">
        <v>2152</v>
      </c>
      <c r="B868" t="e">
        <f>-CH.THERM1500W</f>
        <v>#NAME?</v>
      </c>
      <c r="C868">
        <v>20100629</v>
      </c>
      <c r="D868">
        <v>20101004</v>
      </c>
      <c r="E868" t="s">
        <v>598</v>
      </c>
      <c r="G868" t="s">
        <v>2153</v>
      </c>
      <c r="I868" t="s">
        <v>1325</v>
      </c>
      <c r="K868">
        <v>1</v>
      </c>
      <c r="M868">
        <v>0</v>
      </c>
      <c r="N868">
        <v>87.26</v>
      </c>
      <c r="O868">
        <v>40</v>
      </c>
      <c r="P868">
        <v>52.356000000000002</v>
      </c>
    </row>
    <row r="869" spans="1:16">
      <c r="A869" t="s">
        <v>2154</v>
      </c>
      <c r="B869" t="e">
        <f>-CLA.001487</f>
        <v>#NAME?</v>
      </c>
      <c r="C869">
        <v>20100629</v>
      </c>
      <c r="D869">
        <v>20101004</v>
      </c>
      <c r="E869" t="s">
        <v>2155</v>
      </c>
      <c r="G869" t="s">
        <v>2156</v>
      </c>
      <c r="I869" t="s">
        <v>1586</v>
      </c>
      <c r="K869">
        <v>1</v>
      </c>
      <c r="M869">
        <v>0</v>
      </c>
      <c r="N869">
        <v>7.22</v>
      </c>
      <c r="O869">
        <v>40</v>
      </c>
      <c r="P869">
        <v>4.3319999999999999</v>
      </c>
    </row>
    <row r="870" spans="1:16">
      <c r="A870" t="s">
        <v>2157</v>
      </c>
      <c r="B870" t="e">
        <f>-CLA.021011</f>
        <v>#NAME?</v>
      </c>
      <c r="C870">
        <v>20100629</v>
      </c>
      <c r="D870">
        <v>20101004</v>
      </c>
      <c r="E870" t="s">
        <v>2158</v>
      </c>
      <c r="G870" t="s">
        <v>2159</v>
      </c>
      <c r="I870" t="s">
        <v>1586</v>
      </c>
      <c r="K870">
        <v>1</v>
      </c>
      <c r="M870">
        <v>0</v>
      </c>
      <c r="N870">
        <v>32.76</v>
      </c>
      <c r="O870">
        <v>40</v>
      </c>
      <c r="P870">
        <v>19.655999999999999</v>
      </c>
    </row>
    <row r="871" spans="1:16">
      <c r="A871" t="s">
        <v>2160</v>
      </c>
      <c r="B871" t="e">
        <f>-CLA.068048</f>
        <v>#NAME?</v>
      </c>
      <c r="C871">
        <v>20100629</v>
      </c>
      <c r="D871">
        <v>20101004</v>
      </c>
      <c r="E871" t="s">
        <v>112</v>
      </c>
      <c r="G871" t="s">
        <v>2161</v>
      </c>
      <c r="I871" t="s">
        <v>1586</v>
      </c>
      <c r="K871">
        <v>1</v>
      </c>
      <c r="M871">
        <v>0</v>
      </c>
      <c r="N871">
        <v>3.11</v>
      </c>
      <c r="O871">
        <v>40</v>
      </c>
      <c r="P871">
        <v>1.8660000000000001</v>
      </c>
    </row>
    <row r="872" spans="1:16">
      <c r="A872" t="s">
        <v>2162</v>
      </c>
      <c r="B872" t="e">
        <f>-CLA.075458</f>
        <v>#NAME?</v>
      </c>
      <c r="C872">
        <v>20100629</v>
      </c>
      <c r="D872">
        <v>20101004</v>
      </c>
      <c r="E872" t="s">
        <v>112</v>
      </c>
      <c r="G872" t="s">
        <v>2163</v>
      </c>
      <c r="I872" t="s">
        <v>1586</v>
      </c>
      <c r="K872">
        <v>1</v>
      </c>
      <c r="M872">
        <v>0</v>
      </c>
      <c r="N872">
        <v>2.66</v>
      </c>
      <c r="O872">
        <v>40</v>
      </c>
      <c r="P872">
        <v>1.5960000000000001</v>
      </c>
    </row>
    <row r="873" spans="1:16">
      <c r="A873" t="s">
        <v>2164</v>
      </c>
      <c r="B873" t="e">
        <f>-CLA.076747</f>
        <v>#NAME?</v>
      </c>
      <c r="C873">
        <v>20100629</v>
      </c>
      <c r="D873">
        <v>20101004</v>
      </c>
      <c r="E873" t="s">
        <v>2006</v>
      </c>
      <c r="G873" t="s">
        <v>2165</v>
      </c>
      <c r="I873" t="s">
        <v>1586</v>
      </c>
      <c r="K873">
        <v>1</v>
      </c>
      <c r="M873">
        <v>0</v>
      </c>
      <c r="N873">
        <v>3.47</v>
      </c>
      <c r="O873">
        <v>40</v>
      </c>
      <c r="P873">
        <v>2.0819999999999999</v>
      </c>
    </row>
    <row r="874" spans="1:16">
      <c r="A874" t="s">
        <v>2166</v>
      </c>
      <c r="B874" t="e">
        <f>-CLA.076801</f>
        <v>#NAME?</v>
      </c>
      <c r="C874">
        <v>20100629</v>
      </c>
      <c r="D874">
        <v>20101004</v>
      </c>
      <c r="E874" t="s">
        <v>2167</v>
      </c>
      <c r="G874" t="s">
        <v>2168</v>
      </c>
      <c r="I874" t="s">
        <v>1586</v>
      </c>
      <c r="K874">
        <v>1</v>
      </c>
      <c r="M874">
        <v>0</v>
      </c>
      <c r="N874">
        <v>3.47</v>
      </c>
      <c r="O874">
        <v>40</v>
      </c>
      <c r="P874">
        <v>2.0819999999999999</v>
      </c>
    </row>
    <row r="875" spans="1:16">
      <c r="A875" t="s">
        <v>2169</v>
      </c>
      <c r="B875" t="e">
        <f>-CLA.076803</f>
        <v>#NAME?</v>
      </c>
      <c r="C875">
        <v>20100629</v>
      </c>
      <c r="D875">
        <v>20101004</v>
      </c>
      <c r="E875" t="s">
        <v>2167</v>
      </c>
      <c r="G875" t="s">
        <v>2170</v>
      </c>
      <c r="I875" t="s">
        <v>1586</v>
      </c>
      <c r="K875">
        <v>1</v>
      </c>
      <c r="M875">
        <v>0</v>
      </c>
      <c r="N875">
        <v>3.47</v>
      </c>
      <c r="O875">
        <v>40</v>
      </c>
      <c r="P875">
        <v>2.0819999999999999</v>
      </c>
    </row>
    <row r="876" spans="1:16">
      <c r="A876" t="s">
        <v>2171</v>
      </c>
      <c r="B876" t="e">
        <f>-CLA.079112</f>
        <v>#NAME?</v>
      </c>
      <c r="C876">
        <v>20100629</v>
      </c>
      <c r="D876">
        <v>20101004</v>
      </c>
      <c r="E876" t="s">
        <v>2172</v>
      </c>
      <c r="G876" t="s">
        <v>2173</v>
      </c>
      <c r="I876" t="s">
        <v>1586</v>
      </c>
      <c r="K876">
        <v>1</v>
      </c>
      <c r="M876">
        <v>0</v>
      </c>
      <c r="N876">
        <v>4.5599999999999996</v>
      </c>
      <c r="O876">
        <v>40</v>
      </c>
      <c r="P876">
        <v>2.7360000000000002</v>
      </c>
    </row>
    <row r="877" spans="1:16">
      <c r="A877" t="s">
        <v>2174</v>
      </c>
      <c r="B877" t="e">
        <f>-CLA.079983</f>
        <v>#NAME?</v>
      </c>
      <c r="C877">
        <v>20100629</v>
      </c>
      <c r="D877">
        <v>20101004</v>
      </c>
      <c r="E877" t="s">
        <v>1591</v>
      </c>
      <c r="G877" t="s">
        <v>2175</v>
      </c>
      <c r="I877" t="s">
        <v>1586</v>
      </c>
      <c r="K877">
        <v>1</v>
      </c>
      <c r="M877">
        <v>0</v>
      </c>
      <c r="N877">
        <v>10.72</v>
      </c>
      <c r="O877">
        <v>40</v>
      </c>
      <c r="P877">
        <v>6.4320000000000004</v>
      </c>
    </row>
    <row r="878" spans="1:16">
      <c r="A878" t="s">
        <v>2176</v>
      </c>
      <c r="B878" t="e">
        <f>-CLA.21105</f>
        <v>#NAME?</v>
      </c>
      <c r="C878">
        <v>20100629</v>
      </c>
      <c r="D878">
        <v>20101004</v>
      </c>
      <c r="E878" t="s">
        <v>1591</v>
      </c>
      <c r="G878" t="s">
        <v>2177</v>
      </c>
      <c r="I878" t="s">
        <v>1586</v>
      </c>
      <c r="K878">
        <v>1</v>
      </c>
      <c r="M878">
        <v>0</v>
      </c>
      <c r="N878">
        <v>32.76</v>
      </c>
      <c r="O878">
        <v>40</v>
      </c>
      <c r="P878">
        <v>19.655999999999999</v>
      </c>
    </row>
    <row r="879" spans="1:16">
      <c r="A879" t="s">
        <v>2178</v>
      </c>
      <c r="B879" t="e">
        <f>-CLA.25198</f>
        <v>#NAME?</v>
      </c>
      <c r="C879">
        <v>20100629</v>
      </c>
      <c r="D879">
        <v>20101004</v>
      </c>
      <c r="E879" t="s">
        <v>736</v>
      </c>
      <c r="G879" t="s">
        <v>2179</v>
      </c>
      <c r="I879" t="s">
        <v>1586</v>
      </c>
      <c r="K879">
        <v>1</v>
      </c>
      <c r="M879">
        <v>0</v>
      </c>
      <c r="N879">
        <v>31.86</v>
      </c>
      <c r="O879">
        <v>40</v>
      </c>
      <c r="P879">
        <v>19.116</v>
      </c>
    </row>
    <row r="880" spans="1:16">
      <c r="A880" t="s">
        <v>2180</v>
      </c>
      <c r="B880" t="e">
        <f>-CLA.41866</f>
        <v>#NAME?</v>
      </c>
      <c r="C880">
        <v>20100629</v>
      </c>
      <c r="D880">
        <v>20101004</v>
      </c>
      <c r="E880" t="s">
        <v>1297</v>
      </c>
      <c r="G880" t="s">
        <v>2181</v>
      </c>
      <c r="I880" t="s">
        <v>1586</v>
      </c>
      <c r="K880">
        <v>1</v>
      </c>
      <c r="M880">
        <v>0</v>
      </c>
      <c r="N880">
        <v>85.59</v>
      </c>
      <c r="O880">
        <v>40</v>
      </c>
      <c r="P880">
        <v>51.353999999999999</v>
      </c>
    </row>
    <row r="881" spans="1:16">
      <c r="A881" t="s">
        <v>2182</v>
      </c>
      <c r="B881" t="e">
        <f>-CLA.43279</f>
        <v>#NAME?</v>
      </c>
      <c r="C881">
        <v>20100629</v>
      </c>
      <c r="D881">
        <v>20101004</v>
      </c>
      <c r="E881" t="s">
        <v>1893</v>
      </c>
      <c r="G881" t="s">
        <v>2183</v>
      </c>
      <c r="I881" t="s">
        <v>1586</v>
      </c>
      <c r="K881">
        <v>1</v>
      </c>
      <c r="M881">
        <v>0</v>
      </c>
      <c r="N881">
        <v>125.32</v>
      </c>
      <c r="O881">
        <v>40</v>
      </c>
      <c r="P881">
        <v>75.191999999999993</v>
      </c>
    </row>
    <row r="882" spans="1:16">
      <c r="A882" t="s">
        <v>2184</v>
      </c>
      <c r="B882" t="e">
        <f>-CLA.44609</f>
        <v>#NAME?</v>
      </c>
      <c r="C882">
        <v>20100629</v>
      </c>
      <c r="D882">
        <v>20101004</v>
      </c>
      <c r="E882" t="s">
        <v>2185</v>
      </c>
      <c r="G882" t="s">
        <v>2186</v>
      </c>
      <c r="I882" t="s">
        <v>1586</v>
      </c>
      <c r="K882">
        <v>1</v>
      </c>
      <c r="M882">
        <v>0</v>
      </c>
      <c r="N882">
        <v>69.47</v>
      </c>
      <c r="O882">
        <v>40</v>
      </c>
      <c r="P882">
        <v>41.682000000000002</v>
      </c>
    </row>
    <row r="883" spans="1:16">
      <c r="A883" t="s">
        <v>2187</v>
      </c>
      <c r="B883" t="e">
        <f>-CLA.44612</f>
        <v>#NAME?</v>
      </c>
      <c r="C883">
        <v>20100629</v>
      </c>
      <c r="D883">
        <v>20101004</v>
      </c>
      <c r="E883" t="s">
        <v>96</v>
      </c>
      <c r="G883" t="s">
        <v>2188</v>
      </c>
      <c r="I883" t="s">
        <v>1586</v>
      </c>
      <c r="K883">
        <v>1</v>
      </c>
      <c r="M883">
        <v>0</v>
      </c>
      <c r="N883">
        <v>88.9</v>
      </c>
      <c r="O883">
        <v>40</v>
      </c>
      <c r="P883">
        <v>53.34</v>
      </c>
    </row>
    <row r="884" spans="1:16">
      <c r="A884" t="s">
        <v>2189</v>
      </c>
      <c r="B884" t="e">
        <f>-CLA.45079</f>
        <v>#NAME?</v>
      </c>
      <c r="C884">
        <v>20100629</v>
      </c>
      <c r="D884">
        <v>20101004</v>
      </c>
      <c r="E884" t="s">
        <v>2190</v>
      </c>
      <c r="G884" t="s">
        <v>2191</v>
      </c>
      <c r="I884" t="s">
        <v>1586</v>
      </c>
      <c r="K884">
        <v>1</v>
      </c>
      <c r="M884">
        <v>0</v>
      </c>
      <c r="N884">
        <v>123.63</v>
      </c>
      <c r="O884">
        <v>40</v>
      </c>
      <c r="P884">
        <v>74.177999999999997</v>
      </c>
    </row>
    <row r="885" spans="1:16">
      <c r="A885" t="s">
        <v>2192</v>
      </c>
      <c r="B885" t="e">
        <f>-CLA.51683</f>
        <v>#NAME?</v>
      </c>
      <c r="C885">
        <v>20100629</v>
      </c>
      <c r="D885">
        <v>20101004</v>
      </c>
      <c r="E885" t="s">
        <v>1682</v>
      </c>
      <c r="G885" t="s">
        <v>2193</v>
      </c>
      <c r="I885" t="s">
        <v>1586</v>
      </c>
      <c r="K885">
        <v>1</v>
      </c>
      <c r="M885">
        <v>0</v>
      </c>
      <c r="N885">
        <v>261.70999999999998</v>
      </c>
      <c r="O885">
        <v>40</v>
      </c>
      <c r="P885">
        <v>157.02600000000001</v>
      </c>
    </row>
    <row r="886" spans="1:16">
      <c r="A886" t="s">
        <v>2194</v>
      </c>
      <c r="B886" t="e">
        <f>-CLA.51684</f>
        <v>#NAME?</v>
      </c>
      <c r="C886">
        <v>20100629</v>
      </c>
      <c r="D886">
        <v>20101004</v>
      </c>
      <c r="E886" t="s">
        <v>1682</v>
      </c>
      <c r="G886" t="s">
        <v>2195</v>
      </c>
      <c r="I886" t="s">
        <v>1586</v>
      </c>
      <c r="K886">
        <v>1</v>
      </c>
      <c r="M886">
        <v>0</v>
      </c>
      <c r="N886">
        <v>308.43</v>
      </c>
      <c r="O886">
        <v>40</v>
      </c>
      <c r="P886">
        <v>185.05799999999999</v>
      </c>
    </row>
    <row r="887" spans="1:16">
      <c r="A887" t="s">
        <v>2196</v>
      </c>
      <c r="B887" t="e">
        <f>-CLA.51715</f>
        <v>#NAME?</v>
      </c>
      <c r="C887">
        <v>20100629</v>
      </c>
      <c r="D887">
        <v>20101004</v>
      </c>
      <c r="E887" t="s">
        <v>1682</v>
      </c>
      <c r="G887" t="s">
        <v>2197</v>
      </c>
      <c r="I887" t="s">
        <v>1586</v>
      </c>
      <c r="K887">
        <v>1</v>
      </c>
      <c r="M887">
        <v>0</v>
      </c>
      <c r="N887">
        <v>167.67</v>
      </c>
      <c r="O887">
        <v>40</v>
      </c>
      <c r="P887">
        <v>100.602</v>
      </c>
    </row>
    <row r="888" spans="1:16">
      <c r="A888" t="s">
        <v>2198</v>
      </c>
      <c r="B888" t="e">
        <f>-CLA.51731</f>
        <v>#NAME?</v>
      </c>
      <c r="C888">
        <v>20100629</v>
      </c>
      <c r="D888">
        <v>20101004</v>
      </c>
      <c r="E888" t="s">
        <v>1682</v>
      </c>
      <c r="G888" t="s">
        <v>2199</v>
      </c>
      <c r="I888" t="s">
        <v>1586</v>
      </c>
      <c r="K888">
        <v>1</v>
      </c>
      <c r="M888">
        <v>0</v>
      </c>
      <c r="N888">
        <v>166.68</v>
      </c>
      <c r="O888">
        <v>40</v>
      </c>
      <c r="P888">
        <v>100.008</v>
      </c>
    </row>
    <row r="889" spans="1:16">
      <c r="A889" t="s">
        <v>2200</v>
      </c>
      <c r="B889" t="e">
        <f>-CLA.52091</f>
        <v>#NAME?</v>
      </c>
      <c r="C889">
        <v>20100629</v>
      </c>
      <c r="D889">
        <v>20101004</v>
      </c>
      <c r="E889" t="s">
        <v>2201</v>
      </c>
      <c r="G889" t="s">
        <v>2202</v>
      </c>
      <c r="I889" t="s">
        <v>1586</v>
      </c>
      <c r="K889">
        <v>1</v>
      </c>
      <c r="M889">
        <v>0</v>
      </c>
      <c r="N889">
        <v>55.11</v>
      </c>
      <c r="O889">
        <v>40</v>
      </c>
      <c r="P889">
        <v>33.066000000000003</v>
      </c>
    </row>
    <row r="890" spans="1:16">
      <c r="A890" t="s">
        <v>2203</v>
      </c>
      <c r="B890" t="e">
        <f>-CLA.52093</f>
        <v>#NAME?</v>
      </c>
      <c r="C890">
        <v>20100629</v>
      </c>
      <c r="D890">
        <v>20101004</v>
      </c>
      <c r="E890" t="s">
        <v>2201</v>
      </c>
      <c r="G890" t="s">
        <v>2204</v>
      </c>
      <c r="I890" t="s">
        <v>1586</v>
      </c>
      <c r="K890">
        <v>1</v>
      </c>
      <c r="M890">
        <v>0</v>
      </c>
      <c r="N890">
        <v>69.58</v>
      </c>
      <c r="O890">
        <v>40</v>
      </c>
      <c r="P890">
        <v>41.747999999999998</v>
      </c>
    </row>
    <row r="891" spans="1:16">
      <c r="A891" t="s">
        <v>2205</v>
      </c>
      <c r="B891" t="e">
        <f>-CLA.53670</f>
        <v>#NAME?</v>
      </c>
      <c r="C891">
        <v>20100629</v>
      </c>
      <c r="D891">
        <v>20101004</v>
      </c>
      <c r="E891" t="s">
        <v>1682</v>
      </c>
      <c r="G891" t="s">
        <v>2206</v>
      </c>
      <c r="I891" t="s">
        <v>1586</v>
      </c>
      <c r="K891">
        <v>1</v>
      </c>
      <c r="M891">
        <v>0</v>
      </c>
      <c r="N891">
        <v>117.67</v>
      </c>
      <c r="O891">
        <v>40</v>
      </c>
      <c r="P891">
        <v>70.602000000000004</v>
      </c>
    </row>
    <row r="892" spans="1:16">
      <c r="A892" t="s">
        <v>2207</v>
      </c>
      <c r="B892" t="e">
        <f>-CLA.53676</f>
        <v>#NAME?</v>
      </c>
      <c r="C892">
        <v>20100629</v>
      </c>
      <c r="D892">
        <v>20101004</v>
      </c>
      <c r="E892" t="s">
        <v>2208</v>
      </c>
      <c r="G892" t="s">
        <v>2209</v>
      </c>
      <c r="I892" t="s">
        <v>1586</v>
      </c>
      <c r="K892">
        <v>1</v>
      </c>
      <c r="M892">
        <v>0</v>
      </c>
      <c r="N892">
        <v>97.25</v>
      </c>
      <c r="O892">
        <v>40</v>
      </c>
      <c r="P892">
        <v>58.35</v>
      </c>
    </row>
    <row r="893" spans="1:16">
      <c r="A893" t="s">
        <v>2210</v>
      </c>
      <c r="B893" t="e">
        <f>-CLA.56490</f>
        <v>#NAME?</v>
      </c>
      <c r="C893">
        <v>20100629</v>
      </c>
      <c r="D893">
        <v>20101004</v>
      </c>
      <c r="E893" t="s">
        <v>1921</v>
      </c>
      <c r="G893" t="s">
        <v>2211</v>
      </c>
      <c r="I893" t="s">
        <v>1586</v>
      </c>
      <c r="K893">
        <v>1</v>
      </c>
      <c r="M893">
        <v>0</v>
      </c>
      <c r="N893">
        <v>91.19</v>
      </c>
      <c r="O893">
        <v>40</v>
      </c>
      <c r="P893">
        <v>54.713999999999999</v>
      </c>
    </row>
    <row r="894" spans="1:16">
      <c r="A894" t="s">
        <v>2212</v>
      </c>
      <c r="B894" t="e">
        <f>-CLA.56493</f>
        <v>#NAME?</v>
      </c>
      <c r="C894">
        <v>20100629</v>
      </c>
      <c r="D894">
        <v>20101004</v>
      </c>
      <c r="E894" t="s">
        <v>2213</v>
      </c>
      <c r="G894" t="s">
        <v>2214</v>
      </c>
      <c r="I894" t="s">
        <v>1586</v>
      </c>
      <c r="K894">
        <v>1</v>
      </c>
      <c r="M894">
        <v>0</v>
      </c>
      <c r="N894">
        <v>10.029999999999999</v>
      </c>
      <c r="O894">
        <v>40</v>
      </c>
      <c r="P894">
        <v>6.0179999999999998</v>
      </c>
    </row>
    <row r="895" spans="1:16">
      <c r="A895" t="s">
        <v>2215</v>
      </c>
      <c r="B895" t="e">
        <f>-CLA.56494</f>
        <v>#NAME?</v>
      </c>
      <c r="C895">
        <v>20100629</v>
      </c>
      <c r="D895">
        <v>20101004</v>
      </c>
      <c r="E895" t="s">
        <v>2216</v>
      </c>
      <c r="G895" t="s">
        <v>2217</v>
      </c>
      <c r="I895" t="s">
        <v>1586</v>
      </c>
      <c r="K895">
        <v>1</v>
      </c>
      <c r="M895">
        <v>0</v>
      </c>
      <c r="N895">
        <v>33.28</v>
      </c>
      <c r="O895">
        <v>40</v>
      </c>
      <c r="P895">
        <v>19.968</v>
      </c>
    </row>
    <row r="896" spans="1:16">
      <c r="A896" t="s">
        <v>2218</v>
      </c>
      <c r="B896" t="e">
        <f>-CLA.56495</f>
        <v>#NAME?</v>
      </c>
      <c r="C896">
        <v>20100629</v>
      </c>
      <c r="D896">
        <v>20101004</v>
      </c>
      <c r="E896" t="s">
        <v>2219</v>
      </c>
      <c r="G896" t="s">
        <v>2220</v>
      </c>
      <c r="I896" t="s">
        <v>1586</v>
      </c>
      <c r="K896">
        <v>1</v>
      </c>
      <c r="M896">
        <v>0</v>
      </c>
      <c r="N896">
        <v>31.09</v>
      </c>
      <c r="O896">
        <v>40</v>
      </c>
      <c r="P896">
        <v>18.654</v>
      </c>
    </row>
    <row r="897" spans="1:16">
      <c r="A897" t="s">
        <v>2221</v>
      </c>
      <c r="B897" t="e">
        <f>-CLA.56496</f>
        <v>#NAME?</v>
      </c>
      <c r="C897">
        <v>20100629</v>
      </c>
      <c r="D897">
        <v>20101004</v>
      </c>
      <c r="E897" t="s">
        <v>2222</v>
      </c>
      <c r="G897" t="s">
        <v>2223</v>
      </c>
      <c r="I897" t="s">
        <v>1586</v>
      </c>
      <c r="K897">
        <v>1</v>
      </c>
      <c r="M897">
        <v>0</v>
      </c>
      <c r="N897">
        <v>14.4</v>
      </c>
      <c r="O897">
        <v>40</v>
      </c>
      <c r="P897">
        <v>8.64</v>
      </c>
    </row>
    <row r="898" spans="1:16">
      <c r="A898" t="s">
        <v>2224</v>
      </c>
      <c r="B898" t="e">
        <f>-CLA.61486</f>
        <v>#NAME?</v>
      </c>
      <c r="C898">
        <v>20100629</v>
      </c>
      <c r="D898">
        <v>20101004</v>
      </c>
      <c r="E898" t="s">
        <v>1675</v>
      </c>
      <c r="G898" t="s">
        <v>2225</v>
      </c>
      <c r="I898" t="s">
        <v>1586</v>
      </c>
      <c r="K898">
        <v>1</v>
      </c>
      <c r="M898">
        <v>0</v>
      </c>
      <c r="N898">
        <v>25</v>
      </c>
      <c r="O898">
        <v>40</v>
      </c>
      <c r="P898">
        <v>15</v>
      </c>
    </row>
    <row r="899" spans="1:16">
      <c r="A899" t="s">
        <v>2226</v>
      </c>
      <c r="B899" t="e">
        <f>-CLA.68148</f>
        <v>#NAME?</v>
      </c>
      <c r="C899">
        <v>20100629</v>
      </c>
      <c r="D899">
        <v>20101004</v>
      </c>
      <c r="E899" t="s">
        <v>2227</v>
      </c>
      <c r="G899" t="s">
        <v>2228</v>
      </c>
      <c r="I899" t="s">
        <v>1586</v>
      </c>
      <c r="K899">
        <v>1</v>
      </c>
      <c r="M899">
        <v>0</v>
      </c>
      <c r="N899">
        <v>8.34</v>
      </c>
      <c r="O899">
        <v>40</v>
      </c>
      <c r="P899">
        <v>5.0039999999999996</v>
      </c>
    </row>
    <row r="900" spans="1:16">
      <c r="A900" t="s">
        <v>2229</v>
      </c>
      <c r="B900" t="e">
        <f>-CLA.69632</f>
        <v>#NAME?</v>
      </c>
      <c r="C900">
        <v>20100629</v>
      </c>
      <c r="D900">
        <v>20101004</v>
      </c>
      <c r="E900" t="s">
        <v>2230</v>
      </c>
      <c r="G900" t="s">
        <v>2231</v>
      </c>
      <c r="I900" t="s">
        <v>1586</v>
      </c>
      <c r="K900">
        <v>1</v>
      </c>
      <c r="M900">
        <v>0</v>
      </c>
      <c r="N900">
        <v>2.77</v>
      </c>
      <c r="O900">
        <v>40</v>
      </c>
      <c r="P900">
        <v>1.6619999999999999</v>
      </c>
    </row>
    <row r="901" spans="1:16">
      <c r="A901" t="s">
        <v>2232</v>
      </c>
      <c r="B901" t="e">
        <f>-CLA.70560</f>
        <v>#NAME?</v>
      </c>
      <c r="C901">
        <v>20100629</v>
      </c>
      <c r="D901">
        <v>20101004</v>
      </c>
      <c r="E901" t="s">
        <v>112</v>
      </c>
      <c r="G901" t="s">
        <v>2233</v>
      </c>
      <c r="I901" t="s">
        <v>1586</v>
      </c>
      <c r="K901">
        <v>1</v>
      </c>
      <c r="M901">
        <v>0</v>
      </c>
      <c r="N901">
        <v>19.510000000000002</v>
      </c>
      <c r="O901">
        <v>40</v>
      </c>
      <c r="P901">
        <v>11.706</v>
      </c>
    </row>
    <row r="902" spans="1:16">
      <c r="A902" t="s">
        <v>2234</v>
      </c>
      <c r="B902" t="e">
        <f>-CLA.75685</f>
        <v>#NAME?</v>
      </c>
      <c r="C902">
        <v>20100629</v>
      </c>
      <c r="D902">
        <v>20101004</v>
      </c>
      <c r="E902" t="s">
        <v>2235</v>
      </c>
      <c r="G902" t="s">
        <v>2236</v>
      </c>
      <c r="I902" t="s">
        <v>1586</v>
      </c>
      <c r="K902">
        <v>1</v>
      </c>
      <c r="M902">
        <v>0</v>
      </c>
      <c r="N902">
        <v>8.24</v>
      </c>
      <c r="O902">
        <v>40</v>
      </c>
      <c r="P902">
        <v>4.944</v>
      </c>
    </row>
    <row r="903" spans="1:16">
      <c r="A903" t="s">
        <v>2237</v>
      </c>
      <c r="B903" t="e">
        <f>-CLA.76468</f>
        <v>#NAME?</v>
      </c>
      <c r="C903">
        <v>20100629</v>
      </c>
      <c r="D903">
        <v>20101004</v>
      </c>
      <c r="E903" t="s">
        <v>112</v>
      </c>
      <c r="G903" t="s">
        <v>2238</v>
      </c>
      <c r="I903" t="s">
        <v>1586</v>
      </c>
      <c r="K903">
        <v>1</v>
      </c>
      <c r="M903">
        <v>0</v>
      </c>
      <c r="N903">
        <v>8.82</v>
      </c>
      <c r="O903">
        <v>40</v>
      </c>
      <c r="P903">
        <v>5.2919999999999998</v>
      </c>
    </row>
    <row r="904" spans="1:16">
      <c r="A904" t="s">
        <v>2239</v>
      </c>
      <c r="B904" t="e">
        <f>-CLA.83833</f>
        <v>#NAME?</v>
      </c>
      <c r="C904">
        <v>20100629</v>
      </c>
      <c r="D904">
        <v>20101004</v>
      </c>
      <c r="E904" t="s">
        <v>2185</v>
      </c>
      <c r="G904" t="s">
        <v>2240</v>
      </c>
      <c r="I904" t="s">
        <v>1586</v>
      </c>
      <c r="K904">
        <v>1</v>
      </c>
      <c r="M904">
        <v>0</v>
      </c>
      <c r="N904">
        <v>40.35</v>
      </c>
      <c r="O904">
        <v>40</v>
      </c>
      <c r="P904">
        <v>24.21</v>
      </c>
    </row>
    <row r="905" spans="1:16">
      <c r="A905" t="s">
        <v>2241</v>
      </c>
      <c r="B905" t="e">
        <f>-CLA.87865</f>
        <v>#NAME?</v>
      </c>
      <c r="C905">
        <v>20100629</v>
      </c>
      <c r="D905">
        <v>20101004</v>
      </c>
      <c r="E905" t="s">
        <v>514</v>
      </c>
      <c r="G905" t="s">
        <v>2242</v>
      </c>
      <c r="I905" t="s">
        <v>1586</v>
      </c>
      <c r="K905">
        <v>1</v>
      </c>
      <c r="M905">
        <v>0</v>
      </c>
      <c r="N905">
        <v>19.68</v>
      </c>
      <c r="O905">
        <v>40</v>
      </c>
      <c r="P905">
        <v>11.808</v>
      </c>
    </row>
    <row r="906" spans="1:16">
      <c r="A906" t="s">
        <v>2243</v>
      </c>
      <c r="B906" t="e">
        <f>-CLI.914033</f>
        <v>#NAME?</v>
      </c>
      <c r="C906">
        <v>20100629</v>
      </c>
      <c r="D906">
        <v>20101004</v>
      </c>
      <c r="E906" t="s">
        <v>1813</v>
      </c>
      <c r="G906" t="s">
        <v>2244</v>
      </c>
      <c r="I906" t="s">
        <v>1939</v>
      </c>
      <c r="K906">
        <v>1</v>
      </c>
      <c r="M906">
        <v>0</v>
      </c>
      <c r="N906">
        <v>90.68</v>
      </c>
      <c r="O906">
        <v>40</v>
      </c>
      <c r="P906">
        <v>54.408000000000001</v>
      </c>
    </row>
    <row r="907" spans="1:16">
      <c r="A907" t="s">
        <v>2245</v>
      </c>
      <c r="B907" t="e">
        <f>-CLI.A120</f>
        <v>#NAME?</v>
      </c>
      <c r="C907">
        <v>20100629</v>
      </c>
      <c r="D907">
        <v>20101004</v>
      </c>
      <c r="E907" t="s">
        <v>1804</v>
      </c>
      <c r="G907" t="s">
        <v>2246</v>
      </c>
      <c r="I907" t="s">
        <v>1939</v>
      </c>
      <c r="K907">
        <v>1</v>
      </c>
      <c r="M907">
        <v>0</v>
      </c>
      <c r="N907">
        <v>1303.47</v>
      </c>
      <c r="O907">
        <v>40</v>
      </c>
      <c r="P907">
        <v>782.08199999999999</v>
      </c>
    </row>
    <row r="908" spans="1:16">
      <c r="A908" t="s">
        <v>2247</v>
      </c>
      <c r="B908" t="e">
        <f>-CLI.ACE018</f>
        <v>#NAME?</v>
      </c>
      <c r="C908">
        <v>20100629</v>
      </c>
      <c r="D908">
        <v>20101004</v>
      </c>
      <c r="E908" t="s">
        <v>1804</v>
      </c>
      <c r="G908" t="s">
        <v>2248</v>
      </c>
      <c r="I908" t="s">
        <v>1939</v>
      </c>
      <c r="K908">
        <v>1</v>
      </c>
      <c r="M908">
        <v>0</v>
      </c>
      <c r="N908">
        <v>4907.83</v>
      </c>
      <c r="O908">
        <v>40</v>
      </c>
      <c r="P908">
        <v>2944.6979999999999</v>
      </c>
    </row>
    <row r="909" spans="1:16">
      <c r="A909" t="s">
        <v>2249</v>
      </c>
      <c r="B909" t="e">
        <f>-CLI.COLONNE</f>
        <v>#NAME?</v>
      </c>
      <c r="C909">
        <v>20100629</v>
      </c>
      <c r="D909">
        <v>20101004</v>
      </c>
      <c r="E909" t="s">
        <v>2250</v>
      </c>
      <c r="G909" t="s">
        <v>2251</v>
      </c>
      <c r="I909" t="s">
        <v>1939</v>
      </c>
      <c r="K909">
        <v>1</v>
      </c>
      <c r="M909">
        <v>0</v>
      </c>
      <c r="N909">
        <v>80.37</v>
      </c>
      <c r="O909">
        <v>40</v>
      </c>
      <c r="P909">
        <v>48.222000000000001</v>
      </c>
    </row>
    <row r="910" spans="1:16">
      <c r="A910" t="s">
        <v>2252</v>
      </c>
      <c r="B910" t="e">
        <f>-CLI.DIAM20CM</f>
        <v>#NAME?</v>
      </c>
      <c r="C910">
        <v>20100629</v>
      </c>
      <c r="D910">
        <v>20101004</v>
      </c>
      <c r="E910" t="s">
        <v>1139</v>
      </c>
      <c r="G910" t="s">
        <v>2253</v>
      </c>
      <c r="I910" t="s">
        <v>1939</v>
      </c>
      <c r="K910">
        <v>1</v>
      </c>
      <c r="M910">
        <v>0</v>
      </c>
      <c r="N910">
        <v>32.49</v>
      </c>
      <c r="O910">
        <v>40</v>
      </c>
      <c r="P910">
        <v>19.494</v>
      </c>
    </row>
    <row r="911" spans="1:16">
      <c r="A911" t="s">
        <v>2254</v>
      </c>
      <c r="B911" t="e">
        <f>-CLI.DIAM30CM</f>
        <v>#NAME?</v>
      </c>
      <c r="C911">
        <v>20100629</v>
      </c>
      <c r="D911">
        <v>20101004</v>
      </c>
      <c r="E911" t="s">
        <v>1139</v>
      </c>
      <c r="G911" t="s">
        <v>2255</v>
      </c>
      <c r="I911" t="s">
        <v>1939</v>
      </c>
      <c r="K911">
        <v>1</v>
      </c>
      <c r="M911">
        <v>0</v>
      </c>
      <c r="N911">
        <v>42.05</v>
      </c>
      <c r="O911">
        <v>40</v>
      </c>
      <c r="P911">
        <v>25.23</v>
      </c>
    </row>
    <row r="912" spans="1:16">
      <c r="A912" t="s">
        <v>2256</v>
      </c>
      <c r="B912" t="e">
        <f>-CLI.HR3252</f>
        <v>#NAME?</v>
      </c>
      <c r="C912">
        <v>20100629</v>
      </c>
      <c r="D912">
        <v>20101004</v>
      </c>
      <c r="E912" t="s">
        <v>1139</v>
      </c>
      <c r="G912" t="s">
        <v>2257</v>
      </c>
      <c r="I912" t="s">
        <v>1939</v>
      </c>
      <c r="K912">
        <v>1</v>
      </c>
      <c r="M912">
        <v>0</v>
      </c>
      <c r="N912">
        <v>53.88</v>
      </c>
      <c r="O912">
        <v>40</v>
      </c>
      <c r="P912">
        <v>32.328000000000003</v>
      </c>
    </row>
    <row r="913" spans="1:16">
      <c r="A913" t="s">
        <v>2258</v>
      </c>
      <c r="B913" t="e">
        <f>-CLI.LIAISON6M</f>
        <v>#NAME?</v>
      </c>
      <c r="C913">
        <v>20100629</v>
      </c>
      <c r="D913">
        <v>20101004</v>
      </c>
      <c r="E913" t="s">
        <v>1813</v>
      </c>
      <c r="G913" t="s">
        <v>2259</v>
      </c>
      <c r="I913" t="s">
        <v>1939</v>
      </c>
      <c r="K913">
        <v>1</v>
      </c>
      <c r="M913">
        <v>0</v>
      </c>
      <c r="N913">
        <v>317.37</v>
      </c>
      <c r="O913">
        <v>40</v>
      </c>
      <c r="P913">
        <v>190.422</v>
      </c>
    </row>
    <row r="914" spans="1:16">
      <c r="A914" t="s">
        <v>2260</v>
      </c>
      <c r="B914" t="e">
        <f>-CLI.PAC28</f>
        <v>#NAME?</v>
      </c>
      <c r="C914">
        <v>20100629</v>
      </c>
      <c r="D914">
        <v>20101004</v>
      </c>
      <c r="E914" t="s">
        <v>1804</v>
      </c>
      <c r="G914" t="s">
        <v>2261</v>
      </c>
      <c r="I914" t="s">
        <v>1939</v>
      </c>
      <c r="K914">
        <v>1</v>
      </c>
      <c r="M914">
        <v>0</v>
      </c>
      <c r="N914">
        <v>2100.6</v>
      </c>
      <c r="O914">
        <v>40</v>
      </c>
      <c r="P914">
        <v>1260.3599999999999</v>
      </c>
    </row>
    <row r="915" spans="1:16">
      <c r="A915" t="s">
        <v>2262</v>
      </c>
      <c r="B915" t="e">
        <f>-CLI.PACGSRM</f>
        <v>#NAME?</v>
      </c>
      <c r="C915">
        <v>20100629</v>
      </c>
      <c r="D915">
        <v>20101004</v>
      </c>
      <c r="E915" t="s">
        <v>1804</v>
      </c>
      <c r="G915" t="s">
        <v>2263</v>
      </c>
      <c r="I915" t="s">
        <v>1939</v>
      </c>
      <c r="K915">
        <v>1</v>
      </c>
      <c r="M915">
        <v>0</v>
      </c>
      <c r="N915">
        <v>2354.41</v>
      </c>
      <c r="O915">
        <v>40</v>
      </c>
      <c r="P915">
        <v>1412.646</v>
      </c>
    </row>
    <row r="916" spans="1:16">
      <c r="A916" t="s">
        <v>2264</v>
      </c>
      <c r="B916" t="e">
        <f>-CLI.V222T</f>
        <v>#NAME?</v>
      </c>
      <c r="C916">
        <v>20100629</v>
      </c>
      <c r="D916">
        <v>20101004</v>
      </c>
      <c r="E916" t="s">
        <v>1139</v>
      </c>
      <c r="G916" t="s">
        <v>2265</v>
      </c>
      <c r="I916" t="s">
        <v>1939</v>
      </c>
      <c r="K916">
        <v>1</v>
      </c>
      <c r="M916">
        <v>0</v>
      </c>
      <c r="N916">
        <v>61.98</v>
      </c>
      <c r="O916">
        <v>40</v>
      </c>
      <c r="P916">
        <v>37.188000000000002</v>
      </c>
    </row>
    <row r="917" spans="1:16">
      <c r="A917" t="s">
        <v>2266</v>
      </c>
      <c r="B917" t="e">
        <f>-CLI.V6020</f>
        <v>#NAME?</v>
      </c>
      <c r="C917">
        <v>20100629</v>
      </c>
      <c r="D917">
        <v>20101004</v>
      </c>
      <c r="E917" t="s">
        <v>1139</v>
      </c>
      <c r="G917" t="s">
        <v>2267</v>
      </c>
      <c r="I917" t="s">
        <v>1939</v>
      </c>
      <c r="K917">
        <v>1</v>
      </c>
      <c r="M917">
        <v>0</v>
      </c>
      <c r="N917">
        <v>65.66</v>
      </c>
      <c r="O917">
        <v>40</v>
      </c>
      <c r="P917">
        <v>39.396000000000001</v>
      </c>
    </row>
    <row r="918" spans="1:16">
      <c r="A918" t="s">
        <v>2268</v>
      </c>
      <c r="B918" t="e">
        <f>-CLI.V9002</f>
        <v>#NAME?</v>
      </c>
      <c r="C918">
        <v>20100629</v>
      </c>
      <c r="D918">
        <v>20101004</v>
      </c>
      <c r="E918" t="s">
        <v>1139</v>
      </c>
      <c r="G918" t="s">
        <v>2269</v>
      </c>
      <c r="I918" t="s">
        <v>1939</v>
      </c>
      <c r="K918">
        <v>1</v>
      </c>
      <c r="M918">
        <v>0</v>
      </c>
      <c r="N918">
        <v>36.229999999999997</v>
      </c>
      <c r="O918">
        <v>40</v>
      </c>
      <c r="P918">
        <v>21.738</v>
      </c>
    </row>
    <row r="919" spans="1:16">
      <c r="A919" t="s">
        <v>2270</v>
      </c>
      <c r="B919" t="e">
        <f>-CMT.8201KP5W</f>
        <v>#NAME?</v>
      </c>
      <c r="C919">
        <v>20100629</v>
      </c>
      <c r="D919">
        <v>20101004</v>
      </c>
      <c r="E919" t="s">
        <v>1967</v>
      </c>
      <c r="G919" t="s">
        <v>2271</v>
      </c>
      <c r="I919" t="s">
        <v>1969</v>
      </c>
      <c r="K919">
        <v>1</v>
      </c>
      <c r="M919">
        <v>0</v>
      </c>
      <c r="N919">
        <v>129.66999999999999</v>
      </c>
      <c r="O919">
        <v>40</v>
      </c>
      <c r="P919">
        <v>77.802000000000007</v>
      </c>
    </row>
    <row r="920" spans="1:16">
      <c r="A920" t="s">
        <v>2272</v>
      </c>
      <c r="B920" t="e">
        <f>-COD.14644</f>
        <v>#NAME?</v>
      </c>
      <c r="C920">
        <v>20100629</v>
      </c>
      <c r="D920">
        <v>20101015</v>
      </c>
      <c r="E920" t="s">
        <v>2273</v>
      </c>
      <c r="G920" t="s">
        <v>2274</v>
      </c>
      <c r="I920" t="s">
        <v>1974</v>
      </c>
      <c r="K920">
        <v>1</v>
      </c>
      <c r="M920">
        <v>0</v>
      </c>
      <c r="N920">
        <v>30.89</v>
      </c>
      <c r="O920">
        <v>40</v>
      </c>
      <c r="P920">
        <v>18.533999999999999</v>
      </c>
    </row>
    <row r="921" spans="1:16">
      <c r="A921" t="s">
        <v>2275</v>
      </c>
      <c r="B921" t="e">
        <f>-COD.22019</f>
        <v>#NAME?</v>
      </c>
      <c r="C921">
        <v>20100629</v>
      </c>
      <c r="D921">
        <v>20101015</v>
      </c>
      <c r="E921" t="s">
        <v>2276</v>
      </c>
      <c r="G921" t="s">
        <v>2277</v>
      </c>
      <c r="I921" t="s">
        <v>1974</v>
      </c>
      <c r="K921">
        <v>1</v>
      </c>
      <c r="M921">
        <v>0</v>
      </c>
      <c r="N921">
        <v>5.13</v>
      </c>
      <c r="O921">
        <v>40</v>
      </c>
      <c r="P921">
        <v>3.0779999999999998</v>
      </c>
    </row>
    <row r="922" spans="1:16">
      <c r="A922" t="s">
        <v>2278</v>
      </c>
      <c r="B922" t="e">
        <f>-COD.24323</f>
        <v>#NAME?</v>
      </c>
      <c r="C922">
        <v>20100629</v>
      </c>
      <c r="D922">
        <v>20101015</v>
      </c>
      <c r="E922" t="s">
        <v>899</v>
      </c>
      <c r="G922" t="s">
        <v>2279</v>
      </c>
      <c r="I922" t="s">
        <v>1974</v>
      </c>
      <c r="K922">
        <v>1</v>
      </c>
      <c r="M922">
        <v>0</v>
      </c>
      <c r="N922">
        <v>329.81</v>
      </c>
      <c r="O922">
        <v>40</v>
      </c>
      <c r="P922">
        <v>197.886</v>
      </c>
    </row>
    <row r="923" spans="1:16">
      <c r="A923" t="s">
        <v>2280</v>
      </c>
      <c r="B923" t="e">
        <f>-COD.40020-12</f>
        <v>#NAME?</v>
      </c>
      <c r="C923">
        <v>20100629</v>
      </c>
      <c r="D923">
        <v>20101015</v>
      </c>
      <c r="E923" t="s">
        <v>2281</v>
      </c>
      <c r="G923" t="s">
        <v>2282</v>
      </c>
      <c r="I923" t="s">
        <v>1974</v>
      </c>
      <c r="K923">
        <v>1</v>
      </c>
      <c r="M923">
        <v>0</v>
      </c>
      <c r="N923">
        <v>30.89</v>
      </c>
      <c r="O923">
        <v>40</v>
      </c>
      <c r="P923">
        <v>18.533999999999999</v>
      </c>
    </row>
    <row r="924" spans="1:16">
      <c r="A924" t="s">
        <v>2283</v>
      </c>
      <c r="B924" t="e">
        <f>-COD.43609</f>
        <v>#NAME?</v>
      </c>
      <c r="C924">
        <v>20100629</v>
      </c>
      <c r="D924">
        <v>20101015</v>
      </c>
      <c r="E924" t="s">
        <v>899</v>
      </c>
      <c r="G924" t="s">
        <v>2284</v>
      </c>
      <c r="I924" t="s">
        <v>1974</v>
      </c>
      <c r="K924">
        <v>1</v>
      </c>
      <c r="M924">
        <v>0</v>
      </c>
      <c r="N924">
        <v>308.72000000000003</v>
      </c>
      <c r="O924">
        <v>40</v>
      </c>
      <c r="P924">
        <v>185.232</v>
      </c>
    </row>
    <row r="925" spans="1:16">
      <c r="A925" t="s">
        <v>2285</v>
      </c>
      <c r="B925" t="e">
        <f>-COD.48477</f>
        <v>#NAME?</v>
      </c>
      <c r="C925">
        <v>20100629</v>
      </c>
      <c r="D925">
        <v>20101015</v>
      </c>
      <c r="E925" t="s">
        <v>2286</v>
      </c>
      <c r="G925" t="s">
        <v>2287</v>
      </c>
      <c r="I925" t="s">
        <v>1974</v>
      </c>
      <c r="K925">
        <v>1</v>
      </c>
      <c r="M925">
        <v>0</v>
      </c>
      <c r="N925">
        <v>95.18</v>
      </c>
      <c r="O925">
        <v>40</v>
      </c>
      <c r="P925">
        <v>57.107999999999997</v>
      </c>
    </row>
    <row r="926" spans="1:16">
      <c r="A926" t="s">
        <v>2288</v>
      </c>
      <c r="B926" t="e">
        <f>-COD.610</f>
        <v>#NAME?</v>
      </c>
      <c r="C926">
        <v>20100629</v>
      </c>
      <c r="D926">
        <v>20101015</v>
      </c>
      <c r="E926" t="s">
        <v>899</v>
      </c>
      <c r="G926" t="s">
        <v>2289</v>
      </c>
      <c r="I926" t="s">
        <v>1974</v>
      </c>
      <c r="K926">
        <v>1</v>
      </c>
      <c r="M926">
        <v>0</v>
      </c>
      <c r="N926">
        <v>51.44</v>
      </c>
      <c r="O926">
        <v>40</v>
      </c>
      <c r="P926">
        <v>30.864000000000001</v>
      </c>
    </row>
    <row r="927" spans="1:16">
      <c r="A927" t="s">
        <v>2290</v>
      </c>
      <c r="B927" t="e">
        <f>-DIF.807211</f>
        <v>#NAME?</v>
      </c>
      <c r="C927">
        <v>20100629</v>
      </c>
      <c r="D927">
        <v>20101004</v>
      </c>
      <c r="E927" t="s">
        <v>1526</v>
      </c>
      <c r="G927" t="s">
        <v>2291</v>
      </c>
      <c r="I927" t="s">
        <v>2032</v>
      </c>
      <c r="K927">
        <v>1</v>
      </c>
      <c r="M927">
        <v>0</v>
      </c>
      <c r="N927">
        <v>68.55</v>
      </c>
      <c r="O927">
        <v>40</v>
      </c>
      <c r="P927">
        <v>41.13</v>
      </c>
    </row>
    <row r="928" spans="1:16">
      <c r="A928" t="s">
        <v>2292</v>
      </c>
      <c r="B928" t="e">
        <f>-DIF.807232</f>
        <v>#NAME?</v>
      </c>
      <c r="C928">
        <v>20100629</v>
      </c>
      <c r="D928">
        <v>20101004</v>
      </c>
      <c r="E928" t="s">
        <v>1526</v>
      </c>
      <c r="G928" t="s">
        <v>2293</v>
      </c>
      <c r="I928" t="s">
        <v>2032</v>
      </c>
      <c r="K928">
        <v>1</v>
      </c>
      <c r="M928">
        <v>0</v>
      </c>
      <c r="N928">
        <v>279.45</v>
      </c>
      <c r="O928">
        <v>40</v>
      </c>
      <c r="P928">
        <v>167.67</v>
      </c>
    </row>
    <row r="929" spans="1:16">
      <c r="A929" t="s">
        <v>2294</v>
      </c>
      <c r="B929" t="e">
        <f>-DIF.807320</f>
        <v>#NAME?</v>
      </c>
      <c r="C929">
        <v>20100629</v>
      </c>
      <c r="D929">
        <v>20101004</v>
      </c>
      <c r="E929" t="s">
        <v>2295</v>
      </c>
      <c r="G929" t="s">
        <v>2296</v>
      </c>
      <c r="I929" t="s">
        <v>2032</v>
      </c>
      <c r="K929">
        <v>1</v>
      </c>
      <c r="M929">
        <v>0</v>
      </c>
      <c r="N929">
        <v>86.44</v>
      </c>
      <c r="O929">
        <v>40</v>
      </c>
      <c r="P929">
        <v>51.863999999999997</v>
      </c>
    </row>
    <row r="930" spans="1:16">
      <c r="A930" t="s">
        <v>2297</v>
      </c>
      <c r="B930" t="e">
        <f>-EA.15330</f>
        <v>#NAME?</v>
      </c>
      <c r="C930">
        <v>20100629</v>
      </c>
      <c r="D930">
        <v>20101004</v>
      </c>
      <c r="E930" t="s">
        <v>2298</v>
      </c>
      <c r="G930" t="s">
        <v>2299</v>
      </c>
      <c r="I930" t="s">
        <v>2300</v>
      </c>
      <c r="K930">
        <v>1</v>
      </c>
      <c r="M930">
        <v>0</v>
      </c>
      <c r="N930">
        <v>79.25</v>
      </c>
      <c r="O930">
        <v>40</v>
      </c>
      <c r="P930">
        <v>47.55</v>
      </c>
    </row>
    <row r="931" spans="1:16">
      <c r="A931" t="s">
        <v>2301</v>
      </c>
      <c r="B931" t="e">
        <f>-EA.310D</f>
        <v>#NAME?</v>
      </c>
      <c r="C931">
        <v>20100629</v>
      </c>
      <c r="D931">
        <v>20101004</v>
      </c>
      <c r="E931" t="s">
        <v>2302</v>
      </c>
      <c r="G931" t="s">
        <v>2303</v>
      </c>
      <c r="I931" t="s">
        <v>2300</v>
      </c>
      <c r="K931">
        <v>1</v>
      </c>
      <c r="M931">
        <v>0</v>
      </c>
      <c r="N931">
        <v>537.16999999999996</v>
      </c>
      <c r="O931">
        <v>40</v>
      </c>
      <c r="P931">
        <v>322.30200000000002</v>
      </c>
    </row>
    <row r="932" spans="1:16">
      <c r="A932" t="s">
        <v>2304</v>
      </c>
      <c r="B932" t="e">
        <f>-EA.3920</f>
        <v>#NAME?</v>
      </c>
      <c r="C932">
        <v>20100629</v>
      </c>
      <c r="D932">
        <v>20101004</v>
      </c>
      <c r="E932" t="s">
        <v>90</v>
      </c>
      <c r="G932" t="s">
        <v>2305</v>
      </c>
      <c r="I932" t="s">
        <v>2300</v>
      </c>
      <c r="K932">
        <v>1</v>
      </c>
      <c r="M932">
        <v>0</v>
      </c>
      <c r="N932">
        <v>13.37</v>
      </c>
      <c r="O932">
        <v>40</v>
      </c>
      <c r="P932">
        <v>8.0220000000000002</v>
      </c>
    </row>
    <row r="933" spans="1:16">
      <c r="A933" t="s">
        <v>2306</v>
      </c>
      <c r="B933" t="e">
        <f>-EA.ADA</f>
        <v>#NAME?</v>
      </c>
      <c r="C933">
        <v>20100629</v>
      </c>
      <c r="D933">
        <v>20101004</v>
      </c>
      <c r="E933" t="s">
        <v>514</v>
      </c>
      <c r="G933" t="s">
        <v>2307</v>
      </c>
      <c r="I933" t="s">
        <v>2300</v>
      </c>
      <c r="K933">
        <v>1</v>
      </c>
      <c r="M933">
        <v>0</v>
      </c>
      <c r="N933">
        <v>2.88</v>
      </c>
      <c r="O933">
        <v>40</v>
      </c>
      <c r="P933">
        <v>1.728</v>
      </c>
    </row>
    <row r="934" spans="1:16">
      <c r="A934" t="s">
        <v>2308</v>
      </c>
      <c r="B934" t="e">
        <f>-EA.AL2N</f>
        <v>#NAME?</v>
      </c>
      <c r="C934">
        <v>20100629</v>
      </c>
      <c r="D934">
        <v>20101004</v>
      </c>
      <c r="E934" t="s">
        <v>144</v>
      </c>
      <c r="G934" t="s">
        <v>2309</v>
      </c>
      <c r="I934" t="s">
        <v>2300</v>
      </c>
      <c r="K934">
        <v>1</v>
      </c>
      <c r="M934">
        <v>0</v>
      </c>
      <c r="N934">
        <v>91.85</v>
      </c>
      <c r="O934">
        <v>40</v>
      </c>
      <c r="P934">
        <v>55.11</v>
      </c>
    </row>
    <row r="935" spans="1:16">
      <c r="A935" t="s">
        <v>2310</v>
      </c>
      <c r="B935" t="e">
        <f>-EA.C100</f>
        <v>#NAME?</v>
      </c>
      <c r="C935">
        <v>20100629</v>
      </c>
      <c r="D935">
        <v>20101004</v>
      </c>
      <c r="E935" t="s">
        <v>2311</v>
      </c>
      <c r="G935" t="s">
        <v>2312</v>
      </c>
      <c r="I935" t="s">
        <v>2300</v>
      </c>
      <c r="K935">
        <v>1</v>
      </c>
      <c r="M935">
        <v>0</v>
      </c>
      <c r="N935">
        <v>136.86000000000001</v>
      </c>
      <c r="O935">
        <v>40</v>
      </c>
      <c r="P935">
        <v>82.116</v>
      </c>
    </row>
    <row r="936" spans="1:16">
      <c r="A936" t="s">
        <v>2313</v>
      </c>
      <c r="B936" t="e">
        <f>-EA.C2412</f>
        <v>#NAME?</v>
      </c>
      <c r="C936">
        <v>20100629</v>
      </c>
      <c r="D936">
        <v>20101004</v>
      </c>
      <c r="E936" t="s">
        <v>2311</v>
      </c>
      <c r="G936" t="s">
        <v>2314</v>
      </c>
      <c r="I936" t="s">
        <v>2300</v>
      </c>
      <c r="K936">
        <v>1</v>
      </c>
      <c r="M936">
        <v>0</v>
      </c>
      <c r="N936">
        <v>168.72</v>
      </c>
      <c r="O936">
        <v>40</v>
      </c>
      <c r="P936">
        <v>101.232</v>
      </c>
    </row>
    <row r="937" spans="1:16">
      <c r="A937" t="s">
        <v>2315</v>
      </c>
      <c r="B937" t="e">
        <f>-EA.DFB</f>
        <v>#NAME?</v>
      </c>
      <c r="C937">
        <v>20100629</v>
      </c>
      <c r="D937">
        <v>20101004</v>
      </c>
      <c r="E937" t="s">
        <v>87</v>
      </c>
      <c r="G937" t="s">
        <v>2316</v>
      </c>
      <c r="I937" t="s">
        <v>2300</v>
      </c>
      <c r="K937">
        <v>1</v>
      </c>
      <c r="M937">
        <v>0</v>
      </c>
      <c r="N937">
        <v>79.25</v>
      </c>
      <c r="O937">
        <v>40</v>
      </c>
      <c r="P937">
        <v>47.55</v>
      </c>
    </row>
    <row r="938" spans="1:16">
      <c r="A938" t="s">
        <v>2317</v>
      </c>
      <c r="B938" t="e">
        <f>-EA.R1000</f>
        <v>#NAME?</v>
      </c>
      <c r="C938">
        <v>20100629</v>
      </c>
      <c r="D938">
        <v>20101004</v>
      </c>
      <c r="E938" t="s">
        <v>2318</v>
      </c>
      <c r="G938" t="s">
        <v>2319</v>
      </c>
      <c r="I938" t="s">
        <v>2300</v>
      </c>
      <c r="K938">
        <v>1</v>
      </c>
      <c r="M938">
        <v>0</v>
      </c>
      <c r="N938">
        <v>252.11</v>
      </c>
      <c r="O938">
        <v>40</v>
      </c>
      <c r="P938">
        <v>151.26599999999999</v>
      </c>
    </row>
    <row r="939" spans="1:16">
      <c r="A939" t="s">
        <v>2320</v>
      </c>
      <c r="B939" t="e">
        <f>-EA.R250</f>
        <v>#NAME?</v>
      </c>
      <c r="C939">
        <v>20100629</v>
      </c>
      <c r="D939">
        <v>20101004</v>
      </c>
      <c r="E939" t="s">
        <v>2318</v>
      </c>
      <c r="G939" t="s">
        <v>2321</v>
      </c>
      <c r="I939" t="s">
        <v>2300</v>
      </c>
      <c r="K939">
        <v>1</v>
      </c>
      <c r="M939">
        <v>0</v>
      </c>
      <c r="N939">
        <v>154.35</v>
      </c>
      <c r="O939">
        <v>40</v>
      </c>
      <c r="P939">
        <v>92.61</v>
      </c>
    </row>
    <row r="940" spans="1:16">
      <c r="A940" t="s">
        <v>2322</v>
      </c>
      <c r="B940" t="e">
        <f>-ERE.12V6530VA</f>
        <v>#NAME?</v>
      </c>
      <c r="C940">
        <v>20100629</v>
      </c>
      <c r="D940">
        <v>20101004</v>
      </c>
      <c r="E940" t="s">
        <v>39</v>
      </c>
      <c r="G940" t="s">
        <v>2323</v>
      </c>
      <c r="I940" t="s">
        <v>2127</v>
      </c>
      <c r="K940">
        <v>1</v>
      </c>
      <c r="M940">
        <v>0</v>
      </c>
      <c r="N940">
        <v>246.55</v>
      </c>
      <c r="O940">
        <v>40</v>
      </c>
      <c r="P940">
        <v>147.93</v>
      </c>
    </row>
    <row r="941" spans="1:16">
      <c r="A941" t="s">
        <v>2324</v>
      </c>
      <c r="B941" t="e">
        <f>-ERE.ESP63VA</f>
        <v>#NAME?</v>
      </c>
      <c r="C941">
        <v>20100629</v>
      </c>
      <c r="D941">
        <v>20101004</v>
      </c>
      <c r="E941" t="s">
        <v>39</v>
      </c>
      <c r="G941" t="s">
        <v>2325</v>
      </c>
      <c r="I941" t="s">
        <v>2127</v>
      </c>
      <c r="K941">
        <v>1</v>
      </c>
      <c r="M941">
        <v>0</v>
      </c>
      <c r="N941">
        <v>57.11</v>
      </c>
      <c r="O941">
        <v>40</v>
      </c>
      <c r="P941">
        <v>34.265999999999998</v>
      </c>
    </row>
    <row r="942" spans="1:16">
      <c r="A942" t="s">
        <v>2326</v>
      </c>
      <c r="B942" t="e">
        <f>-ERI.187570</f>
        <v>#NAME?</v>
      </c>
      <c r="C942">
        <v>20100629</v>
      </c>
      <c r="D942">
        <v>20101004</v>
      </c>
      <c r="E942" t="s">
        <v>2131</v>
      </c>
      <c r="G942" t="s">
        <v>2327</v>
      </c>
      <c r="I942" t="s">
        <v>2133</v>
      </c>
      <c r="K942">
        <v>1</v>
      </c>
      <c r="M942">
        <v>0</v>
      </c>
      <c r="N942">
        <v>0.27</v>
      </c>
      <c r="O942">
        <v>40</v>
      </c>
      <c r="P942">
        <v>0.16200000000000001</v>
      </c>
    </row>
    <row r="943" spans="1:16">
      <c r="A943" t="s">
        <v>2328</v>
      </c>
      <c r="B943" t="e">
        <f>-ERS.FCFC</f>
        <v>#NAME?</v>
      </c>
      <c r="C943">
        <v>20100629</v>
      </c>
      <c r="D943">
        <v>20101004</v>
      </c>
      <c r="E943" t="s">
        <v>2329</v>
      </c>
      <c r="G943" t="s">
        <v>2330</v>
      </c>
      <c r="I943" t="s">
        <v>2137</v>
      </c>
      <c r="K943">
        <v>1</v>
      </c>
      <c r="M943">
        <v>0</v>
      </c>
      <c r="N943">
        <v>8.51</v>
      </c>
      <c r="O943">
        <v>40</v>
      </c>
      <c r="P943">
        <v>5.1059999999999999</v>
      </c>
    </row>
    <row r="944" spans="1:16">
      <c r="A944" t="s">
        <v>2331</v>
      </c>
      <c r="B944" t="e">
        <f>-ERS.GE803</f>
        <v>#NAME?</v>
      </c>
      <c r="C944">
        <v>20100629</v>
      </c>
      <c r="D944">
        <v>20101004</v>
      </c>
      <c r="E944" t="s">
        <v>2135</v>
      </c>
      <c r="G944" t="s">
        <v>2332</v>
      </c>
      <c r="I944" t="s">
        <v>2137</v>
      </c>
      <c r="K944">
        <v>1</v>
      </c>
      <c r="M944">
        <v>0</v>
      </c>
      <c r="N944">
        <v>193.93</v>
      </c>
      <c r="O944">
        <v>40</v>
      </c>
      <c r="P944">
        <v>116.358</v>
      </c>
    </row>
    <row r="945" spans="1:16">
      <c r="A945" t="s">
        <v>2333</v>
      </c>
      <c r="B945" t="e">
        <f>-FIN.1501</f>
        <v>#NAME?</v>
      </c>
      <c r="C945">
        <v>20100629</v>
      </c>
      <c r="D945">
        <v>20101004</v>
      </c>
      <c r="E945" t="s">
        <v>2334</v>
      </c>
      <c r="G945" t="s">
        <v>2335</v>
      </c>
      <c r="I945" t="s">
        <v>2143</v>
      </c>
      <c r="K945">
        <v>1</v>
      </c>
      <c r="M945">
        <v>0</v>
      </c>
      <c r="N945">
        <v>188.24</v>
      </c>
      <c r="O945">
        <v>40</v>
      </c>
      <c r="P945">
        <v>112.944</v>
      </c>
    </row>
    <row r="946" spans="1:16">
      <c r="A946" t="s">
        <v>2336</v>
      </c>
      <c r="B946" t="e">
        <f>-FIN.26018230</f>
        <v>#NAME?</v>
      </c>
      <c r="C946">
        <v>20100629</v>
      </c>
      <c r="D946">
        <v>20101004</v>
      </c>
      <c r="E946" t="s">
        <v>2148</v>
      </c>
      <c r="G946" t="s">
        <v>2337</v>
      </c>
      <c r="I946" t="s">
        <v>2143</v>
      </c>
      <c r="K946">
        <v>1</v>
      </c>
      <c r="M946">
        <v>0</v>
      </c>
      <c r="N946">
        <v>39.83</v>
      </c>
      <c r="O946">
        <v>40</v>
      </c>
      <c r="P946">
        <v>23.898</v>
      </c>
    </row>
    <row r="947" spans="1:16">
      <c r="A947" t="s">
        <v>2338</v>
      </c>
      <c r="B947" t="e">
        <f>-FIN.40220V</f>
        <v>#NAME?</v>
      </c>
      <c r="C947">
        <v>20100629</v>
      </c>
      <c r="D947">
        <v>20101004</v>
      </c>
      <c r="E947" t="s">
        <v>2339</v>
      </c>
      <c r="G947" t="s">
        <v>2340</v>
      </c>
      <c r="I947" t="s">
        <v>2143</v>
      </c>
      <c r="K947">
        <v>1</v>
      </c>
      <c r="M947">
        <v>0</v>
      </c>
      <c r="N947">
        <v>17.09</v>
      </c>
      <c r="O947">
        <v>40</v>
      </c>
      <c r="P947">
        <v>10.254</v>
      </c>
    </row>
    <row r="948" spans="1:16">
      <c r="A948" t="s">
        <v>2341</v>
      </c>
      <c r="B948" t="e">
        <f>-FIN.40619012</f>
        <v>#NAME?</v>
      </c>
      <c r="C948">
        <v>20100629</v>
      </c>
      <c r="D948">
        <v>20101004</v>
      </c>
      <c r="E948" t="s">
        <v>2145</v>
      </c>
      <c r="G948" t="s">
        <v>2342</v>
      </c>
      <c r="I948" t="s">
        <v>2143</v>
      </c>
      <c r="K948">
        <v>1</v>
      </c>
      <c r="M948">
        <v>0</v>
      </c>
      <c r="N948">
        <v>6.93</v>
      </c>
      <c r="O948">
        <v>40</v>
      </c>
      <c r="P948">
        <v>4.1580000000000004</v>
      </c>
    </row>
    <row r="949" spans="1:16">
      <c r="A949" t="s">
        <v>2343</v>
      </c>
      <c r="B949" t="e">
        <f>-FIN.40SOCLE</f>
        <v>#NAME?</v>
      </c>
      <c r="C949">
        <v>20100629</v>
      </c>
      <c r="D949">
        <v>20110127</v>
      </c>
      <c r="E949" t="s">
        <v>2344</v>
      </c>
      <c r="G949" t="s">
        <v>2345</v>
      </c>
      <c r="I949" t="s">
        <v>2143</v>
      </c>
      <c r="K949">
        <v>1</v>
      </c>
      <c r="M949">
        <v>1</v>
      </c>
      <c r="N949">
        <v>15.27</v>
      </c>
      <c r="O949">
        <v>40</v>
      </c>
      <c r="P949">
        <v>9.1620000000000008</v>
      </c>
    </row>
    <row r="950" spans="1:16">
      <c r="A950" t="s">
        <v>2346</v>
      </c>
      <c r="B950" t="e">
        <f>-FIN.5524VAC</f>
        <v>#NAME?</v>
      </c>
      <c r="C950">
        <v>20100629</v>
      </c>
      <c r="D950">
        <v>20101004</v>
      </c>
      <c r="E950" t="s">
        <v>2145</v>
      </c>
      <c r="G950" t="s">
        <v>2347</v>
      </c>
      <c r="I950" t="s">
        <v>2143</v>
      </c>
      <c r="K950">
        <v>1</v>
      </c>
      <c r="M950">
        <v>0</v>
      </c>
      <c r="N950">
        <v>18.309999999999999</v>
      </c>
      <c r="O950">
        <v>40</v>
      </c>
      <c r="P950">
        <v>10.986000000000001</v>
      </c>
    </row>
    <row r="951" spans="1:16">
      <c r="A951" t="s">
        <v>2348</v>
      </c>
      <c r="B951" t="e">
        <f>-FIN.6013220AC</f>
        <v>#NAME?</v>
      </c>
      <c r="C951">
        <v>20100629</v>
      </c>
      <c r="D951">
        <v>20101004</v>
      </c>
      <c r="E951" t="s">
        <v>2145</v>
      </c>
      <c r="G951" t="s">
        <v>2349</v>
      </c>
      <c r="I951" t="s">
        <v>2143</v>
      </c>
      <c r="K951">
        <v>1</v>
      </c>
      <c r="M951">
        <v>0</v>
      </c>
      <c r="N951">
        <v>23.9</v>
      </c>
      <c r="O951">
        <v>40</v>
      </c>
      <c r="P951">
        <v>14.34</v>
      </c>
    </row>
    <row r="952" spans="1:16">
      <c r="A952" t="s">
        <v>2350</v>
      </c>
      <c r="B952" t="e">
        <f>-FIN.81010230</f>
        <v>#NAME?</v>
      </c>
      <c r="C952">
        <v>20100629</v>
      </c>
      <c r="D952">
        <v>20101004</v>
      </c>
      <c r="E952" t="s">
        <v>2145</v>
      </c>
      <c r="G952" t="s">
        <v>2351</v>
      </c>
      <c r="H952" t="s">
        <v>2352</v>
      </c>
      <c r="I952" t="s">
        <v>2143</v>
      </c>
      <c r="K952">
        <v>1</v>
      </c>
      <c r="M952">
        <v>0</v>
      </c>
      <c r="N952">
        <v>159.57</v>
      </c>
      <c r="O952">
        <v>40</v>
      </c>
      <c r="P952">
        <v>95.742000000000004</v>
      </c>
    </row>
    <row r="953" spans="1:16">
      <c r="A953" t="s">
        <v>2353</v>
      </c>
      <c r="B953" t="e">
        <f>-FIN.8532</f>
        <v>#NAME?</v>
      </c>
      <c r="C953">
        <v>20100629</v>
      </c>
      <c r="D953">
        <v>20101004</v>
      </c>
      <c r="E953" t="s">
        <v>2145</v>
      </c>
      <c r="G953" t="s">
        <v>2354</v>
      </c>
      <c r="I953" t="s">
        <v>2143</v>
      </c>
      <c r="K953">
        <v>1</v>
      </c>
      <c r="M953">
        <v>0</v>
      </c>
      <c r="N953">
        <v>110.85</v>
      </c>
      <c r="O953">
        <v>40</v>
      </c>
      <c r="P953">
        <v>66.510000000000005</v>
      </c>
    </row>
    <row r="954" spans="1:16">
      <c r="A954" t="s">
        <v>2355</v>
      </c>
      <c r="B954" t="e">
        <f>-FIN.8534</f>
        <v>#NAME?</v>
      </c>
      <c r="C954">
        <v>20100629</v>
      </c>
      <c r="D954">
        <v>20101004</v>
      </c>
      <c r="E954" t="s">
        <v>2334</v>
      </c>
      <c r="G954" t="s">
        <v>2356</v>
      </c>
      <c r="I954" t="s">
        <v>2143</v>
      </c>
      <c r="K954">
        <v>1</v>
      </c>
      <c r="M954">
        <v>0</v>
      </c>
      <c r="N954">
        <v>98.66</v>
      </c>
      <c r="O954">
        <v>40</v>
      </c>
      <c r="P954">
        <v>59.195999999999998</v>
      </c>
    </row>
    <row r="955" spans="1:16">
      <c r="A955" t="s">
        <v>2357</v>
      </c>
      <c r="B955" t="e">
        <f>-FIN.9021SOCLE</f>
        <v>#NAME?</v>
      </c>
      <c r="C955">
        <v>20100629</v>
      </c>
      <c r="D955">
        <v>20101004</v>
      </c>
      <c r="E955" t="s">
        <v>2344</v>
      </c>
      <c r="G955" t="s">
        <v>2358</v>
      </c>
      <c r="I955" t="s">
        <v>2143</v>
      </c>
      <c r="K955">
        <v>1</v>
      </c>
      <c r="M955">
        <v>0</v>
      </c>
      <c r="N955">
        <v>11.38</v>
      </c>
      <c r="O955">
        <v>40</v>
      </c>
      <c r="P955">
        <v>6.8280000000000003</v>
      </c>
    </row>
    <row r="956" spans="1:16">
      <c r="A956" t="s">
        <v>2359</v>
      </c>
      <c r="B956" t="e">
        <f>-FIN.9404</f>
        <v>#NAME?</v>
      </c>
      <c r="C956">
        <v>20100629</v>
      </c>
      <c r="D956">
        <v>20101004</v>
      </c>
      <c r="E956" t="s">
        <v>1794</v>
      </c>
      <c r="G956" t="s">
        <v>2360</v>
      </c>
      <c r="I956" t="s">
        <v>2143</v>
      </c>
      <c r="K956">
        <v>1</v>
      </c>
      <c r="M956">
        <v>0</v>
      </c>
      <c r="N956">
        <v>10.81</v>
      </c>
      <c r="O956">
        <v>40</v>
      </c>
      <c r="P956">
        <v>6.4859999999999998</v>
      </c>
    </row>
    <row r="957" spans="1:16">
      <c r="A957" t="s">
        <v>2361</v>
      </c>
      <c r="B957" t="e">
        <f>-FIN.9505</f>
        <v>#NAME?</v>
      </c>
      <c r="C957">
        <v>20100629</v>
      </c>
      <c r="D957">
        <v>20101004</v>
      </c>
      <c r="E957" t="s">
        <v>1794</v>
      </c>
      <c r="G957" t="s">
        <v>2362</v>
      </c>
      <c r="I957" t="s">
        <v>2143</v>
      </c>
      <c r="K957">
        <v>1</v>
      </c>
      <c r="M957">
        <v>0</v>
      </c>
      <c r="N957">
        <v>9.48</v>
      </c>
      <c r="O957">
        <v>40</v>
      </c>
      <c r="P957">
        <v>5.6879999999999997</v>
      </c>
    </row>
    <row r="958" spans="1:16">
      <c r="A958" t="s">
        <v>2363</v>
      </c>
      <c r="B958" t="e">
        <f>-FLA.05006</f>
        <v>#NAME?</v>
      </c>
      <c r="C958">
        <v>20100629</v>
      </c>
      <c r="D958">
        <v>20101004</v>
      </c>
      <c r="E958" t="s">
        <v>2364</v>
      </c>
      <c r="G958" t="s">
        <v>2365</v>
      </c>
      <c r="I958" t="s">
        <v>2366</v>
      </c>
      <c r="K958">
        <v>1</v>
      </c>
      <c r="M958">
        <v>0</v>
      </c>
      <c r="N958">
        <v>30.86</v>
      </c>
      <c r="O958">
        <v>40</v>
      </c>
      <c r="P958">
        <v>18.515999999999998</v>
      </c>
    </row>
    <row r="959" spans="1:16">
      <c r="A959" t="s">
        <v>2367</v>
      </c>
      <c r="B959" t="e">
        <f>-FLA.13001</f>
        <v>#NAME?</v>
      </c>
      <c r="C959">
        <v>20100629</v>
      </c>
      <c r="D959">
        <v>20101004</v>
      </c>
      <c r="E959" t="s">
        <v>2368</v>
      </c>
      <c r="G959" t="s">
        <v>2369</v>
      </c>
      <c r="I959" t="s">
        <v>2366</v>
      </c>
      <c r="K959">
        <v>1</v>
      </c>
      <c r="M959">
        <v>0</v>
      </c>
      <c r="N959">
        <v>60.52</v>
      </c>
      <c r="O959">
        <v>40</v>
      </c>
      <c r="P959">
        <v>36.311999999999998</v>
      </c>
    </row>
    <row r="960" spans="1:16">
      <c r="A960" t="s">
        <v>2370</v>
      </c>
      <c r="B960" t="e">
        <f>-FOR.26206</f>
        <v>#NAME?</v>
      </c>
      <c r="C960">
        <v>20100629</v>
      </c>
      <c r="D960">
        <v>20101004</v>
      </c>
      <c r="E960" t="s">
        <v>889</v>
      </c>
      <c r="G960" t="s">
        <v>2371</v>
      </c>
      <c r="I960" t="s">
        <v>2372</v>
      </c>
      <c r="K960">
        <v>1</v>
      </c>
      <c r="M960">
        <v>0</v>
      </c>
      <c r="N960">
        <v>2.92</v>
      </c>
      <c r="O960">
        <v>40</v>
      </c>
      <c r="P960">
        <v>1.752</v>
      </c>
    </row>
    <row r="961" spans="1:16">
      <c r="A961" t="s">
        <v>2373</v>
      </c>
      <c r="B961" t="e">
        <f>-FOR.50013</f>
        <v>#NAME?</v>
      </c>
      <c r="C961">
        <v>20100629</v>
      </c>
      <c r="D961">
        <v>20101004</v>
      </c>
      <c r="E961" t="s">
        <v>2374</v>
      </c>
      <c r="G961" t="s">
        <v>2375</v>
      </c>
      <c r="I961" t="s">
        <v>2372</v>
      </c>
      <c r="K961">
        <v>1</v>
      </c>
      <c r="M961">
        <v>0</v>
      </c>
      <c r="N961">
        <v>106.8</v>
      </c>
      <c r="O961">
        <v>40</v>
      </c>
      <c r="P961">
        <v>64.08</v>
      </c>
    </row>
    <row r="962" spans="1:16">
      <c r="A962" t="s">
        <v>2376</v>
      </c>
      <c r="B962" t="e">
        <f>-FOR.72320</f>
        <v>#NAME?</v>
      </c>
      <c r="C962">
        <v>20100629</v>
      </c>
      <c r="D962">
        <v>20101004</v>
      </c>
      <c r="E962" t="s">
        <v>2377</v>
      </c>
      <c r="G962" t="s">
        <v>2378</v>
      </c>
      <c r="I962" t="s">
        <v>2372</v>
      </c>
      <c r="K962">
        <v>1</v>
      </c>
      <c r="M962">
        <v>0</v>
      </c>
      <c r="N962">
        <v>0.77</v>
      </c>
      <c r="O962">
        <v>40</v>
      </c>
      <c r="P962">
        <v>0.46200000000000002</v>
      </c>
    </row>
    <row r="963" spans="1:16">
      <c r="A963" t="s">
        <v>2379</v>
      </c>
      <c r="B963" t="e">
        <f>-FOR.73004</f>
        <v>#NAME?</v>
      </c>
      <c r="C963">
        <v>20100629</v>
      </c>
      <c r="D963">
        <v>20101004</v>
      </c>
      <c r="E963" t="s">
        <v>2377</v>
      </c>
      <c r="G963" t="s">
        <v>2380</v>
      </c>
      <c r="I963" t="s">
        <v>2372</v>
      </c>
      <c r="K963">
        <v>1</v>
      </c>
      <c r="M963">
        <v>0</v>
      </c>
      <c r="N963">
        <v>1.17</v>
      </c>
      <c r="O963">
        <v>40</v>
      </c>
      <c r="P963">
        <v>0.70199999999999996</v>
      </c>
    </row>
    <row r="964" spans="1:16">
      <c r="A964" t="s">
        <v>2381</v>
      </c>
      <c r="B964" t="e">
        <f>-FOR.73006</f>
        <v>#NAME?</v>
      </c>
      <c r="C964">
        <v>20100629</v>
      </c>
      <c r="D964">
        <v>20101004</v>
      </c>
      <c r="E964" t="s">
        <v>2377</v>
      </c>
      <c r="G964" t="s">
        <v>2382</v>
      </c>
      <c r="I964" t="s">
        <v>2372</v>
      </c>
      <c r="K964">
        <v>1</v>
      </c>
      <c r="M964">
        <v>0</v>
      </c>
      <c r="N964">
        <v>1.17</v>
      </c>
      <c r="O964">
        <v>40</v>
      </c>
      <c r="P964">
        <v>0.70199999999999996</v>
      </c>
    </row>
    <row r="965" spans="1:16">
      <c r="A965" t="s">
        <v>2383</v>
      </c>
      <c r="B965" t="e">
        <f>-FOR.73016</f>
        <v>#NAME?</v>
      </c>
      <c r="C965">
        <v>20100629</v>
      </c>
      <c r="D965">
        <v>20101004</v>
      </c>
      <c r="E965" t="s">
        <v>2377</v>
      </c>
      <c r="G965" t="s">
        <v>2384</v>
      </c>
      <c r="I965" t="s">
        <v>2372</v>
      </c>
      <c r="K965">
        <v>1</v>
      </c>
      <c r="M965">
        <v>0</v>
      </c>
      <c r="N965">
        <v>1.17</v>
      </c>
      <c r="O965">
        <v>40</v>
      </c>
      <c r="P965">
        <v>0.70199999999999996</v>
      </c>
    </row>
    <row r="966" spans="1:16">
      <c r="A966" t="s">
        <v>2385</v>
      </c>
      <c r="B966" t="e">
        <f>-FRI.56012</f>
        <v>#NAME?</v>
      </c>
      <c r="C966">
        <v>20100629</v>
      </c>
      <c r="D966">
        <v>20101018</v>
      </c>
      <c r="E966" t="s">
        <v>2025</v>
      </c>
      <c r="G966" t="s">
        <v>2386</v>
      </c>
      <c r="I966" t="s">
        <v>2387</v>
      </c>
      <c r="K966">
        <v>1</v>
      </c>
      <c r="M966">
        <v>0</v>
      </c>
      <c r="N966">
        <v>98.35</v>
      </c>
      <c r="O966">
        <v>40</v>
      </c>
      <c r="P966">
        <v>59.01</v>
      </c>
    </row>
    <row r="967" spans="1:16">
      <c r="A967" t="s">
        <v>2388</v>
      </c>
      <c r="B967" t="e">
        <f>-FRI.BIGBEN</f>
        <v>#NAME?</v>
      </c>
      <c r="C967">
        <v>20100629</v>
      </c>
      <c r="D967">
        <v>20101018</v>
      </c>
      <c r="E967" t="s">
        <v>2389</v>
      </c>
      <c r="G967" t="s">
        <v>2390</v>
      </c>
      <c r="I967" t="s">
        <v>2387</v>
      </c>
      <c r="K967">
        <v>1</v>
      </c>
      <c r="M967">
        <v>0</v>
      </c>
      <c r="N967">
        <v>49.59</v>
      </c>
      <c r="O967">
        <v>40</v>
      </c>
      <c r="P967">
        <v>29.754000000000001</v>
      </c>
    </row>
    <row r="968" spans="1:16">
      <c r="A968" t="s">
        <v>2391</v>
      </c>
      <c r="B968" t="e">
        <f>-FRI.D126</f>
        <v>#NAME?</v>
      </c>
      <c r="C968">
        <v>20100629</v>
      </c>
      <c r="D968">
        <v>20101018</v>
      </c>
      <c r="E968" t="s">
        <v>2389</v>
      </c>
      <c r="G968" t="s">
        <v>2392</v>
      </c>
      <c r="I968" t="s">
        <v>2387</v>
      </c>
      <c r="K968">
        <v>1</v>
      </c>
      <c r="M968">
        <v>0</v>
      </c>
      <c r="N968">
        <v>32.909999999999997</v>
      </c>
      <c r="O968">
        <v>40</v>
      </c>
      <c r="P968">
        <v>19.745999999999999</v>
      </c>
    </row>
    <row r="969" spans="1:16">
      <c r="A969" t="s">
        <v>2393</v>
      </c>
      <c r="B969" t="e">
        <f>-FRI.D340G</f>
        <v>#NAME?</v>
      </c>
      <c r="C969">
        <v>20100629</v>
      </c>
      <c r="D969">
        <v>20101018</v>
      </c>
      <c r="E969" t="s">
        <v>2389</v>
      </c>
      <c r="G969" t="s">
        <v>2394</v>
      </c>
      <c r="H969" t="s">
        <v>2395</v>
      </c>
      <c r="I969" t="s">
        <v>2387</v>
      </c>
      <c r="K969">
        <v>1</v>
      </c>
      <c r="M969">
        <v>0</v>
      </c>
      <c r="N969">
        <v>138.88999999999999</v>
      </c>
      <c r="O969">
        <v>40</v>
      </c>
      <c r="P969">
        <v>83.334000000000003</v>
      </c>
    </row>
    <row r="970" spans="1:16">
      <c r="A970" t="s">
        <v>2396</v>
      </c>
      <c r="B970" t="e">
        <f>-FRI.FIESTA</f>
        <v>#NAME?</v>
      </c>
      <c r="C970">
        <v>20100629</v>
      </c>
      <c r="D970">
        <v>20101018</v>
      </c>
      <c r="E970" t="s">
        <v>2389</v>
      </c>
      <c r="G970" t="s">
        <v>2397</v>
      </c>
      <c r="I970" t="s">
        <v>2387</v>
      </c>
      <c r="K970">
        <v>1</v>
      </c>
      <c r="M970">
        <v>0</v>
      </c>
      <c r="N970">
        <v>38.61</v>
      </c>
      <c r="O970">
        <v>40</v>
      </c>
      <c r="P970">
        <v>23.166</v>
      </c>
    </row>
    <row r="971" spans="1:16">
      <c r="A971" t="s">
        <v>2398</v>
      </c>
      <c r="B971" t="e">
        <f>-FRI.GALA</f>
        <v>#NAME?</v>
      </c>
      <c r="C971">
        <v>20100629</v>
      </c>
      <c r="D971">
        <v>20101018</v>
      </c>
      <c r="E971" t="s">
        <v>2389</v>
      </c>
      <c r="G971" t="s">
        <v>2399</v>
      </c>
      <c r="I971" t="s">
        <v>2387</v>
      </c>
      <c r="K971">
        <v>1</v>
      </c>
      <c r="M971">
        <v>0</v>
      </c>
      <c r="N971">
        <v>19.36</v>
      </c>
      <c r="O971">
        <v>40</v>
      </c>
      <c r="P971">
        <v>11.616</v>
      </c>
    </row>
    <row r="972" spans="1:16">
      <c r="A972" t="s">
        <v>2400</v>
      </c>
      <c r="B972" t="e">
        <f>-GAI.GAINE4.8</f>
        <v>#NAME?</v>
      </c>
      <c r="C972">
        <v>20100629</v>
      </c>
      <c r="D972">
        <v>20110127</v>
      </c>
      <c r="E972" t="s">
        <v>2401</v>
      </c>
      <c r="G972" t="s">
        <v>2402</v>
      </c>
      <c r="I972" t="s">
        <v>2403</v>
      </c>
      <c r="K972">
        <v>1</v>
      </c>
      <c r="M972">
        <v>1</v>
      </c>
      <c r="N972">
        <v>11.62</v>
      </c>
      <c r="O972">
        <v>40</v>
      </c>
      <c r="P972">
        <v>6.9720000000000004</v>
      </c>
    </row>
    <row r="973" spans="1:16">
      <c r="A973" t="s">
        <v>2404</v>
      </c>
      <c r="B973" t="e">
        <f>-GAI.ICTDE32NN</f>
        <v>#NAME?</v>
      </c>
      <c r="C973">
        <v>20100629</v>
      </c>
      <c r="D973">
        <v>20110127</v>
      </c>
      <c r="E973" t="s">
        <v>2405</v>
      </c>
      <c r="G973" t="s">
        <v>2406</v>
      </c>
      <c r="I973" t="s">
        <v>2403</v>
      </c>
      <c r="K973">
        <v>1</v>
      </c>
      <c r="M973">
        <v>1</v>
      </c>
      <c r="N973">
        <v>163.62</v>
      </c>
      <c r="O973">
        <v>40</v>
      </c>
      <c r="P973">
        <v>98.171999999999997</v>
      </c>
    </row>
    <row r="974" spans="1:16">
      <c r="A974" t="s">
        <v>2407</v>
      </c>
      <c r="B974" t="e">
        <f>-GAI.TPC60</f>
        <v>#NAME?</v>
      </c>
      <c r="C974">
        <v>20100629</v>
      </c>
      <c r="D974">
        <v>20110127</v>
      </c>
      <c r="E974" t="s">
        <v>2408</v>
      </c>
      <c r="G974" t="s">
        <v>2409</v>
      </c>
      <c r="I974" t="s">
        <v>2403</v>
      </c>
      <c r="K974">
        <v>1</v>
      </c>
      <c r="M974">
        <v>1</v>
      </c>
      <c r="N974">
        <v>2.61</v>
      </c>
      <c r="O974">
        <v>40</v>
      </c>
      <c r="P974">
        <v>1.5660000000000001</v>
      </c>
    </row>
    <row r="975" spans="1:16">
      <c r="A975" t="s">
        <v>2410</v>
      </c>
      <c r="B975" t="e">
        <f>-GAM.AFT620W</f>
        <v>#NAME?</v>
      </c>
      <c r="C975">
        <v>20100629</v>
      </c>
      <c r="D975">
        <v>20110127</v>
      </c>
      <c r="E975" t="s">
        <v>2411</v>
      </c>
      <c r="G975" t="s">
        <v>2412</v>
      </c>
      <c r="I975" t="s">
        <v>2413</v>
      </c>
      <c r="K975">
        <v>1</v>
      </c>
      <c r="M975">
        <v>1</v>
      </c>
      <c r="N975">
        <v>201.02</v>
      </c>
      <c r="O975">
        <v>40</v>
      </c>
      <c r="P975">
        <v>120.61199999999999</v>
      </c>
    </row>
    <row r="976" spans="1:16">
      <c r="A976" t="s">
        <v>2414</v>
      </c>
      <c r="B976" t="e">
        <f>-GAM.AKR625AV</f>
        <v>#NAME?</v>
      </c>
      <c r="C976">
        <v>20100629</v>
      </c>
      <c r="D976">
        <v>20110127</v>
      </c>
      <c r="E976" t="s">
        <v>2411</v>
      </c>
      <c r="G976" t="s">
        <v>2415</v>
      </c>
      <c r="I976" t="s">
        <v>2413</v>
      </c>
      <c r="K976">
        <v>1</v>
      </c>
      <c r="M976">
        <v>1</v>
      </c>
      <c r="N976">
        <v>134.16</v>
      </c>
      <c r="O976">
        <v>40</v>
      </c>
      <c r="P976">
        <v>80.495999999999995</v>
      </c>
    </row>
    <row r="977" spans="1:16">
      <c r="A977" t="s">
        <v>2416</v>
      </c>
      <c r="B977" t="e">
        <f>-GAM.FFC33</f>
        <v>#NAME?</v>
      </c>
      <c r="C977">
        <v>20100629</v>
      </c>
      <c r="D977">
        <v>20110127</v>
      </c>
      <c r="E977" t="s">
        <v>2417</v>
      </c>
      <c r="G977" t="s">
        <v>2418</v>
      </c>
      <c r="I977" t="s">
        <v>2413</v>
      </c>
      <c r="K977">
        <v>1</v>
      </c>
      <c r="M977">
        <v>1</v>
      </c>
      <c r="N977">
        <v>654.52</v>
      </c>
      <c r="O977">
        <v>40</v>
      </c>
      <c r="P977">
        <v>392.71199999999999</v>
      </c>
    </row>
    <row r="978" spans="1:16">
      <c r="A978" t="s">
        <v>2419</v>
      </c>
      <c r="B978" t="e">
        <f>-GAM.GF440</f>
        <v>#NAME?</v>
      </c>
      <c r="C978">
        <v>20100629</v>
      </c>
      <c r="D978">
        <v>20110127</v>
      </c>
      <c r="E978" t="s">
        <v>1824</v>
      </c>
      <c r="G978" t="s">
        <v>2420</v>
      </c>
      <c r="I978" t="s">
        <v>2413</v>
      </c>
      <c r="K978">
        <v>1</v>
      </c>
      <c r="M978">
        <v>1</v>
      </c>
      <c r="N978">
        <v>184.07</v>
      </c>
      <c r="O978">
        <v>40</v>
      </c>
      <c r="P978">
        <v>110.44199999999999</v>
      </c>
    </row>
    <row r="979" spans="1:16">
      <c r="A979" t="s">
        <v>2421</v>
      </c>
      <c r="B979" t="e">
        <f>-GAM.GF8520B</f>
        <v>#NAME?</v>
      </c>
      <c r="C979">
        <v>20100629</v>
      </c>
      <c r="D979">
        <v>20110127</v>
      </c>
      <c r="E979" t="s">
        <v>1824</v>
      </c>
      <c r="G979" t="s">
        <v>2422</v>
      </c>
      <c r="I979" t="s">
        <v>2413</v>
      </c>
      <c r="K979">
        <v>1</v>
      </c>
      <c r="M979">
        <v>1</v>
      </c>
      <c r="N979">
        <v>413.45</v>
      </c>
      <c r="O979">
        <v>40</v>
      </c>
      <c r="P979">
        <v>248.07</v>
      </c>
    </row>
    <row r="980" spans="1:16">
      <c r="A980" t="s">
        <v>2423</v>
      </c>
      <c r="B980" t="e">
        <f>-GAM.H5560</f>
        <v>#NAME?</v>
      </c>
      <c r="C980">
        <v>20100629</v>
      </c>
      <c r="D980">
        <v>20110127</v>
      </c>
      <c r="E980" t="s">
        <v>2411</v>
      </c>
      <c r="G980" t="s">
        <v>2424</v>
      </c>
      <c r="I980" t="s">
        <v>2413</v>
      </c>
      <c r="K980">
        <v>1</v>
      </c>
      <c r="M980">
        <v>1</v>
      </c>
      <c r="N980">
        <v>226.11</v>
      </c>
      <c r="O980">
        <v>40</v>
      </c>
      <c r="P980">
        <v>135.666</v>
      </c>
    </row>
    <row r="981" spans="1:16">
      <c r="A981" t="s">
        <v>2425</v>
      </c>
      <c r="B981" t="e">
        <f>-GAM.MS1105</f>
        <v>#NAME?</v>
      </c>
      <c r="C981">
        <v>20100629</v>
      </c>
      <c r="D981">
        <v>20110127</v>
      </c>
      <c r="E981" t="s">
        <v>2426</v>
      </c>
      <c r="G981" t="s">
        <v>2427</v>
      </c>
      <c r="I981" t="s">
        <v>2413</v>
      </c>
      <c r="K981">
        <v>1</v>
      </c>
      <c r="M981">
        <v>1</v>
      </c>
      <c r="N981">
        <v>366.3</v>
      </c>
      <c r="O981">
        <v>40</v>
      </c>
      <c r="P981">
        <v>219.78</v>
      </c>
    </row>
    <row r="982" spans="1:16">
      <c r="A982" t="s">
        <v>2428</v>
      </c>
      <c r="B982" t="e">
        <f>-GAM.RGE300</f>
        <v>#NAME?</v>
      </c>
      <c r="C982">
        <v>20100629</v>
      </c>
      <c r="D982">
        <v>20110127</v>
      </c>
      <c r="E982" t="s">
        <v>2429</v>
      </c>
      <c r="G982" t="s">
        <v>2430</v>
      </c>
      <c r="I982" t="s">
        <v>2413</v>
      </c>
      <c r="K982">
        <v>1</v>
      </c>
      <c r="M982">
        <v>1</v>
      </c>
      <c r="N982">
        <v>1672.58</v>
      </c>
      <c r="O982">
        <v>40</v>
      </c>
      <c r="P982">
        <v>1003.548</v>
      </c>
    </row>
    <row r="983" spans="1:16">
      <c r="A983" t="s">
        <v>2431</v>
      </c>
      <c r="B983" t="e">
        <f>-GAM.RS2180</f>
        <v>#NAME?</v>
      </c>
      <c r="C983">
        <v>20100629</v>
      </c>
      <c r="D983">
        <v>20110127</v>
      </c>
      <c r="E983" t="s">
        <v>2429</v>
      </c>
      <c r="G983" t="s">
        <v>2432</v>
      </c>
      <c r="I983" t="s">
        <v>2413</v>
      </c>
      <c r="K983">
        <v>1</v>
      </c>
      <c r="M983">
        <v>1</v>
      </c>
      <c r="N983">
        <v>546.13</v>
      </c>
      <c r="O983">
        <v>40</v>
      </c>
      <c r="P983">
        <v>327.678</v>
      </c>
    </row>
    <row r="984" spans="1:16">
      <c r="A984" t="s">
        <v>2433</v>
      </c>
      <c r="B984" t="s">
        <v>2434</v>
      </c>
      <c r="C984">
        <v>20101014</v>
      </c>
      <c r="D984">
        <v>20110127</v>
      </c>
      <c r="E984" t="s">
        <v>1354</v>
      </c>
      <c r="F984" t="s">
        <v>2435</v>
      </c>
      <c r="G984" t="s">
        <v>2436</v>
      </c>
      <c r="H984" t="s">
        <v>2437</v>
      </c>
      <c r="I984" t="s">
        <v>1358</v>
      </c>
      <c r="K984">
        <v>1</v>
      </c>
      <c r="M984">
        <v>1</v>
      </c>
      <c r="N984">
        <v>9.7200000000000006</v>
      </c>
      <c r="O984">
        <v>40</v>
      </c>
      <c r="P984">
        <v>5.8319999999999999</v>
      </c>
    </row>
    <row r="985" spans="1:16">
      <c r="A985" t="s">
        <v>2438</v>
      </c>
      <c r="B985" t="e">
        <f>-GE.610156</f>
        <v>#NAME?</v>
      </c>
      <c r="C985">
        <v>20100629</v>
      </c>
      <c r="D985">
        <v>20110127</v>
      </c>
      <c r="E985" t="s">
        <v>2439</v>
      </c>
      <c r="G985" t="s">
        <v>2440</v>
      </c>
      <c r="I985" t="s">
        <v>2441</v>
      </c>
      <c r="K985">
        <v>1</v>
      </c>
      <c r="M985">
        <v>1</v>
      </c>
      <c r="N985">
        <v>41.54</v>
      </c>
      <c r="O985">
        <v>40</v>
      </c>
      <c r="P985">
        <v>24.923999999999999</v>
      </c>
    </row>
    <row r="986" spans="1:16">
      <c r="A986" t="s">
        <v>2442</v>
      </c>
      <c r="B986" t="e">
        <f>-GE.610453</f>
        <v>#NAME?</v>
      </c>
      <c r="C986">
        <v>20100629</v>
      </c>
      <c r="D986">
        <v>20110127</v>
      </c>
      <c r="E986" t="s">
        <v>2443</v>
      </c>
      <c r="G986" t="s">
        <v>2444</v>
      </c>
      <c r="I986" t="s">
        <v>2441</v>
      </c>
      <c r="K986">
        <v>1</v>
      </c>
      <c r="M986">
        <v>1</v>
      </c>
      <c r="N986">
        <v>158.33000000000001</v>
      </c>
      <c r="O986">
        <v>40</v>
      </c>
      <c r="P986">
        <v>94.998000000000005</v>
      </c>
    </row>
    <row r="987" spans="1:16">
      <c r="A987" t="s">
        <v>2445</v>
      </c>
      <c r="B987" t="e">
        <f>-GE.615684</f>
        <v>#NAME?</v>
      </c>
      <c r="C987">
        <v>20100629</v>
      </c>
      <c r="D987">
        <v>20110127</v>
      </c>
      <c r="E987" t="s">
        <v>420</v>
      </c>
      <c r="G987" t="s">
        <v>2446</v>
      </c>
      <c r="I987" t="s">
        <v>2441</v>
      </c>
      <c r="K987">
        <v>1</v>
      </c>
      <c r="M987">
        <v>1</v>
      </c>
      <c r="N987">
        <v>337.95</v>
      </c>
      <c r="O987">
        <v>40</v>
      </c>
      <c r="P987">
        <v>202.77</v>
      </c>
    </row>
    <row r="988" spans="1:16">
      <c r="A988" t="s">
        <v>2447</v>
      </c>
      <c r="B988" t="s">
        <v>2448</v>
      </c>
      <c r="C988">
        <v>20101022</v>
      </c>
      <c r="D988">
        <v>20110127</v>
      </c>
      <c r="G988" t="s">
        <v>2449</v>
      </c>
      <c r="I988" t="s">
        <v>1358</v>
      </c>
      <c r="K988">
        <v>1</v>
      </c>
      <c r="M988">
        <v>1</v>
      </c>
      <c r="N988">
        <v>4.2190000000000003</v>
      </c>
      <c r="O988">
        <v>40</v>
      </c>
      <c r="P988">
        <v>2.5310000000000001</v>
      </c>
    </row>
    <row r="989" spans="1:16">
      <c r="A989" t="s">
        <v>2450</v>
      </c>
      <c r="B989" t="s">
        <v>2451</v>
      </c>
      <c r="C989">
        <v>20101022</v>
      </c>
      <c r="D989">
        <v>20110127</v>
      </c>
      <c r="E989" t="s">
        <v>2452</v>
      </c>
      <c r="G989" t="s">
        <v>2453</v>
      </c>
      <c r="I989" t="s">
        <v>1974</v>
      </c>
      <c r="K989">
        <v>1</v>
      </c>
      <c r="M989">
        <v>1</v>
      </c>
      <c r="N989">
        <v>0</v>
      </c>
      <c r="O989">
        <v>40</v>
      </c>
      <c r="P989">
        <v>0</v>
      </c>
    </row>
    <row r="990" spans="1:16">
      <c r="A990" t="s">
        <v>2454</v>
      </c>
      <c r="B990" t="s">
        <v>2455</v>
      </c>
      <c r="C990">
        <v>20101022</v>
      </c>
      <c r="D990">
        <v>20110127</v>
      </c>
      <c r="E990" t="s">
        <v>2456</v>
      </c>
      <c r="G990" t="s">
        <v>2457</v>
      </c>
      <c r="I990" t="s">
        <v>1974</v>
      </c>
      <c r="K990">
        <v>1</v>
      </c>
      <c r="M990">
        <v>1</v>
      </c>
      <c r="N990">
        <v>0</v>
      </c>
      <c r="O990">
        <v>40</v>
      </c>
      <c r="P990">
        <v>0</v>
      </c>
    </row>
    <row r="991" spans="1:16">
      <c r="A991" t="s">
        <v>2458</v>
      </c>
      <c r="B991" t="s">
        <v>2459</v>
      </c>
      <c r="C991">
        <v>20101022</v>
      </c>
      <c r="D991">
        <v>20110127</v>
      </c>
      <c r="G991" t="s">
        <v>2460</v>
      </c>
      <c r="I991" t="s">
        <v>1974</v>
      </c>
      <c r="K991">
        <v>1</v>
      </c>
      <c r="M991">
        <v>1</v>
      </c>
      <c r="N991">
        <v>0</v>
      </c>
      <c r="O991">
        <v>40</v>
      </c>
      <c r="P991">
        <v>0</v>
      </c>
    </row>
    <row r="992" spans="1:16">
      <c r="A992" t="s">
        <v>2461</v>
      </c>
      <c r="B992" t="s">
        <v>2462</v>
      </c>
      <c r="C992">
        <v>20101022</v>
      </c>
      <c r="D992">
        <v>20110127</v>
      </c>
      <c r="G992" t="s">
        <v>2463</v>
      </c>
      <c r="I992" t="s">
        <v>1974</v>
      </c>
      <c r="K992">
        <v>1</v>
      </c>
      <c r="M992">
        <v>1</v>
      </c>
      <c r="N992">
        <v>0</v>
      </c>
      <c r="O992">
        <v>40</v>
      </c>
      <c r="P992">
        <v>0</v>
      </c>
    </row>
    <row r="993" spans="1:16">
      <c r="A993" t="s">
        <v>2464</v>
      </c>
      <c r="B993" t="s">
        <v>2465</v>
      </c>
      <c r="C993">
        <v>20101025</v>
      </c>
      <c r="D993">
        <v>20110127</v>
      </c>
      <c r="E993" t="s">
        <v>2466</v>
      </c>
      <c r="G993" t="s">
        <v>2467</v>
      </c>
      <c r="I993" t="s">
        <v>433</v>
      </c>
      <c r="K993">
        <v>1</v>
      </c>
      <c r="M993">
        <v>1</v>
      </c>
      <c r="N993">
        <v>16.888999999999999</v>
      </c>
      <c r="O993">
        <v>40</v>
      </c>
      <c r="P993">
        <v>10.132999999999999</v>
      </c>
    </row>
    <row r="994" spans="1:16">
      <c r="A994" t="s">
        <v>2468</v>
      </c>
      <c r="B994" t="s">
        <v>2469</v>
      </c>
      <c r="C994">
        <v>20101025</v>
      </c>
      <c r="D994">
        <v>20110127</v>
      </c>
      <c r="E994" t="s">
        <v>2470</v>
      </c>
      <c r="G994" t="s">
        <v>2471</v>
      </c>
      <c r="I994" t="s">
        <v>433</v>
      </c>
      <c r="K994">
        <v>1</v>
      </c>
      <c r="M994">
        <v>1</v>
      </c>
      <c r="N994">
        <v>34.938000000000002</v>
      </c>
      <c r="O994">
        <v>40</v>
      </c>
      <c r="P994">
        <v>20.963000000000001</v>
      </c>
    </row>
    <row r="995" spans="1:16">
      <c r="A995" t="s">
        <v>2472</v>
      </c>
      <c r="B995" t="e">
        <f>-GE.650006</f>
        <v>#NAME?</v>
      </c>
      <c r="C995">
        <v>20100629</v>
      </c>
      <c r="D995">
        <v>20110127</v>
      </c>
      <c r="E995" t="s">
        <v>2148</v>
      </c>
      <c r="G995" t="s">
        <v>2473</v>
      </c>
      <c r="I995" t="s">
        <v>2441</v>
      </c>
      <c r="K995">
        <v>1</v>
      </c>
      <c r="M995">
        <v>1</v>
      </c>
      <c r="N995">
        <v>26.64</v>
      </c>
      <c r="O995">
        <v>40</v>
      </c>
      <c r="P995">
        <v>15.984</v>
      </c>
    </row>
    <row r="996" spans="1:16">
      <c r="A996" t="s">
        <v>2474</v>
      </c>
      <c r="B996" t="e">
        <f>-GE.661232</f>
        <v>#NAME?</v>
      </c>
      <c r="C996">
        <v>20100629</v>
      </c>
      <c r="D996">
        <v>20110127</v>
      </c>
      <c r="E996" t="s">
        <v>2475</v>
      </c>
      <c r="G996" t="s">
        <v>2476</v>
      </c>
      <c r="I996" t="s">
        <v>2441</v>
      </c>
      <c r="K996">
        <v>1</v>
      </c>
      <c r="M996">
        <v>1</v>
      </c>
      <c r="N996">
        <v>322.3</v>
      </c>
      <c r="O996">
        <v>40</v>
      </c>
      <c r="P996">
        <v>193.38</v>
      </c>
    </row>
    <row r="997" spans="1:16">
      <c r="A997" t="s">
        <v>2477</v>
      </c>
      <c r="B997" t="e">
        <f>-COD.64663</f>
        <v>#NAME?</v>
      </c>
      <c r="C997">
        <v>20100629</v>
      </c>
      <c r="D997">
        <v>20101015</v>
      </c>
      <c r="E997" t="s">
        <v>1986</v>
      </c>
      <c r="G997" t="s">
        <v>2478</v>
      </c>
      <c r="I997" t="s">
        <v>1974</v>
      </c>
      <c r="K997">
        <v>1</v>
      </c>
      <c r="M997">
        <v>0</v>
      </c>
      <c r="N997">
        <v>42.19</v>
      </c>
      <c r="O997">
        <v>40</v>
      </c>
      <c r="P997">
        <v>25.314</v>
      </c>
    </row>
    <row r="998" spans="1:16">
      <c r="A998" t="s">
        <v>2479</v>
      </c>
      <c r="B998" t="e">
        <f>-COD.80113</f>
        <v>#NAME?</v>
      </c>
      <c r="C998">
        <v>20100629</v>
      </c>
      <c r="D998">
        <v>20101015</v>
      </c>
      <c r="E998" t="s">
        <v>2480</v>
      </c>
      <c r="G998" t="s">
        <v>2481</v>
      </c>
      <c r="I998" t="s">
        <v>1974</v>
      </c>
      <c r="K998">
        <v>1</v>
      </c>
      <c r="M998">
        <v>0</v>
      </c>
      <c r="N998">
        <v>41.18</v>
      </c>
      <c r="O998">
        <v>40</v>
      </c>
      <c r="P998">
        <v>24.707999999999998</v>
      </c>
    </row>
    <row r="999" spans="1:16">
      <c r="A999" t="s">
        <v>2482</v>
      </c>
      <c r="B999" t="e">
        <f>-COD.9118877</f>
        <v>#NAME?</v>
      </c>
      <c r="C999">
        <v>20100629</v>
      </c>
      <c r="D999">
        <v>20101015</v>
      </c>
      <c r="E999" t="s">
        <v>2006</v>
      </c>
      <c r="G999" t="s">
        <v>2483</v>
      </c>
      <c r="I999" t="s">
        <v>1974</v>
      </c>
      <c r="K999">
        <v>1</v>
      </c>
      <c r="M999">
        <v>0</v>
      </c>
      <c r="N999">
        <v>4.9000000000000004</v>
      </c>
      <c r="O999">
        <v>40</v>
      </c>
      <c r="P999">
        <v>2.94</v>
      </c>
    </row>
    <row r="1000" spans="1:16">
      <c r="A1000" t="s">
        <v>2484</v>
      </c>
      <c r="B1000" t="e">
        <f>-COD.9131006</f>
        <v>#NAME?</v>
      </c>
      <c r="C1000">
        <v>20100629</v>
      </c>
      <c r="D1000">
        <v>20101015</v>
      </c>
      <c r="E1000" t="s">
        <v>112</v>
      </c>
      <c r="G1000" t="s">
        <v>2485</v>
      </c>
      <c r="I1000" t="s">
        <v>1974</v>
      </c>
      <c r="K1000">
        <v>1</v>
      </c>
      <c r="M1000">
        <v>0</v>
      </c>
      <c r="N1000">
        <v>20.49</v>
      </c>
      <c r="O1000">
        <v>40</v>
      </c>
      <c r="P1000">
        <v>12.294</v>
      </c>
    </row>
    <row r="1001" spans="1:16">
      <c r="A1001" t="s">
        <v>2486</v>
      </c>
      <c r="B1001" t="e">
        <f>-COD.9131108</f>
        <v>#NAME?</v>
      </c>
      <c r="C1001">
        <v>20100629</v>
      </c>
      <c r="D1001">
        <v>20101015</v>
      </c>
      <c r="E1001" t="s">
        <v>1986</v>
      </c>
      <c r="G1001" t="s">
        <v>2487</v>
      </c>
      <c r="I1001" t="s">
        <v>1974</v>
      </c>
      <c r="K1001">
        <v>1</v>
      </c>
      <c r="M1001">
        <v>0</v>
      </c>
      <c r="N1001">
        <v>16.47</v>
      </c>
      <c r="O1001">
        <v>40</v>
      </c>
      <c r="P1001">
        <v>9.8819999999999997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2011-02-05T11:28:02Z</dcterms:modified>
</cp:coreProperties>
</file>