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ouni\Downloads\"/>
    </mc:Choice>
  </mc:AlternateContent>
  <xr:revisionPtr revIDLastSave="0" documentId="13_ncr:1_{6533CDC3-0D6B-4AE2-A4F6-DF0B90CCA3A8}" xr6:coauthVersionLast="47" xr6:coauthVersionMax="47" xr10:uidLastSave="{00000000-0000-0000-0000-000000000000}"/>
  <bookViews>
    <workbookView xWindow="-108" yWindow="-108" windowWidth="23256" windowHeight="13896" tabRatio="753" firstSheet="2" activeTab="2" xr2:uid="{00000000-000D-0000-FFFF-FFFF00000000}"/>
  </bookViews>
  <sheets>
    <sheet name="Process mapping" sheetId="18" state="hidden" r:id="rId1"/>
    <sheet name="1 - Produits" sheetId="3" state="hidden" r:id="rId2"/>
    <sheet name="1 - Production" sheetId="15" r:id="rId3"/>
    <sheet name="2 - Commandes clients" sheetId="2" r:id="rId4"/>
    <sheet name="2A - Pivot1_commandes" sheetId="4" state="hidden" r:id="rId5"/>
    <sheet name="2B - calc commandes" sheetId="10" state="hidden" r:id="rId6"/>
    <sheet name="3 - Livraisons" sheetId="8" r:id="rId7"/>
    <sheet name="4 - Inventaire initial" sheetId="12" r:id="rId8"/>
    <sheet name="4 - Processus" sheetId="5" state="hidden" r:id="rId9"/>
    <sheet name="5 - Régime de travail" sheetId="6" state="hidden" r:id="rId10"/>
    <sheet name="6 - Calendrier" sheetId="7" state="hidden" r:id="rId11"/>
    <sheet name="6A - Calendrier en min" sheetId="14" state="hidden" r:id="rId12"/>
    <sheet name="7A - calc livraisons" sheetId="11" state="hidden" r:id="rId13"/>
    <sheet name="8A - Temps prod" sheetId="19" state="hidden" r:id="rId14"/>
    <sheet name="9 - Charge de travail" sheetId="16" state="hidden" r:id="rId15"/>
  </sheets>
  <definedNames>
    <definedName name="_xlnm._FilterDatabase" localSheetId="2" hidden="1">'1 - Production'!$B$7:$C$42</definedName>
    <definedName name="_xlnm._FilterDatabase" localSheetId="3" hidden="1">'2 - Commandes clients'!$B$5:$C$105</definedName>
    <definedName name="mois">'6 - Calendrier'!$T$4:$T$15</definedName>
  </definedNames>
  <calcPr calcId="181029"/>
  <pivotCaches>
    <pivotCache cacheId="0" r:id="rId1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G27" i="15" l="1"/>
  <c r="BE17" i="15"/>
  <c r="AE38" i="15"/>
  <c r="E29" i="15"/>
  <c r="E28" i="15"/>
  <c r="G17" i="12" s="1"/>
  <c r="AC41" i="15"/>
  <c r="Y38" i="15"/>
  <c r="Y41" i="15"/>
  <c r="Z35" i="15" s="1"/>
  <c r="W38" i="15"/>
  <c r="M17" i="15"/>
  <c r="K17" i="15"/>
  <c r="AQ17" i="15"/>
  <c r="AI17" i="15"/>
  <c r="AG17" i="15"/>
  <c r="W41" i="15"/>
  <c r="Z33" i="15" l="1"/>
  <c r="X35" i="15"/>
  <c r="X33" i="15"/>
  <c r="C39" i="8"/>
  <c r="BM17" i="15" l="1"/>
  <c r="BM20" i="15"/>
  <c r="BN10" i="15" s="1"/>
  <c r="Y17" i="15"/>
  <c r="BA17" i="15"/>
  <c r="BN14" i="15" l="1"/>
  <c r="BN13" i="15"/>
  <c r="BA20" i="15"/>
  <c r="K20" i="15"/>
  <c r="L10" i="15" s="1"/>
  <c r="AY17" i="15"/>
  <c r="AY20" i="15"/>
  <c r="AZ10" i="15" s="1"/>
  <c r="AM20" i="15"/>
  <c r="Y20" i="15"/>
  <c r="W20" i="15"/>
  <c r="X10" i="15" s="1"/>
  <c r="AW17" i="15"/>
  <c r="AM17" i="15"/>
  <c r="AL11" i="15"/>
  <c r="BB12" i="15" l="1"/>
  <c r="BB11" i="15"/>
  <c r="BB10" i="15"/>
  <c r="BB20" i="15" s="1"/>
  <c r="AZ14" i="15"/>
  <c r="L14" i="15"/>
  <c r="L13" i="15"/>
  <c r="AN14" i="15"/>
  <c r="AN13" i="15"/>
  <c r="AN10" i="15"/>
  <c r="Z10" i="15"/>
  <c r="Z14" i="15"/>
  <c r="Z13" i="15"/>
  <c r="X14" i="15"/>
  <c r="X13" i="15"/>
  <c r="AL12" i="15"/>
  <c r="AL13" i="15"/>
  <c r="AL14" i="15"/>
  <c r="AL10" i="15"/>
  <c r="BG41" i="15"/>
  <c r="BE41" i="15"/>
  <c r="BG38" i="15"/>
  <c r="BE38" i="15"/>
  <c r="BG30" i="15"/>
  <c r="BH23" i="15" s="1"/>
  <c r="BE30" i="15"/>
  <c r="BF23" i="15" s="1"/>
  <c r="BE27" i="15"/>
  <c r="BG20" i="15"/>
  <c r="BE20" i="15"/>
  <c r="BF12" i="15" s="1"/>
  <c r="BG17" i="15"/>
  <c r="AS41" i="15"/>
  <c r="AT34" i="15" s="1"/>
  <c r="AQ41" i="15"/>
  <c r="AR34" i="15" s="1"/>
  <c r="AS38" i="15"/>
  <c r="AQ38" i="15"/>
  <c r="AS30" i="15"/>
  <c r="AT23" i="15" s="1"/>
  <c r="AQ30" i="15"/>
  <c r="AR24" i="15" s="1"/>
  <c r="AS27" i="15"/>
  <c r="AS20" i="15"/>
  <c r="AT14" i="15" s="1"/>
  <c r="AQ20" i="15"/>
  <c r="AR12" i="15" s="1"/>
  <c r="AE41" i="15"/>
  <c r="AF34" i="15" s="1"/>
  <c r="AD34" i="15"/>
  <c r="AC38" i="15"/>
  <c r="AE30" i="15"/>
  <c r="AF23" i="15" s="1"/>
  <c r="AF30" i="15" s="1"/>
  <c r="AC30" i="15"/>
  <c r="AD23" i="15" s="1"/>
  <c r="AE27" i="15"/>
  <c r="AC27" i="15"/>
  <c r="AE20" i="15"/>
  <c r="AF13" i="15" s="1"/>
  <c r="AC20" i="15"/>
  <c r="AD10" i="15" s="1"/>
  <c r="Q41" i="15"/>
  <c r="R35" i="15" s="1"/>
  <c r="O41" i="15"/>
  <c r="P35" i="15" s="1"/>
  <c r="Q38" i="15"/>
  <c r="O38" i="15"/>
  <c r="Q30" i="15"/>
  <c r="R24" i="15" s="1"/>
  <c r="O30" i="15"/>
  <c r="P24" i="15" s="1"/>
  <c r="Q27" i="15"/>
  <c r="O27" i="15"/>
  <c r="Q20" i="15"/>
  <c r="R13" i="15" s="1"/>
  <c r="O20" i="15"/>
  <c r="O17" i="15"/>
  <c r="AF35" i="15" l="1"/>
  <c r="P13" i="15"/>
  <c r="P10" i="15"/>
  <c r="BH24" i="15"/>
  <c r="BH30" i="15" s="1"/>
  <c r="AT35" i="15"/>
  <c r="BF13" i="15"/>
  <c r="BF14" i="15"/>
  <c r="AD35" i="15"/>
  <c r="P23" i="15"/>
  <c r="P30" i="15" s="1"/>
  <c r="AD24" i="15"/>
  <c r="AD30" i="15" s="1"/>
  <c r="BF10" i="15"/>
  <c r="P33" i="15"/>
  <c r="P41" i="15" s="1"/>
  <c r="AD33" i="15"/>
  <c r="AF24" i="15"/>
  <c r="AF33" i="15"/>
  <c r="AT24" i="15"/>
  <c r="AT30" i="15" s="1"/>
  <c r="AT33" i="15"/>
  <c r="AT41" i="15" s="1"/>
  <c r="BF11" i="15"/>
  <c r="AL20" i="15"/>
  <c r="AF14" i="15"/>
  <c r="AF10" i="15"/>
  <c r="AF12" i="15"/>
  <c r="AD13" i="15"/>
  <c r="P14" i="15"/>
  <c r="P34" i="15"/>
  <c r="P12" i="15"/>
  <c r="AD12" i="15"/>
  <c r="AR11" i="15"/>
  <c r="AR13" i="15"/>
  <c r="R10" i="15"/>
  <c r="R14" i="15"/>
  <c r="AD14" i="15"/>
  <c r="AR10" i="15"/>
  <c r="AR14" i="15"/>
  <c r="R12" i="15"/>
  <c r="BF24" i="15"/>
  <c r="BF30" i="15" s="1"/>
  <c r="BH11" i="15"/>
  <c r="BH10" i="15"/>
  <c r="BH12" i="15"/>
  <c r="AR33" i="15"/>
  <c r="AR41" i="15" s="1"/>
  <c r="AR35" i="15"/>
  <c r="AT13" i="15"/>
  <c r="AR23" i="15"/>
  <c r="AR30" i="15" s="1"/>
  <c r="AT11" i="15"/>
  <c r="AT10" i="15"/>
  <c r="AT12" i="15"/>
  <c r="AF11" i="15"/>
  <c r="R23" i="15"/>
  <c r="R30" i="15" s="1"/>
  <c r="R34" i="15"/>
  <c r="P11" i="15"/>
  <c r="R11" i="15"/>
  <c r="R33" i="15"/>
  <c r="R41" i="15" s="1"/>
  <c r="AD41" i="15" l="1"/>
  <c r="AF41" i="15"/>
  <c r="BF20" i="15"/>
  <c r="AR20" i="15"/>
  <c r="P20" i="15"/>
  <c r="BH20" i="15"/>
  <c r="AT20" i="15"/>
  <c r="R20" i="15"/>
  <c r="AF20" i="15"/>
  <c r="AD20" i="15"/>
  <c r="BK41" i="15"/>
  <c r="BL34" i="15" s="1"/>
  <c r="BK38" i="15"/>
  <c r="BK30" i="15"/>
  <c r="BL23" i="15" s="1"/>
  <c r="BL30" i="15" s="1"/>
  <c r="BK27" i="15"/>
  <c r="BK20" i="15"/>
  <c r="BL12" i="15" s="1"/>
  <c r="BK17" i="15"/>
  <c r="AW41" i="15"/>
  <c r="AX33" i="15" s="1"/>
  <c r="AX41" i="15" s="1"/>
  <c r="AW38" i="15"/>
  <c r="AW30" i="15"/>
  <c r="AX24" i="15" s="1"/>
  <c r="AW27" i="15"/>
  <c r="AW20" i="15"/>
  <c r="AX13" i="15" s="1"/>
  <c r="AI41" i="15"/>
  <c r="AJ33" i="15" s="1"/>
  <c r="AJ41" i="15" s="1"/>
  <c r="AI38" i="15"/>
  <c r="AI30" i="15"/>
  <c r="AJ23" i="15" s="1"/>
  <c r="AJ30" i="15" s="1"/>
  <c r="AI20" i="15"/>
  <c r="AJ12" i="15" s="1"/>
  <c r="G41" i="15"/>
  <c r="H35" i="15" s="1"/>
  <c r="G38" i="15"/>
  <c r="G30" i="15"/>
  <c r="H23" i="15" s="1"/>
  <c r="H30" i="15" s="1"/>
  <c r="G27" i="15"/>
  <c r="G17" i="15"/>
  <c r="U41" i="15"/>
  <c r="V34" i="15" s="1"/>
  <c r="U38" i="15"/>
  <c r="U30" i="15"/>
  <c r="V23" i="15" s="1"/>
  <c r="V30" i="15" s="1"/>
  <c r="U27" i="15"/>
  <c r="U20" i="15"/>
  <c r="V14" i="15" s="1"/>
  <c r="U17" i="15"/>
  <c r="H12" i="15" l="1"/>
  <c r="H14" i="15"/>
  <c r="H13" i="15"/>
  <c r="BL35" i="15"/>
  <c r="AX34" i="15"/>
  <c r="BL24" i="15"/>
  <c r="V24" i="15"/>
  <c r="AX35" i="15"/>
  <c r="AX23" i="15"/>
  <c r="AX30" i="15" s="1"/>
  <c r="AJ10" i="15"/>
  <c r="AJ13" i="15"/>
  <c r="AJ14" i="15"/>
  <c r="BL33" i="15"/>
  <c r="BL41" i="15" s="1"/>
  <c r="AJ11" i="15"/>
  <c r="AX10" i="15"/>
  <c r="AX14" i="15"/>
  <c r="BL13" i="15"/>
  <c r="AX12" i="15"/>
  <c r="V10" i="15"/>
  <c r="H10" i="15"/>
  <c r="H11" i="15"/>
  <c r="V11" i="15"/>
  <c r="BL10" i="15"/>
  <c r="BL14" i="15"/>
  <c r="V13" i="15"/>
  <c r="BL11" i="15"/>
  <c r="AX11" i="15"/>
  <c r="AJ24" i="15"/>
  <c r="AJ35" i="15"/>
  <c r="AJ34" i="15"/>
  <c r="H24" i="15"/>
  <c r="H34" i="15"/>
  <c r="H33" i="15"/>
  <c r="H41" i="15" s="1"/>
  <c r="V33" i="15"/>
  <c r="V35" i="15"/>
  <c r="V12" i="15"/>
  <c r="BC17" i="15"/>
  <c r="BC20" i="15"/>
  <c r="BD10" i="15" s="1"/>
  <c r="BI20" i="15"/>
  <c r="BJ13" i="15" s="1"/>
  <c r="BI17" i="15"/>
  <c r="AX20" i="15" l="1"/>
  <c r="V41" i="15"/>
  <c r="BL20" i="15"/>
  <c r="AJ20" i="15"/>
  <c r="V20" i="15"/>
  <c r="H20" i="15"/>
  <c r="BD13" i="15"/>
  <c r="BD11" i="15"/>
  <c r="BD12" i="15"/>
  <c r="BD14" i="15"/>
  <c r="BJ10" i="15"/>
  <c r="BJ14" i="15"/>
  <c r="BJ11" i="15"/>
  <c r="BJ12" i="15"/>
  <c r="BC41" i="15"/>
  <c r="BC30" i="15"/>
  <c r="BD23" i="15" s="1"/>
  <c r="BC27" i="15"/>
  <c r="AO41" i="15"/>
  <c r="AP33" i="15" s="1"/>
  <c r="AP41" i="15" s="1"/>
  <c r="AO38" i="15"/>
  <c r="AO30" i="15"/>
  <c r="AP23" i="15" s="1"/>
  <c r="AO27" i="15"/>
  <c r="AO20" i="15"/>
  <c r="AP14" i="15" s="1"/>
  <c r="AO17" i="15"/>
  <c r="AA41" i="15"/>
  <c r="AB35" i="15" s="1"/>
  <c r="AA38" i="15"/>
  <c r="AA30" i="15"/>
  <c r="AB24" i="15" s="1"/>
  <c r="AA27" i="15"/>
  <c r="AA20" i="15"/>
  <c r="AB13" i="15" s="1"/>
  <c r="M41" i="15"/>
  <c r="N35" i="15" s="1"/>
  <c r="M38" i="15"/>
  <c r="M30" i="15"/>
  <c r="N24" i="15" s="1"/>
  <c r="M27" i="15"/>
  <c r="M20" i="15"/>
  <c r="N13" i="15" s="1"/>
  <c r="AP35" i="15" l="1"/>
  <c r="BD20" i="15"/>
  <c r="BJ20" i="15"/>
  <c r="BD24" i="15"/>
  <c r="BD30" i="15" s="1"/>
  <c r="AB14" i="15"/>
  <c r="AP34" i="15"/>
  <c r="AP24" i="15"/>
  <c r="AP30" i="15" s="1"/>
  <c r="AB10" i="15"/>
  <c r="AB12" i="15"/>
  <c r="N10" i="15"/>
  <c r="N14" i="15"/>
  <c r="N12" i="15"/>
  <c r="AP11" i="15"/>
  <c r="AP13" i="15"/>
  <c r="AP12" i="15"/>
  <c r="AB23" i="15"/>
  <c r="AB30" i="15" s="1"/>
  <c r="AB34" i="15"/>
  <c r="AB11" i="15"/>
  <c r="AB33" i="15"/>
  <c r="N23" i="15"/>
  <c r="N30" i="15" s="1"/>
  <c r="N34" i="15"/>
  <c r="N11" i="15"/>
  <c r="N33" i="15"/>
  <c r="N41" i="15" s="1"/>
  <c r="AP20" i="15" l="1"/>
  <c r="AB20" i="15"/>
  <c r="AB41" i="15"/>
  <c r="N20" i="15"/>
  <c r="S41" i="15"/>
  <c r="T35" i="15" s="1"/>
  <c r="S38" i="15"/>
  <c r="S30" i="15"/>
  <c r="T24" i="15" s="1"/>
  <c r="S27" i="15"/>
  <c r="S20" i="15"/>
  <c r="T13" i="15" s="1"/>
  <c r="S17" i="15"/>
  <c r="AG41" i="15"/>
  <c r="AH35" i="15" s="1"/>
  <c r="AG38" i="15"/>
  <c r="AG30" i="15"/>
  <c r="AH24" i="15" s="1"/>
  <c r="AG27" i="15"/>
  <c r="AG20" i="15"/>
  <c r="AH13" i="15" s="1"/>
  <c r="AU41" i="15"/>
  <c r="AV34" i="15" s="1"/>
  <c r="AU38" i="15"/>
  <c r="AU30" i="15"/>
  <c r="AV23" i="15" s="1"/>
  <c r="AV30" i="15" s="1"/>
  <c r="AU27" i="15"/>
  <c r="AU20" i="15"/>
  <c r="AV14" i="15" s="1"/>
  <c r="AU17" i="15"/>
  <c r="BI41" i="15"/>
  <c r="BJ34" i="15" s="1"/>
  <c r="BI38" i="15"/>
  <c r="BI30" i="15"/>
  <c r="BJ23" i="15" s="1"/>
  <c r="BJ30" i="15" s="1"/>
  <c r="BI27" i="15"/>
  <c r="AH14" i="15" l="1"/>
  <c r="T23" i="15"/>
  <c r="T30" i="15" s="1"/>
  <c r="AH10" i="15"/>
  <c r="AH12" i="15"/>
  <c r="T12" i="15"/>
  <c r="T10" i="15"/>
  <c r="T14" i="15"/>
  <c r="T34" i="15"/>
  <c r="T11" i="15"/>
  <c r="T33" i="15"/>
  <c r="T41" i="15" s="1"/>
  <c r="AH23" i="15"/>
  <c r="AH30" i="15" s="1"/>
  <c r="AH34" i="15"/>
  <c r="AH11" i="15"/>
  <c r="AH33" i="15"/>
  <c r="AV11" i="15"/>
  <c r="AV13" i="15"/>
  <c r="AV24" i="15"/>
  <c r="AV33" i="15"/>
  <c r="AV41" i="15" s="1"/>
  <c r="AV35" i="15"/>
  <c r="AV10" i="15"/>
  <c r="AV12" i="15"/>
  <c r="BJ24" i="15"/>
  <c r="BJ33" i="15"/>
  <c r="BJ35" i="15"/>
  <c r="AH41" i="15" l="1"/>
  <c r="BJ41" i="15"/>
  <c r="T20" i="15"/>
  <c r="AV20" i="15"/>
  <c r="AH20" i="15"/>
  <c r="E13" i="15" l="1"/>
  <c r="BO38" i="15"/>
  <c r="BO20" i="15"/>
  <c r="BP13" i="15" s="1"/>
  <c r="BO17" i="15"/>
  <c r="BO41" i="15"/>
  <c r="BP35" i="15" s="1"/>
  <c r="BP10" i="15" l="1"/>
  <c r="BP11" i="15"/>
  <c r="BP14" i="15"/>
  <c r="BP33" i="15"/>
  <c r="BP41" i="15" s="1"/>
  <c r="BP34" i="15"/>
  <c r="BP12" i="15"/>
  <c r="D36" i="12"/>
  <c r="D35" i="12"/>
  <c r="BP20" i="15" l="1"/>
  <c r="BO30" i="15"/>
  <c r="BP24" i="15" s="1"/>
  <c r="BO27" i="15"/>
  <c r="BP23" i="15" l="1"/>
  <c r="BP30" i="15" s="1"/>
  <c r="R5" i="7"/>
  <c r="R6" i="7" s="1"/>
  <c r="C35" i="15" l="1"/>
  <c r="B35" i="15"/>
  <c r="C24" i="15"/>
  <c r="B24" i="15"/>
  <c r="C12" i="12"/>
  <c r="B12" i="12"/>
  <c r="C14" i="15"/>
  <c r="B14" i="15"/>
  <c r="L51" i="3"/>
  <c r="E37" i="15" l="1"/>
  <c r="E36" i="15"/>
  <c r="E8" i="15" l="1"/>
  <c r="E41" i="15" l="1"/>
  <c r="E40" i="15"/>
  <c r="E39" i="15"/>
  <c r="G18" i="12" s="1"/>
  <c r="E38" i="15"/>
  <c r="E35" i="15"/>
  <c r="E34" i="15"/>
  <c r="E33" i="15"/>
  <c r="E19" i="15"/>
  <c r="E18" i="15"/>
  <c r="G16" i="12" s="1"/>
  <c r="E14" i="15"/>
  <c r="E10" i="15"/>
  <c r="E12" i="15"/>
  <c r="E11" i="15"/>
  <c r="E21" i="15"/>
  <c r="E23" i="15"/>
  <c r="E24" i="15"/>
  <c r="E30" i="15" l="1"/>
  <c r="E27" i="15"/>
  <c r="E17" i="15" l="1"/>
  <c r="D30" i="15"/>
  <c r="D29" i="15"/>
  <c r="D28" i="15"/>
  <c r="D39" i="15"/>
  <c r="D40" i="15" s="1"/>
  <c r="D41" i="15"/>
  <c r="C29" i="15"/>
  <c r="C40" i="15" s="1"/>
  <c r="C28" i="15"/>
  <c r="C39" i="15" s="1"/>
  <c r="C27" i="15"/>
  <c r="C38" i="15" s="1"/>
  <c r="C26" i="15"/>
  <c r="C37" i="15" s="1"/>
  <c r="C25" i="15"/>
  <c r="C36" i="15" s="1"/>
  <c r="E20" i="15" l="1"/>
  <c r="C23" i="15" l="1"/>
  <c r="C7" i="7" l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I7" i="15"/>
  <c r="K7" i="15" s="1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M7" i="15" l="1"/>
  <c r="O7" i="15" s="1"/>
  <c r="Q7" i="15" s="1"/>
  <c r="S7" i="15" s="1"/>
  <c r="U7" i="15" s="1"/>
  <c r="W7" i="15" s="1"/>
  <c r="Y7" i="15" s="1"/>
  <c r="AA7" i="15" s="1"/>
  <c r="AC7" i="15" s="1"/>
  <c r="AE7" i="15" s="1"/>
  <c r="AG7" i="15" s="1"/>
  <c r="AI7" i="15" s="1"/>
  <c r="AK7" i="15" s="1"/>
  <c r="AM7" i="15" s="1"/>
  <c r="AO7" i="15" s="1"/>
  <c r="AQ7" i="15" s="1"/>
  <c r="AS7" i="15" s="1"/>
  <c r="AU7" i="15" s="1"/>
  <c r="D26" i="2"/>
  <c r="AW7" i="15" l="1"/>
  <c r="AY7" i="15" s="1"/>
  <c r="BA7" i="15" s="1"/>
  <c r="BC7" i="15" s="1"/>
  <c r="BE7" i="15" s="1"/>
  <c r="BG7" i="15" s="1"/>
  <c r="BI7" i="15" s="1"/>
  <c r="BK7" i="15" s="1"/>
  <c r="BM7" i="15" s="1"/>
  <c r="BO7" i="15" s="1"/>
  <c r="D21" i="16"/>
  <c r="P6" i="19"/>
  <c r="O6" i="19"/>
  <c r="N6" i="19"/>
  <c r="M6" i="19"/>
  <c r="L6" i="19"/>
  <c r="K6" i="19"/>
  <c r="J6" i="19"/>
  <c r="I6" i="19"/>
  <c r="H6" i="19"/>
  <c r="G6" i="19"/>
  <c r="F6" i="19"/>
  <c r="E6" i="19"/>
  <c r="C14" i="19"/>
  <c r="B14" i="19"/>
  <c r="C13" i="19"/>
  <c r="B13" i="19"/>
  <c r="C12" i="19"/>
  <c r="B12" i="19"/>
  <c r="C11" i="19"/>
  <c r="B11" i="19"/>
  <c r="C10" i="19"/>
  <c r="B10" i="19"/>
  <c r="C9" i="19"/>
  <c r="B9" i="19"/>
  <c r="C8" i="19"/>
  <c r="B8" i="19"/>
  <c r="C7" i="19"/>
  <c r="B7" i="19"/>
  <c r="B17" i="16" l="1"/>
  <c r="B16" i="16"/>
  <c r="B15" i="16"/>
  <c r="B14" i="16"/>
  <c r="B13" i="16"/>
  <c r="B12" i="16"/>
  <c r="B11" i="16"/>
  <c r="B10" i="16"/>
  <c r="B9" i="16"/>
  <c r="B8" i="16"/>
  <c r="B7" i="16"/>
  <c r="B6" i="16"/>
  <c r="C34" i="15"/>
  <c r="B34" i="15"/>
  <c r="C33" i="15"/>
  <c r="B33" i="15"/>
  <c r="B23" i="15"/>
  <c r="C13" i="15"/>
  <c r="B13" i="15"/>
  <c r="C12" i="15"/>
  <c r="B12" i="15"/>
  <c r="C11" i="15"/>
  <c r="B11" i="15"/>
  <c r="C10" i="15"/>
  <c r="B10" i="15"/>
  <c r="M37" i="14"/>
  <c r="L37" i="14"/>
  <c r="M36" i="14"/>
  <c r="L36" i="14"/>
  <c r="M30" i="14"/>
  <c r="L30" i="14"/>
  <c r="M29" i="14"/>
  <c r="L29" i="14"/>
  <c r="N26" i="14"/>
  <c r="M26" i="14"/>
  <c r="L26" i="14"/>
  <c r="K26" i="14"/>
  <c r="J26" i="14"/>
  <c r="I26" i="14"/>
  <c r="H26" i="14"/>
  <c r="G26" i="14"/>
  <c r="F26" i="14"/>
  <c r="E26" i="14"/>
  <c r="D26" i="14"/>
  <c r="N25" i="14"/>
  <c r="M25" i="14"/>
  <c r="L25" i="14"/>
  <c r="K25" i="14"/>
  <c r="J25" i="14"/>
  <c r="I25" i="14"/>
  <c r="H25" i="14"/>
  <c r="G25" i="14"/>
  <c r="F25" i="14"/>
  <c r="E25" i="14"/>
  <c r="D25" i="14"/>
  <c r="M23" i="14"/>
  <c r="L23" i="14"/>
  <c r="M22" i="14"/>
  <c r="L22" i="14"/>
  <c r="M16" i="14"/>
  <c r="L16" i="14"/>
  <c r="M15" i="14"/>
  <c r="L15" i="14"/>
  <c r="M9" i="14"/>
  <c r="L9" i="14"/>
  <c r="M8" i="14"/>
  <c r="L8" i="14"/>
  <c r="B7" i="14"/>
  <c r="N6" i="14"/>
  <c r="M6" i="14"/>
  <c r="L6" i="14"/>
  <c r="K6" i="14"/>
  <c r="J6" i="14"/>
  <c r="I6" i="14"/>
  <c r="H6" i="14"/>
  <c r="G6" i="14"/>
  <c r="F6" i="14"/>
  <c r="E6" i="14"/>
  <c r="D6" i="14"/>
  <c r="C6" i="14"/>
  <c r="C14" i="12" l="1"/>
  <c r="B14" i="12"/>
  <c r="C13" i="12"/>
  <c r="B13" i="12"/>
  <c r="C11" i="12"/>
  <c r="B11" i="12"/>
  <c r="C10" i="12"/>
  <c r="B10" i="12"/>
  <c r="C9" i="12"/>
  <c r="B9" i="12"/>
  <c r="C8" i="12"/>
  <c r="B8" i="12"/>
  <c r="D6" i="11"/>
  <c r="C6" i="11"/>
  <c r="B7" i="11"/>
  <c r="K6" i="11"/>
  <c r="J6" i="11"/>
  <c r="I6" i="11"/>
  <c r="H6" i="11"/>
  <c r="G6" i="11"/>
  <c r="F6" i="11"/>
  <c r="E6" i="11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6" i="10"/>
  <c r="B100" i="10"/>
  <c r="B101" i="10"/>
  <c r="B102" i="10"/>
  <c r="B103" i="10"/>
  <c r="B104" i="10"/>
  <c r="B105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6" i="10"/>
  <c r="L7" i="8"/>
  <c r="K7" i="8"/>
  <c r="J7" i="8"/>
  <c r="I7" i="8"/>
  <c r="H7" i="8"/>
  <c r="G7" i="8"/>
  <c r="F7" i="8"/>
  <c r="E7" i="8"/>
  <c r="D7" i="8"/>
  <c r="C7" i="8"/>
  <c r="L6" i="8"/>
  <c r="K6" i="8"/>
  <c r="J6" i="8"/>
  <c r="I6" i="8"/>
  <c r="H6" i="8"/>
  <c r="G6" i="8"/>
  <c r="F6" i="8"/>
  <c r="E6" i="8"/>
  <c r="D6" i="8"/>
  <c r="C6" i="8"/>
  <c r="O6" i="7"/>
  <c r="N6" i="7"/>
  <c r="M6" i="7"/>
  <c r="L6" i="7"/>
  <c r="K6" i="7"/>
  <c r="J6" i="7"/>
  <c r="I6" i="7"/>
  <c r="H6" i="7"/>
  <c r="G6" i="7"/>
  <c r="F6" i="7"/>
  <c r="E6" i="7"/>
  <c r="D6" i="7"/>
  <c r="B6" i="6"/>
  <c r="E6" i="6"/>
  <c r="H6" i="6"/>
  <c r="B7" i="6"/>
  <c r="E7" i="6"/>
  <c r="H7" i="6"/>
  <c r="B8" i="6"/>
  <c r="E8" i="6"/>
  <c r="H8" i="6"/>
  <c r="H9" i="6"/>
  <c r="H10" i="6"/>
  <c r="H11" i="6"/>
  <c r="H12" i="6"/>
  <c r="H13" i="6"/>
  <c r="H14" i="6"/>
  <c r="H15" i="6"/>
  <c r="H17" i="6"/>
  <c r="E15" i="6"/>
  <c r="E16" i="6"/>
  <c r="E17" i="6"/>
  <c r="E14" i="6"/>
  <c r="E13" i="6"/>
  <c r="E12" i="6"/>
  <c r="E11" i="6"/>
  <c r="E10" i="6"/>
  <c r="E9" i="6"/>
  <c r="B17" i="6"/>
  <c r="B16" i="6"/>
  <c r="B15" i="6"/>
  <c r="B14" i="6"/>
  <c r="B13" i="6"/>
  <c r="B12" i="6"/>
  <c r="B11" i="6"/>
  <c r="B10" i="6"/>
  <c r="B9" i="6"/>
  <c r="P16" i="5"/>
  <c r="P15" i="5"/>
  <c r="P14" i="5"/>
  <c r="P13" i="5"/>
  <c r="P12" i="5"/>
  <c r="P11" i="5"/>
  <c r="P10" i="5"/>
  <c r="P9" i="5"/>
  <c r="P8" i="5"/>
  <c r="C16" i="5"/>
  <c r="B16" i="5"/>
  <c r="C15" i="5"/>
  <c r="B15" i="5"/>
  <c r="C14" i="5"/>
  <c r="B14" i="5"/>
  <c r="C13" i="5"/>
  <c r="B13" i="5"/>
  <c r="C12" i="5"/>
  <c r="B12" i="5"/>
  <c r="C11" i="5"/>
  <c r="B11" i="5"/>
  <c r="C10" i="5"/>
  <c r="B10" i="5"/>
  <c r="C9" i="5"/>
  <c r="B9" i="5"/>
  <c r="C8" i="5"/>
  <c r="B8" i="5"/>
  <c r="K7" i="11" l="1"/>
  <c r="I17" i="6"/>
  <c r="N34" i="14"/>
  <c r="N27" i="14"/>
  <c r="N23" i="14"/>
  <c r="N15" i="14"/>
  <c r="N10" i="14"/>
  <c r="N7" i="14"/>
  <c r="N35" i="14"/>
  <c r="N30" i="14"/>
  <c r="N22" i="14"/>
  <c r="N17" i="14"/>
  <c r="N14" i="14"/>
  <c r="I16" i="6"/>
  <c r="I11" i="6"/>
  <c r="H17" i="14" s="1"/>
  <c r="I9" i="6"/>
  <c r="F27" i="14" s="1"/>
  <c r="I15" i="6"/>
  <c r="C106" i="10"/>
  <c r="H7" i="11"/>
  <c r="E7" i="11"/>
  <c r="J7" i="11"/>
  <c r="G7" i="11"/>
  <c r="I7" i="11"/>
  <c r="F7" i="11"/>
  <c r="B8" i="14"/>
  <c r="B8" i="11"/>
  <c r="H10" i="14"/>
  <c r="F23" i="14"/>
  <c r="H15" i="14"/>
  <c r="F9" i="14"/>
  <c r="H37" i="14"/>
  <c r="H35" i="14"/>
  <c r="F30" i="14"/>
  <c r="F29" i="14"/>
  <c r="H23" i="14"/>
  <c r="F16" i="14"/>
  <c r="F15" i="14"/>
  <c r="H9" i="14"/>
  <c r="F37" i="14"/>
  <c r="F36" i="14"/>
  <c r="H30" i="14"/>
  <c r="F22" i="14"/>
  <c r="H16" i="14"/>
  <c r="F8" i="14"/>
  <c r="F8" i="8"/>
  <c r="I13" i="6"/>
  <c r="I6" i="6"/>
  <c r="D7" i="11"/>
  <c r="C7" i="11"/>
  <c r="I8" i="6"/>
  <c r="I7" i="6"/>
  <c r="I14" i="6"/>
  <c r="I10" i="6"/>
  <c r="I12" i="6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3" i="2"/>
  <c r="D32" i="2"/>
  <c r="D31" i="2"/>
  <c r="D30" i="2"/>
  <c r="D29" i="2"/>
  <c r="D28" i="2"/>
  <c r="D27" i="2"/>
  <c r="D24" i="2"/>
  <c r="D23" i="2"/>
  <c r="D22" i="2"/>
  <c r="D21" i="2"/>
  <c r="D20" i="2"/>
  <c r="D19" i="2"/>
  <c r="D17" i="2"/>
  <c r="D16" i="2"/>
  <c r="D15" i="2"/>
  <c r="D13" i="2"/>
  <c r="D12" i="2"/>
  <c r="D11" i="2"/>
  <c r="D18" i="2"/>
  <c r="F14" i="14" l="1"/>
  <c r="F28" i="14"/>
  <c r="F31" i="14"/>
  <c r="H20" i="14"/>
  <c r="F35" i="14"/>
  <c r="F17" i="14"/>
  <c r="F7" i="14"/>
  <c r="F10" i="14"/>
  <c r="H21" i="14"/>
  <c r="F20" i="14"/>
  <c r="F13" i="14"/>
  <c r="F21" i="14"/>
  <c r="H24" i="14"/>
  <c r="H7" i="14"/>
  <c r="F34" i="14"/>
  <c r="F24" i="14"/>
  <c r="I33" i="14"/>
  <c r="I32" i="14"/>
  <c r="I27" i="14"/>
  <c r="I20" i="14"/>
  <c r="I19" i="14"/>
  <c r="I18" i="14"/>
  <c r="I12" i="14"/>
  <c r="I11" i="14"/>
  <c r="G30" i="14"/>
  <c r="G33" i="14"/>
  <c r="G32" i="14"/>
  <c r="G19" i="14"/>
  <c r="G18" i="14"/>
  <c r="G12" i="14"/>
  <c r="G11" i="14"/>
  <c r="K23" i="14"/>
  <c r="K33" i="14"/>
  <c r="K32" i="14"/>
  <c r="K19" i="14"/>
  <c r="K18" i="14"/>
  <c r="K12" i="14"/>
  <c r="K11" i="14"/>
  <c r="K24" i="14"/>
  <c r="D37" i="14"/>
  <c r="D33" i="14"/>
  <c r="D32" i="14"/>
  <c r="D19" i="14"/>
  <c r="D18" i="14"/>
  <c r="D12" i="14"/>
  <c r="D11" i="14"/>
  <c r="E33" i="14"/>
  <c r="E32" i="14"/>
  <c r="E31" i="14"/>
  <c r="E24" i="14"/>
  <c r="E19" i="14"/>
  <c r="E18" i="14"/>
  <c r="E17" i="14"/>
  <c r="E12" i="14"/>
  <c r="E11" i="14"/>
  <c r="E10" i="14"/>
  <c r="C11" i="14"/>
  <c r="C33" i="14"/>
  <c r="C32" i="14"/>
  <c r="C26" i="14"/>
  <c r="C25" i="14"/>
  <c r="C19" i="14"/>
  <c r="C18" i="14"/>
  <c r="C12" i="14"/>
  <c r="J33" i="14"/>
  <c r="J32" i="14"/>
  <c r="J19" i="14"/>
  <c r="J18" i="14"/>
  <c r="J12" i="14"/>
  <c r="J11" i="14"/>
  <c r="L35" i="14"/>
  <c r="L34" i="14"/>
  <c r="L33" i="14"/>
  <c r="L32" i="14"/>
  <c r="L31" i="14"/>
  <c r="L28" i="14"/>
  <c r="L27" i="14"/>
  <c r="L24" i="14"/>
  <c r="L21" i="14"/>
  <c r="L20" i="14"/>
  <c r="L19" i="14"/>
  <c r="L18" i="14"/>
  <c r="L17" i="14"/>
  <c r="L14" i="14"/>
  <c r="L13" i="14"/>
  <c r="L12" i="14"/>
  <c r="L11" i="14"/>
  <c r="L10" i="14"/>
  <c r="L7" i="14"/>
  <c r="F33" i="14"/>
  <c r="F32" i="14"/>
  <c r="F19" i="14"/>
  <c r="F18" i="14"/>
  <c r="F12" i="14"/>
  <c r="F11" i="14"/>
  <c r="H27" i="14"/>
  <c r="H33" i="14"/>
  <c r="H32" i="14"/>
  <c r="H19" i="14"/>
  <c r="H18" i="14"/>
  <c r="H12" i="14"/>
  <c r="H11" i="14"/>
  <c r="M35" i="14"/>
  <c r="M34" i="14"/>
  <c r="M33" i="14"/>
  <c r="M32" i="14"/>
  <c r="M31" i="14"/>
  <c r="M28" i="14"/>
  <c r="M27" i="14"/>
  <c r="M24" i="14"/>
  <c r="M21" i="14"/>
  <c r="M20" i="14"/>
  <c r="M19" i="14"/>
  <c r="M18" i="14"/>
  <c r="M17" i="14"/>
  <c r="M14" i="14"/>
  <c r="M13" i="14"/>
  <c r="M12" i="14"/>
  <c r="M11" i="14"/>
  <c r="M10" i="14"/>
  <c r="M7" i="14"/>
  <c r="N36" i="14"/>
  <c r="N33" i="14"/>
  <c r="N32" i="14"/>
  <c r="N19" i="14"/>
  <c r="N18" i="14"/>
  <c r="N12" i="14"/>
  <c r="N11" i="14"/>
  <c r="E8" i="11"/>
  <c r="N8" i="14"/>
  <c r="N16" i="14"/>
  <c r="N20" i="14"/>
  <c r="N28" i="14"/>
  <c r="N31" i="14"/>
  <c r="N37" i="14"/>
  <c r="N9" i="14"/>
  <c r="N13" i="14"/>
  <c r="N21" i="14"/>
  <c r="N24" i="14"/>
  <c r="N29" i="14"/>
  <c r="I13" i="14"/>
  <c r="I34" i="14"/>
  <c r="H14" i="14"/>
  <c r="H28" i="14"/>
  <c r="H31" i="14"/>
  <c r="H8" i="14"/>
  <c r="H22" i="14"/>
  <c r="H36" i="14"/>
  <c r="H29" i="14"/>
  <c r="H34" i="14"/>
  <c r="H13" i="14"/>
  <c r="K27" i="14"/>
  <c r="K31" i="14"/>
  <c r="K13" i="14"/>
  <c r="K7" i="14"/>
  <c r="K9" i="14"/>
  <c r="K35" i="14"/>
  <c r="K37" i="14"/>
  <c r="K29" i="14"/>
  <c r="K17" i="14"/>
  <c r="K10" i="14"/>
  <c r="K15" i="14"/>
  <c r="K8" i="14"/>
  <c r="K34" i="14"/>
  <c r="K36" i="14"/>
  <c r="G20" i="14"/>
  <c r="G8" i="14"/>
  <c r="D15" i="14"/>
  <c r="D17" i="14"/>
  <c r="G22" i="14"/>
  <c r="G36" i="14"/>
  <c r="G13" i="14"/>
  <c r="G27" i="14"/>
  <c r="D27" i="14"/>
  <c r="G31" i="14"/>
  <c r="G7" i="14"/>
  <c r="D28" i="14"/>
  <c r="D30" i="14"/>
  <c r="G14" i="14"/>
  <c r="G16" i="14"/>
  <c r="D21" i="14"/>
  <c r="D22" i="14"/>
  <c r="D23" i="14"/>
  <c r="D24" i="14"/>
  <c r="G29" i="14"/>
  <c r="D14" i="14"/>
  <c r="D16" i="14"/>
  <c r="G23" i="14"/>
  <c r="K28" i="14"/>
  <c r="K30" i="14"/>
  <c r="G35" i="14"/>
  <c r="G37" i="14"/>
  <c r="G10" i="14"/>
  <c r="D20" i="14"/>
  <c r="G24" i="14"/>
  <c r="D34" i="14"/>
  <c r="D13" i="14"/>
  <c r="G17" i="14"/>
  <c r="G34" i="14"/>
  <c r="G9" i="14"/>
  <c r="K14" i="14"/>
  <c r="K16" i="14"/>
  <c r="G21" i="14"/>
  <c r="D29" i="14"/>
  <c r="D31" i="14"/>
  <c r="D7" i="14"/>
  <c r="D8" i="14"/>
  <c r="D9" i="14"/>
  <c r="D10" i="14"/>
  <c r="G15" i="14"/>
  <c r="K20" i="14"/>
  <c r="K21" i="14"/>
  <c r="K22" i="14"/>
  <c r="G28" i="14"/>
  <c r="D35" i="14"/>
  <c r="D36" i="14"/>
  <c r="C8" i="11"/>
  <c r="D8" i="11"/>
  <c r="I8" i="11"/>
  <c r="F8" i="11"/>
  <c r="G8" i="11"/>
  <c r="J8" i="11"/>
  <c r="K8" i="11"/>
  <c r="F9" i="8"/>
  <c r="H8" i="11"/>
  <c r="B9" i="14"/>
  <c r="B9" i="11"/>
  <c r="J30" i="14"/>
  <c r="J22" i="14"/>
  <c r="J14" i="14"/>
  <c r="J37" i="14"/>
  <c r="J29" i="14"/>
  <c r="J21" i="14"/>
  <c r="J13" i="14"/>
  <c r="J36" i="14"/>
  <c r="J28" i="14"/>
  <c r="J20" i="14"/>
  <c r="J10" i="14"/>
  <c r="J35" i="14"/>
  <c r="J27" i="14"/>
  <c r="J17" i="14"/>
  <c r="J7" i="14"/>
  <c r="J34" i="14"/>
  <c r="J24" i="14"/>
  <c r="J9" i="14"/>
  <c r="J15" i="14"/>
  <c r="J31" i="14"/>
  <c r="J16" i="14"/>
  <c r="J8" i="14"/>
  <c r="J23" i="14"/>
  <c r="I23" i="14"/>
  <c r="I17" i="14"/>
  <c r="I8" i="14"/>
  <c r="I29" i="14"/>
  <c r="I14" i="14"/>
  <c r="I28" i="14"/>
  <c r="I37" i="14"/>
  <c r="I31" i="14"/>
  <c r="I22" i="14"/>
  <c r="I7" i="14"/>
  <c r="I16" i="14"/>
  <c r="I10" i="14"/>
  <c r="I36" i="14"/>
  <c r="I21" i="14"/>
  <c r="I35" i="14"/>
  <c r="I30" i="14"/>
  <c r="I24" i="14"/>
  <c r="I15" i="14"/>
  <c r="I9" i="14"/>
  <c r="E29" i="14"/>
  <c r="E36" i="14"/>
  <c r="E21" i="14"/>
  <c r="E9" i="14"/>
  <c r="E28" i="14"/>
  <c r="E16" i="14"/>
  <c r="E13" i="14"/>
  <c r="E27" i="14"/>
  <c r="E35" i="14"/>
  <c r="E23" i="14"/>
  <c r="E30" i="14"/>
  <c r="E20" i="14"/>
  <c r="E8" i="14"/>
  <c r="E37" i="14"/>
  <c r="E15" i="14"/>
  <c r="E34" i="14"/>
  <c r="E22" i="14"/>
  <c r="E7" i="14"/>
  <c r="E14" i="14"/>
  <c r="C37" i="14"/>
  <c r="C35" i="14"/>
  <c r="C31" i="14"/>
  <c r="C29" i="14"/>
  <c r="C27" i="14"/>
  <c r="C17" i="14"/>
  <c r="C15" i="14"/>
  <c r="C7" i="14"/>
  <c r="C24" i="14"/>
  <c r="C20" i="14"/>
  <c r="C16" i="14"/>
  <c r="C8" i="14"/>
  <c r="C36" i="14"/>
  <c r="C34" i="14"/>
  <c r="C30" i="14"/>
  <c r="C28" i="14"/>
  <c r="C22" i="14"/>
  <c r="C14" i="14"/>
  <c r="C10" i="14"/>
  <c r="C23" i="14"/>
  <c r="C21" i="14"/>
  <c r="C13" i="14"/>
  <c r="C9" i="14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10" i="2"/>
  <c r="D9" i="2"/>
  <c r="D8" i="2"/>
  <c r="D7" i="2"/>
  <c r="D6" i="2"/>
  <c r="L50" i="3"/>
  <c r="I51" i="3"/>
  <c r="I50" i="3"/>
  <c r="F51" i="3"/>
  <c r="F50" i="3"/>
  <c r="I36" i="3"/>
  <c r="I35" i="3"/>
  <c r="F36" i="3"/>
  <c r="F35" i="3"/>
  <c r="I21" i="3"/>
  <c r="I20" i="3"/>
  <c r="L6" i="3"/>
  <c r="L5" i="3"/>
  <c r="I6" i="3"/>
  <c r="I5" i="3"/>
  <c r="F6" i="3"/>
  <c r="F5" i="3"/>
  <c r="F38" i="14" l="1"/>
  <c r="C9" i="16" s="1"/>
  <c r="M38" i="14"/>
  <c r="L38" i="14"/>
  <c r="H38" i="14"/>
  <c r="C11" i="16" s="1"/>
  <c r="N38" i="14"/>
  <c r="D38" i="14"/>
  <c r="C7" i="16" s="1"/>
  <c r="G38" i="14"/>
  <c r="C10" i="16" s="1"/>
  <c r="K38" i="14"/>
  <c r="J9" i="11"/>
  <c r="K9" i="11"/>
  <c r="E9" i="11"/>
  <c r="G9" i="11"/>
  <c r="I9" i="11"/>
  <c r="F9" i="11"/>
  <c r="F10" i="8"/>
  <c r="H9" i="11"/>
  <c r="D9" i="11"/>
  <c r="C9" i="11"/>
  <c r="B10" i="14"/>
  <c r="B10" i="11"/>
  <c r="J38" i="14"/>
  <c r="I38" i="14"/>
  <c r="C12" i="16" s="1"/>
  <c r="E38" i="14"/>
  <c r="C8" i="16" s="1"/>
  <c r="C38" i="14"/>
  <c r="C6" i="16" s="1"/>
  <c r="B11" i="14" l="1"/>
  <c r="B11" i="11"/>
  <c r="K10" i="11"/>
  <c r="G10" i="11"/>
  <c r="E10" i="11"/>
  <c r="I10" i="11"/>
  <c r="F10" i="11"/>
  <c r="J10" i="11"/>
  <c r="H10" i="11"/>
  <c r="D10" i="11"/>
  <c r="F11" i="8"/>
  <c r="C10" i="11"/>
  <c r="B12" i="14" l="1"/>
  <c r="B12" i="11"/>
  <c r="K11" i="11"/>
  <c r="I11" i="11"/>
  <c r="F11" i="11"/>
  <c r="J11" i="11"/>
  <c r="G11" i="11"/>
  <c r="E11" i="11"/>
  <c r="H11" i="11"/>
  <c r="D11" i="11"/>
  <c r="F12" i="8"/>
  <c r="C11" i="11"/>
  <c r="B13" i="14" l="1"/>
  <c r="B13" i="11"/>
  <c r="I12" i="11"/>
  <c r="F12" i="11"/>
  <c r="J12" i="11"/>
  <c r="K12" i="11"/>
  <c r="G12" i="11"/>
  <c r="E12" i="11"/>
  <c r="H12" i="11"/>
  <c r="D12" i="11"/>
  <c r="F13" i="8"/>
  <c r="C12" i="11"/>
  <c r="B14" i="14" l="1"/>
  <c r="B14" i="11"/>
  <c r="J13" i="11"/>
  <c r="E13" i="11"/>
  <c r="K13" i="11"/>
  <c r="G13" i="11"/>
  <c r="I13" i="11"/>
  <c r="F13" i="11"/>
  <c r="H13" i="11"/>
  <c r="D13" i="11"/>
  <c r="F14" i="8"/>
  <c r="C13" i="11"/>
  <c r="B15" i="14" l="1"/>
  <c r="B15" i="11"/>
  <c r="D14" i="11"/>
  <c r="K14" i="11"/>
  <c r="G14" i="11"/>
  <c r="J14" i="11"/>
  <c r="E14" i="11"/>
  <c r="I14" i="11"/>
  <c r="F14" i="11"/>
  <c r="H14" i="11"/>
  <c r="F15" i="8"/>
  <c r="C14" i="11"/>
  <c r="B16" i="14" l="1"/>
  <c r="B16" i="11"/>
  <c r="E15" i="11"/>
  <c r="I15" i="11"/>
  <c r="G15" i="11"/>
  <c r="F15" i="11"/>
  <c r="K15" i="11"/>
  <c r="J15" i="11"/>
  <c r="C15" i="11"/>
  <c r="H15" i="11"/>
  <c r="F16" i="8"/>
  <c r="D15" i="11"/>
  <c r="I16" i="11" l="1"/>
  <c r="F16" i="11"/>
  <c r="K16" i="11"/>
  <c r="J16" i="11"/>
  <c r="G16" i="11"/>
  <c r="E16" i="11"/>
  <c r="D16" i="11"/>
  <c r="C16" i="11"/>
  <c r="F17" i="8"/>
  <c r="H16" i="11"/>
  <c r="B17" i="14"/>
  <c r="B17" i="11"/>
  <c r="J17" i="11" l="1"/>
  <c r="K17" i="11"/>
  <c r="I17" i="11"/>
  <c r="F17" i="11"/>
  <c r="G17" i="11"/>
  <c r="E17" i="11"/>
  <c r="C17" i="11"/>
  <c r="H17" i="11"/>
  <c r="D17" i="11"/>
  <c r="F18" i="8"/>
  <c r="B18" i="14"/>
  <c r="B18" i="11"/>
  <c r="K18" i="11" l="1"/>
  <c r="G18" i="11"/>
  <c r="E18" i="11"/>
  <c r="J18" i="11"/>
  <c r="I18" i="11"/>
  <c r="F18" i="11"/>
  <c r="H18" i="11"/>
  <c r="D18" i="11"/>
  <c r="C18" i="11"/>
  <c r="F19" i="8"/>
  <c r="B19" i="14"/>
  <c r="B19" i="11"/>
  <c r="K19" i="11" l="1"/>
  <c r="G19" i="11"/>
  <c r="J19" i="11"/>
  <c r="E19" i="11"/>
  <c r="I19" i="11"/>
  <c r="F19" i="11"/>
  <c r="F20" i="8"/>
  <c r="C19" i="11"/>
  <c r="H19" i="11"/>
  <c r="D19" i="11"/>
  <c r="B20" i="14"/>
  <c r="B20" i="11"/>
  <c r="I20" i="11" l="1"/>
  <c r="F20" i="11"/>
  <c r="K20" i="11"/>
  <c r="G20" i="11"/>
  <c r="J20" i="11"/>
  <c r="D20" i="11"/>
  <c r="C20" i="11"/>
  <c r="E20" i="11"/>
  <c r="F21" i="8"/>
  <c r="H20" i="11"/>
  <c r="B21" i="14"/>
  <c r="B21" i="11"/>
  <c r="J21" i="11" l="1"/>
  <c r="K21" i="11"/>
  <c r="F21" i="11"/>
  <c r="E21" i="11"/>
  <c r="I21" i="11"/>
  <c r="G21" i="11"/>
  <c r="D21" i="11"/>
  <c r="F22" i="8"/>
  <c r="C21" i="11"/>
  <c r="H21" i="11"/>
  <c r="B22" i="14"/>
  <c r="B22" i="11"/>
  <c r="K22" i="11" l="1"/>
  <c r="G22" i="11"/>
  <c r="I22" i="11"/>
  <c r="F22" i="11"/>
  <c r="E22" i="11"/>
  <c r="J22" i="11"/>
  <c r="F23" i="8"/>
  <c r="D22" i="11"/>
  <c r="H22" i="11"/>
  <c r="C22" i="11"/>
  <c r="B23" i="14"/>
  <c r="B23" i="11"/>
  <c r="E23" i="11" l="1"/>
  <c r="J23" i="11"/>
  <c r="H23" i="11"/>
  <c r="I23" i="11"/>
  <c r="F23" i="11"/>
  <c r="G23" i="11"/>
  <c r="K23" i="11"/>
  <c r="F24" i="8"/>
  <c r="D23" i="11"/>
  <c r="C23" i="11"/>
  <c r="B24" i="14"/>
  <c r="B24" i="11"/>
  <c r="I24" i="11" l="1"/>
  <c r="F24" i="11"/>
  <c r="H24" i="11"/>
  <c r="G24" i="11"/>
  <c r="K24" i="11"/>
  <c r="J24" i="11"/>
  <c r="F25" i="8"/>
  <c r="D24" i="11"/>
  <c r="C24" i="11"/>
  <c r="E24" i="11"/>
  <c r="B25" i="14"/>
  <c r="B25" i="11"/>
  <c r="J25" i="11" l="1"/>
  <c r="K25" i="11"/>
  <c r="G25" i="11"/>
  <c r="E25" i="11"/>
  <c r="I25" i="11"/>
  <c r="F25" i="11"/>
  <c r="F26" i="8"/>
  <c r="D25" i="11"/>
  <c r="C25" i="11"/>
  <c r="H25" i="11"/>
  <c r="B26" i="14"/>
  <c r="B26" i="11"/>
  <c r="K26" i="11" l="1"/>
  <c r="G26" i="11"/>
  <c r="I26" i="11"/>
  <c r="F26" i="11"/>
  <c r="J26" i="11"/>
  <c r="E26" i="11"/>
  <c r="H26" i="11"/>
  <c r="D26" i="11"/>
  <c r="C26" i="11"/>
  <c r="F27" i="8"/>
  <c r="B27" i="14"/>
  <c r="B27" i="11"/>
  <c r="K27" i="11" l="1"/>
  <c r="I27" i="11"/>
  <c r="F27" i="11"/>
  <c r="J27" i="11"/>
  <c r="E27" i="11"/>
  <c r="G27" i="11"/>
  <c r="H27" i="11"/>
  <c r="D27" i="11"/>
  <c r="F28" i="8"/>
  <c r="C27" i="11"/>
  <c r="B28" i="14"/>
  <c r="B28" i="11"/>
  <c r="I28" i="11" l="1"/>
  <c r="F28" i="11"/>
  <c r="J28" i="11"/>
  <c r="G28" i="11"/>
  <c r="K28" i="11"/>
  <c r="E28" i="11"/>
  <c r="C28" i="11"/>
  <c r="F29" i="8"/>
  <c r="D28" i="11"/>
  <c r="H28" i="11"/>
  <c r="B29" i="14"/>
  <c r="B29" i="11"/>
  <c r="J29" i="11" l="1"/>
  <c r="E29" i="11"/>
  <c r="K29" i="11"/>
  <c r="G29" i="11"/>
  <c r="I29" i="11"/>
  <c r="F29" i="11"/>
  <c r="F30" i="8"/>
  <c r="C29" i="11"/>
  <c r="H29" i="11"/>
  <c r="D29" i="11"/>
  <c r="B30" i="14"/>
  <c r="B30" i="11"/>
  <c r="K30" i="11" l="1"/>
  <c r="G30" i="11"/>
  <c r="E30" i="11"/>
  <c r="J30" i="11"/>
  <c r="I30" i="11"/>
  <c r="F30" i="11"/>
  <c r="C30" i="11"/>
  <c r="D30" i="11"/>
  <c r="H30" i="11"/>
  <c r="F31" i="8"/>
  <c r="B31" i="14"/>
  <c r="B31" i="11"/>
  <c r="B32" i="14" l="1"/>
  <c r="B32" i="11"/>
  <c r="F31" i="11"/>
  <c r="H31" i="11"/>
  <c r="G31" i="11"/>
  <c r="E31" i="11"/>
  <c r="I31" i="11"/>
  <c r="K31" i="11"/>
  <c r="J31" i="11"/>
  <c r="D31" i="11"/>
  <c r="C31" i="11"/>
  <c r="F32" i="8"/>
  <c r="I32" i="11" l="1"/>
  <c r="F32" i="11"/>
  <c r="J32" i="11"/>
  <c r="K32" i="11"/>
  <c r="G32" i="11"/>
  <c r="D32" i="11"/>
  <c r="C32" i="11"/>
  <c r="F33" i="8"/>
  <c r="H32" i="11"/>
  <c r="E32" i="11"/>
  <c r="B33" i="14"/>
  <c r="B33" i="11"/>
  <c r="J33" i="11" l="1"/>
  <c r="K33" i="11"/>
  <c r="I33" i="11"/>
  <c r="F33" i="11"/>
  <c r="G33" i="11"/>
  <c r="E33" i="11"/>
  <c r="C33" i="11"/>
  <c r="F34" i="8"/>
  <c r="D33" i="11"/>
  <c r="H33" i="11"/>
  <c r="B34" i="14"/>
  <c r="B34" i="11"/>
  <c r="K34" i="11" l="1"/>
  <c r="G34" i="11"/>
  <c r="E34" i="11"/>
  <c r="J34" i="11"/>
  <c r="I34" i="11"/>
  <c r="F34" i="11"/>
  <c r="D34" i="11"/>
  <c r="C34" i="11"/>
  <c r="F35" i="8"/>
  <c r="H34" i="11"/>
  <c r="B35" i="14"/>
  <c r="B35" i="11"/>
  <c r="K35" i="11" l="1"/>
  <c r="G35" i="11"/>
  <c r="E35" i="11"/>
  <c r="J35" i="11"/>
  <c r="I35" i="11"/>
  <c r="F35" i="11"/>
  <c r="C35" i="11"/>
  <c r="H35" i="11"/>
  <c r="D35" i="11"/>
  <c r="F36" i="8"/>
  <c r="B36" i="14"/>
  <c r="B36" i="11"/>
  <c r="I36" i="11" l="1"/>
  <c r="F36" i="11"/>
  <c r="J36" i="11"/>
  <c r="K36" i="11"/>
  <c r="G36" i="11"/>
  <c r="C36" i="11"/>
  <c r="E36" i="11"/>
  <c r="H36" i="11"/>
  <c r="D36" i="11"/>
  <c r="F37" i="8"/>
  <c r="B37" i="14"/>
  <c r="B37" i="11"/>
  <c r="J37" i="11" l="1"/>
  <c r="K39" i="8" s="1"/>
  <c r="K37" i="11"/>
  <c r="L39" i="8" s="1"/>
  <c r="G12" i="12" s="1"/>
  <c r="E37" i="11"/>
  <c r="E39" i="8" s="1"/>
  <c r="I37" i="11"/>
  <c r="J39" i="8" s="1"/>
  <c r="G14" i="12" s="1"/>
  <c r="F37" i="11"/>
  <c r="G39" i="8" s="1"/>
  <c r="G11" i="12" s="1"/>
  <c r="G37" i="11"/>
  <c r="H39" i="8" s="1"/>
  <c r="G13" i="12" s="1"/>
  <c r="C37" i="11"/>
  <c r="G8" i="12" s="1"/>
  <c r="D37" i="11"/>
  <c r="D39" i="8" s="1"/>
  <c r="F38" i="8"/>
  <c r="F39" i="8" s="1"/>
  <c r="H37" i="11"/>
  <c r="I39" i="8" s="1"/>
  <c r="D14" i="19" l="1"/>
  <c r="E14" i="19" s="1"/>
  <c r="D13" i="19"/>
  <c r="G13" i="19" s="1"/>
  <c r="D12" i="19"/>
  <c r="G12" i="19" s="1"/>
  <c r="D11" i="19"/>
  <c r="I11" i="19" s="1"/>
  <c r="D10" i="19"/>
  <c r="I10" i="19" s="1"/>
  <c r="D9" i="19"/>
  <c r="F9" i="19" s="1"/>
  <c r="G10" i="12"/>
  <c r="D8" i="19"/>
  <c r="O8" i="19" s="1"/>
  <c r="G9" i="12"/>
  <c r="B66" i="8"/>
  <c r="K14" i="19" l="1"/>
  <c r="P14" i="19"/>
  <c r="O14" i="19"/>
  <c r="G14" i="19"/>
  <c r="N14" i="19"/>
  <c r="F14" i="19"/>
  <c r="J14" i="19"/>
  <c r="M14" i="19"/>
  <c r="L14" i="19"/>
  <c r="H14" i="19"/>
  <c r="I14" i="19"/>
  <c r="E12" i="19"/>
  <c r="I13" i="19"/>
  <c r="I12" i="19"/>
  <c r="M12" i="19"/>
  <c r="F13" i="19"/>
  <c r="N13" i="19"/>
  <c r="H12" i="19"/>
  <c r="F12" i="19"/>
  <c r="K12" i="19"/>
  <c r="L12" i="19"/>
  <c r="J12" i="19"/>
  <c r="P12" i="19"/>
  <c r="N12" i="19"/>
  <c r="O12" i="19"/>
  <c r="O13" i="19"/>
  <c r="L13" i="19"/>
  <c r="M13" i="19"/>
  <c r="K9" i="19"/>
  <c r="I9" i="19"/>
  <c r="F10" i="19"/>
  <c r="M9" i="19"/>
  <c r="H9" i="19"/>
  <c r="N9" i="19"/>
  <c r="P9" i="19"/>
  <c r="E8" i="19"/>
  <c r="P10" i="19"/>
  <c r="F11" i="19"/>
  <c r="H11" i="19"/>
  <c r="J13" i="19"/>
  <c r="K13" i="19"/>
  <c r="H13" i="19"/>
  <c r="E13" i="19"/>
  <c r="P13" i="19"/>
  <c r="I8" i="19"/>
  <c r="M8" i="19"/>
  <c r="H10" i="19"/>
  <c r="K11" i="19"/>
  <c r="E11" i="19"/>
  <c r="P11" i="19"/>
  <c r="O11" i="19"/>
  <c r="H8" i="19"/>
  <c r="F8" i="19"/>
  <c r="L8" i="19"/>
  <c r="K10" i="19"/>
  <c r="E10" i="19"/>
  <c r="J10" i="19"/>
  <c r="G11" i="19"/>
  <c r="N11" i="19"/>
  <c r="L11" i="19"/>
  <c r="J11" i="19"/>
  <c r="M11" i="19"/>
  <c r="O9" i="19"/>
  <c r="J9" i="19"/>
  <c r="L9" i="19"/>
  <c r="G9" i="19"/>
  <c r="E9" i="19"/>
  <c r="K8" i="19"/>
  <c r="J8" i="19"/>
  <c r="P8" i="19"/>
  <c r="N8" i="19"/>
  <c r="G8" i="19"/>
  <c r="O10" i="19"/>
  <c r="N10" i="19"/>
  <c r="L10" i="19"/>
  <c r="G10" i="19"/>
  <c r="M10" i="19"/>
  <c r="D7" i="19"/>
  <c r="K7" i="19" l="1"/>
  <c r="K15" i="19" s="1"/>
  <c r="D12" i="16" s="1"/>
  <c r="H7" i="19"/>
  <c r="H15" i="19" s="1"/>
  <c r="D9" i="16" s="1"/>
  <c r="N7" i="19"/>
  <c r="N15" i="19" s="1"/>
  <c r="I7" i="19"/>
  <c r="I15" i="19" s="1"/>
  <c r="D10" i="16" s="1"/>
  <c r="O7" i="19"/>
  <c r="O15" i="19" s="1"/>
  <c r="M7" i="19"/>
  <c r="M15" i="19" s="1"/>
  <c r="E7" i="19"/>
  <c r="E15" i="19" s="1"/>
  <c r="D6" i="16" s="1"/>
  <c r="J7" i="19"/>
  <c r="J15" i="19" s="1"/>
  <c r="D11" i="16" s="1"/>
  <c r="G7" i="19"/>
  <c r="G15" i="19" s="1"/>
  <c r="D8" i="16" s="1"/>
  <c r="L7" i="19"/>
  <c r="L15" i="19" s="1"/>
  <c r="P7" i="19"/>
  <c r="P15" i="19" s="1"/>
  <c r="F7" i="19"/>
  <c r="F15" i="19" s="1"/>
  <c r="D7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L'obsidienne</author>
    <author>mounir lamloum</author>
  </authors>
  <commentList>
    <comment ref="K8" authorId="0" shapeId="0" xr:uid="{5A723136-B9E0-4E2E-B832-B3C5859FC879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PANNE ACCOUPLEMENT MOTOREDUCTEUR SORTIE PAF + TAUX PAF1 ELEVEE MP AZMIR</t>
        </r>
      </text>
    </comment>
    <comment ref="M8" authorId="0" shapeId="0" xr:uid="{D5669A74-5322-4406-9BF5-6FF82E80B979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TAUX PAF ELEVEE MP AZMIR</t>
        </r>
      </text>
    </comment>
    <comment ref="O8" authorId="0" shapeId="0" xr:uid="{9B9DFE61-9735-4961-B475-FA3EB9480DF0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rupture MP </t>
        </r>
      </text>
    </comment>
    <comment ref="S8" authorId="0" shapeId="0" xr:uid="{25C8B8D1-8DBD-49CC-8F9F-8BF48E8E491F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coupure electricité steg</t>
        </r>
      </text>
    </comment>
    <comment ref="AE8" authorId="0" shapeId="0" xr:uid="{E745C2FD-906C-4F50-895D-629670746B01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arret de production 3h
mauvaise manipulation</t>
        </r>
      </text>
    </comment>
    <comment ref="AI8" authorId="0" shapeId="0" xr:uid="{442C1B29-ACBE-4560-8014-2B615BC26B23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coupure electricité double demarrage</t>
        </r>
      </text>
    </comment>
    <comment ref="AS8" authorId="0" shapeId="0" xr:uid="{60A8DF9A-FC7D-4EEA-9B4E-F059E4F958FC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voir perlite construction</t>
        </r>
      </text>
    </comment>
    <comment ref="AU8" authorId="0" shapeId="0" xr:uid="{B5D727EA-9FDA-4BEF-BC85-FEF54502B39E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mp haute humidité</t>
        </r>
      </text>
    </comment>
    <comment ref="AW8" authorId="0" shapeId="0" xr:uid="{EE447F90-3E2D-4402-88E9-DD92C976E122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mp  haute humidité
pane au niveau accouplement moteur sortie paf 2</t>
        </r>
      </text>
    </comment>
    <comment ref="BG8" authorId="1" shapeId="0" xr:uid="{925AFA1A-48B0-464B-9231-705911D2E433}">
      <text>
        <r>
          <rPr>
            <b/>
            <sz val="9"/>
            <color indexed="81"/>
            <rFont val="Tahoma"/>
            <family val="2"/>
          </rPr>
          <t>mounir lamloum:</t>
        </r>
        <r>
          <rPr>
            <sz val="9"/>
            <color indexed="81"/>
            <rFont val="Tahoma"/>
            <family val="2"/>
          </rPr>
          <t xml:space="preserve">
voir perlite construction</t>
        </r>
      </text>
    </comment>
    <comment ref="BI8" authorId="0" shapeId="0" xr:uid="{4E9D4959-7598-46CD-8621-9E1211EDAC4A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probleme qualité mp azmir (deminuation vitesse pour un essai )</t>
        </r>
      </text>
    </comment>
    <comment ref="BK8" authorId="0" shapeId="0" xr:uid="{B0A9CACF-4C9A-4DE8-A859-C4F0D7F82B1D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TAUX PAF1 TROP ELEVEE</t>
        </r>
      </text>
    </comment>
    <comment ref="Q21" authorId="0" shapeId="0" xr:uid="{E5BC4208-BBAD-4D05-A956-26FF6A69B35A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microcoupure successive de la part du steg </t>
        </r>
      </text>
    </comment>
    <comment ref="AO21" authorId="1" shapeId="0" xr:uid="{8D90646C-9B63-4F8B-AE36-680F012C8766}">
      <text>
        <r>
          <rPr>
            <b/>
            <sz val="9"/>
            <color indexed="81"/>
            <rFont val="Tahoma"/>
            <family val="2"/>
          </rPr>
          <t>mounir lamloum:</t>
        </r>
        <r>
          <rPr>
            <sz val="9"/>
            <color indexed="81"/>
            <rFont val="Tahoma"/>
            <family val="2"/>
          </rPr>
          <t xml:space="preserve">
organisation et amenagement et reparation vis</t>
        </r>
      </text>
    </comment>
    <comment ref="S31" authorId="0" shapeId="0" xr:uid="{59510CEB-DBAA-4655-B823-99D216378228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coupure electricité </t>
        </r>
      </text>
    </comment>
    <comment ref="Y31" authorId="0" shapeId="0" xr:uid="{7539C8DC-62DB-404A-BFCB-7B6699C5EE3C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panne alimentation gaz bruleur</t>
        </r>
      </text>
    </comment>
    <comment ref="U33" authorId="0" shapeId="0" xr:uid="{A5434F84-DD8E-4E6F-9B9B-9C56AB8BB042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soit 1820kg </t>
        </r>
      </text>
    </comment>
    <comment ref="W33" authorId="0" shapeId="0" xr:uid="{1264991C-B88F-4734-BDF9-8C4EF1EAC896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soit 2800kg</t>
        </r>
      </text>
    </comment>
    <comment ref="Y33" authorId="0" shapeId="0" xr:uid="{9EDD42E2-DFA0-45B1-B6B9-D42027A4FA0E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2100</t>
        </r>
      </text>
    </comment>
    <comment ref="AA33" authorId="0" shapeId="0" xr:uid="{561F048D-2B16-4B7C-9D73-F8DAF7958564}">
      <text>
        <r>
          <rPr>
            <b/>
            <sz val="9"/>
            <color indexed="81"/>
            <rFont val="Tahoma"/>
            <family val="2"/>
          </rPr>
          <t>L'obsidienne:</t>
        </r>
        <r>
          <rPr>
            <sz val="9"/>
            <color indexed="81"/>
            <rFont val="Tahoma"/>
            <family val="2"/>
          </rPr>
          <t xml:space="preserve">
soit 4060kg</t>
        </r>
      </text>
    </comment>
    <comment ref="AC33" authorId="1" shapeId="0" xr:uid="{35B97CF5-65C2-4949-B359-1DA508A84EAF}">
      <text>
        <r>
          <rPr>
            <b/>
            <sz val="9"/>
            <color indexed="81"/>
            <rFont val="Tahoma"/>
            <family val="2"/>
          </rPr>
          <t>mounir lamloum:</t>
        </r>
        <r>
          <rPr>
            <sz val="9"/>
            <color indexed="81"/>
            <rFont val="Tahoma"/>
            <family val="2"/>
          </rPr>
          <t xml:space="preserve">
2660kg</t>
        </r>
      </text>
    </comment>
    <comment ref="AE33" authorId="1" shapeId="0" xr:uid="{7BB7212B-2CED-42FF-BBDA-A3D689507AB4}">
      <text>
        <r>
          <rPr>
            <b/>
            <sz val="9"/>
            <color indexed="81"/>
            <rFont val="Tahoma"/>
            <family val="2"/>
          </rPr>
          <t>mounir lamloum:</t>
        </r>
        <r>
          <rPr>
            <sz val="9"/>
            <color indexed="81"/>
            <rFont val="Tahoma"/>
            <family val="2"/>
          </rPr>
          <t xml:space="preserve">
3010kg</t>
        </r>
      </text>
    </comment>
    <comment ref="AG33" authorId="1" shapeId="0" xr:uid="{2E079B08-9243-476A-AFBA-35AAC1FD7FF9}">
      <text>
        <r>
          <rPr>
            <b/>
            <sz val="9"/>
            <color indexed="81"/>
            <rFont val="Tahoma"/>
            <family val="2"/>
          </rPr>
          <t>mounir lamloum:</t>
        </r>
        <r>
          <rPr>
            <sz val="9"/>
            <color indexed="81"/>
            <rFont val="Tahoma"/>
            <family val="2"/>
          </rPr>
          <t xml:space="preserve">
5040kg</t>
        </r>
      </text>
    </comment>
  </commentList>
</comments>
</file>

<file path=xl/sharedStrings.xml><?xml version="1.0" encoding="utf-8"?>
<sst xmlns="http://schemas.openxmlformats.org/spreadsheetml/2006/main" count="560" uniqueCount="191">
  <si>
    <t>Client</t>
  </si>
  <si>
    <t>Code produit</t>
  </si>
  <si>
    <t>Description produit</t>
  </si>
  <si>
    <t>Quantité</t>
  </si>
  <si>
    <t>Date envoi</t>
  </si>
  <si>
    <t>Vélo route</t>
  </si>
  <si>
    <t>R05</t>
  </si>
  <si>
    <t>Vélo montagne</t>
  </si>
  <si>
    <t>M18</t>
  </si>
  <si>
    <t>Vélo ville</t>
  </si>
  <si>
    <t>Vélo électrique</t>
  </si>
  <si>
    <t>V42</t>
  </si>
  <si>
    <t>E01</t>
  </si>
  <si>
    <t>OutSport</t>
  </si>
  <si>
    <t>Triathlon</t>
  </si>
  <si>
    <t>Sport3000</t>
  </si>
  <si>
    <t>ALaMontagne</t>
  </si>
  <si>
    <t>SuperT</t>
  </si>
  <si>
    <t>Esprit vélo</t>
  </si>
  <si>
    <t>Culture Gran Fonfo</t>
  </si>
  <si>
    <t>Commandes</t>
  </si>
  <si>
    <t>TOTAL</t>
  </si>
  <si>
    <t>Temps total par équipe [min]</t>
  </si>
  <si>
    <t>Temps de pause par équipe [min]</t>
  </si>
  <si>
    <t>Temps disponible par équipe [min]</t>
  </si>
  <si>
    <t>Equipe par jour [nb]</t>
  </si>
  <si>
    <t>1 - PRODUITS</t>
  </si>
  <si>
    <t>2 - COMMANDES CLIENTS</t>
  </si>
  <si>
    <t>Processus</t>
  </si>
  <si>
    <t>Date</t>
  </si>
  <si>
    <t>X</t>
  </si>
  <si>
    <t>Produits</t>
  </si>
  <si>
    <t>Code produit + date</t>
  </si>
  <si>
    <t>Établi une matrice entre la date de commande et le code produit</t>
  </si>
  <si>
    <t>Inventaire du:</t>
  </si>
  <si>
    <t>Permet d'obtenir la représentation graphique des commandes dans la feuille "2 - Commandes clients"</t>
  </si>
  <si>
    <t>Légende:</t>
  </si>
  <si>
    <t>7 - LIVRAISONS CLIENTS</t>
  </si>
  <si>
    <t>Procesus:</t>
  </si>
  <si>
    <t>Fait le lien entre le code produit et la date de la commande. Rappelle ensuite la quantité de la commande</t>
  </si>
  <si>
    <t>Personnel par équipe [nb]</t>
  </si>
  <si>
    <t>Personnel total [nb]</t>
  </si>
  <si>
    <t>Temps de travail disponible par jour [min]</t>
  </si>
  <si>
    <t>Production</t>
  </si>
  <si>
    <t>8 - PRODUCTION</t>
  </si>
  <si>
    <t>9 - CHARGE DE TRAVAIL</t>
  </si>
  <si>
    <r>
      <t xml:space="preserve">Les feuilles en </t>
    </r>
    <r>
      <rPr>
        <b/>
        <sz val="11"/>
        <color theme="6" tint="-0.499984740745262"/>
        <rFont val="Calibri"/>
        <family val="2"/>
        <scheme val="minor"/>
      </rPr>
      <t>gris</t>
    </r>
    <r>
      <rPr>
        <sz val="11"/>
        <color rgb="FF243FA4"/>
        <rFont val="Calibri"/>
        <family val="2"/>
        <scheme val="minor"/>
      </rPr>
      <t xml:space="preserve"> sont des feuilles de </t>
    </r>
    <r>
      <rPr>
        <b/>
        <sz val="11"/>
        <color rgb="FF243FA4"/>
        <rFont val="Calibri"/>
        <family val="2"/>
        <scheme val="minor"/>
      </rPr>
      <t>calculs</t>
    </r>
    <r>
      <rPr>
        <sz val="11"/>
        <color rgb="FF243FA4"/>
        <rFont val="Calibri"/>
        <family val="2"/>
        <scheme val="minor"/>
      </rPr>
      <t xml:space="preserve"> intermédiaires. Ces feuilles s'actualisent automatiquement.</t>
    </r>
  </si>
  <si>
    <r>
      <t xml:space="preserve">Les feuilles en </t>
    </r>
    <r>
      <rPr>
        <b/>
        <sz val="11"/>
        <color rgb="FF00B050"/>
        <rFont val="Calibri"/>
        <family val="2"/>
        <scheme val="minor"/>
      </rPr>
      <t>vert</t>
    </r>
    <r>
      <rPr>
        <sz val="11"/>
        <color rgb="FF243FA4"/>
        <rFont val="Calibri"/>
        <family val="2"/>
        <scheme val="minor"/>
      </rPr>
      <t xml:space="preserve"> affichent un </t>
    </r>
    <r>
      <rPr>
        <b/>
        <sz val="11"/>
        <color rgb="FF243FA4"/>
        <rFont val="Calibri"/>
        <family val="2"/>
        <scheme val="minor"/>
      </rPr>
      <t>résultat</t>
    </r>
    <r>
      <rPr>
        <sz val="11"/>
        <color rgb="FF243FA4"/>
        <rFont val="Calibri"/>
        <family val="2"/>
        <scheme val="minor"/>
      </rPr>
      <t xml:space="preserve"> (output), comme par exemple les tableaux de bord.</t>
    </r>
  </si>
  <si>
    <t>7A - LIVRAISONS (matrice)</t>
  </si>
  <si>
    <t>2A - TABLE DINAMIQUE COMMANDES</t>
  </si>
  <si>
    <t>2B - CALCULS COMMANDES</t>
  </si>
  <si>
    <t>3 - INVENTAIRE INITIAL</t>
  </si>
  <si>
    <t>4 - PROCESSUS</t>
  </si>
  <si>
    <t>5 - RÉGIME DE TRAVAIL</t>
  </si>
  <si>
    <t>6 - CALENDRIER</t>
  </si>
  <si>
    <t>6A - CALENDRIER EN MINUTES DE TEMPS DISPONIBLE</t>
  </si>
  <si>
    <t>Temps de travail disponible total [min]</t>
  </si>
  <si>
    <t>8A - TEMPS DE PRODUCTION PAR PROCESSUS</t>
  </si>
  <si>
    <t>Processus [min]</t>
  </si>
  <si>
    <t>Charge de travail [%]</t>
  </si>
  <si>
    <t>Processus en sur-capacité</t>
  </si>
  <si>
    <t>Capacité correcte</t>
  </si>
  <si>
    <t>Processus en sous-capacité</t>
  </si>
  <si>
    <t>Capacité insufisante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</si>
  <si>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</si>
  <si>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</si>
  <si>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</si>
  <si>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</si>
  <si>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</si>
  <si>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</si>
  <si>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</si>
  <si>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</si>
  <si>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</si>
  <si>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</si>
  <si>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</si>
  <si>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</si>
  <si>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PAA 150</t>
  </si>
  <si>
    <t>PAA 100</t>
  </si>
  <si>
    <t>PAA 33</t>
  </si>
  <si>
    <t>PAF1</t>
  </si>
  <si>
    <t>PCC</t>
  </si>
  <si>
    <t>PCF1</t>
  </si>
  <si>
    <t>PFF</t>
  </si>
  <si>
    <t>PFF0</t>
  </si>
  <si>
    <t>Vis de dosage</t>
  </si>
  <si>
    <t>Préchauffage</t>
  </si>
  <si>
    <t xml:space="preserve">Four </t>
  </si>
  <si>
    <t>Cyclone 1</t>
  </si>
  <si>
    <t>Cyclone 2</t>
  </si>
  <si>
    <t>Cyclone 3</t>
  </si>
  <si>
    <t>4 Cyclone</t>
  </si>
  <si>
    <t>Tamis</t>
  </si>
  <si>
    <t>Chargement</t>
  </si>
  <si>
    <t>Machine a coudre</t>
  </si>
  <si>
    <t>Palettisation</t>
  </si>
  <si>
    <t>Stockage</t>
  </si>
  <si>
    <t>Perlite agricole 150L</t>
  </si>
  <si>
    <t>Perlite agricole 100L</t>
  </si>
  <si>
    <t>PLAN RESPONSABLE DE PRODUCTION - PDP - PROCESS MAPPING</t>
  </si>
  <si>
    <t>PERLITE AGRICOLE</t>
  </si>
  <si>
    <t>P. CONSTRUCTION</t>
  </si>
  <si>
    <t>P.FILTRATION</t>
  </si>
  <si>
    <t>Total général</t>
  </si>
  <si>
    <t>Consomation Gaz</t>
  </si>
  <si>
    <t>Consomation M.P</t>
  </si>
  <si>
    <t>Perlite FF0</t>
  </si>
  <si>
    <t>Perlite AF1</t>
  </si>
  <si>
    <t>Perlite CF1</t>
  </si>
  <si>
    <t>Perlite Filtration</t>
  </si>
  <si>
    <t xml:space="preserve"> </t>
  </si>
  <si>
    <t>Debit gaz j-1</t>
  </si>
  <si>
    <t>Debit gaz j</t>
  </si>
  <si>
    <t>Chargement M.P</t>
  </si>
  <si>
    <t xml:space="preserve">Consommation journaliere M.P </t>
  </si>
  <si>
    <t>UN</t>
  </si>
  <si>
    <t>m3</t>
  </si>
  <si>
    <t>Perlite agricole 33L</t>
  </si>
  <si>
    <t>PRODUCTION TOTAL REALISE</t>
  </si>
  <si>
    <t>BIGBAG</t>
  </si>
  <si>
    <t>P.M</t>
  </si>
  <si>
    <r>
      <t xml:space="preserve">Les feuilles en </t>
    </r>
    <r>
      <rPr>
        <b/>
        <sz val="11"/>
        <color theme="4"/>
        <rFont val="Calibri"/>
        <family val="2"/>
        <scheme val="minor"/>
      </rPr>
      <t>bleu</t>
    </r>
    <r>
      <rPr>
        <sz val="11"/>
        <color rgb="FF243FA4"/>
        <rFont val="Calibri"/>
        <family val="2"/>
        <scheme val="minor"/>
      </rPr>
      <t xml:space="preserve"> correspondent à des </t>
    </r>
    <r>
      <rPr>
        <b/>
        <sz val="11"/>
        <color rgb="FF243FA4"/>
        <rFont val="Calibri"/>
        <family val="2"/>
        <scheme val="minor"/>
      </rPr>
      <t>données</t>
    </r>
    <r>
      <rPr>
        <sz val="11"/>
        <color rgb="FF243FA4"/>
        <rFont val="Calibri"/>
        <family val="2"/>
        <scheme val="minor"/>
      </rPr>
      <t xml:space="preserve"> à remplir (inputs). Dans ces feuilles, les cellules ou il faut introduire des données sont marqués également en </t>
    </r>
    <r>
      <rPr>
        <sz val="11"/>
        <color theme="4"/>
        <rFont val="Calibri"/>
        <family val="2"/>
        <scheme val="minor"/>
      </rPr>
      <t>bleu</t>
    </r>
    <r>
      <rPr>
        <sz val="11"/>
        <color rgb="FF243FA4"/>
        <rFont val="Calibri"/>
        <family val="2"/>
        <scheme val="minor"/>
      </rPr>
      <t>.</t>
    </r>
  </si>
  <si>
    <t>Stock de sécurité (m3)</t>
  </si>
  <si>
    <t>Tempts de production</t>
  </si>
  <si>
    <t>Heure</t>
  </si>
  <si>
    <t>PCC 150L</t>
  </si>
  <si>
    <t>Perlite construction 150L</t>
  </si>
  <si>
    <t>10,5 HZ</t>
  </si>
  <si>
    <t>Aspiration 28,2HZ</t>
  </si>
  <si>
    <t>22 HZ</t>
  </si>
  <si>
    <t>45,2 HZ 400°C&gt;460°C</t>
  </si>
  <si>
    <t>890°C &gt;&gt; 920°C           Débit gaz 175 Mpa</t>
  </si>
  <si>
    <t>11,5 HZ</t>
  </si>
  <si>
    <t>45 HZ 350°C&gt;400°C</t>
  </si>
  <si>
    <t>850°C &gt;&gt; 900°C           Débit gaz 180 Mpa</t>
  </si>
  <si>
    <t>Aspiration 28 HZ</t>
  </si>
  <si>
    <t xml:space="preserve">Paramètre de processus </t>
  </si>
  <si>
    <t>Quantité (m3)</t>
  </si>
  <si>
    <t>:</t>
  </si>
  <si>
    <t>,</t>
  </si>
  <si>
    <t>M.P AGRICOLE</t>
  </si>
  <si>
    <t>1,2-2,4 mm</t>
  </si>
  <si>
    <t>M.P CONSTRUCTION</t>
  </si>
  <si>
    <t>0,6-1,2 mm</t>
  </si>
  <si>
    <t>M.P PLATRE</t>
  </si>
  <si>
    <t>M.P FILTRATION</t>
  </si>
  <si>
    <t>0,15-0,6 mm</t>
  </si>
  <si>
    <t>0-0,25 mm</t>
  </si>
  <si>
    <t>PPF2</t>
  </si>
  <si>
    <t>Perlite PF2</t>
  </si>
  <si>
    <t>kg</t>
  </si>
  <si>
    <t xml:space="preserve">Stock actuel </t>
  </si>
  <si>
    <t>Articles</t>
  </si>
  <si>
    <t xml:space="preserve">Qte </t>
  </si>
  <si>
    <t>SAC 150L BLANC</t>
  </si>
  <si>
    <t>SAC 100 L BLANC</t>
  </si>
  <si>
    <t>SAC 100 L ROUGE</t>
  </si>
  <si>
    <t xml:space="preserve">SAC 33L </t>
  </si>
  <si>
    <t>Emballage</t>
  </si>
  <si>
    <t>QTE (m3)</t>
  </si>
  <si>
    <t>Perlite Filtration 100L</t>
  </si>
  <si>
    <t>Perlite Filtration 150L ( PROD MARS 2022)</t>
  </si>
  <si>
    <t>Perlite FF0 100L</t>
  </si>
  <si>
    <t>Produits finis non vendable</t>
  </si>
  <si>
    <t>N° LOT</t>
  </si>
  <si>
    <t xml:space="preserve">Perlite construction </t>
  </si>
  <si>
    <t>Perlite PCF1 150L</t>
  </si>
  <si>
    <t xml:space="preserve">SAC150L BLANC LAMINEE </t>
  </si>
  <si>
    <t>010923-01</t>
  </si>
  <si>
    <t>120923-02</t>
  </si>
  <si>
    <t>130923-03</t>
  </si>
  <si>
    <t>140923-04</t>
  </si>
  <si>
    <t>150923-05</t>
  </si>
  <si>
    <t>160923-06</t>
  </si>
  <si>
    <t>190923-07</t>
  </si>
  <si>
    <t>200923-09</t>
  </si>
  <si>
    <t>210923-10</t>
  </si>
  <si>
    <t>220923-10</t>
  </si>
  <si>
    <t>270923-13</t>
  </si>
  <si>
    <t>VITROPLANT</t>
  </si>
  <si>
    <t>sac 120l 115/70</t>
  </si>
  <si>
    <t>sac 100l blanc laminee</t>
  </si>
  <si>
    <t>Perlite agricole 150l</t>
  </si>
  <si>
    <t>CLIENT X</t>
  </si>
  <si>
    <t>ELBOSTENE</t>
  </si>
  <si>
    <t>BJO</t>
  </si>
  <si>
    <t>tunivert</t>
  </si>
  <si>
    <t>groupopuma</t>
  </si>
  <si>
    <t>sotumab</t>
  </si>
  <si>
    <t>perlite agricole 150l</t>
  </si>
  <si>
    <t>gworks</t>
  </si>
  <si>
    <t>slama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</si>
</sst>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-* #,##0\ _€_-;\-* #,##0\ _€_-;_-* &quot;-&quot;\ _€_-;_-@_-"/>
    <numFmt numFmtId="165" formatCode="0.0"/>
    <numFmt numFmtId="166" formatCode="dd"/>
    <numFmt numFmtId="167" formatCode="ddd"/>
    <numFmt numFmtId="168" formatCode="[$-40C]d\-mmm\-yy;@"/>
    <numFmt numFmtId="169" formatCode="[$-40C]dd\-mmm\-yy;@"/>
    <numFmt numFmtId="170" formatCode="[$-40C]mmmmm\-yy;@"/>
  </numFmts>
  <fonts count="4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243FA4"/>
      <name val="Calibri"/>
      <family val="2"/>
      <scheme val="minor"/>
    </font>
    <font>
      <sz val="11"/>
      <color rgb="FF243FA4"/>
      <name val="Calibri"/>
      <family val="2"/>
      <scheme val="minor"/>
    </font>
    <font>
      <b/>
      <sz val="18"/>
      <color rgb="FF243FA4"/>
      <name val="Calibri"/>
      <family val="2"/>
      <scheme val="minor"/>
    </font>
    <font>
      <u/>
      <sz val="11"/>
      <color rgb="FF243FA4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0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1"/>
      <color rgb="FF9C0006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Times New Roman"/>
      <family val="1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rgb="FF008000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8"/>
      <color theme="1"/>
      <name val="Arial"/>
      <family val="2"/>
    </font>
    <font>
      <sz val="16"/>
      <color rgb="FF000000"/>
      <name val="Arial"/>
      <family val="2"/>
    </font>
    <font>
      <b/>
      <sz val="10"/>
      <color rgb="FF000000"/>
      <name val="Arial"/>
      <family val="2"/>
    </font>
    <font>
      <sz val="18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theme="4" tint="0.39997558519241921"/>
        <bgColor rgb="FF00B0F0"/>
      </patternFill>
    </fill>
    <fill>
      <patternFill patternType="solid">
        <fgColor rgb="FF4472C4"/>
        <bgColor rgb="FF4472C4"/>
      </patternFill>
    </fill>
    <fill>
      <patternFill patternType="solid">
        <fgColor rgb="FFFFFF00"/>
        <bgColor rgb="FFFFFF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243FA4"/>
      </left>
      <right/>
      <top style="medium">
        <color rgb="FF243FA4"/>
      </top>
      <bottom/>
      <diagonal/>
    </border>
    <border>
      <left/>
      <right/>
      <top style="medium">
        <color rgb="FF243FA4"/>
      </top>
      <bottom/>
      <diagonal/>
    </border>
    <border>
      <left/>
      <right style="medium">
        <color rgb="FF243FA4"/>
      </right>
      <top style="medium">
        <color rgb="FF243FA4"/>
      </top>
      <bottom/>
      <diagonal/>
    </border>
    <border>
      <left style="medium">
        <color rgb="FF243FA4"/>
      </left>
      <right/>
      <top/>
      <bottom/>
      <diagonal/>
    </border>
    <border>
      <left/>
      <right style="medium">
        <color rgb="FF243FA4"/>
      </right>
      <top/>
      <bottom/>
      <diagonal/>
    </border>
    <border>
      <left style="medium">
        <color rgb="FF243FA4"/>
      </left>
      <right/>
      <top/>
      <bottom style="medium">
        <color rgb="FF243FA4"/>
      </bottom>
      <diagonal/>
    </border>
    <border>
      <left/>
      <right/>
      <top/>
      <bottom style="medium">
        <color rgb="FF243FA4"/>
      </bottom>
      <diagonal/>
    </border>
    <border>
      <left/>
      <right style="medium">
        <color rgb="FF243FA4"/>
      </right>
      <top/>
      <bottom style="medium">
        <color rgb="FF243FA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9" fontId="14" fillId="0" borderId="0" applyFont="0" applyFill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</cellStyleXfs>
  <cellXfs count="46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center" textRotation="90"/>
    </xf>
    <xf numFmtId="0" fontId="0" fillId="2" borderId="0" xfId="0" applyFill="1" applyAlignment="1">
      <alignment horizontal="center"/>
    </xf>
    <xf numFmtId="0" fontId="0" fillId="0" borderId="0" xfId="0" pivotButton="1" applyAlignment="1">
      <alignment horizont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0" xfId="0" applyFill="1" applyAlignment="1">
      <alignment wrapText="1"/>
    </xf>
    <xf numFmtId="0" fontId="4" fillId="2" borderId="0" xfId="0" applyFont="1" applyFill="1"/>
    <xf numFmtId="0" fontId="4" fillId="2" borderId="18" xfId="0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2" borderId="7" xfId="0" applyFont="1" applyFill="1" applyBorder="1" applyAlignment="1">
      <alignment horizontal="left" vertical="center" wrapText="1"/>
    </xf>
    <xf numFmtId="0" fontId="0" fillId="2" borderId="14" xfId="0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165" fontId="0" fillId="2" borderId="0" xfId="0" applyNumberFormat="1" applyFill="1" applyAlignment="1">
      <alignment horizontal="center"/>
    </xf>
    <xf numFmtId="1" fontId="0" fillId="2" borderId="0" xfId="0" applyNumberFormat="1" applyFill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 vertical="center" wrapText="1"/>
    </xf>
    <xf numFmtId="14" fontId="0" fillId="2" borderId="26" xfId="0" applyNumberFormat="1" applyFill="1" applyBorder="1" applyAlignment="1">
      <alignment horizont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4" fontId="0" fillId="2" borderId="33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/>
    </xf>
    <xf numFmtId="0" fontId="0" fillId="2" borderId="14" xfId="0" applyFill="1" applyBorder="1" applyAlignment="1">
      <alignment vertical="center" wrapText="1"/>
    </xf>
    <xf numFmtId="0" fontId="0" fillId="2" borderId="0" xfId="0" applyFill="1" applyProtection="1">
      <protection locked="0"/>
    </xf>
    <xf numFmtId="0" fontId="8" fillId="2" borderId="36" xfId="0" applyFont="1" applyFill="1" applyBorder="1" applyProtection="1">
      <protection locked="0"/>
    </xf>
    <xf numFmtId="0" fontId="8" fillId="2" borderId="37" xfId="0" applyFont="1" applyFill="1" applyBorder="1" applyProtection="1">
      <protection locked="0"/>
    </xf>
    <xf numFmtId="0" fontId="9" fillId="2" borderId="37" xfId="0" applyFont="1" applyFill="1" applyBorder="1" applyProtection="1">
      <protection locked="0"/>
    </xf>
    <xf numFmtId="0" fontId="9" fillId="2" borderId="38" xfId="0" applyFont="1" applyFill="1" applyBorder="1" applyProtection="1">
      <protection locked="0"/>
    </xf>
    <xf numFmtId="0" fontId="8" fillId="2" borderId="39" xfId="0" applyFont="1" applyFill="1" applyBorder="1" applyProtection="1">
      <protection locked="0"/>
    </xf>
    <xf numFmtId="0" fontId="9" fillId="2" borderId="40" xfId="0" applyFont="1" applyFill="1" applyBorder="1" applyProtection="1">
      <protection locked="0"/>
    </xf>
    <xf numFmtId="0" fontId="9" fillId="2" borderId="39" xfId="0" applyFont="1" applyFill="1" applyBorder="1" applyProtection="1">
      <protection locked="0"/>
    </xf>
    <xf numFmtId="0" fontId="9" fillId="2" borderId="0" xfId="0" applyFont="1" applyFill="1" applyProtection="1">
      <protection locked="0"/>
    </xf>
    <xf numFmtId="0" fontId="9" fillId="2" borderId="0" xfId="1" applyFont="1" applyFill="1" applyBorder="1" applyAlignment="1" applyProtection="1">
      <alignment horizontal="left" vertical="center"/>
      <protection locked="0"/>
    </xf>
    <xf numFmtId="0" fontId="9" fillId="2" borderId="41" xfId="0" applyFont="1" applyFill="1" applyBorder="1" applyProtection="1">
      <protection locked="0"/>
    </xf>
    <xf numFmtId="0" fontId="9" fillId="2" borderId="43" xfId="0" applyFont="1" applyFill="1" applyBorder="1" applyProtection="1">
      <protection locked="0"/>
    </xf>
    <xf numFmtId="0" fontId="11" fillId="2" borderId="0" xfId="0" applyFont="1" applyFill="1" applyProtection="1">
      <protection locked="0"/>
    </xf>
    <xf numFmtId="1" fontId="0" fillId="2" borderId="4" xfId="0" applyNumberForma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0" fillId="4" borderId="0" xfId="0" applyFill="1"/>
    <xf numFmtId="0" fontId="0" fillId="2" borderId="8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2" borderId="13" xfId="0" applyNumberFormat="1" applyFill="1" applyBorder="1" applyAlignment="1">
      <alignment horizont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1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/>
    </xf>
    <xf numFmtId="164" fontId="4" fillId="2" borderId="12" xfId="0" applyNumberFormat="1" applyFont="1" applyFill="1" applyBorder="1" applyAlignment="1">
      <alignment horizontal="center"/>
    </xf>
    <xf numFmtId="164" fontId="4" fillId="2" borderId="13" xfId="0" applyNumberFormat="1" applyFon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25" xfId="0" applyNumberFormat="1" applyFill="1" applyBorder="1" applyAlignment="1">
      <alignment horizontal="center"/>
    </xf>
    <xf numFmtId="9" fontId="0" fillId="2" borderId="0" xfId="0" applyNumberFormat="1" applyFill="1" applyAlignment="1">
      <alignment horizontal="center"/>
    </xf>
    <xf numFmtId="0" fontId="17" fillId="2" borderId="0" xfId="0" applyFont="1" applyFill="1" applyAlignment="1">
      <alignment horizontal="right"/>
    </xf>
    <xf numFmtId="9" fontId="0" fillId="3" borderId="0" xfId="0" applyNumberFormat="1" applyFill="1" applyAlignment="1">
      <alignment horizontal="center"/>
    </xf>
    <xf numFmtId="0" fontId="0" fillId="6" borderId="0" xfId="0" applyFill="1"/>
    <xf numFmtId="0" fontId="0" fillId="5" borderId="0" xfId="0" applyFill="1"/>
    <xf numFmtId="0" fontId="15" fillId="7" borderId="0" xfId="0" applyFont="1" applyFill="1"/>
    <xf numFmtId="9" fontId="0" fillId="2" borderId="4" xfId="2" applyFont="1" applyFill="1" applyBorder="1" applyAlignment="1">
      <alignment horizontal="center"/>
    </xf>
    <xf numFmtId="9" fontId="0" fillId="2" borderId="6" xfId="2" applyFont="1" applyFill="1" applyBorder="1" applyAlignment="1">
      <alignment horizontal="center"/>
    </xf>
    <xf numFmtId="0" fontId="0" fillId="2" borderId="42" xfId="0" applyFill="1" applyBorder="1" applyProtection="1">
      <protection locked="0"/>
    </xf>
    <xf numFmtId="14" fontId="0" fillId="2" borderId="0" xfId="0" applyNumberFormat="1" applyFill="1"/>
    <xf numFmtId="14" fontId="0" fillId="2" borderId="44" xfId="0" applyNumberFormat="1" applyFill="1" applyBorder="1"/>
    <xf numFmtId="167" fontId="0" fillId="2" borderId="44" xfId="0" applyNumberFormat="1" applyFill="1" applyBorder="1"/>
    <xf numFmtId="14" fontId="4" fillId="2" borderId="0" xfId="0" applyNumberFormat="1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center" wrapText="1"/>
    </xf>
    <xf numFmtId="165" fontId="0" fillId="0" borderId="0" xfId="0" applyNumberFormat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0" fontId="0" fillId="2" borderId="0" xfId="0" applyFill="1" applyAlignment="1">
      <alignment vertical="center" wrapText="1"/>
    </xf>
    <xf numFmtId="164" fontId="0" fillId="2" borderId="44" xfId="0" applyNumberFormat="1" applyFill="1" applyBorder="1" applyAlignment="1">
      <alignment horizontal="center" vertical="center"/>
    </xf>
    <xf numFmtId="0" fontId="0" fillId="2" borderId="44" xfId="0" applyFill="1" applyBorder="1"/>
    <xf numFmtId="0" fontId="24" fillId="2" borderId="49" xfId="0" applyFont="1" applyFill="1" applyBorder="1" applyAlignment="1">
      <alignment vertical="center" wrapText="1"/>
    </xf>
    <xf numFmtId="0" fontId="24" fillId="2" borderId="50" xfId="0" applyFont="1" applyFill="1" applyBorder="1" applyAlignment="1">
      <alignment vertical="center" wrapText="1"/>
    </xf>
    <xf numFmtId="0" fontId="26" fillId="13" borderId="44" xfId="3" applyFont="1" applyBorder="1" applyAlignment="1">
      <alignment vertical="center"/>
    </xf>
    <xf numFmtId="0" fontId="24" fillId="12" borderId="44" xfId="0" applyFont="1" applyFill="1" applyBorder="1" applyAlignment="1">
      <alignment vertical="center"/>
    </xf>
    <xf numFmtId="0" fontId="15" fillId="15" borderId="1" xfId="0" applyFont="1" applyFill="1" applyBorder="1" applyAlignment="1">
      <alignment horizontal="center" vertical="center" wrapText="1"/>
    </xf>
    <xf numFmtId="0" fontId="15" fillId="15" borderId="12" xfId="0" applyFont="1" applyFill="1" applyBorder="1" applyAlignment="1">
      <alignment horizontal="center" vertical="center" wrapText="1"/>
    </xf>
    <xf numFmtId="0" fontId="15" fillId="15" borderId="13" xfId="0" applyFont="1" applyFill="1" applyBorder="1" applyAlignment="1">
      <alignment horizontal="center" vertical="center" wrapText="1"/>
    </xf>
    <xf numFmtId="0" fontId="0" fillId="16" borderId="0" xfId="0" applyFill="1"/>
    <xf numFmtId="0" fontId="0" fillId="16" borderId="9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6" borderId="10" xfId="0" applyFill="1" applyBorder="1" applyAlignment="1">
      <alignment horizontal="center"/>
    </xf>
    <xf numFmtId="14" fontId="0" fillId="16" borderId="4" xfId="0" applyNumberFormat="1" applyFill="1" applyBorder="1" applyAlignment="1">
      <alignment horizontal="center"/>
    </xf>
    <xf numFmtId="14" fontId="0" fillId="16" borderId="6" xfId="0" applyNumberFormat="1" applyFill="1" applyBorder="1" applyAlignment="1">
      <alignment horizontal="center"/>
    </xf>
    <xf numFmtId="0" fontId="19" fillId="15" borderId="7" xfId="0" applyFont="1" applyFill="1" applyBorder="1" applyAlignment="1">
      <alignment horizontal="center" vertical="center"/>
    </xf>
    <xf numFmtId="0" fontId="19" fillId="15" borderId="8" xfId="0" applyFont="1" applyFill="1" applyBorder="1" applyAlignment="1">
      <alignment horizontal="center" vertical="center"/>
    </xf>
    <xf numFmtId="0" fontId="0" fillId="17" borderId="3" xfId="0" applyFill="1" applyBorder="1"/>
    <xf numFmtId="0" fontId="0" fillId="17" borderId="4" xfId="0" applyFill="1" applyBorder="1"/>
    <xf numFmtId="0" fontId="15" fillId="15" borderId="14" xfId="0" applyFont="1" applyFill="1" applyBorder="1" applyAlignment="1">
      <alignment horizontal="center" vertical="center" wrapText="1"/>
    </xf>
    <xf numFmtId="0" fontId="15" fillId="15" borderId="7" xfId="0" applyFont="1" applyFill="1" applyBorder="1" applyAlignment="1">
      <alignment horizontal="center" vertical="center" wrapText="1"/>
    </xf>
    <xf numFmtId="164" fontId="0" fillId="16" borderId="3" xfId="0" applyNumberFormat="1" applyFill="1" applyBorder="1" applyAlignment="1">
      <alignment horizontal="center" vertical="center"/>
    </xf>
    <xf numFmtId="0" fontId="20" fillId="16" borderId="16" xfId="0" applyFont="1" applyFill="1" applyBorder="1" applyAlignment="1">
      <alignment horizontal="center" vertical="center" wrapText="1"/>
    </xf>
    <xf numFmtId="0" fontId="20" fillId="16" borderId="17" xfId="0" applyFont="1" applyFill="1" applyBorder="1" applyAlignment="1">
      <alignment horizontal="center" vertical="center" wrapText="1"/>
    </xf>
    <xf numFmtId="0" fontId="20" fillId="16" borderId="22" xfId="0" applyFont="1" applyFill="1" applyBorder="1" applyAlignment="1">
      <alignment horizontal="center" vertical="center" wrapText="1"/>
    </xf>
    <xf numFmtId="0" fontId="0" fillId="16" borderId="3" xfId="0" applyFill="1" applyBorder="1" applyAlignment="1">
      <alignment horizontal="center" vertical="center"/>
    </xf>
    <xf numFmtId="165" fontId="0" fillId="16" borderId="0" xfId="0" applyNumberFormat="1" applyFill="1" applyAlignment="1">
      <alignment horizontal="center" vertical="center"/>
    </xf>
    <xf numFmtId="165" fontId="0" fillId="16" borderId="23" xfId="0" applyNumberFormat="1" applyFill="1" applyBorder="1" applyAlignment="1">
      <alignment horizontal="center" vertical="center"/>
    </xf>
    <xf numFmtId="1" fontId="0" fillId="16" borderId="0" xfId="0" applyNumberFormat="1" applyFill="1" applyAlignment="1">
      <alignment horizontal="center"/>
    </xf>
    <xf numFmtId="165" fontId="0" fillId="16" borderId="0" xfId="0" applyNumberFormat="1" applyFill="1" applyAlignment="1">
      <alignment horizontal="center"/>
    </xf>
    <xf numFmtId="0" fontId="15" fillId="15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165" fontId="0" fillId="16" borderId="4" xfId="0" applyNumberFormat="1" applyFill="1" applyBorder="1" applyAlignment="1">
      <alignment horizontal="center" vertical="center"/>
    </xf>
    <xf numFmtId="0" fontId="0" fillId="16" borderId="4" xfId="0" applyFill="1" applyBorder="1"/>
    <xf numFmtId="166" fontId="0" fillId="0" borderId="45" xfId="0" applyNumberFormat="1" applyBorder="1" applyAlignment="1">
      <alignment horizontal="center"/>
    </xf>
    <xf numFmtId="166" fontId="0" fillId="2" borderId="45" xfId="0" applyNumberFormat="1" applyFill="1" applyBorder="1" applyAlignment="1">
      <alignment horizontal="center"/>
    </xf>
    <xf numFmtId="0" fontId="0" fillId="2" borderId="51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165" fontId="0" fillId="16" borderId="3" xfId="0" applyNumberFormat="1" applyFill="1" applyBorder="1" applyAlignment="1">
      <alignment horizontal="center" vertical="center"/>
    </xf>
    <xf numFmtId="0" fontId="0" fillId="16" borderId="3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20" fillId="2" borderId="0" xfId="0" applyFont="1" applyFill="1"/>
    <xf numFmtId="0" fontId="20" fillId="2" borderId="0" xfId="0" applyFont="1" applyFill="1" applyAlignment="1">
      <alignment vertical="center"/>
    </xf>
    <xf numFmtId="164" fontId="20" fillId="2" borderId="0" xfId="0" applyNumberFormat="1" applyFont="1" applyFill="1"/>
    <xf numFmtId="164" fontId="0" fillId="2" borderId="47" xfId="0" applyNumberFormat="1" applyFill="1" applyBorder="1" applyAlignment="1">
      <alignment horizontal="center" vertical="center"/>
    </xf>
    <xf numFmtId="0" fontId="25" fillId="10" borderId="54" xfId="0" applyFont="1" applyFill="1" applyBorder="1" applyAlignment="1">
      <alignment vertical="center"/>
    </xf>
    <xf numFmtId="0" fontId="25" fillId="10" borderId="56" xfId="0" applyFont="1" applyFill="1" applyBorder="1" applyAlignment="1">
      <alignment vertical="center"/>
    </xf>
    <xf numFmtId="0" fontId="26" fillId="13" borderId="56" xfId="3" applyFont="1" applyBorder="1" applyAlignment="1">
      <alignment vertical="center"/>
    </xf>
    <xf numFmtId="0" fontId="24" fillId="12" borderId="56" xfId="0" applyFont="1" applyFill="1" applyBorder="1" applyAlignment="1">
      <alignment vertical="center"/>
    </xf>
    <xf numFmtId="164" fontId="20" fillId="2" borderId="61" xfId="0" applyNumberFormat="1" applyFont="1" applyFill="1" applyBorder="1" applyAlignment="1">
      <alignment horizontal="center" vertical="center"/>
    </xf>
    <xf numFmtId="10" fontId="0" fillId="2" borderId="44" xfId="0" applyNumberFormat="1" applyFill="1" applyBorder="1" applyAlignment="1">
      <alignment horizontal="center" vertical="center"/>
    </xf>
    <xf numFmtId="16" fontId="20" fillId="2" borderId="0" xfId="0" applyNumberFormat="1" applyFont="1" applyFill="1" applyAlignment="1">
      <alignment horizontal="center" vertical="center" wrapText="1"/>
    </xf>
    <xf numFmtId="0" fontId="20" fillId="18" borderId="0" xfId="0" applyFont="1" applyFill="1" applyAlignment="1">
      <alignment horizontal="center" vertical="center" wrapText="1"/>
    </xf>
    <xf numFmtId="164" fontId="20" fillId="2" borderId="45" xfId="0" applyNumberFormat="1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15" fillId="15" borderId="2" xfId="0" applyFont="1" applyFill="1" applyBorder="1" applyAlignment="1">
      <alignment horizontal="center" vertical="center" wrapText="1"/>
    </xf>
    <xf numFmtId="0" fontId="34" fillId="2" borderId="0" xfId="0" applyFont="1" applyFill="1" applyAlignment="1">
      <alignment wrapText="1"/>
    </xf>
    <xf numFmtId="0" fontId="25" fillId="10" borderId="63" xfId="0" applyFont="1" applyFill="1" applyBorder="1" applyAlignment="1">
      <alignment vertical="center"/>
    </xf>
    <xf numFmtId="0" fontId="25" fillId="10" borderId="55" xfId="0" applyFont="1" applyFill="1" applyBorder="1" applyAlignment="1">
      <alignment vertical="center"/>
    </xf>
    <xf numFmtId="0" fontId="25" fillId="10" borderId="61" xfId="0" applyFont="1" applyFill="1" applyBorder="1" applyAlignment="1">
      <alignment vertical="center"/>
    </xf>
    <xf numFmtId="164" fontId="20" fillId="2" borderId="46" xfId="0" applyNumberFormat="1" applyFont="1" applyFill="1" applyBorder="1" applyAlignment="1">
      <alignment horizontal="center" vertical="center"/>
    </xf>
    <xf numFmtId="0" fontId="26" fillId="13" borderId="65" xfId="3" applyFont="1" applyBorder="1" applyAlignment="1">
      <alignment vertical="center"/>
    </xf>
    <xf numFmtId="0" fontId="5" fillId="2" borderId="35" xfId="0" applyFont="1" applyFill="1" applyBorder="1" applyAlignment="1">
      <alignment horizontal="center"/>
    </xf>
    <xf numFmtId="16" fontId="20" fillId="2" borderId="44" xfId="0" applyNumberFormat="1" applyFont="1" applyFill="1" applyBorder="1" applyAlignment="1">
      <alignment horizontal="center" vertical="center" wrapText="1"/>
    </xf>
    <xf numFmtId="164" fontId="20" fillId="19" borderId="62" xfId="0" applyNumberFormat="1" applyFont="1" applyFill="1" applyBorder="1" applyAlignment="1">
      <alignment horizontal="center" vertical="center"/>
    </xf>
    <xf numFmtId="0" fontId="0" fillId="19" borderId="44" xfId="0" applyFill="1" applyBorder="1" applyAlignment="1">
      <alignment horizontal="center" vertical="center"/>
    </xf>
    <xf numFmtId="16" fontId="20" fillId="19" borderId="44" xfId="0" applyNumberFormat="1" applyFont="1" applyFill="1" applyBorder="1" applyAlignment="1">
      <alignment horizontal="center" vertical="center" wrapText="1"/>
    </xf>
    <xf numFmtId="16" fontId="20" fillId="0" borderId="2" xfId="0" applyNumberFormat="1" applyFont="1" applyBorder="1" applyAlignment="1">
      <alignment horizontal="center" vertical="center" wrapText="1"/>
    </xf>
    <xf numFmtId="16" fontId="20" fillId="0" borderId="35" xfId="0" applyNumberFormat="1" applyFont="1" applyBorder="1" applyAlignment="1">
      <alignment horizontal="center" vertical="center" wrapText="1"/>
    </xf>
    <xf numFmtId="0" fontId="0" fillId="20" borderId="3" xfId="0" applyFill="1" applyBorder="1"/>
    <xf numFmtId="0" fontId="0" fillId="20" borderId="0" xfId="0" applyFill="1"/>
    <xf numFmtId="0" fontId="0" fillId="20" borderId="5" xfId="0" applyFill="1" applyBorder="1"/>
    <xf numFmtId="0" fontId="0" fillId="20" borderId="10" xfId="0" applyFill="1" applyBorder="1"/>
    <xf numFmtId="168" fontId="0" fillId="16" borderId="4" xfId="0" applyNumberFormat="1" applyFill="1" applyBorder="1" applyAlignment="1">
      <alignment horizontal="center"/>
    </xf>
    <xf numFmtId="168" fontId="0" fillId="16" borderId="2" xfId="0" applyNumberFormat="1" applyFill="1" applyBorder="1" applyAlignment="1">
      <alignment horizontal="center"/>
    </xf>
    <xf numFmtId="169" fontId="0" fillId="16" borderId="4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18" borderId="44" xfId="0" applyFill="1" applyBorder="1" applyAlignment="1">
      <alignment horizontal="center" vertical="center"/>
    </xf>
    <xf numFmtId="0" fontId="0" fillId="23" borderId="44" xfId="0" applyFill="1" applyBorder="1" applyAlignment="1">
      <alignment horizontal="center" vertical="center"/>
    </xf>
    <xf numFmtId="0" fontId="0" fillId="17" borderId="5" xfId="0" applyFill="1" applyBorder="1"/>
    <xf numFmtId="0" fontId="0" fillId="17" borderId="6" xfId="0" applyFill="1" applyBorder="1"/>
    <xf numFmtId="0" fontId="0" fillId="0" borderId="0" xfId="0" applyAlignment="1">
      <alignment vertical="center"/>
    </xf>
    <xf numFmtId="164" fontId="0" fillId="18" borderId="44" xfId="0" applyNumberFormat="1" applyFill="1" applyBorder="1" applyAlignment="1">
      <alignment horizontal="center" vertical="center"/>
    </xf>
    <xf numFmtId="10" fontId="0" fillId="2" borderId="44" xfId="0" applyNumberFormat="1" applyFill="1" applyBorder="1"/>
    <xf numFmtId="10" fontId="0" fillId="18" borderId="44" xfId="0" applyNumberFormat="1" applyFill="1" applyBorder="1"/>
    <xf numFmtId="164" fontId="15" fillId="25" borderId="44" xfId="0" applyNumberFormat="1" applyFont="1" applyFill="1" applyBorder="1" applyAlignment="1">
      <alignment horizontal="center" vertical="center"/>
    </xf>
    <xf numFmtId="0" fontId="15" fillId="25" borderId="4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 wrapText="1"/>
    </xf>
    <xf numFmtId="164" fontId="0" fillId="16" borderId="1" xfId="0" applyNumberFormat="1" applyFill="1" applyBorder="1" applyAlignment="1">
      <alignment horizontal="center" vertical="center"/>
    </xf>
    <xf numFmtId="0" fontId="0" fillId="22" borderId="32" xfId="0" applyFill="1" applyBorder="1" applyAlignment="1">
      <alignment horizontal="center" vertical="center"/>
    </xf>
    <xf numFmtId="0" fontId="0" fillId="22" borderId="3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2" borderId="68" xfId="0" applyFont="1" applyFill="1" applyBorder="1"/>
    <xf numFmtId="164" fontId="15" fillId="25" borderId="69" xfId="0" applyNumberFormat="1" applyFont="1" applyFill="1" applyBorder="1" applyAlignment="1">
      <alignment horizontal="center" vertical="center"/>
    </xf>
    <xf numFmtId="0" fontId="15" fillId="25" borderId="69" xfId="0" applyFont="1" applyFill="1" applyBorder="1" applyAlignment="1">
      <alignment horizontal="center" vertical="center"/>
    </xf>
    <xf numFmtId="0" fontId="15" fillId="24" borderId="24" xfId="0" applyFont="1" applyFill="1" applyBorder="1" applyAlignment="1">
      <alignment horizontal="center" vertical="center"/>
    </xf>
    <xf numFmtId="0" fontId="4" fillId="2" borderId="56" xfId="0" applyFont="1" applyFill="1" applyBorder="1"/>
    <xf numFmtId="0" fontId="15" fillId="24" borderId="55" xfId="0" applyFont="1" applyFill="1" applyBorder="1" applyAlignment="1">
      <alignment horizontal="center" vertical="center"/>
    </xf>
    <xf numFmtId="0" fontId="4" fillId="2" borderId="70" xfId="0" applyFont="1" applyFill="1" applyBorder="1"/>
    <xf numFmtId="164" fontId="15" fillId="25" borderId="71" xfId="0" applyNumberFormat="1" applyFont="1" applyFill="1" applyBorder="1" applyAlignment="1">
      <alignment horizontal="center" vertical="center"/>
    </xf>
    <xf numFmtId="0" fontId="15" fillId="25" borderId="71" xfId="0" applyFont="1" applyFill="1" applyBorder="1" applyAlignment="1">
      <alignment horizontal="center" vertical="center"/>
    </xf>
    <xf numFmtId="0" fontId="15" fillId="24" borderId="61" xfId="0" applyFont="1" applyFill="1" applyBorder="1" applyAlignment="1">
      <alignment horizontal="center" vertical="center"/>
    </xf>
    <xf numFmtId="10" fontId="0" fillId="0" borderId="0" xfId="0" applyNumberFormat="1"/>
    <xf numFmtId="10" fontId="0" fillId="0" borderId="0" xfId="0" applyNumberFormat="1" applyAlignment="1">
      <alignment vertical="center"/>
    </xf>
    <xf numFmtId="164" fontId="0" fillId="0" borderId="0" xfId="0" applyNumberFormat="1"/>
    <xf numFmtId="0" fontId="7" fillId="0" borderId="0" xfId="0" applyFont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15" fillId="15" borderId="0" xfId="0" applyFont="1" applyFill="1" applyAlignment="1">
      <alignment horizontal="center" vertical="center" wrapText="1"/>
    </xf>
    <xf numFmtId="0" fontId="4" fillId="26" borderId="9" xfId="0" applyFont="1" applyFill="1" applyBorder="1" applyAlignment="1">
      <alignment horizontal="center" vertical="center"/>
    </xf>
    <xf numFmtId="0" fontId="4" fillId="26" borderId="0" xfId="0" applyFont="1" applyFill="1" applyAlignment="1">
      <alignment horizontal="center" vertical="center"/>
    </xf>
    <xf numFmtId="0" fontId="0" fillId="2" borderId="48" xfId="0" applyFill="1" applyBorder="1"/>
    <xf numFmtId="10" fontId="0" fillId="2" borderId="48" xfId="0" applyNumberFormat="1" applyFill="1" applyBorder="1"/>
    <xf numFmtId="0" fontId="35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6" fillId="0" borderId="78" xfId="0" applyFont="1" applyBorder="1" applyAlignment="1">
      <alignment horizontal="center" vertical="center"/>
    </xf>
    <xf numFmtId="0" fontId="36" fillId="0" borderId="79" xfId="0" applyFont="1" applyBorder="1" applyAlignment="1">
      <alignment horizontal="center" vertical="center"/>
    </xf>
    <xf numFmtId="0" fontId="36" fillId="0" borderId="80" xfId="0" applyFont="1" applyBorder="1"/>
    <xf numFmtId="0" fontId="36" fillId="0" borderId="81" xfId="0" applyFont="1" applyBorder="1" applyAlignment="1">
      <alignment horizontal="center" vertical="center"/>
    </xf>
    <xf numFmtId="0" fontId="36" fillId="0" borderId="82" xfId="0" applyFont="1" applyBorder="1"/>
    <xf numFmtId="0" fontId="36" fillId="0" borderId="83" xfId="0" applyFont="1" applyBorder="1" applyAlignment="1">
      <alignment horizontal="center" vertical="center"/>
    </xf>
    <xf numFmtId="0" fontId="36" fillId="30" borderId="75" xfId="0" applyFont="1" applyFill="1" applyBorder="1"/>
    <xf numFmtId="0" fontId="37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38" fillId="29" borderId="3" xfId="0" applyFont="1" applyFill="1" applyBorder="1" applyAlignment="1">
      <alignment horizontal="center" vertical="center" wrapText="1"/>
    </xf>
    <xf numFmtId="0" fontId="38" fillId="29" borderId="0" xfId="0" applyFont="1" applyFill="1" applyAlignment="1">
      <alignment horizontal="center" vertical="center" wrapText="1"/>
    </xf>
    <xf numFmtId="0" fontId="38" fillId="29" borderId="79" xfId="0" applyFont="1" applyFill="1" applyBorder="1" applyAlignment="1">
      <alignment horizontal="center" vertical="center"/>
    </xf>
    <xf numFmtId="0" fontId="36" fillId="30" borderId="80" xfId="0" applyFont="1" applyFill="1" applyBorder="1"/>
    <xf numFmtId="0" fontId="36" fillId="30" borderId="81" xfId="0" applyFont="1" applyFill="1" applyBorder="1" applyAlignment="1">
      <alignment horizontal="center" vertical="center"/>
    </xf>
    <xf numFmtId="0" fontId="36" fillId="30" borderId="82" xfId="0" applyFont="1" applyFill="1" applyBorder="1"/>
    <xf numFmtId="0" fontId="36" fillId="30" borderId="85" xfId="0" applyFont="1" applyFill="1" applyBorder="1"/>
    <xf numFmtId="0" fontId="36" fillId="30" borderId="83" xfId="0" applyFont="1" applyFill="1" applyBorder="1" applyAlignment="1">
      <alignment horizontal="center" vertical="center"/>
    </xf>
    <xf numFmtId="0" fontId="39" fillId="0" borderId="82" xfId="0" applyFont="1" applyBorder="1"/>
    <xf numFmtId="0" fontId="20" fillId="2" borderId="47" xfId="0" applyFont="1" applyFill="1" applyBorder="1" applyAlignment="1">
      <alignment horizontal="center" vertical="center"/>
    </xf>
    <xf numFmtId="2" fontId="0" fillId="19" borderId="44" xfId="0" applyNumberFormat="1" applyFill="1" applyBorder="1" applyAlignment="1">
      <alignment horizontal="center" vertical="center"/>
    </xf>
    <xf numFmtId="0" fontId="0" fillId="24" borderId="44" xfId="0" applyFill="1" applyBorder="1" applyAlignment="1">
      <alignment horizontal="center" vertical="center"/>
    </xf>
    <xf numFmtId="10" fontId="0" fillId="24" borderId="44" xfId="0" applyNumberFormat="1" applyFill="1" applyBorder="1" applyAlignment="1">
      <alignment horizontal="center" vertical="center"/>
    </xf>
    <xf numFmtId="0" fontId="0" fillId="24" borderId="48" xfId="0" applyFill="1" applyBorder="1"/>
    <xf numFmtId="10" fontId="0" fillId="24" borderId="48" xfId="0" applyNumberFormat="1" applyFill="1" applyBorder="1"/>
    <xf numFmtId="0" fontId="0" fillId="24" borderId="44" xfId="0" applyFill="1" applyBorder="1"/>
    <xf numFmtId="10" fontId="0" fillId="24" borderId="44" xfId="0" applyNumberFormat="1" applyFill="1" applyBorder="1"/>
    <xf numFmtId="170" fontId="0" fillId="2" borderId="0" xfId="0" applyNumberFormat="1" applyFill="1"/>
    <xf numFmtId="2" fontId="0" fillId="2" borderId="35" xfId="0" applyNumberForma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0" fontId="0" fillId="31" borderId="44" xfId="0" applyFill="1" applyBorder="1" applyAlignment="1">
      <alignment horizontal="center" vertical="center"/>
    </xf>
    <xf numFmtId="10" fontId="0" fillId="31" borderId="44" xfId="0" applyNumberFormat="1" applyFill="1" applyBorder="1" applyAlignment="1">
      <alignment horizontal="center" vertical="center"/>
    </xf>
    <xf numFmtId="0" fontId="4" fillId="2" borderId="35" xfId="0" applyFont="1" applyFill="1" applyBorder="1"/>
    <xf numFmtId="0" fontId="4" fillId="2" borderId="12" xfId="0" applyFont="1" applyFill="1" applyBorder="1"/>
    <xf numFmtId="0" fontId="4" fillId="2" borderId="9" xfId="0" applyFont="1" applyFill="1" applyBorder="1" applyAlignment="1">
      <alignment horizontal="center"/>
    </xf>
    <xf numFmtId="0" fontId="0" fillId="32" borderId="44" xfId="0" applyFill="1" applyBorder="1" applyAlignment="1">
      <alignment horizontal="center" vertical="center"/>
    </xf>
    <xf numFmtId="10" fontId="0" fillId="32" borderId="44" xfId="0" applyNumberFormat="1" applyFill="1" applyBorder="1" applyAlignment="1">
      <alignment horizontal="center" vertical="center"/>
    </xf>
    <xf numFmtId="0" fontId="0" fillId="22" borderId="44" xfId="0" applyFill="1" applyBorder="1" applyAlignment="1">
      <alignment horizontal="center" vertical="center"/>
    </xf>
    <xf numFmtId="10" fontId="0" fillId="22" borderId="44" xfId="0" applyNumberFormat="1" applyFill="1" applyBorder="1" applyAlignment="1">
      <alignment horizontal="center" vertical="center"/>
    </xf>
    <xf numFmtId="0" fontId="0" fillId="31" borderId="48" xfId="0" applyFill="1" applyBorder="1"/>
    <xf numFmtId="10" fontId="0" fillId="31" borderId="48" xfId="0" applyNumberFormat="1" applyFill="1" applyBorder="1"/>
    <xf numFmtId="0" fontId="0" fillId="31" borderId="44" xfId="0" applyFill="1" applyBorder="1"/>
    <xf numFmtId="10" fontId="0" fillId="31" borderId="44" xfId="0" applyNumberFormat="1" applyFill="1" applyBorder="1"/>
    <xf numFmtId="0" fontId="0" fillId="2" borderId="44" xfId="0" applyFill="1" applyBorder="1" applyAlignment="1">
      <alignment horizontal="center"/>
    </xf>
    <xf numFmtId="0" fontId="10" fillId="2" borderId="0" xfId="0" applyFont="1" applyFill="1" applyAlignment="1" applyProtection="1">
      <alignment horizontal="center"/>
      <protection locked="0"/>
    </xf>
    <xf numFmtId="0" fontId="9" fillId="2" borderId="0" xfId="0" applyFont="1" applyFill="1" applyAlignment="1" applyProtection="1">
      <alignment horizontal="left" vertical="center" wrapText="1"/>
      <protection locked="0"/>
    </xf>
    <xf numFmtId="0" fontId="18" fillId="15" borderId="1" xfId="0" applyFont="1" applyFill="1" applyBorder="1" applyAlignment="1">
      <alignment horizontal="center" vertical="center"/>
    </xf>
    <xf numFmtId="0" fontId="7" fillId="15" borderId="9" xfId="0" applyFont="1" applyFill="1" applyBorder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10" fontId="0" fillId="32" borderId="65" xfId="0" applyNumberFormat="1" applyFill="1" applyBorder="1" applyAlignment="1">
      <alignment horizontal="center" vertical="center"/>
    </xf>
    <xf numFmtId="10" fontId="0" fillId="32" borderId="67" xfId="0" applyNumberFormat="1" applyFill="1" applyBorder="1" applyAlignment="1">
      <alignment horizontal="center" vertical="center"/>
    </xf>
    <xf numFmtId="10" fontId="0" fillId="32" borderId="48" xfId="0" applyNumberFormat="1" applyFill="1" applyBorder="1" applyAlignment="1">
      <alignment horizontal="center" vertical="center"/>
    </xf>
    <xf numFmtId="10" fontId="0" fillId="2" borderId="65" xfId="0" applyNumberFormat="1" applyFill="1" applyBorder="1" applyAlignment="1">
      <alignment horizontal="center" vertical="center"/>
    </xf>
    <xf numFmtId="10" fontId="0" fillId="2" borderId="67" xfId="0" applyNumberFormat="1" applyFill="1" applyBorder="1" applyAlignment="1">
      <alignment horizontal="center" vertical="center"/>
    </xf>
    <xf numFmtId="10" fontId="0" fillId="2" borderId="48" xfId="0" applyNumberFormat="1" applyFill="1" applyBorder="1" applyAlignment="1">
      <alignment horizontal="center" vertical="center"/>
    </xf>
    <xf numFmtId="10" fontId="0" fillId="18" borderId="65" xfId="0" applyNumberFormat="1" applyFill="1" applyBorder="1" applyAlignment="1">
      <alignment horizontal="center" vertical="center"/>
    </xf>
    <xf numFmtId="10" fontId="0" fillId="18" borderId="67" xfId="0" applyNumberFormat="1" applyFill="1" applyBorder="1" applyAlignment="1">
      <alignment horizontal="center" vertical="center"/>
    </xf>
    <xf numFmtId="10" fontId="0" fillId="18" borderId="48" xfId="0" applyNumberForma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24" borderId="45" xfId="0" applyFill="1" applyBorder="1" applyAlignment="1">
      <alignment horizontal="center"/>
    </xf>
    <xf numFmtId="0" fontId="0" fillId="24" borderId="47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4" borderId="45" xfId="0" applyFill="1" applyBorder="1" applyAlignment="1">
      <alignment horizontal="center" vertical="center"/>
    </xf>
    <xf numFmtId="0" fontId="0" fillId="24" borderId="47" xfId="0" applyFill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2" fillId="9" borderId="0" xfId="0" applyFont="1" applyFill="1" applyAlignment="1">
      <alignment horizontal="center" vertical="center" textRotation="90"/>
    </xf>
    <xf numFmtId="0" fontId="22" fillId="9" borderId="4" xfId="0" applyFont="1" applyFill="1" applyBorder="1" applyAlignment="1">
      <alignment horizontal="center" vertical="center" textRotation="90"/>
    </xf>
    <xf numFmtId="0" fontId="26" fillId="13" borderId="16" xfId="3" applyFont="1" applyBorder="1" applyAlignment="1">
      <alignment horizontal="center" vertical="center"/>
    </xf>
    <xf numFmtId="0" fontId="26" fillId="13" borderId="22" xfId="3" applyFont="1" applyBorder="1" applyAlignment="1">
      <alignment horizontal="center" vertical="center"/>
    </xf>
    <xf numFmtId="0" fontId="22" fillId="7" borderId="4" xfId="0" applyFont="1" applyFill="1" applyBorder="1" applyAlignment="1">
      <alignment horizontal="center" vertical="center" textRotation="90"/>
    </xf>
    <xf numFmtId="0" fontId="27" fillId="14" borderId="48" xfId="4" applyFont="1" applyBorder="1" applyAlignment="1">
      <alignment horizontal="center" vertical="center"/>
    </xf>
    <xf numFmtId="0" fontId="22" fillId="8" borderId="0" xfId="0" applyFont="1" applyFill="1" applyAlignment="1">
      <alignment horizontal="center" vertical="center" textRotation="90"/>
    </xf>
    <xf numFmtId="0" fontId="0" fillId="0" borderId="45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31" borderId="45" xfId="0" applyFill="1" applyBorder="1" applyAlignment="1">
      <alignment horizontal="center" vertical="center" wrapText="1"/>
    </xf>
    <xf numFmtId="0" fontId="0" fillId="31" borderId="47" xfId="0" applyFill="1" applyBorder="1" applyAlignment="1">
      <alignment horizontal="center" vertical="center" wrapText="1"/>
    </xf>
    <xf numFmtId="0" fontId="20" fillId="2" borderId="45" xfId="0" applyFont="1" applyFill="1" applyBorder="1" applyAlignment="1">
      <alignment horizontal="center" vertical="center" wrapText="1"/>
    </xf>
    <xf numFmtId="0" fontId="20" fillId="2" borderId="47" xfId="0" applyFont="1" applyFill="1" applyBorder="1" applyAlignment="1">
      <alignment horizontal="center" vertical="center" wrapText="1"/>
    </xf>
    <xf numFmtId="10" fontId="0" fillId="31" borderId="65" xfId="0" applyNumberFormat="1" applyFill="1" applyBorder="1" applyAlignment="1">
      <alignment horizontal="center" vertical="center"/>
    </xf>
    <xf numFmtId="10" fontId="0" fillId="31" borderId="67" xfId="0" applyNumberFormat="1" applyFill="1" applyBorder="1" applyAlignment="1">
      <alignment horizontal="center" vertical="center"/>
    </xf>
    <xf numFmtId="10" fontId="0" fillId="31" borderId="48" xfId="0" applyNumberFormat="1" applyFill="1" applyBorder="1" applyAlignment="1">
      <alignment horizontal="center" vertical="center"/>
    </xf>
    <xf numFmtId="164" fontId="20" fillId="18" borderId="45" xfId="0" applyNumberFormat="1" applyFont="1" applyFill="1" applyBorder="1" applyAlignment="1">
      <alignment horizontal="center" vertical="center"/>
    </xf>
    <xf numFmtId="164" fontId="20" fillId="18" borderId="47" xfId="0" applyNumberFormat="1" applyFont="1" applyFill="1" applyBorder="1" applyAlignment="1">
      <alignment horizontal="center" vertical="center"/>
    </xf>
    <xf numFmtId="0" fontId="25" fillId="10" borderId="16" xfId="0" applyFont="1" applyFill="1" applyBorder="1" applyAlignment="1">
      <alignment horizontal="center" vertical="center"/>
    </xf>
    <xf numFmtId="0" fontId="25" fillId="10" borderId="18" xfId="0" applyFont="1" applyFill="1" applyBorder="1" applyAlignment="1">
      <alignment horizontal="center" vertical="center"/>
    </xf>
    <xf numFmtId="0" fontId="26" fillId="13" borderId="57" xfId="3" applyFont="1" applyBorder="1" applyAlignment="1">
      <alignment horizontal="center" vertical="center"/>
    </xf>
    <xf numFmtId="0" fontId="26" fillId="13" borderId="58" xfId="3" applyFont="1" applyBorder="1" applyAlignment="1">
      <alignment horizontal="center" vertical="center"/>
    </xf>
    <xf numFmtId="0" fontId="26" fillId="13" borderId="54" xfId="3" applyFont="1" applyBorder="1" applyAlignment="1">
      <alignment horizontal="center" vertical="center"/>
    </xf>
    <xf numFmtId="0" fontId="26" fillId="13" borderId="59" xfId="3" applyFont="1" applyBorder="1" applyAlignment="1">
      <alignment horizontal="center" vertical="center"/>
    </xf>
    <xf numFmtId="0" fontId="26" fillId="13" borderId="47" xfId="3" applyFont="1" applyBorder="1" applyAlignment="1">
      <alignment horizontal="center" vertical="center"/>
    </xf>
    <xf numFmtId="0" fontId="27" fillId="14" borderId="17" xfId="4" applyFont="1" applyBorder="1" applyAlignment="1">
      <alignment horizontal="center" vertical="center"/>
    </xf>
    <xf numFmtId="0" fontId="27" fillId="14" borderId="22" xfId="4" applyFont="1" applyBorder="1" applyAlignment="1">
      <alignment horizontal="center" vertical="center"/>
    </xf>
    <xf numFmtId="0" fontId="25" fillId="10" borderId="57" xfId="0" applyFont="1" applyFill="1" applyBorder="1" applyAlignment="1">
      <alignment horizontal="center" vertical="center"/>
    </xf>
    <xf numFmtId="0" fontId="25" fillId="10" borderId="58" xfId="0" applyFont="1" applyFill="1" applyBorder="1" applyAlignment="1">
      <alignment horizontal="center" vertical="center"/>
    </xf>
    <xf numFmtId="0" fontId="25" fillId="10" borderId="54" xfId="0" applyFont="1" applyFill="1" applyBorder="1" applyAlignment="1">
      <alignment horizontal="center" vertical="center"/>
    </xf>
    <xf numFmtId="0" fontId="25" fillId="10" borderId="64" xfId="0" applyFont="1" applyFill="1" applyBorder="1" applyAlignment="1">
      <alignment horizontal="center" vertical="center"/>
    </xf>
    <xf numFmtId="0" fontId="0" fillId="31" borderId="45" xfId="0" applyFill="1" applyBorder="1" applyAlignment="1">
      <alignment horizontal="center"/>
    </xf>
    <xf numFmtId="0" fontId="0" fillId="31" borderId="47" xfId="0" applyFill="1" applyBorder="1" applyAlignment="1">
      <alignment horizontal="center"/>
    </xf>
    <xf numFmtId="16" fontId="4" fillId="2" borderId="45" xfId="0" applyNumberFormat="1" applyFont="1" applyFill="1" applyBorder="1" applyAlignment="1">
      <alignment horizontal="center" vertical="center" wrapText="1"/>
    </xf>
    <xf numFmtId="16" fontId="4" fillId="2" borderId="47" xfId="0" applyNumberFormat="1" applyFont="1" applyFill="1" applyBorder="1" applyAlignment="1">
      <alignment horizontal="center" vertical="center" wrapText="1"/>
    </xf>
    <xf numFmtId="0" fontId="24" fillId="12" borderId="60" xfId="0" applyFont="1" applyFill="1" applyBorder="1" applyAlignment="1">
      <alignment horizontal="center" vertical="center"/>
    </xf>
    <xf numFmtId="0" fontId="24" fillId="12" borderId="53" xfId="0" applyFont="1" applyFill="1" applyBorder="1" applyAlignment="1">
      <alignment horizontal="center" vertical="center"/>
    </xf>
    <xf numFmtId="0" fontId="24" fillId="12" borderId="57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/>
    </xf>
    <xf numFmtId="0" fontId="24" fillId="12" borderId="58" xfId="0" applyFont="1" applyFill="1" applyBorder="1" applyAlignment="1">
      <alignment horizontal="center" vertical="center"/>
    </xf>
    <xf numFmtId="0" fontId="20" fillId="18" borderId="17" xfId="0" applyFont="1" applyFill="1" applyBorder="1" applyAlignment="1">
      <alignment horizontal="center" vertical="center" wrapText="1"/>
    </xf>
    <xf numFmtId="0" fontId="20" fillId="18" borderId="22" xfId="0" applyFont="1" applyFill="1" applyBorder="1" applyAlignment="1">
      <alignment horizontal="center" vertical="center" wrapText="1"/>
    </xf>
    <xf numFmtId="0" fontId="25" fillId="10" borderId="11" xfId="0" applyFont="1" applyFill="1" applyBorder="1" applyAlignment="1">
      <alignment horizontal="center" vertical="center"/>
    </xf>
    <xf numFmtId="0" fontId="25" fillId="10" borderId="13" xfId="0" applyFont="1" applyFill="1" applyBorder="1" applyAlignment="1">
      <alignment horizontal="center" vertical="center"/>
    </xf>
    <xf numFmtId="0" fontId="28" fillId="13" borderId="11" xfId="3" applyFont="1" applyBorder="1" applyAlignment="1">
      <alignment horizontal="center" vertical="center"/>
    </xf>
    <xf numFmtId="0" fontId="28" fillId="13" borderId="13" xfId="3" applyFont="1" applyBorder="1" applyAlignment="1">
      <alignment horizontal="center" vertical="center"/>
    </xf>
    <xf numFmtId="0" fontId="0" fillId="24" borderId="45" xfId="0" applyFill="1" applyBorder="1" applyAlignment="1">
      <alignment horizontal="center" vertical="center" wrapText="1"/>
    </xf>
    <xf numFmtId="0" fontId="0" fillId="24" borderId="47" xfId="0" applyFill="1" applyBorder="1" applyAlignment="1">
      <alignment horizontal="center" vertical="center" wrapText="1"/>
    </xf>
    <xf numFmtId="16" fontId="4" fillId="0" borderId="45" xfId="0" applyNumberFormat="1" applyFont="1" applyBorder="1" applyAlignment="1">
      <alignment horizontal="center" vertical="center" wrapText="1"/>
    </xf>
    <xf numFmtId="16" fontId="4" fillId="0" borderId="47" xfId="0" applyNumberFormat="1" applyFont="1" applyBorder="1" applyAlignment="1">
      <alignment horizontal="center" vertical="center" wrapText="1"/>
    </xf>
    <xf numFmtId="16" fontId="4" fillId="22" borderId="45" xfId="0" applyNumberFormat="1" applyFont="1" applyFill="1" applyBorder="1" applyAlignment="1">
      <alignment horizontal="center" vertical="center" wrapText="1"/>
    </xf>
    <xf numFmtId="16" fontId="4" fillId="22" borderId="47" xfId="0" applyNumberFormat="1" applyFont="1" applyFill="1" applyBorder="1" applyAlignment="1">
      <alignment horizontal="center" vertical="center" wrapText="1"/>
    </xf>
    <xf numFmtId="0" fontId="20" fillId="31" borderId="45" xfId="0" applyFont="1" applyFill="1" applyBorder="1" applyAlignment="1">
      <alignment horizontal="center" vertical="center" wrapText="1"/>
    </xf>
    <xf numFmtId="0" fontId="20" fillId="31" borderId="47" xfId="0" applyFont="1" applyFill="1" applyBorder="1" applyAlignment="1">
      <alignment horizontal="center" vertical="center" wrapText="1"/>
    </xf>
    <xf numFmtId="10" fontId="0" fillId="24" borderId="65" xfId="0" applyNumberFormat="1" applyFill="1" applyBorder="1" applyAlignment="1">
      <alignment horizontal="center" vertical="center"/>
    </xf>
    <xf numFmtId="10" fontId="0" fillId="24" borderId="67" xfId="0" applyNumberFormat="1" applyFill="1" applyBorder="1" applyAlignment="1">
      <alignment horizontal="center" vertical="center"/>
    </xf>
    <xf numFmtId="10" fontId="0" fillId="24" borderId="48" xfId="0" applyNumberFormat="1" applyFill="1" applyBorder="1" applyAlignment="1">
      <alignment horizontal="center" vertical="center"/>
    </xf>
    <xf numFmtId="16" fontId="4" fillId="32" borderId="45" xfId="0" applyNumberFormat="1" applyFont="1" applyFill="1" applyBorder="1" applyAlignment="1">
      <alignment horizontal="center" vertical="center" wrapText="1"/>
    </xf>
    <xf numFmtId="16" fontId="4" fillId="32" borderId="47" xfId="0" applyNumberFormat="1" applyFont="1" applyFill="1" applyBorder="1" applyAlignment="1">
      <alignment horizontal="center" vertical="center" wrapText="1"/>
    </xf>
    <xf numFmtId="16" fontId="4" fillId="31" borderId="45" xfId="0" applyNumberFormat="1" applyFont="1" applyFill="1" applyBorder="1" applyAlignment="1">
      <alignment horizontal="center" vertical="center" wrapText="1"/>
    </xf>
    <xf numFmtId="16" fontId="4" fillId="31" borderId="47" xfId="0" applyNumberFormat="1" applyFont="1" applyFill="1" applyBorder="1" applyAlignment="1">
      <alignment horizontal="center" vertical="center" wrapText="1"/>
    </xf>
    <xf numFmtId="0" fontId="20" fillId="32" borderId="45" xfId="0" applyFont="1" applyFill="1" applyBorder="1" applyAlignment="1">
      <alignment horizontal="center" vertical="center" wrapText="1"/>
    </xf>
    <xf numFmtId="0" fontId="20" fillId="32" borderId="4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indent="14"/>
    </xf>
    <xf numFmtId="0" fontId="7" fillId="2" borderId="9" xfId="0" applyFont="1" applyFill="1" applyBorder="1" applyAlignment="1">
      <alignment horizontal="left" vertical="center" indent="14"/>
    </xf>
    <xf numFmtId="0" fontId="7" fillId="2" borderId="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indent="14"/>
    </xf>
    <xf numFmtId="0" fontId="7" fillId="2" borderId="5" xfId="0" applyFont="1" applyFill="1" applyBorder="1" applyAlignment="1">
      <alignment horizontal="left" vertical="center" indent="14"/>
    </xf>
    <xf numFmtId="0" fontId="7" fillId="2" borderId="10" xfId="0" applyFont="1" applyFill="1" applyBorder="1" applyAlignment="1">
      <alignment horizontal="left" vertical="center" indent="14"/>
    </xf>
    <xf numFmtId="0" fontId="7" fillId="2" borderId="1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 indent="14"/>
    </xf>
    <xf numFmtId="0" fontId="25" fillId="10" borderId="66" xfId="0" applyFont="1" applyFill="1" applyBorder="1" applyAlignment="1">
      <alignment horizontal="center" vertical="center"/>
    </xf>
    <xf numFmtId="0" fontId="0" fillId="19" borderId="45" xfId="0" applyFill="1" applyBorder="1" applyAlignment="1">
      <alignment horizontal="center" vertical="center" wrapText="1"/>
    </xf>
    <xf numFmtId="0" fontId="20" fillId="24" borderId="45" xfId="0" applyFont="1" applyFill="1" applyBorder="1" applyAlignment="1">
      <alignment horizontal="center" vertical="center" wrapText="1"/>
    </xf>
    <xf numFmtId="0" fontId="20" fillId="24" borderId="47" xfId="0" applyFont="1" applyFill="1" applyBorder="1" applyAlignment="1">
      <alignment horizontal="center" vertical="center" wrapText="1"/>
    </xf>
    <xf numFmtId="0" fontId="0" fillId="32" borderId="45" xfId="0" applyFill="1" applyBorder="1" applyAlignment="1">
      <alignment horizontal="center" vertical="center" wrapText="1"/>
    </xf>
    <xf numFmtId="0" fontId="0" fillId="32" borderId="47" xfId="0" applyFill="1" applyBorder="1" applyAlignment="1">
      <alignment horizontal="center" vertical="center" wrapText="1"/>
    </xf>
    <xf numFmtId="0" fontId="0" fillId="22" borderId="45" xfId="0" applyFill="1" applyBorder="1" applyAlignment="1">
      <alignment horizontal="center" vertical="center" wrapText="1"/>
    </xf>
    <xf numFmtId="0" fontId="0" fillId="22" borderId="47" xfId="0" applyFill="1" applyBorder="1" applyAlignment="1">
      <alignment horizontal="center" vertical="center" wrapText="1"/>
    </xf>
    <xf numFmtId="10" fontId="0" fillId="22" borderId="65" xfId="0" applyNumberFormat="1" applyFill="1" applyBorder="1" applyAlignment="1">
      <alignment horizontal="center" vertical="center"/>
    </xf>
    <xf numFmtId="10" fontId="0" fillId="22" borderId="67" xfId="0" applyNumberFormat="1" applyFill="1" applyBorder="1" applyAlignment="1">
      <alignment horizontal="center" vertical="center"/>
    </xf>
    <xf numFmtId="10" fontId="0" fillId="22" borderId="48" xfId="0" applyNumberFormat="1" applyFill="1" applyBorder="1" applyAlignment="1">
      <alignment horizontal="center" vertical="center"/>
    </xf>
    <xf numFmtId="0" fontId="0" fillId="31" borderId="45" xfId="0" applyFill="1" applyBorder="1" applyAlignment="1">
      <alignment horizontal="center" vertical="center"/>
    </xf>
    <xf numFmtId="0" fontId="0" fillId="31" borderId="47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20" fillId="22" borderId="45" xfId="0" applyFont="1" applyFill="1" applyBorder="1" applyAlignment="1">
      <alignment horizontal="center" vertical="center" wrapText="1"/>
    </xf>
    <xf numFmtId="0" fontId="20" fillId="22" borderId="47" xfId="0" applyFont="1" applyFill="1" applyBorder="1" applyAlignment="1">
      <alignment horizontal="center" vertical="center" wrapText="1"/>
    </xf>
    <xf numFmtId="0" fontId="18" fillId="15" borderId="9" xfId="0" applyFont="1" applyFill="1" applyBorder="1" applyAlignment="1">
      <alignment horizontal="center" vertical="center"/>
    </xf>
    <xf numFmtId="0" fontId="18" fillId="15" borderId="2" xfId="0" applyFont="1" applyFill="1" applyBorder="1" applyAlignment="1">
      <alignment horizontal="center" vertical="center"/>
    </xf>
    <xf numFmtId="0" fontId="18" fillId="15" borderId="5" xfId="0" applyFont="1" applyFill="1" applyBorder="1" applyAlignment="1">
      <alignment horizontal="center" vertical="center"/>
    </xf>
    <xf numFmtId="0" fontId="18" fillId="15" borderId="10" xfId="0" applyFont="1" applyFill="1" applyBorder="1" applyAlignment="1">
      <alignment horizontal="center" vertical="center"/>
    </xf>
    <xf numFmtId="0" fontId="18" fillId="15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5" fillId="15" borderId="32" xfId="0" applyFont="1" applyFill="1" applyBorder="1" applyAlignment="1">
      <alignment horizontal="center" vertical="center" wrapText="1"/>
    </xf>
    <xf numFmtId="0" fontId="15" fillId="15" borderId="33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/>
    </xf>
    <xf numFmtId="0" fontId="4" fillId="2" borderId="74" xfId="0" applyFont="1" applyFill="1" applyBorder="1" applyAlignment="1">
      <alignment horizontal="center"/>
    </xf>
    <xf numFmtId="0" fontId="35" fillId="28" borderId="76" xfId="0" applyFont="1" applyFill="1" applyBorder="1" applyAlignment="1">
      <alignment horizontal="center" vertical="center"/>
    </xf>
    <xf numFmtId="0" fontId="35" fillId="28" borderId="77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/>
    </xf>
    <xf numFmtId="0" fontId="4" fillId="2" borderId="47" xfId="0" applyFont="1" applyFill="1" applyBorder="1" applyAlignment="1">
      <alignment horizontal="center"/>
    </xf>
    <xf numFmtId="0" fontId="4" fillId="2" borderId="73" xfId="0" applyFont="1" applyFill="1" applyBorder="1" applyAlignment="1">
      <alignment horizontal="center"/>
    </xf>
    <xf numFmtId="0" fontId="4" fillId="2" borderId="53" xfId="0" applyFont="1" applyFill="1" applyBorder="1" applyAlignment="1">
      <alignment horizontal="center"/>
    </xf>
    <xf numFmtId="0" fontId="15" fillId="15" borderId="1" xfId="0" applyFont="1" applyFill="1" applyBorder="1" applyAlignment="1">
      <alignment horizontal="center" vertical="center" wrapText="1"/>
    </xf>
    <xf numFmtId="0" fontId="15" fillId="15" borderId="3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7" fillId="27" borderId="76" xfId="0" applyFont="1" applyFill="1" applyBorder="1" applyAlignment="1">
      <alignment horizontal="center" vertical="center"/>
    </xf>
    <xf numFmtId="0" fontId="37" fillId="27" borderId="84" xfId="0" applyFont="1" applyFill="1" applyBorder="1" applyAlignment="1">
      <alignment horizontal="center" vertical="center"/>
    </xf>
    <xf numFmtId="0" fontId="37" fillId="27" borderId="77" xfId="0" applyFont="1" applyFill="1" applyBorder="1" applyAlignment="1">
      <alignment horizontal="center" vertical="center"/>
    </xf>
    <xf numFmtId="0" fontId="0" fillId="0" borderId="0" xfId="0"/>
    <xf numFmtId="0" fontId="36" fillId="0" borderId="0" xfId="0" applyFont="1" applyAlignment="1">
      <alignment horizontal="center" vertical="center"/>
    </xf>
    <xf numFmtId="165" fontId="0" fillId="21" borderId="0" xfId="0" applyNumberFormat="1" applyFill="1" applyAlignment="1">
      <alignment horizontal="center" vertical="center"/>
    </xf>
    <xf numFmtId="165" fontId="0" fillId="21" borderId="0" xfId="0" applyNumberFormat="1" applyFill="1" applyAlignment="1">
      <alignment horizontal="center" vertical="center" wrapText="1"/>
    </xf>
    <xf numFmtId="0" fontId="21" fillId="15" borderId="7" xfId="0" applyFont="1" applyFill="1" applyBorder="1" applyAlignment="1">
      <alignment horizontal="center" vertical="center"/>
    </xf>
    <xf numFmtId="0" fontId="21" fillId="15" borderId="14" xfId="0" applyFont="1" applyFill="1" applyBorder="1" applyAlignment="1">
      <alignment horizontal="center" vertical="center"/>
    </xf>
    <xf numFmtId="0" fontId="21" fillId="15" borderId="8" xfId="0" applyFont="1" applyFill="1" applyBorder="1" applyAlignment="1">
      <alignment horizontal="center" vertical="center"/>
    </xf>
    <xf numFmtId="0" fontId="0" fillId="21" borderId="34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21" borderId="30" xfId="0" applyFill="1" applyBorder="1" applyAlignment="1">
      <alignment horizontal="center" vertical="center" wrapText="1"/>
    </xf>
    <xf numFmtId="0" fontId="0" fillId="21" borderId="0" xfId="0" applyFill="1" applyAlignment="1">
      <alignment horizontal="center" vertical="center" wrapText="1"/>
    </xf>
    <xf numFmtId="165" fontId="0" fillId="21" borderId="30" xfId="0" applyNumberFormat="1" applyFill="1" applyBorder="1" applyAlignment="1">
      <alignment horizontal="center" vertical="center" wrapText="1"/>
    </xf>
    <xf numFmtId="165" fontId="0" fillId="21" borderId="30" xfId="0" applyNumberFormat="1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165" fontId="0" fillId="16" borderId="0" xfId="0" applyNumberFormat="1" applyFill="1" applyAlignment="1">
      <alignment horizontal="center" vertical="center" wrapText="1"/>
    </xf>
    <xf numFmtId="165" fontId="0" fillId="16" borderId="0" xfId="0" applyNumberFormat="1" applyFill="1" applyAlignment="1">
      <alignment horizontal="center" vertical="center"/>
    </xf>
    <xf numFmtId="0" fontId="22" fillId="15" borderId="19" xfId="0" applyFont="1" applyFill="1" applyBorder="1" applyAlignment="1">
      <alignment horizontal="center" vertical="center"/>
    </xf>
    <xf numFmtId="0" fontId="22" fillId="15" borderId="20" xfId="0" applyFont="1" applyFill="1" applyBorder="1" applyAlignment="1">
      <alignment horizontal="center" vertical="center"/>
    </xf>
    <xf numFmtId="0" fontId="22" fillId="15" borderId="21" xfId="0" applyFont="1" applyFill="1" applyBorder="1" applyAlignment="1">
      <alignment horizontal="center" vertical="center"/>
    </xf>
    <xf numFmtId="0" fontId="15" fillId="15" borderId="45" xfId="0" applyFont="1" applyFill="1" applyBorder="1" applyAlignment="1">
      <alignment horizontal="center" vertical="center" wrapText="1"/>
    </xf>
    <xf numFmtId="0" fontId="15" fillId="15" borderId="46" xfId="0" applyFont="1" applyFill="1" applyBorder="1" applyAlignment="1">
      <alignment horizontal="center" vertical="center" wrapText="1"/>
    </xf>
    <xf numFmtId="0" fontId="15" fillId="15" borderId="4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</cellXfs>
  <cellStyles count="5">
    <cellStyle name="60 % - Accent5" xfId="4" builtinId="48"/>
    <cellStyle name="Insatisfaisant" xfId="3" builtinId="27"/>
    <cellStyle name="Lien hypertexte" xfId="1" builtinId="8"/>
    <cellStyle name="Normal" xfId="0" builtinId="0"/>
    <cellStyle name="Pourcentage" xfId="2" builtinId="5"/>
  </cellStyles>
  <dxfs count="148">
    <dxf>
      <fill>
        <patternFill patternType="solid">
          <fgColor rgb="FFFFC7CE"/>
          <bgColor rgb="FFFFFFFF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2" formatCode="0.00"/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34998626667073579"/>
      </font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theme="0" tint="-0.24994659260841701"/>
      </font>
    </dxf>
    <dxf>
      <alignment horizontal="center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0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horizontal="center"/>
    </dxf>
    <dxf>
      <alignment horizontal="center"/>
    </dxf>
    <dxf>
      <alignment textRotation="90"/>
    </dxf>
    <dxf>
      <alignment textRotation="9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2958E"/>
      <color rgb="FFFF3F3F"/>
      <color rgb="FF99FF99"/>
      <color rgb="FFEE756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Livraisons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'3 - Livraisons'!$C$6:$C$7</c:f>
              <c:strCache>
                <c:ptCount val="2"/>
                <c:pt idx="0">
                  <c:v>PAA 150</c:v>
                </c:pt>
                <c:pt idx="1">
                  <c:v>Perlite agricole 150L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Livraisons'!$C$8:$C$38</c:f>
              <c:numCache>
                <c:formatCode>0.00</c:formatCode>
                <c:ptCount val="31"/>
                <c:pt idx="3">
                  <c:v>10.050000000000001</c:v>
                </c:pt>
                <c:pt idx="16">
                  <c:v>25.05</c:v>
                </c:pt>
                <c:pt idx="17">
                  <c:v>95.1</c:v>
                </c:pt>
                <c:pt idx="21">
                  <c:v>27.7</c:v>
                </c:pt>
                <c:pt idx="22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10-4187-B93D-884115E121D7}"/>
            </c:ext>
          </c:extLst>
        </c:ser>
        <c:ser>
          <c:idx val="1"/>
          <c:order val="1"/>
          <c:tx>
            <c:strRef>
              <c:f>'3 - Livraisons'!$D$6:$D$7</c:f>
              <c:strCache>
                <c:ptCount val="2"/>
                <c:pt idx="0">
                  <c:v>PAA 100</c:v>
                </c:pt>
                <c:pt idx="1">
                  <c:v>Perlite agricole 100L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Livraisons'!$D$8:$D$38</c:f>
              <c:numCache>
                <c:formatCode>0.00</c:formatCode>
                <c:ptCount val="31"/>
                <c:pt idx="26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10-4187-B93D-884115E121D7}"/>
            </c:ext>
          </c:extLst>
        </c:ser>
        <c:ser>
          <c:idx val="2"/>
          <c:order val="2"/>
          <c:tx>
            <c:strRef>
              <c:f>'3 - Livraisons'!$E$6:$E$7</c:f>
              <c:strCache>
                <c:ptCount val="2"/>
                <c:pt idx="0">
                  <c:v>PAA 33</c:v>
                </c:pt>
                <c:pt idx="1">
                  <c:v>Perlite agricole 33L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Livraisons'!$E$8:$E$38</c:f>
              <c:numCache>
                <c:formatCode>0.00</c:formatCode>
                <c:ptCount val="31"/>
                <c:pt idx="3">
                  <c:v>0.33</c:v>
                </c:pt>
                <c:pt idx="4">
                  <c:v>20.36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10-4187-B93D-884115E121D7}"/>
            </c:ext>
          </c:extLst>
        </c:ser>
        <c:ser>
          <c:idx val="3"/>
          <c:order val="3"/>
          <c:tx>
            <c:strRef>
              <c:f>'3 - Livraisons'!$F$6:$F$7</c:f>
              <c:strCache>
                <c:ptCount val="2"/>
                <c:pt idx="0">
                  <c:v>0</c:v>
                </c:pt>
                <c:pt idx="1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Livraisons'!$F$8:$F$38</c:f>
            </c:numRef>
          </c:val>
          <c:extLst>
            <c:ext xmlns:c16="http://schemas.microsoft.com/office/drawing/2014/chart" uri="{C3380CC4-5D6E-409C-BE32-E72D297353CC}">
              <c16:uniqueId val="{00000003-FF10-4187-B93D-884115E121D7}"/>
            </c:ext>
          </c:extLst>
        </c:ser>
        <c:ser>
          <c:idx val="4"/>
          <c:order val="4"/>
          <c:tx>
            <c:strRef>
              <c:f>'3 - Livraisons'!$G$6:$G$7</c:f>
              <c:strCache>
                <c:ptCount val="2"/>
                <c:pt idx="0">
                  <c:v>PAF1</c:v>
                </c:pt>
                <c:pt idx="1">
                  <c:v>Perlite AF1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Livraisons'!$G$8:$G$38</c:f>
              <c:numCache>
                <c:formatCode>0.00</c:formatCode>
                <c:ptCount val="31"/>
                <c:pt idx="22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10-4187-B93D-884115E121D7}"/>
            </c:ext>
          </c:extLst>
        </c:ser>
        <c:ser>
          <c:idx val="5"/>
          <c:order val="5"/>
          <c:tx>
            <c:strRef>
              <c:f>'3 - Livraisons'!#REF!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F10-4187-B93D-884115E121D7}"/>
            </c:ext>
          </c:extLst>
        </c:ser>
        <c:ser>
          <c:idx val="6"/>
          <c:order val="6"/>
          <c:tx>
            <c:strRef>
              <c:f>'3 - Livraisons'!$H$6:$H$7</c:f>
              <c:strCache>
                <c:ptCount val="2"/>
                <c:pt idx="0">
                  <c:v>PCC</c:v>
                </c:pt>
                <c:pt idx="1">
                  <c:v>Perlite construction 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Livraisons'!$H$8:$H$38</c:f>
              <c:numCache>
                <c:formatCode>0.00</c:formatCode>
                <c:ptCount val="31"/>
                <c:pt idx="18">
                  <c:v>12</c:v>
                </c:pt>
                <c:pt idx="22">
                  <c:v>11.2</c:v>
                </c:pt>
                <c:pt idx="25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F10-4187-B93D-884115E121D7}"/>
            </c:ext>
          </c:extLst>
        </c:ser>
        <c:ser>
          <c:idx val="7"/>
          <c:order val="7"/>
          <c:tx>
            <c:strRef>
              <c:f>'3 - Livraisons'!$I$6:$I$7</c:f>
              <c:strCache>
                <c:ptCount val="2"/>
                <c:pt idx="0">
                  <c:v>PCF1</c:v>
                </c:pt>
                <c:pt idx="1">
                  <c:v>Perlite CF1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Livraisons'!$I$8:$I$38</c:f>
              <c:numCache>
                <c:formatCode>0.00</c:formatCode>
                <c:ptCount val="31"/>
              </c:numCache>
            </c:numRef>
          </c:val>
          <c:extLst>
            <c:ext xmlns:c16="http://schemas.microsoft.com/office/drawing/2014/chart" uri="{C3380CC4-5D6E-409C-BE32-E72D297353CC}">
              <c16:uniqueId val="{00000007-FF10-4187-B93D-884115E121D7}"/>
            </c:ext>
          </c:extLst>
        </c:ser>
        <c:ser>
          <c:idx val="8"/>
          <c:order val="8"/>
          <c:tx>
            <c:strRef>
              <c:f>'3 - Livraisons'!#REF!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F10-4187-B93D-884115E121D7}"/>
            </c:ext>
          </c:extLst>
        </c:ser>
        <c:ser>
          <c:idx val="9"/>
          <c:order val="9"/>
          <c:tx>
            <c:strRef>
              <c:f>'3 - Livraisons'!$J$6:$J$7</c:f>
              <c:strCache>
                <c:ptCount val="2"/>
                <c:pt idx="0">
                  <c:v>PFF</c:v>
                </c:pt>
                <c:pt idx="1">
                  <c:v>Perlite Filtration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Livraisons'!$J$8:$J$38</c:f>
              <c:numCache>
                <c:formatCode>0.00</c:formatCode>
                <c:ptCount val="31"/>
                <c:pt idx="14">
                  <c:v>360</c:v>
                </c:pt>
                <c:pt idx="22">
                  <c:v>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F10-4187-B93D-884115E121D7}"/>
            </c:ext>
          </c:extLst>
        </c:ser>
        <c:ser>
          <c:idx val="10"/>
          <c:order val="10"/>
          <c:tx>
            <c:strRef>
              <c:f>'3 - Livraisons'!$K$6:$K$7</c:f>
              <c:strCache>
                <c:ptCount val="2"/>
                <c:pt idx="0">
                  <c:v>PFF0</c:v>
                </c:pt>
                <c:pt idx="1">
                  <c:v>Perlite FF0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Livraisons'!$K$8:$K$38</c:f>
              <c:numCache>
                <c:formatCode>0.00</c:formatCode>
                <c:ptCount val="31"/>
              </c:numCache>
            </c:numRef>
          </c:val>
          <c:extLst>
            <c:ext xmlns:c16="http://schemas.microsoft.com/office/drawing/2014/chart" uri="{C3380CC4-5D6E-409C-BE32-E72D297353CC}">
              <c16:uniqueId val="{0000000A-FF10-4187-B93D-884115E121D7}"/>
            </c:ext>
          </c:extLst>
        </c:ser>
        <c:ser>
          <c:idx val="11"/>
          <c:order val="11"/>
          <c:tx>
            <c:strRef>
              <c:f>'3 - Livraisons'!$L$6:$L$7</c:f>
              <c:strCache>
                <c:ptCount val="2"/>
                <c:pt idx="0">
                  <c:v>PPF2</c:v>
                </c:pt>
                <c:pt idx="1">
                  <c:v>Perlite PF2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Livraisons'!$L$8:$L$38</c:f>
              <c:numCache>
                <c:formatCode>0.00</c:formatCode>
                <c:ptCount val="31"/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F10-4187-B93D-884115E121D7}"/>
            </c:ext>
          </c:extLst>
        </c:ser>
        <c:ser>
          <c:idx val="12"/>
          <c:order val="12"/>
          <c:tx>
            <c:strRef>
              <c:f>'3 - Livraisons'!#REF!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'3 - Livraisons'!$B$8:$B$38</c:f>
              <c:numCache>
                <c:formatCode>m/d/yyyy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'3 - Livraisons'!#REF!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00-4DA9-8FDC-94F88ECEB4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3238376"/>
        <c:axId val="523237720"/>
      </c:barChart>
      <c:dateAx>
        <c:axId val="5232383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237720"/>
        <c:crosses val="autoZero"/>
        <c:auto val="1"/>
        <c:lblOffset val="100"/>
        <c:baseTimeUnit val="days"/>
      </c:dateAx>
      <c:valAx>
        <c:axId val="52323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238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Inventaire initial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'4 - Inventaire initial'!$E$6:$E$7</c:f>
              <c:strCache>
                <c:ptCount val="2"/>
                <c:pt idx="0">
                  <c:v>Stock de sécurité (m3)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'4 - Inventaire initial'!$B$8:$B$14</c:f>
              <c:strCache>
                <c:ptCount val="7"/>
                <c:pt idx="0">
                  <c:v>PAA 150</c:v>
                </c:pt>
                <c:pt idx="1">
                  <c:v>PAA 100</c:v>
                </c:pt>
                <c:pt idx="2">
                  <c:v>PAA 33</c:v>
                </c:pt>
                <c:pt idx="3">
                  <c:v>PAF1</c:v>
                </c:pt>
                <c:pt idx="4">
                  <c:v>PPF2</c:v>
                </c:pt>
                <c:pt idx="5">
                  <c:v>PCC</c:v>
                </c:pt>
                <c:pt idx="6">
                  <c:v>PFF</c:v>
                </c:pt>
              </c:strCache>
            </c:strRef>
          </c:cat>
          <c:val>
            <c:numRef>
              <c:f>'4 - Inventaire initial'!$E$8:$E$14</c:f>
              <c:numCache>
                <c:formatCode>_-* #,##0\ _€_-;\-* #,##0\ _€_-;_-* "-"\ _€_-;_-@_-</c:formatCode>
                <c:ptCount val="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5000</c:v>
                </c:pt>
                <c:pt idx="4">
                  <c:v>5000</c:v>
                </c:pt>
                <c:pt idx="5">
                  <c:v>300</c:v>
                </c:pt>
                <c:pt idx="6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AB-48E6-BF53-9FBA99A9F959}"/>
            </c:ext>
          </c:extLst>
        </c:ser>
        <c:ser>
          <c:idx val="1"/>
          <c:order val="1"/>
          <c:tx>
            <c:strRef>
              <c:f>'4 - Inventaire initial'!$F$6:$F$7</c:f>
              <c:strCache>
                <c:ptCount val="2"/>
                <c:pt idx="0">
                  <c:v>Inventaire du:</c:v>
                </c:pt>
                <c:pt idx="1">
                  <c:v>30/12/2023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'4 - Inventaire initial'!$B$8:$B$14</c:f>
              <c:strCache>
                <c:ptCount val="7"/>
                <c:pt idx="0">
                  <c:v>PAA 150</c:v>
                </c:pt>
                <c:pt idx="1">
                  <c:v>PAA 100</c:v>
                </c:pt>
                <c:pt idx="2">
                  <c:v>PAA 33</c:v>
                </c:pt>
                <c:pt idx="3">
                  <c:v>PAF1</c:v>
                </c:pt>
                <c:pt idx="4">
                  <c:v>PPF2</c:v>
                </c:pt>
                <c:pt idx="5">
                  <c:v>PCC</c:v>
                </c:pt>
                <c:pt idx="6">
                  <c:v>PFF</c:v>
                </c:pt>
              </c:strCache>
            </c:strRef>
          </c:cat>
          <c:val>
            <c:numRef>
              <c:f>'4 - Inventaire initial'!$F$8:$F$14</c:f>
              <c:numCache>
                <c:formatCode>General</c:formatCode>
                <c:ptCount val="7"/>
                <c:pt idx="0">
                  <c:v>108.05</c:v>
                </c:pt>
                <c:pt idx="1">
                  <c:v>0</c:v>
                </c:pt>
                <c:pt idx="2">
                  <c:v>20.25</c:v>
                </c:pt>
                <c:pt idx="3">
                  <c:v>74284.2</c:v>
                </c:pt>
                <c:pt idx="4">
                  <c:v>14346.25</c:v>
                </c:pt>
                <c:pt idx="5">
                  <c:v>2.2000000000000002</c:v>
                </c:pt>
                <c:pt idx="6">
                  <c:v>1.32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AB-48E6-BF53-9FBA99A9F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76169648"/>
        <c:axId val="976167352"/>
        <c:axId val="946406824"/>
      </c:bar3DChart>
      <c:catAx>
        <c:axId val="97616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6167352"/>
        <c:crosses val="autoZero"/>
        <c:auto val="1"/>
        <c:lblAlgn val="ctr"/>
        <c:lblOffset val="100"/>
        <c:noMultiLvlLbl val="0"/>
      </c:catAx>
      <c:valAx>
        <c:axId val="97616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_-* #,##0\ _€_-;\-* #,##0\ _€_-;_-* &quot;-&quot;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6169648"/>
        <c:crosses val="autoZero"/>
        <c:crossBetween val="between"/>
      </c:valAx>
      <c:serAx>
        <c:axId val="946406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6167352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Temps de travail disponible par jour [min]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'5 - Régime de travail'!$I$5</c:f>
              <c:strCache>
                <c:ptCount val="1"/>
                <c:pt idx="0">
                  <c:v>Temps de travail disponible par jour [min]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'5 - Régime de travail'!$B$6:$B$17</c:f>
              <c:strCache>
                <c:ptCount val="12"/>
                <c:pt idx="0">
                  <c:v>Vis de dosage</c:v>
                </c:pt>
                <c:pt idx="1">
                  <c:v>Préchauffage</c:v>
                </c:pt>
                <c:pt idx="2">
                  <c:v>Four </c:v>
                </c:pt>
                <c:pt idx="3">
                  <c:v>Cyclone 1</c:v>
                </c:pt>
                <c:pt idx="4">
                  <c:v>Cyclone 2</c:v>
                </c:pt>
                <c:pt idx="5">
                  <c:v>Cyclone 3</c:v>
                </c:pt>
                <c:pt idx="6">
                  <c:v>4 Cyclone</c:v>
                </c:pt>
                <c:pt idx="7">
                  <c:v>Tamis</c:v>
                </c:pt>
                <c:pt idx="8">
                  <c:v>Chargement</c:v>
                </c:pt>
                <c:pt idx="9">
                  <c:v>Machine a coudre</c:v>
                </c:pt>
                <c:pt idx="10">
                  <c:v>Palettisation</c:v>
                </c:pt>
                <c:pt idx="11">
                  <c:v>Stockage</c:v>
                </c:pt>
              </c:strCache>
            </c:strRef>
          </c:cat>
          <c:val>
            <c:numRef>
              <c:f>'5 - Régime de travail'!$I$6:$I$17</c:f>
              <c:numCache>
                <c:formatCode>_-* #,##0\ _€_-;\-* #,##0\ _€_-;_-* "-"\ _€_-;_-@_-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557.5</c:v>
                </c:pt>
                <c:pt idx="8">
                  <c:v>437.5</c:v>
                </c:pt>
                <c:pt idx="9">
                  <c:v>437.5</c:v>
                </c:pt>
                <c:pt idx="10">
                  <c:v>437.5</c:v>
                </c:pt>
                <c:pt idx="11">
                  <c:v>437.5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D9-4736-85D3-4B7946F62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69795752"/>
        <c:axId val="969794440"/>
      </c:barChart>
      <c:catAx>
        <c:axId val="969795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9794440"/>
        <c:crosses val="autoZero"/>
        <c:auto val="1"/>
        <c:lblAlgn val="ctr"/>
        <c:lblOffset val="100"/>
        <c:noMultiLvlLbl val="0"/>
      </c:catAx>
      <c:valAx>
        <c:axId val="969794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\ _€_-;\-* #,##0\ _€_-;_-* &quot;-&quot;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9795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'9 - Charge de travail'!$D$5</c:f>
              <c:strCache>
                <c:ptCount val="1"/>
                <c:pt idx="0">
                  <c:v>Charge de travail [%]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'9 - Charge de travail'!$B$6:$B$17</c:f>
              <c:strCache>
                <c:ptCount val="12"/>
                <c:pt idx="0">
                  <c:v>Vis de dosage</c:v>
                </c:pt>
                <c:pt idx="1">
                  <c:v>Préchauffage</c:v>
                </c:pt>
                <c:pt idx="2">
                  <c:v>Four </c:v>
                </c:pt>
                <c:pt idx="3">
                  <c:v>Cyclone 1</c:v>
                </c:pt>
                <c:pt idx="4">
                  <c:v>Cyclone 2</c:v>
                </c:pt>
                <c:pt idx="5">
                  <c:v>Cyclone 3</c:v>
                </c:pt>
                <c:pt idx="6">
                  <c:v>4 Cyclone</c:v>
                </c:pt>
                <c:pt idx="7">
                  <c:v>Tamis</c:v>
                </c:pt>
                <c:pt idx="8">
                  <c:v>Chargement</c:v>
                </c:pt>
                <c:pt idx="9">
                  <c:v>Machine a coudre</c:v>
                </c:pt>
                <c:pt idx="10">
                  <c:v>Palettisation</c:v>
                </c:pt>
                <c:pt idx="11">
                  <c:v>Stockage</c:v>
                </c:pt>
              </c:strCache>
            </c:strRef>
          </c:cat>
          <c:val>
            <c:numRef>
              <c:f>'9 - Charge de travail'!$D$6:$D$17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0.8</c:v>
                </c:pt>
                <c:pt idx="8">
                  <c:v>0.85</c:v>
                </c:pt>
                <c:pt idx="9">
                  <c:v>0.95</c:v>
                </c:pt>
                <c:pt idx="10">
                  <c:v>0.4</c:v>
                </c:pt>
                <c:pt idx="11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23-4D04-A249-AC7ED4147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5302312"/>
        <c:axId val="1015299360"/>
        <c:axId val="0"/>
      </c:bar3DChart>
      <c:catAx>
        <c:axId val="1015302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299360"/>
        <c:crosses val="autoZero"/>
        <c:auto val="1"/>
        <c:lblAlgn val="ctr"/>
        <c:lblOffset val="100"/>
        <c:noMultiLvlLbl val="0"/>
      </c:catAx>
      <c:valAx>
        <c:axId val="1015299360"/>
        <c:scaling>
          <c:orientation val="minMax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302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8 - Production'!A1"/><Relationship Id="rId3" Type="http://schemas.openxmlformats.org/officeDocument/2006/relationships/hyperlink" Target="#'3 - Inventaire initial'!A1"/><Relationship Id="rId7" Type="http://schemas.openxmlformats.org/officeDocument/2006/relationships/hyperlink" Target="#'7 - Livraisons'!A1"/><Relationship Id="rId2" Type="http://schemas.openxmlformats.org/officeDocument/2006/relationships/hyperlink" Target="#'2 - Commandes clients'!A1"/><Relationship Id="rId1" Type="http://schemas.openxmlformats.org/officeDocument/2006/relationships/hyperlink" Target="#'1 - Produits'!A1"/><Relationship Id="rId6" Type="http://schemas.openxmlformats.org/officeDocument/2006/relationships/hyperlink" Target="#'6 - Calendrier'!A1"/><Relationship Id="rId5" Type="http://schemas.openxmlformats.org/officeDocument/2006/relationships/hyperlink" Target="#'5 - R&#233;gime de travail'!A1"/><Relationship Id="rId4" Type="http://schemas.openxmlformats.org/officeDocument/2006/relationships/hyperlink" Target="#'4 - Processus'!A1"/><Relationship Id="rId9" Type="http://schemas.openxmlformats.org/officeDocument/2006/relationships/hyperlink" Target="#'9 - Charge de travai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11</xdr:row>
      <xdr:rowOff>47625</xdr:rowOff>
    </xdr:from>
    <xdr:to>
      <xdr:col>6</xdr:col>
      <xdr:colOff>76200</xdr:colOff>
      <xdr:row>15</xdr:row>
      <xdr:rowOff>85725</xdr:rowOff>
    </xdr:to>
    <xdr:sp macro="" textlink="">
      <xdr:nvSpPr>
        <xdr:cNvPr id="3" name="Rectangle: Rounded Corner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73704" y="2047875"/>
          <a:ext cx="1849210" cy="8001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1 - PRODUITS</a:t>
          </a:r>
        </a:p>
      </xdr:txBody>
    </xdr:sp>
    <xdr:clientData/>
  </xdr:twoCellAnchor>
  <xdr:twoCellAnchor>
    <xdr:from>
      <xdr:col>3</xdr:col>
      <xdr:colOff>390524</xdr:colOff>
      <xdr:row>16</xdr:row>
      <xdr:rowOff>123991</xdr:rowOff>
    </xdr:from>
    <xdr:to>
      <xdr:col>6</xdr:col>
      <xdr:colOff>76200</xdr:colOff>
      <xdr:row>20</xdr:row>
      <xdr:rowOff>162091</xdr:rowOff>
    </xdr:to>
    <xdr:sp macro="" textlink="">
      <xdr:nvSpPr>
        <xdr:cNvPr id="5" name="Rectangle: Rounded Corner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866899" y="3067216"/>
          <a:ext cx="1828801" cy="8001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2 - COMMANDES CLIENTS</a:t>
          </a:r>
        </a:p>
      </xdr:txBody>
    </xdr:sp>
    <xdr:clientData/>
  </xdr:twoCellAnchor>
  <xdr:twoCellAnchor>
    <xdr:from>
      <xdr:col>3</xdr:col>
      <xdr:colOff>370114</xdr:colOff>
      <xdr:row>22</xdr:row>
      <xdr:rowOff>27214</xdr:rowOff>
    </xdr:from>
    <xdr:to>
      <xdr:col>6</xdr:col>
      <xdr:colOff>53068</xdr:colOff>
      <xdr:row>26</xdr:row>
      <xdr:rowOff>65314</xdr:rowOff>
    </xdr:to>
    <xdr:sp macro="" textlink="">
      <xdr:nvSpPr>
        <xdr:cNvPr id="12" name="Rectangle: Rounded Corner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850152" y="4108310"/>
          <a:ext cx="1837070" cy="8001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3 - INVENTAIRE INITIAL</a:t>
          </a:r>
        </a:p>
      </xdr:txBody>
    </xdr:sp>
    <xdr:clientData/>
  </xdr:twoCellAnchor>
  <xdr:twoCellAnchor>
    <xdr:from>
      <xdr:col>3</xdr:col>
      <xdr:colOff>353787</xdr:colOff>
      <xdr:row>27</xdr:row>
      <xdr:rowOff>111579</xdr:rowOff>
    </xdr:from>
    <xdr:to>
      <xdr:col>6</xdr:col>
      <xdr:colOff>46266</xdr:colOff>
      <xdr:row>32</xdr:row>
      <xdr:rowOff>68036</xdr:rowOff>
    </xdr:to>
    <xdr:sp macro="" textlink="">
      <xdr:nvSpPr>
        <xdr:cNvPr id="14" name="Rectangle: Rounded Corners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830162" y="5150304"/>
          <a:ext cx="1835604" cy="794657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</a:rPr>
            <a:t>4 - PROCESSUS</a:t>
          </a:r>
        </a:p>
      </xdr:txBody>
    </xdr:sp>
    <xdr:clientData/>
  </xdr:twoCellAnchor>
  <xdr:twoCellAnchor>
    <xdr:from>
      <xdr:col>3</xdr:col>
      <xdr:colOff>336096</xdr:colOff>
      <xdr:row>33</xdr:row>
      <xdr:rowOff>133350</xdr:rowOff>
    </xdr:from>
    <xdr:to>
      <xdr:col>6</xdr:col>
      <xdr:colOff>28575</xdr:colOff>
      <xdr:row>38</xdr:row>
      <xdr:rowOff>118382</xdr:rowOff>
    </xdr:to>
    <xdr:sp macro="" textlink="">
      <xdr:nvSpPr>
        <xdr:cNvPr id="16" name="Rectangle: Rounded Corner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812471" y="6172200"/>
          <a:ext cx="1835604" cy="794657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</a:rPr>
            <a:t>5 - RÉGIME DE TRAVAIL</a:t>
          </a:r>
        </a:p>
      </xdr:txBody>
    </xdr:sp>
    <xdr:clientData/>
  </xdr:twoCellAnchor>
  <xdr:twoCellAnchor>
    <xdr:from>
      <xdr:col>7</xdr:col>
      <xdr:colOff>582633</xdr:colOff>
      <xdr:row>33</xdr:row>
      <xdr:rowOff>131269</xdr:rowOff>
    </xdr:from>
    <xdr:to>
      <xdr:col>10</xdr:col>
      <xdr:colOff>286244</xdr:colOff>
      <xdr:row>38</xdr:row>
      <xdr:rowOff>117318</xdr:rowOff>
    </xdr:to>
    <xdr:sp macro="" textlink="">
      <xdr:nvSpPr>
        <xdr:cNvPr id="24" name="Rectangle: Rounded Corner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894860" y="6140678"/>
          <a:ext cx="1833748" cy="765367"/>
        </a:xfrm>
        <a:prstGeom prst="round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6A - CALENDRIER EN MINUTES DE TEMPS DISPONIBLE</a:t>
          </a:r>
        </a:p>
      </xdr:txBody>
    </xdr:sp>
    <xdr:clientData/>
  </xdr:twoCellAnchor>
  <xdr:twoCellAnchor>
    <xdr:from>
      <xdr:col>6</xdr:col>
      <xdr:colOff>46266</xdr:colOff>
      <xdr:row>29</xdr:row>
      <xdr:rowOff>150421</xdr:rowOff>
    </xdr:from>
    <xdr:to>
      <xdr:col>7</xdr:col>
      <xdr:colOff>582633</xdr:colOff>
      <xdr:row>36</xdr:row>
      <xdr:rowOff>46362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>
          <a:stCxn id="14" idx="3"/>
          <a:endCxn id="24" idx="1"/>
        </xdr:cNvCxnSpPr>
      </xdr:nvCxnSpPr>
      <xdr:spPr>
        <a:xfrm>
          <a:off x="3648448" y="5536376"/>
          <a:ext cx="1246412" cy="986986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36</xdr:row>
      <xdr:rowOff>46362</xdr:rowOff>
    </xdr:from>
    <xdr:to>
      <xdr:col>7</xdr:col>
      <xdr:colOff>582633</xdr:colOff>
      <xdr:row>36</xdr:row>
      <xdr:rowOff>47934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>
          <a:stCxn id="16" idx="3"/>
          <a:endCxn id="24" idx="1"/>
        </xdr:cNvCxnSpPr>
      </xdr:nvCxnSpPr>
      <xdr:spPr>
        <a:xfrm flipV="1">
          <a:off x="3630757" y="6523362"/>
          <a:ext cx="1264103" cy="1572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6244</xdr:colOff>
      <xdr:row>36</xdr:row>
      <xdr:rowOff>29044</xdr:rowOff>
    </xdr:from>
    <xdr:to>
      <xdr:col>7</xdr:col>
      <xdr:colOff>582633</xdr:colOff>
      <xdr:row>42</xdr:row>
      <xdr:rowOff>89368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>
          <a:stCxn id="33" idx="3"/>
          <a:endCxn id="24" idx="1"/>
        </xdr:cNvCxnSpPr>
      </xdr:nvCxnSpPr>
      <xdr:spPr>
        <a:xfrm flipV="1">
          <a:off x="3652958" y="6982294"/>
          <a:ext cx="1297568" cy="1203324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313765</xdr:colOff>
      <xdr:row>40</xdr:row>
      <xdr:rowOff>1602</xdr:rowOff>
    </xdr:from>
    <xdr:to>
      <xdr:col>6</xdr:col>
      <xdr:colOff>6244</xdr:colOff>
      <xdr:row>44</xdr:row>
      <xdr:rowOff>177134</xdr:rowOff>
    </xdr:to>
    <xdr:sp macro="" textlink="">
      <xdr:nvSpPr>
        <xdr:cNvPr id="33" name="Rectangle: Rounded Corners 3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796944" y="7716852"/>
          <a:ext cx="1856014" cy="937532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</a:rPr>
            <a:t>6 - CALENDRIER</a:t>
          </a:r>
        </a:p>
      </xdr:txBody>
    </xdr:sp>
    <xdr:clientData/>
  </xdr:twoCellAnchor>
  <xdr:twoCellAnchor>
    <xdr:from>
      <xdr:col>7</xdr:col>
      <xdr:colOff>573829</xdr:colOff>
      <xdr:row>11</xdr:row>
      <xdr:rowOff>63234</xdr:rowOff>
    </xdr:from>
    <xdr:to>
      <xdr:col>10</xdr:col>
      <xdr:colOff>277440</xdr:colOff>
      <xdr:row>15</xdr:row>
      <xdr:rowOff>70677</xdr:rowOff>
    </xdr:to>
    <xdr:sp macro="" textlink="">
      <xdr:nvSpPr>
        <xdr:cNvPr id="34" name="Rectangle: Rounded Corners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886056" y="2054825"/>
          <a:ext cx="1833748" cy="769443"/>
        </a:xfrm>
        <a:prstGeom prst="round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2A</a:t>
          </a:r>
          <a:r>
            <a:rPr lang="fr-FR" sz="1600" b="1" baseline="0">
              <a:solidFill>
                <a:sysClr val="windowText" lastClr="000000"/>
              </a:solidFill>
            </a:rPr>
            <a:t> &amp; 2B - CALCULS COMMANDES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76200</xdr:colOff>
      <xdr:row>13</xdr:row>
      <xdr:rowOff>66675</xdr:rowOff>
    </xdr:from>
    <xdr:to>
      <xdr:col>7</xdr:col>
      <xdr:colOff>573829</xdr:colOff>
      <xdr:row>13</xdr:row>
      <xdr:rowOff>66956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>
          <a:stCxn id="3" idx="3"/>
          <a:endCxn id="34" idx="1"/>
        </xdr:cNvCxnSpPr>
      </xdr:nvCxnSpPr>
      <xdr:spPr>
        <a:xfrm>
          <a:off x="3678382" y="2439266"/>
          <a:ext cx="1207674" cy="281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13</xdr:row>
      <xdr:rowOff>66956</xdr:rowOff>
    </xdr:from>
    <xdr:to>
      <xdr:col>7</xdr:col>
      <xdr:colOff>573829</xdr:colOff>
      <xdr:row>18</xdr:row>
      <xdr:rowOff>143041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>
          <a:stCxn id="5" idx="3"/>
          <a:endCxn id="34" idx="1"/>
        </xdr:cNvCxnSpPr>
      </xdr:nvCxnSpPr>
      <xdr:spPr>
        <a:xfrm flipV="1">
          <a:off x="3678382" y="2439547"/>
          <a:ext cx="1207674" cy="102858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569027</xdr:colOff>
      <xdr:row>16</xdr:row>
      <xdr:rowOff>136071</xdr:rowOff>
    </xdr:from>
    <xdr:to>
      <xdr:col>10</xdr:col>
      <xdr:colOff>272638</xdr:colOff>
      <xdr:row>20</xdr:row>
      <xdr:rowOff>143514</xdr:rowOff>
    </xdr:to>
    <xdr:sp macro="" textlink="">
      <xdr:nvSpPr>
        <xdr:cNvPr id="41" name="Rectangle: Rounded Corners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881254" y="3080162"/>
          <a:ext cx="1833748" cy="769443"/>
        </a:xfrm>
        <a:prstGeom prst="round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7A - LIVRAISONS (matrice)</a:t>
          </a:r>
        </a:p>
      </xdr:txBody>
    </xdr:sp>
    <xdr:clientData/>
  </xdr:twoCellAnchor>
  <xdr:twoCellAnchor>
    <xdr:from>
      <xdr:col>6</xdr:col>
      <xdr:colOff>76200</xdr:colOff>
      <xdr:row>13</xdr:row>
      <xdr:rowOff>66675</xdr:rowOff>
    </xdr:from>
    <xdr:to>
      <xdr:col>7</xdr:col>
      <xdr:colOff>569027</xdr:colOff>
      <xdr:row>18</xdr:row>
      <xdr:rowOff>139793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>
          <a:stCxn id="3" idx="3"/>
          <a:endCxn id="41" idx="1"/>
        </xdr:cNvCxnSpPr>
      </xdr:nvCxnSpPr>
      <xdr:spPr>
        <a:xfrm>
          <a:off x="3678382" y="2439266"/>
          <a:ext cx="1202872" cy="1025618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18</xdr:row>
      <xdr:rowOff>139793</xdr:rowOff>
    </xdr:from>
    <xdr:to>
      <xdr:col>7</xdr:col>
      <xdr:colOff>569027</xdr:colOff>
      <xdr:row>18</xdr:row>
      <xdr:rowOff>143041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CxnSpPr>
          <a:stCxn id="5" idx="3"/>
          <a:endCxn id="41" idx="1"/>
        </xdr:cNvCxnSpPr>
      </xdr:nvCxnSpPr>
      <xdr:spPr>
        <a:xfrm flipV="1">
          <a:off x="3678382" y="3464884"/>
          <a:ext cx="1202872" cy="3248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272638</xdr:colOff>
      <xdr:row>16</xdr:row>
      <xdr:rowOff>18492</xdr:rowOff>
    </xdr:from>
    <xdr:to>
      <xdr:col>11</xdr:col>
      <xdr:colOff>692728</xdr:colOff>
      <xdr:row>18</xdr:row>
      <xdr:rowOff>139793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>
          <a:stCxn id="41" idx="3"/>
          <a:endCxn id="51" idx="1"/>
        </xdr:cNvCxnSpPr>
      </xdr:nvCxnSpPr>
      <xdr:spPr>
        <a:xfrm flipV="1">
          <a:off x="6715002" y="2962583"/>
          <a:ext cx="1130135" cy="502301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692728</xdr:colOff>
      <xdr:row>14</xdr:row>
      <xdr:rowOff>17317</xdr:rowOff>
    </xdr:from>
    <xdr:to>
      <xdr:col>14</xdr:col>
      <xdr:colOff>385208</xdr:colOff>
      <xdr:row>18</xdr:row>
      <xdr:rowOff>19667</xdr:rowOff>
    </xdr:to>
    <xdr:sp macro="" textlink="">
      <xdr:nvSpPr>
        <xdr:cNvPr id="51" name="Rectangle: Rounded Corners 5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7845137" y="2580408"/>
          <a:ext cx="1822616" cy="76435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7 - LIVRAISONS CLIENTS</a:t>
          </a:r>
        </a:p>
      </xdr:txBody>
    </xdr:sp>
    <xdr:clientData/>
  </xdr:twoCellAnchor>
  <xdr:twoCellAnchor>
    <xdr:from>
      <xdr:col>10</xdr:col>
      <xdr:colOff>277440</xdr:colOff>
      <xdr:row>13</xdr:row>
      <xdr:rowOff>66956</xdr:rowOff>
    </xdr:from>
    <xdr:to>
      <xdr:col>11</xdr:col>
      <xdr:colOff>692728</xdr:colOff>
      <xdr:row>16</xdr:row>
      <xdr:rowOff>18492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>
          <a:stCxn id="34" idx="3"/>
          <a:endCxn id="51" idx="1"/>
        </xdr:cNvCxnSpPr>
      </xdr:nvCxnSpPr>
      <xdr:spPr>
        <a:xfrm>
          <a:off x="6719804" y="2439547"/>
          <a:ext cx="1125333" cy="523036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710044</xdr:colOff>
      <xdr:row>22</xdr:row>
      <xdr:rowOff>51952</xdr:rowOff>
    </xdr:from>
    <xdr:to>
      <xdr:col>14</xdr:col>
      <xdr:colOff>402524</xdr:colOff>
      <xdr:row>26</xdr:row>
      <xdr:rowOff>54302</xdr:rowOff>
    </xdr:to>
    <xdr:sp macro="" textlink="">
      <xdr:nvSpPr>
        <xdr:cNvPr id="58" name="Rectangle: Rounded Corners 5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7862453" y="4139043"/>
          <a:ext cx="1822616" cy="76435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8 - PRODUCTION</a:t>
          </a:r>
        </a:p>
      </xdr:txBody>
    </xdr:sp>
    <xdr:clientData/>
  </xdr:twoCellAnchor>
  <xdr:twoCellAnchor>
    <xdr:from>
      <xdr:col>3</xdr:col>
      <xdr:colOff>33621</xdr:colOff>
      <xdr:row>47</xdr:row>
      <xdr:rowOff>151865</xdr:rowOff>
    </xdr:from>
    <xdr:to>
      <xdr:col>6</xdr:col>
      <xdr:colOff>336179</xdr:colOff>
      <xdr:row>50</xdr:row>
      <xdr:rowOff>36633</xdr:rowOff>
    </xdr:to>
    <xdr:sp macro="" textlink="">
      <xdr:nvSpPr>
        <xdr:cNvPr id="59" name="Left Brac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 rot="16200000">
          <a:off x="2562133" y="7305235"/>
          <a:ext cx="355415" cy="2454088"/>
        </a:xfrm>
        <a:prstGeom prst="leftBrace">
          <a:avLst>
            <a:gd name="adj1" fmla="val 87156"/>
            <a:gd name="adj2" fmla="val 50000"/>
          </a:avLst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346364</xdr:colOff>
      <xdr:row>51</xdr:row>
      <xdr:rowOff>121227</xdr:rowOff>
    </xdr:from>
    <xdr:to>
      <xdr:col>6</xdr:col>
      <xdr:colOff>38843</xdr:colOff>
      <xdr:row>56</xdr:row>
      <xdr:rowOff>106259</xdr:rowOff>
    </xdr:to>
    <xdr:sp macro="" textlink="">
      <xdr:nvSpPr>
        <xdr:cNvPr id="60" name="Rectangle: Rounded Corners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818409" y="8936182"/>
          <a:ext cx="1822616" cy="76435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accent1"/>
              </a:solidFill>
            </a:rPr>
            <a:t>DONNÉES</a:t>
          </a:r>
        </a:p>
        <a:p>
          <a:pPr algn="ctr"/>
          <a:r>
            <a:rPr lang="fr-FR" sz="1800" b="1">
              <a:solidFill>
                <a:schemeClr val="accent1"/>
              </a:solidFill>
            </a:rPr>
            <a:t>(INPUT)</a:t>
          </a:r>
        </a:p>
      </xdr:txBody>
    </xdr:sp>
    <xdr:clientData/>
  </xdr:twoCellAnchor>
  <xdr:twoCellAnchor>
    <xdr:from>
      <xdr:col>7</xdr:col>
      <xdr:colOff>120069</xdr:colOff>
      <xdr:row>47</xdr:row>
      <xdr:rowOff>138545</xdr:rowOff>
    </xdr:from>
    <xdr:to>
      <xdr:col>10</xdr:col>
      <xdr:colOff>414634</xdr:colOff>
      <xdr:row>50</xdr:row>
      <xdr:rowOff>23313</xdr:rowOff>
    </xdr:to>
    <xdr:sp macro="" textlink="">
      <xdr:nvSpPr>
        <xdr:cNvPr id="61" name="Left Brac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 rot="16200000">
          <a:off x="5468467" y="7293874"/>
          <a:ext cx="352359" cy="2424702"/>
        </a:xfrm>
        <a:prstGeom prst="leftBrace">
          <a:avLst>
            <a:gd name="adj1" fmla="val 87156"/>
            <a:gd name="adj2" fmla="val 50000"/>
          </a:avLst>
        </a:prstGeom>
        <a:ln w="38100">
          <a:solidFill>
            <a:schemeClr val="bg1">
              <a:lumMod val="50000"/>
            </a:schemeClr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179892</xdr:colOff>
      <xdr:row>51</xdr:row>
      <xdr:rowOff>107907</xdr:rowOff>
    </xdr:from>
    <xdr:to>
      <xdr:col>10</xdr:col>
      <xdr:colOff>366156</xdr:colOff>
      <xdr:row>56</xdr:row>
      <xdr:rowOff>92939</xdr:rowOff>
    </xdr:to>
    <xdr:sp macro="" textlink="">
      <xdr:nvSpPr>
        <xdr:cNvPr id="62" name="Rectangle: Rounded Corners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492119" y="8922862"/>
          <a:ext cx="2316401" cy="76435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50000"/>
                </a:schemeClr>
              </a:solidFill>
            </a:rPr>
            <a:t>CALCULS AUTOMATIQUES</a:t>
          </a:r>
        </a:p>
      </xdr:txBody>
    </xdr:sp>
    <xdr:clientData/>
  </xdr:twoCellAnchor>
  <xdr:twoCellAnchor>
    <xdr:from>
      <xdr:col>11</xdr:col>
      <xdr:colOff>227137</xdr:colOff>
      <xdr:row>47</xdr:row>
      <xdr:rowOff>139211</xdr:rowOff>
    </xdr:from>
    <xdr:to>
      <xdr:col>14</xdr:col>
      <xdr:colOff>518038</xdr:colOff>
      <xdr:row>50</xdr:row>
      <xdr:rowOff>29475</xdr:rowOff>
    </xdr:to>
    <xdr:sp macro="" textlink="">
      <xdr:nvSpPr>
        <xdr:cNvPr id="63" name="Left Brac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 rot="16200000">
          <a:off x="8411137" y="7299120"/>
          <a:ext cx="357855" cy="2421037"/>
        </a:xfrm>
        <a:prstGeom prst="leftBrace">
          <a:avLst>
            <a:gd name="adj1" fmla="val 87156"/>
            <a:gd name="adj2" fmla="val 50000"/>
          </a:avLst>
        </a:prstGeom>
        <a:ln w="38100">
          <a:solidFill>
            <a:srgbClr val="00B05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291290</xdr:colOff>
      <xdr:row>51</xdr:row>
      <xdr:rowOff>114069</xdr:rowOff>
    </xdr:from>
    <xdr:to>
      <xdr:col>14</xdr:col>
      <xdr:colOff>469560</xdr:colOff>
      <xdr:row>56</xdr:row>
      <xdr:rowOff>99101</xdr:rowOff>
    </xdr:to>
    <xdr:sp macro="" textlink="">
      <xdr:nvSpPr>
        <xdr:cNvPr id="64" name="Rectangle: Rounded Corners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7443699" y="8929024"/>
          <a:ext cx="2308406" cy="76435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B050"/>
              </a:solidFill>
            </a:rPr>
            <a:t>RÉSULTATS</a:t>
          </a:r>
        </a:p>
        <a:p>
          <a:pPr algn="ctr"/>
          <a:r>
            <a:rPr lang="fr-FR" sz="1800" b="1">
              <a:solidFill>
                <a:srgbClr val="00B050"/>
              </a:solidFill>
            </a:rPr>
            <a:t>(OUTPUT)</a:t>
          </a:r>
        </a:p>
      </xdr:txBody>
    </xdr:sp>
    <xdr:clientData/>
  </xdr:twoCellAnchor>
  <xdr:twoCellAnchor>
    <xdr:from>
      <xdr:col>6</xdr:col>
      <xdr:colOff>53068</xdr:colOff>
      <xdr:row>24</xdr:row>
      <xdr:rowOff>46264</xdr:rowOff>
    </xdr:from>
    <xdr:to>
      <xdr:col>11</xdr:col>
      <xdr:colOff>710044</xdr:colOff>
      <xdr:row>24</xdr:row>
      <xdr:rowOff>53127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>
          <a:stCxn id="12" idx="3"/>
          <a:endCxn id="58" idx="1"/>
        </xdr:cNvCxnSpPr>
      </xdr:nvCxnSpPr>
      <xdr:spPr>
        <a:xfrm>
          <a:off x="3655250" y="4514355"/>
          <a:ext cx="4207203" cy="6863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272638</xdr:colOff>
      <xdr:row>18</xdr:row>
      <xdr:rowOff>139793</xdr:rowOff>
    </xdr:from>
    <xdr:to>
      <xdr:col>11</xdr:col>
      <xdr:colOff>710044</xdr:colOff>
      <xdr:row>24</xdr:row>
      <xdr:rowOff>53127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CxnSpPr>
          <a:stCxn id="41" idx="3"/>
          <a:endCxn id="58" idx="1"/>
        </xdr:cNvCxnSpPr>
      </xdr:nvCxnSpPr>
      <xdr:spPr>
        <a:xfrm>
          <a:off x="6715002" y="3464884"/>
          <a:ext cx="1147451" cy="1056334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658090</xdr:colOff>
      <xdr:row>31</xdr:row>
      <xdr:rowOff>34638</xdr:rowOff>
    </xdr:from>
    <xdr:to>
      <xdr:col>14</xdr:col>
      <xdr:colOff>350570</xdr:colOff>
      <xdr:row>36</xdr:row>
      <xdr:rowOff>19670</xdr:rowOff>
    </xdr:to>
    <xdr:sp macro="" textlink="">
      <xdr:nvSpPr>
        <xdr:cNvPr id="76" name="Rectangle: Rounded Corners 7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7810499" y="5732320"/>
          <a:ext cx="1822616" cy="76435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9 - CHARGE DE TRAVAIL</a:t>
          </a:r>
        </a:p>
      </xdr:txBody>
    </xdr:sp>
    <xdr:clientData/>
  </xdr:twoCellAnchor>
  <xdr:twoCellAnchor>
    <xdr:from>
      <xdr:col>7</xdr:col>
      <xdr:colOff>588819</xdr:colOff>
      <xdr:row>26</xdr:row>
      <xdr:rowOff>121228</xdr:rowOff>
    </xdr:from>
    <xdr:to>
      <xdr:col>10</xdr:col>
      <xdr:colOff>292430</xdr:colOff>
      <xdr:row>31</xdr:row>
      <xdr:rowOff>42080</xdr:rowOff>
    </xdr:to>
    <xdr:sp macro="" textlink="">
      <xdr:nvSpPr>
        <xdr:cNvPr id="77" name="Rectangle: Rounded Corners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901046" y="4970319"/>
          <a:ext cx="1833748" cy="769443"/>
        </a:xfrm>
        <a:prstGeom prst="round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8A - TEMPS DE PRODUCTION</a:t>
          </a:r>
        </a:p>
      </xdr:txBody>
    </xdr:sp>
    <xdr:clientData/>
  </xdr:twoCellAnchor>
  <xdr:twoCellAnchor>
    <xdr:from>
      <xdr:col>10</xdr:col>
      <xdr:colOff>292430</xdr:colOff>
      <xdr:row>24</xdr:row>
      <xdr:rowOff>53127</xdr:rowOff>
    </xdr:from>
    <xdr:to>
      <xdr:col>11</xdr:col>
      <xdr:colOff>710044</xdr:colOff>
      <xdr:row>28</xdr:row>
      <xdr:rowOff>124950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>
          <a:stCxn id="58" idx="1"/>
          <a:endCxn id="77" idx="3"/>
        </xdr:cNvCxnSpPr>
      </xdr:nvCxnSpPr>
      <xdr:spPr>
        <a:xfrm flipH="1">
          <a:off x="6734794" y="4521218"/>
          <a:ext cx="1127659" cy="833823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46266</xdr:colOff>
      <xdr:row>28</xdr:row>
      <xdr:rowOff>124950</xdr:rowOff>
    </xdr:from>
    <xdr:to>
      <xdr:col>7</xdr:col>
      <xdr:colOff>588819</xdr:colOff>
      <xdr:row>29</xdr:row>
      <xdr:rowOff>150421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CxnSpPr>
          <a:stCxn id="14" idx="3"/>
          <a:endCxn id="77" idx="1"/>
        </xdr:cNvCxnSpPr>
      </xdr:nvCxnSpPr>
      <xdr:spPr>
        <a:xfrm flipV="1">
          <a:off x="3648448" y="5355041"/>
          <a:ext cx="1252598" cy="18133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292430</xdr:colOff>
      <xdr:row>28</xdr:row>
      <xdr:rowOff>124950</xdr:rowOff>
    </xdr:from>
    <xdr:to>
      <xdr:col>11</xdr:col>
      <xdr:colOff>658090</xdr:colOff>
      <xdr:row>33</xdr:row>
      <xdr:rowOff>105086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CxnSpPr>
          <a:stCxn id="77" idx="3"/>
          <a:endCxn id="76" idx="1"/>
        </xdr:cNvCxnSpPr>
      </xdr:nvCxnSpPr>
      <xdr:spPr>
        <a:xfrm>
          <a:off x="6734794" y="5355041"/>
          <a:ext cx="1075705" cy="759454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286244</xdr:colOff>
      <xdr:row>33</xdr:row>
      <xdr:rowOff>105086</xdr:rowOff>
    </xdr:from>
    <xdr:to>
      <xdr:col>11</xdr:col>
      <xdr:colOff>658090</xdr:colOff>
      <xdr:row>36</xdr:row>
      <xdr:rowOff>46362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CxnSpPr>
          <a:stCxn id="24" idx="3"/>
          <a:endCxn id="76" idx="1"/>
        </xdr:cNvCxnSpPr>
      </xdr:nvCxnSpPr>
      <xdr:spPr>
        <a:xfrm flipV="1">
          <a:off x="6728608" y="6114495"/>
          <a:ext cx="1081891" cy="408867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259080</xdr:colOff>
          <xdr:row>4</xdr:row>
          <xdr:rowOff>38100</xdr:rowOff>
        </xdr:from>
        <xdr:to>
          <xdr:col>1</xdr:col>
          <xdr:colOff>1226820</xdr:colOff>
          <xdr:row>4</xdr:row>
          <xdr:rowOff>289560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2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Perlite Agricole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4</xdr:row>
          <xdr:rowOff>45720</xdr:rowOff>
        </xdr:from>
        <xdr:to>
          <xdr:col>2</xdr:col>
          <xdr:colOff>1714500</xdr:colOff>
          <xdr:row>4</xdr:row>
          <xdr:rowOff>297180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2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Perlite Construction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1866900</xdr:colOff>
          <xdr:row>4</xdr:row>
          <xdr:rowOff>30480</xdr:rowOff>
        </xdr:from>
        <xdr:to>
          <xdr:col>4</xdr:col>
          <xdr:colOff>563880</xdr:colOff>
          <xdr:row>4</xdr:row>
          <xdr:rowOff>297180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2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Perlite Filtration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632460</xdr:colOff>
          <xdr:row>4</xdr:row>
          <xdr:rowOff>30480</xdr:rowOff>
        </xdr:from>
        <xdr:to>
          <xdr:col>4</xdr:col>
          <xdr:colOff>1554480</xdr:colOff>
          <xdr:row>5</xdr:row>
          <xdr:rowOff>30480</xdr:rowOff>
        </xdr:to>
        <xdr:sp macro="" textlink="">
          <xdr:nvSpPr>
            <xdr:cNvPr id="15391" name="Button 31" hidden="1">
              <a:extLst>
                <a:ext uri="{63B3BB69-23CF-44E3-9099-C40C66FF867C}">
                  <a14:compatExt spid="_x0000_s15391"/>
                </a:ext>
                <a:ext uri="{FF2B5EF4-FFF2-40B4-BE49-F238E27FC236}">
                  <a16:creationId xmlns:a16="http://schemas.microsoft.com/office/drawing/2014/main" id="{00000000-0008-0000-0200-00001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PFF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320041</xdr:colOff>
      <xdr:row>6</xdr:row>
      <xdr:rowOff>166686</xdr:rowOff>
    </xdr:from>
    <xdr:to>
      <xdr:col>23</xdr:col>
      <xdr:colOff>220980</xdr:colOff>
      <xdr:row>27</xdr:row>
      <xdr:rowOff>32384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430822</xdr:colOff>
      <xdr:row>6</xdr:row>
      <xdr:rowOff>17585</xdr:rowOff>
    </xdr:from>
    <xdr:to>
      <xdr:col>14</xdr:col>
      <xdr:colOff>193429</xdr:colOff>
      <xdr:row>13</xdr:row>
      <xdr:rowOff>155330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18</xdr:row>
      <xdr:rowOff>85725</xdr:rowOff>
    </xdr:from>
    <xdr:to>
      <xdr:col>8</xdr:col>
      <xdr:colOff>47625</xdr:colOff>
      <xdr:row>31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3</xdr:row>
      <xdr:rowOff>152400</xdr:rowOff>
    </xdr:from>
    <xdr:to>
      <xdr:col>10</xdr:col>
      <xdr:colOff>0</xdr:colOff>
      <xdr:row>17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Quennoy" refreshedDate="44192.467182060187" createdVersion="6" refreshedVersion="6" minRefreshableVersion="3" recordCount="100" xr:uid="{00000000-000A-0000-FFFF-FFFF00000000}">
  <cacheSource type="worksheet">
    <worksheetSource ref="B5:F105" sheet="2 - Commandes clients"/>
  </cacheSource>
  <cacheFields count="5">
    <cacheField name="Client" numFmtId="0">
      <sharedItems containsBlank="1" count="8">
        <s v="OutSport"/>
        <s v="Triathlon"/>
        <s v="Sport3000"/>
        <s v="ALaMontagne"/>
        <s v="SuperT"/>
        <s v="Esprit vélo"/>
        <s v="Culture Gran Fonfo"/>
        <m/>
      </sharedItems>
    </cacheField>
    <cacheField name="Code produit" numFmtId="0">
      <sharedItems containsBlank="1" count="5">
        <s v="R05"/>
        <s v="M18"/>
        <s v="V42"/>
        <s v="E01"/>
        <m/>
      </sharedItems>
    </cacheField>
    <cacheField name="Description produit" numFmtId="0">
      <sharedItems count="5">
        <s v="Vélo route"/>
        <s v="Vélo montagne"/>
        <s v="Vélo ville"/>
        <s v="Vélo électrique"/>
        <e v="#N/A"/>
      </sharedItems>
    </cacheField>
    <cacheField name="Quantité" numFmtId="0">
      <sharedItems containsString="0" containsBlank="1" containsNumber="1" containsInteger="1" minValue="8" maxValue="410" count="32">
        <n v="58"/>
        <n v="80"/>
        <n v="84"/>
        <n v="60"/>
        <n v="220"/>
        <n v="10"/>
        <n v="340"/>
        <n v="180"/>
        <n v="100"/>
        <n v="55"/>
        <n v="200"/>
        <n v="120"/>
        <n v="12"/>
        <n v="64"/>
        <n v="24"/>
        <n v="45"/>
        <n v="8"/>
        <n v="410"/>
        <n v="185"/>
        <n v="85"/>
        <n v="15"/>
        <n v="20"/>
        <n v="94"/>
        <n v="30"/>
        <n v="75"/>
        <n v="16"/>
        <n v="140"/>
        <n v="50"/>
        <n v="62"/>
        <n v="255"/>
        <n v="25"/>
        <m/>
      </sharedItems>
    </cacheField>
    <cacheField name="Date envoi" numFmtId="14">
      <sharedItems containsNonDate="0" containsDate="1" containsString="0" containsBlank="1" minDate="2021-06-01T00:00:00" maxDate="2021-07-01T00:00:00" count="24"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3T00:00:00"/>
        <d v="2021-06-24T00:00:00"/>
        <d v="2021-06-25T00:00:00"/>
        <d v="2021-06-28T00:00:00"/>
        <d v="2021-06-29T00:00:00"/>
        <d v="2021-06-30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x v="0"/>
    <x v="0"/>
    <x v="0"/>
    <x v="0"/>
    <x v="0"/>
  </r>
  <r>
    <x v="0"/>
    <x v="1"/>
    <x v="1"/>
    <x v="1"/>
    <x v="0"/>
  </r>
  <r>
    <x v="1"/>
    <x v="0"/>
    <x v="0"/>
    <x v="2"/>
    <x v="0"/>
  </r>
  <r>
    <x v="2"/>
    <x v="0"/>
    <x v="0"/>
    <x v="3"/>
    <x v="1"/>
  </r>
  <r>
    <x v="2"/>
    <x v="1"/>
    <x v="1"/>
    <x v="4"/>
    <x v="1"/>
  </r>
  <r>
    <x v="3"/>
    <x v="1"/>
    <x v="1"/>
    <x v="5"/>
    <x v="2"/>
  </r>
  <r>
    <x v="4"/>
    <x v="2"/>
    <x v="2"/>
    <x v="6"/>
    <x v="2"/>
  </r>
  <r>
    <x v="5"/>
    <x v="3"/>
    <x v="3"/>
    <x v="7"/>
    <x v="3"/>
  </r>
  <r>
    <x v="5"/>
    <x v="2"/>
    <x v="2"/>
    <x v="8"/>
    <x v="4"/>
  </r>
  <r>
    <x v="6"/>
    <x v="0"/>
    <x v="0"/>
    <x v="1"/>
    <x v="4"/>
  </r>
  <r>
    <x v="6"/>
    <x v="2"/>
    <x v="2"/>
    <x v="9"/>
    <x v="5"/>
  </r>
  <r>
    <x v="2"/>
    <x v="3"/>
    <x v="3"/>
    <x v="10"/>
    <x v="5"/>
  </r>
  <r>
    <x v="2"/>
    <x v="3"/>
    <x v="3"/>
    <x v="11"/>
    <x v="6"/>
  </r>
  <r>
    <x v="2"/>
    <x v="1"/>
    <x v="1"/>
    <x v="7"/>
    <x v="7"/>
  </r>
  <r>
    <x v="3"/>
    <x v="1"/>
    <x v="1"/>
    <x v="12"/>
    <x v="7"/>
  </r>
  <r>
    <x v="5"/>
    <x v="2"/>
    <x v="2"/>
    <x v="1"/>
    <x v="7"/>
  </r>
  <r>
    <x v="1"/>
    <x v="0"/>
    <x v="0"/>
    <x v="13"/>
    <x v="8"/>
  </r>
  <r>
    <x v="2"/>
    <x v="3"/>
    <x v="3"/>
    <x v="10"/>
    <x v="9"/>
  </r>
  <r>
    <x v="0"/>
    <x v="0"/>
    <x v="0"/>
    <x v="14"/>
    <x v="10"/>
  </r>
  <r>
    <x v="6"/>
    <x v="0"/>
    <x v="0"/>
    <x v="3"/>
    <x v="11"/>
  </r>
  <r>
    <x v="6"/>
    <x v="2"/>
    <x v="2"/>
    <x v="15"/>
    <x v="11"/>
  </r>
  <r>
    <x v="3"/>
    <x v="1"/>
    <x v="1"/>
    <x v="16"/>
    <x v="11"/>
  </r>
  <r>
    <x v="4"/>
    <x v="2"/>
    <x v="2"/>
    <x v="17"/>
    <x v="12"/>
  </r>
  <r>
    <x v="6"/>
    <x v="2"/>
    <x v="2"/>
    <x v="5"/>
    <x v="12"/>
  </r>
  <r>
    <x v="2"/>
    <x v="3"/>
    <x v="3"/>
    <x v="8"/>
    <x v="13"/>
  </r>
  <r>
    <x v="2"/>
    <x v="1"/>
    <x v="1"/>
    <x v="18"/>
    <x v="13"/>
  </r>
  <r>
    <x v="0"/>
    <x v="1"/>
    <x v="1"/>
    <x v="19"/>
    <x v="14"/>
  </r>
  <r>
    <x v="3"/>
    <x v="1"/>
    <x v="1"/>
    <x v="20"/>
    <x v="14"/>
  </r>
  <r>
    <x v="1"/>
    <x v="1"/>
    <x v="1"/>
    <x v="21"/>
    <x v="15"/>
  </r>
  <r>
    <x v="1"/>
    <x v="0"/>
    <x v="0"/>
    <x v="22"/>
    <x v="15"/>
  </r>
  <r>
    <x v="2"/>
    <x v="0"/>
    <x v="0"/>
    <x v="15"/>
    <x v="16"/>
  </r>
  <r>
    <x v="2"/>
    <x v="1"/>
    <x v="1"/>
    <x v="7"/>
    <x v="16"/>
  </r>
  <r>
    <x v="5"/>
    <x v="3"/>
    <x v="3"/>
    <x v="19"/>
    <x v="17"/>
  </r>
  <r>
    <x v="0"/>
    <x v="0"/>
    <x v="0"/>
    <x v="23"/>
    <x v="17"/>
  </r>
  <r>
    <x v="0"/>
    <x v="1"/>
    <x v="1"/>
    <x v="24"/>
    <x v="17"/>
  </r>
  <r>
    <x v="6"/>
    <x v="0"/>
    <x v="0"/>
    <x v="1"/>
    <x v="18"/>
  </r>
  <r>
    <x v="6"/>
    <x v="2"/>
    <x v="2"/>
    <x v="9"/>
    <x v="18"/>
  </r>
  <r>
    <x v="3"/>
    <x v="1"/>
    <x v="1"/>
    <x v="25"/>
    <x v="19"/>
  </r>
  <r>
    <x v="1"/>
    <x v="0"/>
    <x v="0"/>
    <x v="26"/>
    <x v="19"/>
  </r>
  <r>
    <x v="2"/>
    <x v="0"/>
    <x v="0"/>
    <x v="27"/>
    <x v="19"/>
  </r>
  <r>
    <x v="2"/>
    <x v="1"/>
    <x v="1"/>
    <x v="19"/>
    <x v="19"/>
  </r>
  <r>
    <x v="5"/>
    <x v="2"/>
    <x v="2"/>
    <x v="28"/>
    <x v="20"/>
  </r>
  <r>
    <x v="4"/>
    <x v="2"/>
    <x v="2"/>
    <x v="29"/>
    <x v="20"/>
  </r>
  <r>
    <x v="1"/>
    <x v="1"/>
    <x v="1"/>
    <x v="30"/>
    <x v="21"/>
  </r>
  <r>
    <x v="1"/>
    <x v="0"/>
    <x v="0"/>
    <x v="1"/>
    <x v="21"/>
  </r>
  <r>
    <x v="5"/>
    <x v="2"/>
    <x v="2"/>
    <x v="21"/>
    <x v="21"/>
  </r>
  <r>
    <x v="1"/>
    <x v="0"/>
    <x v="0"/>
    <x v="9"/>
    <x v="22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  <r>
    <x v="7"/>
    <x v="4"/>
    <x v="4"/>
    <x v="3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Commandes clients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6" indent="0" compact="0" compactData="0" multipleFieldFilters="0" chartFormat="8" rowHeaderCaption="Client" colHeaderCaption="Date d'envoi">
  <location ref="B5:AT33" firstHeaderRow="1" firstDataRow="5" firstDataCol="1"/>
  <pivotFields count="5">
    <pivotField axis="axisCol" compact="0" outline="0" showAll="0" defaultSubtotal="0">
      <items count="8">
        <item x="3"/>
        <item x="6"/>
        <item x="5"/>
        <item x="0"/>
        <item x="2"/>
        <item x="4"/>
        <item x="1"/>
        <item x="7"/>
      </items>
    </pivotField>
    <pivotField axis="axisCol" compact="0" outline="0" showAll="0" defaultSubtotal="0">
      <items count="5">
        <item x="3"/>
        <item x="1"/>
        <item x="0"/>
        <item x="2"/>
        <item x="4"/>
      </items>
    </pivotField>
    <pivotField axis="axisCol" compact="0" outline="0" showAll="0" defaultSubtotal="0">
      <items count="5">
        <item x="3"/>
        <item x="1"/>
        <item x="0"/>
        <item x="2"/>
        <item x="4"/>
      </items>
    </pivotField>
    <pivotField axis="axisCol" dataField="1" compact="0" outline="0" showAll="0" defaultSubtotal="0">
      <items count="32">
        <item x="16"/>
        <item x="5"/>
        <item x="12"/>
        <item x="20"/>
        <item x="25"/>
        <item x="21"/>
        <item x="14"/>
        <item x="30"/>
        <item x="23"/>
        <item x="15"/>
        <item x="27"/>
        <item x="9"/>
        <item x="0"/>
        <item x="3"/>
        <item x="28"/>
        <item x="13"/>
        <item x="24"/>
        <item x="1"/>
        <item x="2"/>
        <item x="19"/>
        <item x="22"/>
        <item x="8"/>
        <item x="11"/>
        <item x="26"/>
        <item x="7"/>
        <item x="18"/>
        <item x="10"/>
        <item x="4"/>
        <item x="29"/>
        <item x="6"/>
        <item x="17"/>
        <item x="31"/>
      </items>
    </pivotField>
    <pivotField axis="axisRow" compact="0" outline="0" showAll="0" defaultSubtota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h="1" x="23"/>
      </items>
    </pivotField>
  </pivotFields>
  <rowFields count="1">
    <field x="4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4">
    <field x="0"/>
    <field x="1"/>
    <field x="2"/>
    <field x="3"/>
  </colFields>
  <colItems count="44">
    <i>
      <x/>
      <x v="1"/>
      <x v="1"/>
      <x/>
    </i>
    <i r="3">
      <x v="1"/>
    </i>
    <i r="3">
      <x v="2"/>
    </i>
    <i r="3">
      <x v="3"/>
    </i>
    <i r="3">
      <x v="4"/>
    </i>
    <i>
      <x v="1"/>
      <x v="2"/>
      <x v="2"/>
      <x v="13"/>
    </i>
    <i r="3">
      <x v="17"/>
    </i>
    <i r="1">
      <x v="3"/>
      <x v="3"/>
      <x v="1"/>
    </i>
    <i r="3">
      <x v="9"/>
    </i>
    <i r="3">
      <x v="11"/>
    </i>
    <i>
      <x v="2"/>
      <x/>
      <x/>
      <x v="19"/>
    </i>
    <i r="3">
      <x v="24"/>
    </i>
    <i r="1">
      <x v="3"/>
      <x v="3"/>
      <x v="5"/>
    </i>
    <i r="3">
      <x v="14"/>
    </i>
    <i r="3">
      <x v="17"/>
    </i>
    <i r="3">
      <x v="21"/>
    </i>
    <i>
      <x v="3"/>
      <x v="1"/>
      <x v="1"/>
      <x v="16"/>
    </i>
    <i r="3">
      <x v="17"/>
    </i>
    <i r="3">
      <x v="19"/>
    </i>
    <i r="1">
      <x v="2"/>
      <x v="2"/>
      <x v="6"/>
    </i>
    <i r="3">
      <x v="8"/>
    </i>
    <i r="3">
      <x v="12"/>
    </i>
    <i>
      <x v="4"/>
      <x/>
      <x/>
      <x v="21"/>
    </i>
    <i r="3">
      <x v="22"/>
    </i>
    <i r="3">
      <x v="26"/>
    </i>
    <i r="1">
      <x v="1"/>
      <x v="1"/>
      <x v="19"/>
    </i>
    <i r="3">
      <x v="24"/>
    </i>
    <i r="3">
      <x v="25"/>
    </i>
    <i r="3">
      <x v="27"/>
    </i>
    <i r="1">
      <x v="2"/>
      <x v="2"/>
      <x v="9"/>
    </i>
    <i r="3">
      <x v="10"/>
    </i>
    <i r="3">
      <x v="13"/>
    </i>
    <i>
      <x v="5"/>
      <x v="3"/>
      <x v="3"/>
      <x v="28"/>
    </i>
    <i r="3">
      <x v="29"/>
    </i>
    <i r="3">
      <x v="30"/>
    </i>
    <i>
      <x v="6"/>
      <x v="1"/>
      <x v="1"/>
      <x v="5"/>
    </i>
    <i r="3">
      <x v="7"/>
    </i>
    <i r="1">
      <x v="2"/>
      <x v="2"/>
      <x v="11"/>
    </i>
    <i r="3">
      <x v="15"/>
    </i>
    <i r="3">
      <x v="17"/>
    </i>
    <i r="3">
      <x v="18"/>
    </i>
    <i r="3">
      <x v="20"/>
    </i>
    <i r="3">
      <x v="23"/>
    </i>
    <i t="grand">
      <x/>
    </i>
  </colItems>
  <dataFields count="1">
    <dataField name="Commandes" fld="3" baseField="0" baseItem="0"/>
  </dataFields>
  <formats count="125">
    <format dxfId="136">
      <pivotArea dataOnly="0" labelOnly="1" fieldPosition="0">
        <references count="1">
          <reference field="4" count="0"/>
        </references>
      </pivotArea>
    </format>
    <format dxfId="135">
      <pivotArea dataOnly="0" labelOnly="1" grandCol="1" outline="0" fieldPosition="0"/>
    </format>
    <format dxfId="134">
      <pivotArea dataOnly="0" labelOnly="1" fieldPosition="0">
        <references count="1">
          <reference field="4" count="0"/>
        </references>
      </pivotArea>
    </format>
    <format dxfId="133">
      <pivotArea dataOnly="0" labelOnly="1" grandCol="1" outline="0" fieldPosition="0"/>
    </format>
    <format dxfId="132">
      <pivotArea outline="0" fieldPosition="0">
        <references count="3">
          <reference field="0" count="7" selected="0">
            <x v="0"/>
            <x v="1"/>
            <x v="2"/>
            <x v="3"/>
            <x v="4"/>
            <x v="5"/>
            <x v="6"/>
          </reference>
          <reference field="1" count="4" selected="0">
            <x v="0"/>
            <x v="1"/>
            <x v="2"/>
            <x v="3"/>
          </reference>
          <reference field="2" count="4" selected="0">
            <x v="0"/>
            <x v="1"/>
            <x v="2"/>
            <x v="3"/>
          </reference>
        </references>
      </pivotArea>
    </format>
    <format dxfId="131">
      <pivotArea dataOnly="0" labelOnly="1" outline="0" fieldPosition="0">
        <references count="1">
          <reference field="0" count="7">
            <x v="0"/>
            <x v="1"/>
            <x v="2"/>
            <x v="3"/>
            <x v="4"/>
            <x v="5"/>
            <x v="6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1"/>
          </reference>
          <reference field="1" count="2">
            <x v="2"/>
            <x v="3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3"/>
          </reference>
          <reference field="1" count="2">
            <x v="1"/>
            <x v="2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4"/>
          </reference>
          <reference field="1" count="3">
            <x v="0"/>
            <x v="1"/>
            <x v="2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6"/>
          </reference>
          <reference field="1" count="2">
            <x v="1"/>
            <x v="2"/>
          </reference>
        </references>
      </pivotArea>
    </format>
    <format dxfId="12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1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1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1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1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10">
      <pivotArea dataOnly="0" labelOnly="1" outline="0" fieldPosition="0">
        <references count="1">
          <reference field="4" count="0"/>
        </references>
      </pivotArea>
    </format>
    <format dxfId="109">
      <pivotArea dataOnly="0" labelOnly="1" outline="0" fieldPosition="0">
        <references count="1">
          <reference field="0" count="7">
            <x v="0"/>
            <x v="1"/>
            <x v="2"/>
            <x v="3"/>
            <x v="4"/>
            <x v="5"/>
            <x v="6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1"/>
          </reference>
          <reference field="1" count="2">
            <x v="2"/>
            <x v="3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3"/>
          </reference>
          <reference field="1" count="2">
            <x v="1"/>
            <x v="2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4"/>
          </reference>
          <reference field="1" count="3">
            <x v="0"/>
            <x v="1"/>
            <x v="2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6"/>
          </reference>
          <reference field="1" count="2">
            <x v="1"/>
            <x v="2"/>
          </reference>
        </references>
      </pivotArea>
    </format>
    <format dxfId="10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0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9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9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9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9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8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88">
      <pivotArea outline="0" fieldPosition="0">
        <references count="3">
          <reference field="0" count="7" selected="0">
            <x v="0"/>
            <x v="1"/>
            <x v="2"/>
            <x v="3"/>
            <x v="4"/>
            <x v="5"/>
            <x v="6"/>
          </reference>
          <reference field="1" count="4" selected="0">
            <x v="0"/>
            <x v="1"/>
            <x v="2"/>
            <x v="3"/>
          </reference>
          <reference field="2" count="4" selected="0">
            <x v="0"/>
            <x v="1"/>
            <x v="2"/>
            <x v="3"/>
          </reference>
        </references>
      </pivotArea>
    </format>
    <format dxfId="87">
      <pivotArea field="0" type="button" dataOnly="0" labelOnly="1" outline="0" axis="axisCol" fieldPosition="0"/>
    </format>
    <format dxfId="86">
      <pivotArea field="1" type="button" dataOnly="0" labelOnly="1" outline="0" axis="axisCol" fieldPosition="1"/>
    </format>
    <format dxfId="85">
      <pivotArea field="2" type="button" dataOnly="0" labelOnly="1" outline="0" axis="axisCol" fieldPosition="2"/>
    </format>
    <format dxfId="84">
      <pivotArea type="topRight" dataOnly="0" labelOnly="1" outline="0" fieldPosition="0"/>
    </format>
    <format dxfId="83">
      <pivotArea outline="0" fieldPosition="0">
        <references count="3">
          <reference field="0" count="7" selected="0">
            <x v="0"/>
            <x v="1"/>
            <x v="2"/>
            <x v="3"/>
            <x v="4"/>
            <x v="5"/>
            <x v="6"/>
          </reference>
          <reference field="1" count="4" selected="0">
            <x v="0"/>
            <x v="1"/>
            <x v="2"/>
            <x v="3"/>
          </reference>
          <reference field="2" count="4" selected="0">
            <x v="0"/>
            <x v="1"/>
            <x v="2"/>
            <x v="3"/>
          </reference>
        </references>
      </pivotArea>
    </format>
    <format dxfId="82">
      <pivotArea field="0" type="button" dataOnly="0" labelOnly="1" outline="0" axis="axisCol" fieldPosition="0"/>
    </format>
    <format dxfId="81">
      <pivotArea field="1" type="button" dataOnly="0" labelOnly="1" outline="0" axis="axisCol" fieldPosition="1"/>
    </format>
    <format dxfId="80">
      <pivotArea field="2" type="button" dataOnly="0" labelOnly="1" outline="0" axis="axisCol" fieldPosition="2"/>
    </format>
    <format dxfId="79">
      <pivotArea type="topRight" dataOnly="0" labelOnly="1" outline="0" fieldPosition="0"/>
    </format>
    <format dxfId="78">
      <pivotArea outline="0" fieldPosition="0">
        <references count="1">
          <reference field="4" count="0" selected="0"/>
        </references>
      </pivotArea>
    </format>
    <format dxfId="77">
      <pivotArea dataOnly="0" labelOnly="1" outline="0" fieldPosition="0">
        <references count="1">
          <reference field="4" count="0"/>
        </references>
      </pivotArea>
    </format>
    <format dxfId="76">
      <pivotArea dataOnly="0" labelOnly="1" outline="0" fieldPosition="0">
        <references count="1">
          <reference field="0" count="7">
            <x v="0"/>
            <x v="1"/>
            <x v="2"/>
            <x v="3"/>
            <x v="4"/>
            <x v="5"/>
            <x v="6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1"/>
          </reference>
          <reference field="1" count="2">
            <x v="2"/>
            <x v="3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3"/>
          </reference>
          <reference field="1" count="2">
            <x v="1"/>
            <x v="2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4"/>
          </reference>
          <reference field="1" count="3">
            <x v="0"/>
            <x v="1"/>
            <x v="2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6"/>
          </reference>
          <reference field="1" count="2">
            <x v="1"/>
            <x v="2"/>
          </reference>
        </references>
      </pivotArea>
    </format>
    <format dxfId="6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6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6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5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5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5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55">
      <pivotArea dataOnly="0" labelOnly="1" outline="0" fieldPosition="0">
        <references count="1">
          <reference field="0" count="7">
            <x v="0"/>
            <x v="1"/>
            <x v="2"/>
            <x v="3"/>
            <x v="4"/>
            <x v="5"/>
            <x v="6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1"/>
          </reference>
          <reference field="1" count="2">
            <x v="2"/>
            <x v="3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3"/>
          </reference>
          <reference field="1" count="2">
            <x v="1"/>
            <x v="2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4"/>
          </reference>
          <reference field="1" count="3">
            <x v="0"/>
            <x v="1"/>
            <x v="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6"/>
          </reference>
          <reference field="1" count="2">
            <x v="1"/>
            <x v="2"/>
          </reference>
        </references>
      </pivotArea>
    </format>
    <format dxfId="4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4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4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3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3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4">
      <pivotArea dataOnly="0" labelOnly="1" outline="0" fieldPosition="0">
        <references count="1">
          <reference field="0" count="7">
            <x v="0"/>
            <x v="1"/>
            <x v="2"/>
            <x v="3"/>
            <x v="4"/>
            <x v="5"/>
            <x v="6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1"/>
          </reference>
          <reference field="1" count="2">
            <x v="2"/>
            <x v="3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3"/>
          </reference>
          <reference field="1" count="2">
            <x v="1"/>
            <x v="2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4"/>
          </reference>
          <reference field="1" count="3">
            <x v="0"/>
            <x v="1"/>
            <x v="2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6"/>
          </reference>
          <reference field="1" count="2">
            <x v="1"/>
            <x v="2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3">
      <pivotArea field="2" grandRow="1" outline="0" axis="axisCol" fieldPosition="2">
        <references count="3">
          <reference field="0" count="7" selected="0">
            <x v="0"/>
            <x v="1"/>
            <x v="2"/>
            <x v="3"/>
            <x v="4"/>
            <x v="5"/>
            <x v="6"/>
          </reference>
          <reference field="1" count="4" selected="0">
            <x v="0"/>
            <x v="1"/>
            <x v="2"/>
            <x v="3"/>
          </reference>
          <reference field="2" count="4" selected="0">
            <x v="0"/>
            <x v="1"/>
            <x v="2"/>
            <x v="3"/>
          </reference>
        </references>
      </pivotArea>
    </format>
    <format dxfId="12">
      <pivotArea field="2" grandRow="1" outline="0" axis="axisCol" fieldPosition="2">
        <references count="3">
          <reference field="0" count="7" selected="0">
            <x v="0"/>
            <x v="1"/>
            <x v="2"/>
            <x v="3"/>
            <x v="4"/>
            <x v="5"/>
            <x v="6"/>
          </reference>
          <reference field="1" count="4" selected="0">
            <x v="0"/>
            <x v="1"/>
            <x v="2"/>
            <x v="3"/>
          </reference>
          <reference field="2" count="4" selected="0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R57"/>
  <sheetViews>
    <sheetView showGridLines="0" showRowColHeaders="0" topLeftCell="A29" zoomScaleNormal="100" workbookViewId="0">
      <selection activeCell="D10" sqref="D10:G16"/>
    </sheetView>
  </sheetViews>
  <sheetFormatPr baseColWidth="10" defaultColWidth="9.109375" defaultRowHeight="13.2" x14ac:dyDescent="0.25"/>
  <cols>
    <col min="1" max="2" width="5.6640625" style="51" customWidth="1"/>
    <col min="3" max="17" width="10.6640625" style="51" customWidth="1"/>
    <col min="18" max="18" width="5.6640625" style="51" customWidth="1"/>
    <col min="19" max="20" width="10.6640625" style="51" customWidth="1"/>
    <col min="21" max="16384" width="9.109375" style="51"/>
  </cols>
  <sheetData>
    <row r="1" spans="2:18" ht="13.8" thickBot="1" x14ac:dyDescent="0.3"/>
    <row r="2" spans="2:18" ht="14.4" x14ac:dyDescent="0.3">
      <c r="B2" s="52"/>
      <c r="C2" s="53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5"/>
    </row>
    <row r="3" spans="2:18" ht="23.4" x14ac:dyDescent="0.45">
      <c r="B3" s="56"/>
      <c r="C3" s="282" t="s">
        <v>98</v>
      </c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57"/>
    </row>
    <row r="4" spans="2:18" ht="14.4" x14ac:dyDescent="0.3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7"/>
    </row>
    <row r="5" spans="2:18" ht="14.4" x14ac:dyDescent="0.3">
      <c r="B5" s="58"/>
      <c r="C5" s="63" t="s">
        <v>36</v>
      </c>
      <c r="D5" s="283" t="s">
        <v>120</v>
      </c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57"/>
    </row>
    <row r="6" spans="2:18" ht="14.4" x14ac:dyDescent="0.3">
      <c r="B6" s="58"/>
      <c r="C6" s="6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57"/>
    </row>
    <row r="7" spans="2:18" ht="14.4" x14ac:dyDescent="0.3">
      <c r="B7" s="58"/>
      <c r="C7" s="59"/>
      <c r="D7" s="59" t="s">
        <v>46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7"/>
    </row>
    <row r="8" spans="2:18" ht="14.4" x14ac:dyDescent="0.3">
      <c r="B8" s="58"/>
      <c r="C8" s="59"/>
      <c r="D8" s="59" t="s">
        <v>47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7"/>
    </row>
    <row r="9" spans="2:18" ht="14.4" x14ac:dyDescent="0.3">
      <c r="B9" s="58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7"/>
    </row>
    <row r="10" spans="2:18" ht="14.4" x14ac:dyDescent="0.3">
      <c r="B10" s="58"/>
      <c r="C10" s="63" t="s">
        <v>38</v>
      </c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7"/>
    </row>
    <row r="11" spans="2:18" ht="14.4" x14ac:dyDescent="0.3">
      <c r="B11" s="58"/>
      <c r="C11" s="60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7"/>
    </row>
    <row r="12" spans="2:18" ht="14.4" x14ac:dyDescent="0.3"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7"/>
    </row>
    <row r="13" spans="2:18" ht="14.4" x14ac:dyDescent="0.3">
      <c r="B13" s="58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7"/>
    </row>
    <row r="14" spans="2:18" ht="14.4" x14ac:dyDescent="0.3"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7"/>
    </row>
    <row r="15" spans="2:18" ht="14.4" x14ac:dyDescent="0.3">
      <c r="B15" s="58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7"/>
    </row>
    <row r="16" spans="2:18" ht="14.4" x14ac:dyDescent="0.3"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7"/>
    </row>
    <row r="17" spans="2:18" ht="14.4" x14ac:dyDescent="0.3"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7"/>
    </row>
    <row r="18" spans="2:18" ht="14.4" x14ac:dyDescent="0.3">
      <c r="B18" s="58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7"/>
    </row>
    <row r="19" spans="2:18" ht="14.4" x14ac:dyDescent="0.3">
      <c r="B19" s="58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7"/>
    </row>
    <row r="20" spans="2:18" ht="14.4" x14ac:dyDescent="0.3">
      <c r="B20" s="58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7"/>
    </row>
    <row r="21" spans="2:18" ht="14.4" x14ac:dyDescent="0.3">
      <c r="B21" s="58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7"/>
    </row>
    <row r="22" spans="2:18" ht="14.4" x14ac:dyDescent="0.3">
      <c r="B22" s="58"/>
      <c r="C22" s="59"/>
      <c r="D22" s="59"/>
      <c r="E22" s="59"/>
      <c r="F22" s="59"/>
      <c r="G22" s="59"/>
      <c r="H22" s="59"/>
      <c r="I22" s="59"/>
      <c r="K22" s="59"/>
      <c r="L22" s="59"/>
      <c r="M22" s="59"/>
      <c r="N22" s="59"/>
      <c r="O22" s="59"/>
      <c r="P22" s="59"/>
      <c r="Q22" s="59"/>
      <c r="R22" s="57"/>
    </row>
    <row r="23" spans="2:18" ht="14.4" x14ac:dyDescent="0.3"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7"/>
    </row>
    <row r="24" spans="2:18" ht="14.4" x14ac:dyDescent="0.3"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7"/>
    </row>
    <row r="25" spans="2:18" ht="14.4" x14ac:dyDescent="0.3"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7"/>
    </row>
    <row r="26" spans="2:18" ht="14.4" x14ac:dyDescent="0.3"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7"/>
    </row>
    <row r="27" spans="2:18" ht="14.4" x14ac:dyDescent="0.3">
      <c r="B27" s="58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7"/>
    </row>
    <row r="28" spans="2:18" ht="14.4" x14ac:dyDescent="0.3">
      <c r="B28" s="58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7"/>
    </row>
    <row r="29" spans="2:18" ht="14.4" x14ac:dyDescent="0.3">
      <c r="B29" s="58"/>
      <c r="R29" s="57"/>
    </row>
    <row r="30" spans="2:18" ht="14.4" x14ac:dyDescent="0.3">
      <c r="B30" s="58"/>
      <c r="R30" s="57"/>
    </row>
    <row r="31" spans="2:18" ht="14.4" x14ac:dyDescent="0.3">
      <c r="B31" s="58"/>
      <c r="R31" s="57"/>
    </row>
    <row r="32" spans="2:18" ht="14.4" x14ac:dyDescent="0.3">
      <c r="B32" s="58"/>
      <c r="R32" s="57"/>
    </row>
    <row r="33" spans="2:18" ht="14.4" x14ac:dyDescent="0.3">
      <c r="B33" s="58"/>
      <c r="R33" s="57"/>
    </row>
    <row r="34" spans="2:18" ht="14.4" x14ac:dyDescent="0.3">
      <c r="B34" s="58"/>
      <c r="R34" s="57"/>
    </row>
    <row r="35" spans="2:18" ht="14.4" x14ac:dyDescent="0.3">
      <c r="B35" s="58"/>
      <c r="R35" s="57"/>
    </row>
    <row r="36" spans="2:18" ht="14.4" x14ac:dyDescent="0.3">
      <c r="B36" s="58"/>
      <c r="R36" s="57"/>
    </row>
    <row r="37" spans="2:18" ht="14.4" x14ac:dyDescent="0.3">
      <c r="B37" s="58"/>
      <c r="R37" s="57"/>
    </row>
    <row r="38" spans="2:18" ht="14.4" x14ac:dyDescent="0.3">
      <c r="B38" s="58"/>
      <c r="R38" s="57"/>
    </row>
    <row r="39" spans="2:18" ht="14.4" x14ac:dyDescent="0.3">
      <c r="B39" s="58"/>
      <c r="R39" s="57"/>
    </row>
    <row r="40" spans="2:18" ht="14.4" x14ac:dyDescent="0.3">
      <c r="B40" s="58"/>
      <c r="R40" s="57"/>
    </row>
    <row r="41" spans="2:18" ht="14.4" x14ac:dyDescent="0.3">
      <c r="B41" s="58"/>
      <c r="R41" s="57"/>
    </row>
    <row r="42" spans="2:18" ht="14.4" x14ac:dyDescent="0.3">
      <c r="B42" s="58"/>
      <c r="R42" s="57"/>
    </row>
    <row r="43" spans="2:18" ht="14.4" x14ac:dyDescent="0.3">
      <c r="B43" s="58"/>
      <c r="R43" s="57"/>
    </row>
    <row r="44" spans="2:18" ht="14.4" x14ac:dyDescent="0.3">
      <c r="B44" s="58"/>
      <c r="R44" s="57"/>
    </row>
    <row r="45" spans="2:18" ht="14.4" x14ac:dyDescent="0.3">
      <c r="B45" s="58"/>
      <c r="R45" s="57"/>
    </row>
    <row r="46" spans="2:18" ht="14.4" x14ac:dyDescent="0.3">
      <c r="B46" s="58"/>
      <c r="R46" s="57"/>
    </row>
    <row r="47" spans="2:18" ht="14.4" x14ac:dyDescent="0.3">
      <c r="B47" s="58"/>
      <c r="R47" s="57"/>
    </row>
    <row r="48" spans="2:18" ht="14.4" x14ac:dyDescent="0.3">
      <c r="B48" s="58"/>
      <c r="R48" s="57"/>
    </row>
    <row r="49" spans="2:18" ht="14.4" x14ac:dyDescent="0.3">
      <c r="B49" s="58"/>
      <c r="R49" s="57"/>
    </row>
    <row r="50" spans="2:18" ht="14.4" x14ac:dyDescent="0.3">
      <c r="B50" s="58"/>
      <c r="R50" s="57"/>
    </row>
    <row r="51" spans="2:18" ht="14.4" x14ac:dyDescent="0.3">
      <c r="B51" s="58"/>
      <c r="R51" s="57"/>
    </row>
    <row r="52" spans="2:18" ht="14.4" x14ac:dyDescent="0.3">
      <c r="B52" s="58"/>
      <c r="R52" s="57"/>
    </row>
    <row r="53" spans="2:18" ht="14.4" x14ac:dyDescent="0.3">
      <c r="B53" s="58"/>
      <c r="R53" s="57"/>
    </row>
    <row r="54" spans="2:18" ht="14.4" x14ac:dyDescent="0.3">
      <c r="B54" s="58"/>
      <c r="R54" s="57"/>
    </row>
    <row r="55" spans="2:18" ht="14.4" x14ac:dyDescent="0.3">
      <c r="B55" s="58"/>
      <c r="R55" s="57"/>
    </row>
    <row r="56" spans="2:18" ht="14.4" x14ac:dyDescent="0.3">
      <c r="B56" s="58"/>
      <c r="R56" s="57"/>
    </row>
    <row r="57" spans="2:18" ht="15" thickBot="1" x14ac:dyDescent="0.35">
      <c r="B57" s="61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62"/>
    </row>
  </sheetData>
  <mergeCells count="2">
    <mergeCell ref="C3:Q3"/>
    <mergeCell ref="D5:Q6"/>
  </mergeCells>
  <pageMargins left="0.7" right="0.7" top="0.75" bottom="0.75" header="0.3" footer="0.3"/>
  <pageSetup paperSize="9" orientation="portrait" horizontalDpi="90" verticalDpi="9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theme="4"/>
  </sheetPr>
  <dimension ref="B1:L63"/>
  <sheetViews>
    <sheetView showGridLines="0" zoomScale="80" zoomScaleNormal="80" workbookViewId="0">
      <selection activeCell="C23" sqref="C23"/>
    </sheetView>
  </sheetViews>
  <sheetFormatPr baseColWidth="10" defaultColWidth="9.109375" defaultRowHeight="13.2" x14ac:dyDescent="0.25"/>
  <cols>
    <col min="1" max="1" width="3.6640625" style="1" customWidth="1"/>
    <col min="2" max="2" width="16.5546875" style="1" bestFit="1" customWidth="1"/>
    <col min="3" max="3" width="22.109375" style="1" customWidth="1"/>
    <col min="4" max="4" width="9.109375" style="1"/>
    <col min="5" max="5" width="16.5546875" style="1" bestFit="1" customWidth="1"/>
    <col min="6" max="6" width="32.44140625" style="1" customWidth="1"/>
    <col min="7" max="7" width="9.109375" style="1"/>
    <col min="8" max="8" width="16.5546875" style="1" bestFit="1" customWidth="1"/>
    <col min="9" max="9" width="32.44140625" style="1" customWidth="1"/>
    <col min="10" max="10" width="9.109375" style="1"/>
    <col min="11" max="11" width="16.5546875" style="1" bestFit="1" customWidth="1"/>
    <col min="12" max="12" width="32.44140625" style="1" customWidth="1"/>
    <col min="13" max="16384" width="9.109375" style="1"/>
  </cols>
  <sheetData>
    <row r="1" spans="2:12" ht="13.8" thickBot="1" x14ac:dyDescent="0.3"/>
    <row r="2" spans="2:12" x14ac:dyDescent="0.25">
      <c r="B2" s="284" t="s">
        <v>26</v>
      </c>
      <c r="C2" s="285"/>
      <c r="D2" s="285"/>
      <c r="E2" s="285"/>
      <c r="F2" s="285"/>
      <c r="G2" s="285"/>
      <c r="H2" s="285"/>
      <c r="I2" s="285"/>
      <c r="J2" s="285"/>
      <c r="K2" s="285"/>
      <c r="L2" s="286"/>
    </row>
    <row r="3" spans="2:12" ht="13.8" thickBot="1" x14ac:dyDescent="0.3">
      <c r="B3" s="287"/>
      <c r="C3" s="288"/>
      <c r="D3" s="288"/>
      <c r="E3" s="288"/>
      <c r="F3" s="288"/>
      <c r="G3" s="288"/>
      <c r="H3" s="288"/>
      <c r="I3" s="288"/>
      <c r="J3" s="288"/>
      <c r="K3" s="288"/>
      <c r="L3" s="289"/>
    </row>
    <row r="4" spans="2:12" ht="13.8" thickBot="1" x14ac:dyDescent="0.3"/>
    <row r="5" spans="2:12" x14ac:dyDescent="0.25">
      <c r="B5" s="125" t="s">
        <v>1</v>
      </c>
      <c r="C5" s="126" t="s">
        <v>2</v>
      </c>
      <c r="E5" s="2" t="s">
        <v>1</v>
      </c>
      <c r="F5" s="3" t="str">
        <f>+B6</f>
        <v>PAA 150</v>
      </c>
      <c r="H5" s="2" t="s">
        <v>1</v>
      </c>
      <c r="I5" s="3" t="str">
        <f>+B7</f>
        <v>PAA 100</v>
      </c>
      <c r="K5" s="2" t="s">
        <v>1</v>
      </c>
      <c r="L5" s="8" t="str">
        <f>+B8</f>
        <v>PAA 33</v>
      </c>
    </row>
    <row r="6" spans="2:12" x14ac:dyDescent="0.25">
      <c r="B6" s="127" t="s">
        <v>76</v>
      </c>
      <c r="C6" s="128" t="s">
        <v>96</v>
      </c>
      <c r="E6" s="4" t="s">
        <v>2</v>
      </c>
      <c r="F6" s="5" t="str">
        <f>+C6</f>
        <v>Perlite agricole 150L</v>
      </c>
      <c r="H6" s="4" t="s">
        <v>2</v>
      </c>
      <c r="I6" s="5" t="str">
        <f>+C7</f>
        <v>Perlite agricole 100L</v>
      </c>
      <c r="K6" s="4" t="s">
        <v>2</v>
      </c>
      <c r="L6" s="9" t="str">
        <f>+C8</f>
        <v>Perlite agricole 33L</v>
      </c>
    </row>
    <row r="7" spans="2:12" x14ac:dyDescent="0.25">
      <c r="B7" s="127" t="s">
        <v>77</v>
      </c>
      <c r="C7" s="128" t="s">
        <v>97</v>
      </c>
      <c r="E7" s="4"/>
      <c r="F7" s="5"/>
      <c r="H7" s="4"/>
      <c r="I7" s="5"/>
      <c r="K7" s="4"/>
      <c r="L7" s="5"/>
    </row>
    <row r="8" spans="2:12" x14ac:dyDescent="0.25">
      <c r="B8" s="127" t="s">
        <v>78</v>
      </c>
      <c r="C8" s="128" t="s">
        <v>116</v>
      </c>
      <c r="E8" s="4"/>
      <c r="F8" s="5"/>
      <c r="H8" s="4"/>
      <c r="I8" s="5"/>
      <c r="K8" s="4"/>
      <c r="L8" s="5"/>
    </row>
    <row r="9" spans="2:12" x14ac:dyDescent="0.25">
      <c r="B9" s="127"/>
      <c r="C9" s="128"/>
      <c r="E9" s="4"/>
      <c r="F9" s="5"/>
      <c r="H9" s="4"/>
      <c r="I9" s="5"/>
      <c r="K9" s="4"/>
      <c r="L9" s="5"/>
    </row>
    <row r="10" spans="2:12" x14ac:dyDescent="0.25">
      <c r="B10" s="127" t="s">
        <v>79</v>
      </c>
      <c r="C10" s="128" t="s">
        <v>106</v>
      </c>
      <c r="E10" s="4"/>
      <c r="F10" s="5"/>
      <c r="H10" s="4"/>
      <c r="I10" s="5"/>
      <c r="K10" s="4"/>
      <c r="L10" s="5"/>
    </row>
    <row r="11" spans="2:12" x14ac:dyDescent="0.25">
      <c r="B11" s="127"/>
      <c r="C11" s="128"/>
      <c r="E11" s="4"/>
      <c r="F11" s="5"/>
      <c r="H11" s="4"/>
      <c r="I11" s="5"/>
      <c r="K11" s="4"/>
      <c r="L11" s="5"/>
    </row>
    <row r="12" spans="2:12" x14ac:dyDescent="0.25">
      <c r="B12" s="127" t="s">
        <v>80</v>
      </c>
      <c r="C12" s="128" t="s">
        <v>164</v>
      </c>
      <c r="E12" s="4"/>
      <c r="F12" s="5"/>
      <c r="H12" s="4"/>
      <c r="I12" s="5"/>
      <c r="K12" s="4"/>
      <c r="L12" s="5"/>
    </row>
    <row r="13" spans="2:12" x14ac:dyDescent="0.25">
      <c r="B13" s="127" t="s">
        <v>124</v>
      </c>
      <c r="C13" s="128" t="s">
        <v>125</v>
      </c>
      <c r="E13" s="4"/>
      <c r="F13" s="5"/>
      <c r="H13" s="4"/>
      <c r="I13" s="5"/>
      <c r="K13" s="4"/>
      <c r="L13" s="5"/>
    </row>
    <row r="14" spans="2:12" x14ac:dyDescent="0.25">
      <c r="B14" s="127" t="s">
        <v>81</v>
      </c>
      <c r="C14" s="128" t="s">
        <v>107</v>
      </c>
      <c r="E14" s="4"/>
      <c r="F14" s="5"/>
      <c r="H14" s="4"/>
      <c r="I14" s="5"/>
      <c r="K14" s="4"/>
      <c r="L14" s="5"/>
    </row>
    <row r="15" spans="2:12" x14ac:dyDescent="0.25">
      <c r="B15" s="127"/>
      <c r="C15" s="128"/>
      <c r="E15" s="4"/>
      <c r="F15" s="5"/>
      <c r="H15" s="4"/>
      <c r="I15" s="5"/>
      <c r="K15" s="4"/>
      <c r="L15" s="5"/>
    </row>
    <row r="16" spans="2:12" x14ac:dyDescent="0.25">
      <c r="B16" s="127" t="s">
        <v>82</v>
      </c>
      <c r="C16" s="128" t="s">
        <v>108</v>
      </c>
      <c r="E16" s="4"/>
      <c r="F16" s="5"/>
      <c r="H16" s="4"/>
      <c r="I16" s="5"/>
      <c r="K16" s="4"/>
      <c r="L16" s="5"/>
    </row>
    <row r="17" spans="2:12" ht="12.75" customHeight="1" x14ac:dyDescent="0.25">
      <c r="B17" s="127" t="s">
        <v>83</v>
      </c>
      <c r="C17" s="128" t="s">
        <v>105</v>
      </c>
      <c r="E17" s="4"/>
      <c r="F17" s="5"/>
      <c r="H17" s="4"/>
      <c r="I17" s="5"/>
      <c r="K17" s="4"/>
      <c r="L17" s="5"/>
    </row>
    <row r="18" spans="2:12" ht="12.75" customHeight="1" thickBot="1" x14ac:dyDescent="0.3">
      <c r="B18" s="127" t="s">
        <v>147</v>
      </c>
      <c r="C18" s="128" t="s">
        <v>148</v>
      </c>
      <c r="E18" s="6"/>
      <c r="F18" s="7"/>
      <c r="H18" s="6"/>
      <c r="I18" s="7"/>
      <c r="K18" s="6"/>
      <c r="L18" s="7"/>
    </row>
    <row r="19" spans="2:12" ht="12" customHeight="1" thickBot="1" x14ac:dyDescent="0.3">
      <c r="B19" s="197"/>
      <c r="C19" s="198"/>
    </row>
    <row r="20" spans="2:12" x14ac:dyDescent="0.25">
      <c r="B20" s="290"/>
      <c r="C20" s="290"/>
      <c r="E20" s="2" t="s">
        <v>1</v>
      </c>
      <c r="F20" s="3"/>
      <c r="H20" s="2" t="s">
        <v>1</v>
      </c>
      <c r="I20" s="8" t="str">
        <f>+B10</f>
        <v>PAF1</v>
      </c>
      <c r="K20" s="2" t="s">
        <v>1</v>
      </c>
      <c r="L20" s="8"/>
    </row>
    <row r="21" spans="2:12" x14ac:dyDescent="0.25">
      <c r="B21" s="290"/>
      <c r="C21" s="290"/>
      <c r="E21" s="4" t="s">
        <v>2</v>
      </c>
      <c r="F21" s="5"/>
      <c r="H21" s="4" t="s">
        <v>2</v>
      </c>
      <c r="I21" s="9" t="str">
        <f>+C10</f>
        <v>Perlite AF1</v>
      </c>
      <c r="K21" s="4" t="s">
        <v>2</v>
      </c>
      <c r="L21" s="9"/>
    </row>
    <row r="22" spans="2:12" x14ac:dyDescent="0.25">
      <c r="B22" s="290"/>
      <c r="C22" s="290"/>
      <c r="E22" s="4"/>
      <c r="F22" s="5"/>
      <c r="H22" s="4"/>
      <c r="I22" s="9"/>
      <c r="K22" s="4"/>
      <c r="L22" s="9"/>
    </row>
    <row r="23" spans="2:12" x14ac:dyDescent="0.25">
      <c r="E23" s="4"/>
      <c r="F23" s="5"/>
      <c r="H23" s="4"/>
      <c r="I23" s="9"/>
      <c r="K23" s="4"/>
      <c r="L23" s="9"/>
    </row>
    <row r="24" spans="2:12" x14ac:dyDescent="0.25">
      <c r="E24" s="4"/>
      <c r="F24" s="5"/>
      <c r="H24" s="4"/>
      <c r="I24" s="9"/>
      <c r="K24" s="4"/>
      <c r="L24" s="9"/>
    </row>
    <row r="25" spans="2:12" x14ac:dyDescent="0.25">
      <c r="E25" s="4"/>
      <c r="F25" s="5"/>
      <c r="H25" s="4"/>
      <c r="I25" s="9"/>
      <c r="K25" s="4"/>
      <c r="L25" s="9"/>
    </row>
    <row r="26" spans="2:12" x14ac:dyDescent="0.25">
      <c r="E26" s="4"/>
      <c r="F26" s="5"/>
      <c r="H26" s="4"/>
      <c r="I26" s="9"/>
      <c r="K26" s="4"/>
      <c r="L26" s="9"/>
    </row>
    <row r="27" spans="2:12" x14ac:dyDescent="0.25">
      <c r="E27" s="4"/>
      <c r="F27" s="5"/>
      <c r="H27" s="4"/>
      <c r="I27" s="9"/>
      <c r="K27" s="4"/>
      <c r="L27" s="9"/>
    </row>
    <row r="28" spans="2:12" x14ac:dyDescent="0.25">
      <c r="E28" s="4"/>
      <c r="F28" s="5"/>
      <c r="H28" s="4"/>
      <c r="I28" s="9"/>
      <c r="K28" s="4"/>
      <c r="L28" s="9"/>
    </row>
    <row r="29" spans="2:12" x14ac:dyDescent="0.25">
      <c r="E29" s="4"/>
      <c r="F29" s="5"/>
      <c r="H29" s="4"/>
      <c r="I29" s="9"/>
      <c r="K29" s="4"/>
      <c r="L29" s="9"/>
    </row>
    <row r="30" spans="2:12" x14ac:dyDescent="0.25">
      <c r="E30" s="4"/>
      <c r="F30" s="5"/>
      <c r="H30" s="4"/>
      <c r="I30" s="9"/>
      <c r="K30" s="4"/>
      <c r="L30" s="9"/>
    </row>
    <row r="31" spans="2:12" ht="12.75" customHeight="1" x14ac:dyDescent="0.25">
      <c r="E31" s="4"/>
      <c r="F31" s="5"/>
      <c r="H31" s="4"/>
      <c r="I31" s="9"/>
      <c r="K31" s="4"/>
      <c r="L31" s="9"/>
    </row>
    <row r="32" spans="2:12" x14ac:dyDescent="0.25">
      <c r="E32" s="4"/>
      <c r="F32" s="5"/>
      <c r="H32" s="4"/>
      <c r="I32" s="9"/>
      <c r="K32" s="4"/>
      <c r="L32" s="9"/>
    </row>
    <row r="33" spans="5:12" ht="12.75" customHeight="1" thickBot="1" x14ac:dyDescent="0.3">
      <c r="E33" s="6"/>
      <c r="F33" s="7"/>
      <c r="H33" s="6"/>
      <c r="I33" s="10"/>
      <c r="K33" s="6"/>
      <c r="L33" s="10"/>
    </row>
    <row r="34" spans="5:12" ht="24.9" customHeight="1" thickBot="1" x14ac:dyDescent="0.3">
      <c r="I34" s="11"/>
      <c r="L34" s="11"/>
    </row>
    <row r="35" spans="5:12" x14ac:dyDescent="0.25">
      <c r="E35" s="2" t="s">
        <v>1</v>
      </c>
      <c r="F35" s="8" t="str">
        <f>+B12</f>
        <v>PCC</v>
      </c>
      <c r="H35" s="2" t="s">
        <v>1</v>
      </c>
      <c r="I35" s="8" t="str">
        <f>+B14</f>
        <v>PCF1</v>
      </c>
      <c r="K35" s="2" t="s">
        <v>1</v>
      </c>
      <c r="L35" s="8"/>
    </row>
    <row r="36" spans="5:12" x14ac:dyDescent="0.25">
      <c r="E36" s="4" t="s">
        <v>2</v>
      </c>
      <c r="F36" s="9" t="str">
        <f>+C12</f>
        <v xml:space="preserve">Perlite construction </v>
      </c>
      <c r="H36" s="4" t="s">
        <v>2</v>
      </c>
      <c r="I36" s="9" t="str">
        <f>+C14</f>
        <v>Perlite CF1</v>
      </c>
      <c r="K36" s="4" t="s">
        <v>2</v>
      </c>
      <c r="L36" s="9"/>
    </row>
    <row r="37" spans="5:12" x14ac:dyDescent="0.25">
      <c r="E37" s="4"/>
      <c r="F37" s="5"/>
      <c r="H37" s="4"/>
      <c r="I37" s="9"/>
      <c r="K37" s="4"/>
      <c r="L37" s="9"/>
    </row>
    <row r="38" spans="5:12" x14ac:dyDescent="0.25">
      <c r="E38" s="4"/>
      <c r="F38" s="5"/>
      <c r="H38" s="4"/>
      <c r="I38" s="9"/>
      <c r="K38" s="4"/>
      <c r="L38" s="9"/>
    </row>
    <row r="39" spans="5:12" x14ac:dyDescent="0.25">
      <c r="E39" s="4"/>
      <c r="F39" s="5"/>
      <c r="H39" s="4"/>
      <c r="I39" s="9"/>
      <c r="K39" s="4"/>
      <c r="L39" s="9"/>
    </row>
    <row r="40" spans="5:12" x14ac:dyDescent="0.25">
      <c r="E40" s="4"/>
      <c r="F40" s="5"/>
      <c r="H40" s="4"/>
      <c r="I40" s="9"/>
      <c r="K40" s="4"/>
      <c r="L40" s="9"/>
    </row>
    <row r="41" spans="5:12" x14ac:dyDescent="0.25">
      <c r="E41" s="4"/>
      <c r="F41" s="5"/>
      <c r="H41" s="4"/>
      <c r="I41" s="5"/>
      <c r="K41" s="4"/>
      <c r="L41" s="9"/>
    </row>
    <row r="42" spans="5:12" x14ac:dyDescent="0.25">
      <c r="E42" s="4"/>
      <c r="F42" s="5"/>
      <c r="H42" s="4"/>
      <c r="I42" s="5"/>
      <c r="K42" s="4"/>
      <c r="L42" s="5"/>
    </row>
    <row r="43" spans="5:12" x14ac:dyDescent="0.25">
      <c r="E43" s="4"/>
      <c r="F43" s="5"/>
      <c r="H43" s="4"/>
      <c r="I43" s="5"/>
      <c r="K43" s="4"/>
      <c r="L43" s="5"/>
    </row>
    <row r="44" spans="5:12" x14ac:dyDescent="0.25">
      <c r="E44" s="4"/>
      <c r="F44" s="5"/>
      <c r="H44" s="4"/>
      <c r="I44" s="5"/>
      <c r="K44" s="4"/>
      <c r="L44" s="5"/>
    </row>
    <row r="45" spans="5:12" x14ac:dyDescent="0.25">
      <c r="E45" s="4"/>
      <c r="F45" s="5"/>
      <c r="H45" s="4"/>
      <c r="I45" s="5"/>
      <c r="K45" s="4"/>
      <c r="L45" s="5"/>
    </row>
    <row r="46" spans="5:12" ht="12.75" customHeight="1" x14ac:dyDescent="0.25">
      <c r="E46" s="4"/>
      <c r="F46" s="5"/>
      <c r="H46" s="4"/>
      <c r="I46" s="5"/>
      <c r="K46" s="4"/>
      <c r="L46" s="5"/>
    </row>
    <row r="47" spans="5:12" x14ac:dyDescent="0.25">
      <c r="E47" s="4"/>
      <c r="F47" s="5"/>
      <c r="H47" s="4"/>
      <c r="I47" s="5"/>
      <c r="K47" s="4"/>
      <c r="L47" s="5"/>
    </row>
    <row r="48" spans="5:12" ht="12.75" customHeight="1" thickBot="1" x14ac:dyDescent="0.3">
      <c r="E48" s="6"/>
      <c r="F48" s="7"/>
      <c r="H48" s="6"/>
      <c r="I48" s="7"/>
      <c r="K48" s="6"/>
      <c r="L48" s="7"/>
    </row>
    <row r="49" spans="5:12" ht="24.9" customHeight="1" thickBot="1" x14ac:dyDescent="0.3">
      <c r="I49" s="11"/>
      <c r="L49" s="11"/>
    </row>
    <row r="50" spans="5:12" x14ac:dyDescent="0.25">
      <c r="E50" s="2" t="s">
        <v>1</v>
      </c>
      <c r="F50" s="8" t="str">
        <f>+B16</f>
        <v>PFF</v>
      </c>
      <c r="H50" s="2" t="s">
        <v>1</v>
      </c>
      <c r="I50" s="8" t="str">
        <f>+B17</f>
        <v>PFF0</v>
      </c>
      <c r="K50" s="2" t="s">
        <v>1</v>
      </c>
      <c r="L50" s="8" t="str">
        <f>+B18</f>
        <v>PPF2</v>
      </c>
    </row>
    <row r="51" spans="5:12" x14ac:dyDescent="0.25">
      <c r="E51" s="4" t="s">
        <v>2</v>
      </c>
      <c r="F51" s="9" t="str">
        <f>+C16</f>
        <v>Perlite Filtration</v>
      </c>
      <c r="H51" s="4" t="s">
        <v>2</v>
      </c>
      <c r="I51" s="9" t="str">
        <f>+C17</f>
        <v>Perlite FF0</v>
      </c>
      <c r="K51" s="4" t="s">
        <v>2</v>
      </c>
      <c r="L51" s="9" t="str">
        <f>+C18</f>
        <v>Perlite PF2</v>
      </c>
    </row>
    <row r="52" spans="5:12" x14ac:dyDescent="0.25">
      <c r="E52" s="4"/>
      <c r="F52" s="5"/>
      <c r="H52" s="4"/>
      <c r="I52" s="9"/>
      <c r="K52" s="4"/>
      <c r="L52" s="9"/>
    </row>
    <row r="53" spans="5:12" x14ac:dyDescent="0.25">
      <c r="E53" s="4"/>
      <c r="F53" s="5"/>
      <c r="H53" s="4"/>
      <c r="I53" s="9"/>
      <c r="K53" s="4"/>
      <c r="L53" s="9"/>
    </row>
    <row r="54" spans="5:12" x14ac:dyDescent="0.25">
      <c r="E54" s="4"/>
      <c r="F54" s="5"/>
      <c r="H54" s="4"/>
      <c r="I54" s="9"/>
      <c r="K54" s="4"/>
      <c r="L54" s="9"/>
    </row>
    <row r="55" spans="5:12" x14ac:dyDescent="0.25">
      <c r="E55" s="4"/>
      <c r="F55" s="5"/>
      <c r="H55" s="4"/>
      <c r="I55" s="9"/>
      <c r="K55" s="4"/>
      <c r="L55" s="9"/>
    </row>
    <row r="56" spans="5:12" x14ac:dyDescent="0.25">
      <c r="E56" s="4"/>
      <c r="F56" s="5"/>
      <c r="H56" s="4"/>
      <c r="I56" s="5"/>
      <c r="K56" s="4"/>
      <c r="L56" s="9"/>
    </row>
    <row r="57" spans="5:12" x14ac:dyDescent="0.25">
      <c r="E57" s="4"/>
      <c r="F57" s="5"/>
      <c r="H57" s="4"/>
      <c r="I57" s="5"/>
      <c r="K57" s="4"/>
      <c r="L57" s="5"/>
    </row>
    <row r="58" spans="5:12" x14ac:dyDescent="0.25">
      <c r="E58" s="4"/>
      <c r="F58" s="5"/>
      <c r="H58" s="4"/>
      <c r="I58" s="5"/>
      <c r="K58" s="4"/>
      <c r="L58" s="5"/>
    </row>
    <row r="59" spans="5:12" x14ac:dyDescent="0.25">
      <c r="E59" s="4"/>
      <c r="F59" s="5"/>
      <c r="H59" s="4"/>
      <c r="I59" s="5"/>
      <c r="K59" s="4"/>
      <c r="L59" s="5"/>
    </row>
    <row r="60" spans="5:12" x14ac:dyDescent="0.25">
      <c r="E60" s="4"/>
      <c r="F60" s="5"/>
      <c r="H60" s="4"/>
      <c r="I60" s="5"/>
      <c r="K60" s="4"/>
      <c r="L60" s="5"/>
    </row>
    <row r="61" spans="5:12" ht="12.75" customHeight="1" x14ac:dyDescent="0.25">
      <c r="E61" s="4"/>
      <c r="F61" s="5"/>
      <c r="H61" s="4"/>
      <c r="I61" s="5"/>
      <c r="K61" s="4"/>
      <c r="L61" s="5"/>
    </row>
    <row r="62" spans="5:12" x14ac:dyDescent="0.25">
      <c r="E62" s="4"/>
      <c r="F62" s="5"/>
      <c r="H62" s="4"/>
      <c r="I62" s="5"/>
      <c r="K62" s="4"/>
      <c r="L62" s="5"/>
    </row>
    <row r="63" spans="5:12" ht="12.75" customHeight="1" thickBot="1" x14ac:dyDescent="0.3">
      <c r="E63" s="6"/>
      <c r="F63" s="7"/>
      <c r="H63" s="6"/>
      <c r="I63" s="7"/>
      <c r="K63" s="6"/>
      <c r="L63" s="7"/>
    </row>
  </sheetData>
  <mergeCells count="2">
    <mergeCell ref="B2:L3"/>
    <mergeCell ref="B20:C22"/>
  </mergeCells>
  <phoneticPr fontId="3" type="noConversion"/>
  <conditionalFormatting sqref="B6:B18">
    <cfRule type="duplicateValues" dxfId="147" priority="2"/>
  </conditionalFormatting>
  <conditionalFormatting sqref="B19">
    <cfRule type="duplicateValues" dxfId="146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 filterMode="1">
    <tabColor rgb="FF00B050"/>
  </sheetPr>
  <dimension ref="A1:BP49"/>
  <sheetViews>
    <sheetView tabSelected="1" zoomScaleNormal="100" workbookViewId="0">
      <pane xSplit="5" topLeftCell="AX1" activePane="topRight" state="frozen"/>
      <selection pane="topRight" activeCell="BG49" sqref="BG49"/>
    </sheetView>
  </sheetViews>
  <sheetFormatPr baseColWidth="10" defaultColWidth="9.109375" defaultRowHeight="22.5" customHeight="1" x14ac:dyDescent="0.25"/>
  <cols>
    <col min="1" max="1" width="4.88671875" style="1" customWidth="1"/>
    <col min="2" max="2" width="20.44140625" style="1" customWidth="1"/>
    <col min="3" max="3" width="31.44140625" style="1" customWidth="1"/>
    <col min="4" max="4" width="10.33203125" style="157" customWidth="1"/>
    <col min="5" max="5" width="23.6640625" style="1" customWidth="1"/>
    <col min="6" max="6" width="11.33203125" style="1" customWidth="1"/>
    <col min="7" max="7" width="7.6640625" customWidth="1"/>
    <col min="8" max="8" width="13.109375" style="221" customWidth="1"/>
    <col min="9" max="9" width="6.5546875" style="1" customWidth="1"/>
    <col min="10" max="10" width="5" style="1" customWidth="1"/>
    <col min="11" max="11" width="7.44140625" style="1" customWidth="1"/>
    <col min="12" max="12" width="10.109375" style="1" customWidth="1"/>
    <col min="13" max="13" width="7.6640625" style="1" customWidth="1"/>
    <col min="14" max="14" width="8.33203125" style="1" bestFit="1" customWidth="1"/>
    <col min="15" max="15" width="8.33203125" style="1" customWidth="1"/>
    <col min="16" max="16" width="9" style="1" customWidth="1"/>
    <col min="17" max="17" width="7.6640625" style="1" customWidth="1"/>
    <col min="18" max="18" width="10.6640625" style="1" customWidth="1"/>
    <col min="19" max="19" width="9.88671875" customWidth="1"/>
    <col min="20" max="20" width="8.33203125" bestFit="1" customWidth="1"/>
    <col min="21" max="21" width="7.6640625" customWidth="1"/>
    <col min="22" max="22" width="12.33203125" customWidth="1"/>
    <col min="23" max="23" width="8.109375" customWidth="1"/>
    <col min="24" max="24" width="8" customWidth="1"/>
    <col min="25" max="25" width="8.33203125" customWidth="1"/>
    <col min="26" max="26" width="9.109375" customWidth="1"/>
    <col min="27" max="27" width="7.6640625" style="1" customWidth="1"/>
    <col min="28" max="28" width="8.33203125" style="1" bestFit="1" customWidth="1"/>
    <col min="29" max="29" width="7.6640625" style="1" customWidth="1"/>
    <col min="30" max="30" width="8.33203125" style="1" bestFit="1" customWidth="1"/>
    <col min="31" max="31" width="7.6640625" style="1" customWidth="1"/>
    <col min="32" max="32" width="8.33203125" style="1" bestFit="1" customWidth="1"/>
    <col min="33" max="33" width="7.6640625" style="1" customWidth="1"/>
    <col min="34" max="34" width="8.33203125" style="1" bestFit="1" customWidth="1"/>
    <col min="35" max="35" width="7.6640625" customWidth="1"/>
    <col min="36" max="36" width="8.33203125" bestFit="1" customWidth="1"/>
    <col min="37" max="37" width="7.6640625" customWidth="1"/>
    <col min="38" max="38" width="16.33203125" customWidth="1"/>
    <col min="39" max="39" width="6" customWidth="1"/>
    <col min="40" max="40" width="3.5546875" customWidth="1"/>
    <col min="41" max="41" width="7" style="1" customWidth="1"/>
    <col min="42" max="42" width="9.109375" style="1" customWidth="1"/>
    <col min="43" max="43" width="7.6640625" style="1" customWidth="1"/>
    <col min="44" max="44" width="8.109375" style="1" customWidth="1"/>
    <col min="45" max="45" width="7.6640625" style="1" customWidth="1"/>
    <col min="46" max="46" width="8.33203125" style="1" bestFit="1" customWidth="1"/>
    <col min="47" max="47" width="7.6640625" style="1" customWidth="1"/>
    <col min="48" max="48" width="8.33203125" style="1" bestFit="1" customWidth="1"/>
    <col min="49" max="49" width="10" customWidth="1"/>
    <col min="50" max="50" width="8.33203125" bestFit="1" customWidth="1"/>
    <col min="51" max="51" width="7.5546875" customWidth="1"/>
    <col min="52" max="52" width="4.33203125" customWidth="1"/>
    <col min="53" max="54" width="7.109375" customWidth="1"/>
    <col min="55" max="55" width="9.88671875" style="1" customWidth="1"/>
    <col min="56" max="56" width="9.109375" style="1" customWidth="1"/>
    <col min="57" max="57" width="7.33203125" style="1" customWidth="1"/>
    <col min="58" max="58" width="8" style="1" customWidth="1"/>
    <col min="59" max="59" width="10.6640625" style="1" customWidth="1"/>
    <col min="60" max="60" width="8.33203125" style="1" bestFit="1" customWidth="1"/>
    <col min="61" max="61" width="7.6640625" customWidth="1"/>
    <col min="62" max="62" width="8.33203125" bestFit="1" customWidth="1"/>
    <col min="63" max="63" width="7.6640625" customWidth="1"/>
    <col min="64" max="64" width="8.33203125" bestFit="1" customWidth="1"/>
    <col min="65" max="65" width="7.6640625" style="1" customWidth="1"/>
    <col min="66" max="66" width="8.33203125" style="1" bestFit="1" customWidth="1"/>
    <col min="67" max="67" width="7.6640625" style="1" hidden="1" customWidth="1"/>
    <col min="68" max="68" width="8.33203125" style="1" hidden="1" customWidth="1"/>
    <col min="69" max="16384" width="9.109375" style="1"/>
  </cols>
  <sheetData>
    <row r="1" spans="1:68" ht="22.5" customHeight="1" thickBot="1" x14ac:dyDescent="0.3">
      <c r="BC1"/>
      <c r="BD1"/>
      <c r="BE1"/>
      <c r="BF1"/>
      <c r="BG1"/>
      <c r="BH1"/>
    </row>
    <row r="2" spans="1:68" ht="22.5" customHeight="1" x14ac:dyDescent="0.25">
      <c r="B2" s="375" t="s">
        <v>44</v>
      </c>
      <c r="C2" s="376"/>
      <c r="D2" s="376"/>
      <c r="E2" s="376"/>
      <c r="F2" s="377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  <c r="AH2" s="378"/>
      <c r="AI2" s="224"/>
      <c r="BC2"/>
      <c r="BD2"/>
      <c r="BE2"/>
      <c r="BF2"/>
      <c r="BG2"/>
      <c r="BH2"/>
    </row>
    <row r="3" spans="1:68" ht="22.5" customHeight="1" thickBot="1" x14ac:dyDescent="0.3">
      <c r="B3" s="379"/>
      <c r="C3" s="380"/>
      <c r="D3" s="380"/>
      <c r="E3" s="380"/>
      <c r="F3" s="381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2"/>
      <c r="AI3" s="224"/>
      <c r="BC3"/>
      <c r="BD3"/>
      <c r="BE3"/>
      <c r="BF3"/>
      <c r="BG3"/>
      <c r="BH3"/>
    </row>
    <row r="4" spans="1:68" ht="22.5" customHeight="1" x14ac:dyDescent="0.25">
      <c r="AQ4"/>
      <c r="BE4" s="15"/>
    </row>
    <row r="5" spans="1:68" ht="22.5" customHeight="1" x14ac:dyDescent="0.25">
      <c r="B5" s="17"/>
      <c r="D5" s="157" t="s">
        <v>109</v>
      </c>
      <c r="I5"/>
      <c r="M5" s="109"/>
      <c r="AQ5" s="1" t="s">
        <v>109</v>
      </c>
    </row>
    <row r="6" spans="1:68" s="26" customFormat="1" ht="22.5" customHeight="1" thickBot="1" x14ac:dyDescent="0.3">
      <c r="D6" s="158"/>
      <c r="G6" s="199"/>
      <c r="H6" s="222"/>
      <c r="J6" s="109"/>
      <c r="K6" s="109"/>
      <c r="L6" s="109"/>
      <c r="N6" s="109" t="s">
        <v>109</v>
      </c>
      <c r="O6" s="109"/>
      <c r="R6" s="1"/>
      <c r="S6"/>
      <c r="T6"/>
      <c r="U6"/>
      <c r="V6"/>
      <c r="W6"/>
      <c r="X6"/>
      <c r="Y6"/>
      <c r="Z6" s="199"/>
      <c r="AI6" s="199"/>
      <c r="AJ6" s="199"/>
      <c r="AK6" s="199"/>
      <c r="AL6" s="199"/>
      <c r="AM6" s="199"/>
      <c r="AN6" s="199"/>
      <c r="AW6" s="199"/>
      <c r="AX6" s="199"/>
      <c r="AY6" s="199"/>
      <c r="AZ6" s="199"/>
      <c r="BA6" s="199"/>
      <c r="BB6" s="199"/>
      <c r="BI6" s="199"/>
      <c r="BJ6" s="199"/>
      <c r="BK6" s="199"/>
      <c r="BL6" s="199"/>
    </row>
    <row r="7" spans="1:68" s="21" customFormat="1" ht="22.5" customHeight="1" thickBot="1" x14ac:dyDescent="0.3">
      <c r="B7" s="112" t="s">
        <v>1</v>
      </c>
      <c r="C7" s="113" t="s">
        <v>2</v>
      </c>
      <c r="D7" s="183" t="s">
        <v>114</v>
      </c>
      <c r="E7" s="184" t="s">
        <v>119</v>
      </c>
      <c r="F7" s="167"/>
      <c r="G7" s="345">
        <v>45292</v>
      </c>
      <c r="H7" s="346"/>
      <c r="I7" s="345">
        <f>G7+1</f>
        <v>45293</v>
      </c>
      <c r="J7" s="346"/>
      <c r="K7" s="345">
        <f>I7+1</f>
        <v>45294</v>
      </c>
      <c r="L7" s="346"/>
      <c r="M7" s="345">
        <f>K7+1</f>
        <v>45295</v>
      </c>
      <c r="N7" s="346"/>
      <c r="O7" s="345">
        <f>M7+1</f>
        <v>45296</v>
      </c>
      <c r="P7" s="346"/>
      <c r="Q7" s="371">
        <f>O7+1</f>
        <v>45297</v>
      </c>
      <c r="R7" s="372"/>
      <c r="S7" s="371">
        <f>Q7+1</f>
        <v>45298</v>
      </c>
      <c r="T7" s="372"/>
      <c r="U7" s="371">
        <f>S7+1</f>
        <v>45299</v>
      </c>
      <c r="V7" s="372"/>
      <c r="W7" s="360">
        <f>U7+1</f>
        <v>45300</v>
      </c>
      <c r="X7" s="361"/>
      <c r="Y7" s="345">
        <f>W7+1</f>
        <v>45301</v>
      </c>
      <c r="Z7" s="346"/>
      <c r="AA7" s="345">
        <f>Y7+1</f>
        <v>45302</v>
      </c>
      <c r="AB7" s="346"/>
      <c r="AC7" s="345">
        <f>AA7+1</f>
        <v>45303</v>
      </c>
      <c r="AD7" s="346"/>
      <c r="AE7" s="345">
        <f>AC7+1</f>
        <v>45304</v>
      </c>
      <c r="AF7" s="346"/>
      <c r="AG7" s="345">
        <f>AE7+1</f>
        <v>45305</v>
      </c>
      <c r="AH7" s="346"/>
      <c r="AI7" s="360">
        <f>AG7+1</f>
        <v>45306</v>
      </c>
      <c r="AJ7" s="361"/>
      <c r="AK7" s="345">
        <f>AI7+1</f>
        <v>45307</v>
      </c>
      <c r="AL7" s="346"/>
      <c r="AM7" s="369">
        <f>AK7+1</f>
        <v>45308</v>
      </c>
      <c r="AN7" s="370"/>
      <c r="AO7" s="371">
        <f>AM7+1</f>
        <v>45309</v>
      </c>
      <c r="AP7" s="372"/>
      <c r="AQ7" s="345">
        <f>AO7+1</f>
        <v>45310</v>
      </c>
      <c r="AR7" s="346"/>
      <c r="AS7" s="345">
        <f>AQ7+1</f>
        <v>45311</v>
      </c>
      <c r="AT7" s="346"/>
      <c r="AU7" s="345">
        <f>AS7+1</f>
        <v>45312</v>
      </c>
      <c r="AV7" s="346"/>
      <c r="AW7" s="360">
        <f>AU7+1</f>
        <v>45313</v>
      </c>
      <c r="AX7" s="361"/>
      <c r="AY7" s="362">
        <f>AW7+1</f>
        <v>45314</v>
      </c>
      <c r="AZ7" s="363"/>
      <c r="BA7" s="362">
        <f>AY7+1</f>
        <v>45315</v>
      </c>
      <c r="BB7" s="363"/>
      <c r="BC7" s="345">
        <f>BA7+1</f>
        <v>45316</v>
      </c>
      <c r="BD7" s="346"/>
      <c r="BE7" s="345">
        <f>BC7+1</f>
        <v>45317</v>
      </c>
      <c r="BF7" s="346"/>
      <c r="BG7" s="345">
        <f>BE7+1</f>
        <v>45318</v>
      </c>
      <c r="BH7" s="346"/>
      <c r="BI7" s="360">
        <f>BG7+1</f>
        <v>45319</v>
      </c>
      <c r="BJ7" s="361"/>
      <c r="BK7" s="360">
        <f>BI7+1</f>
        <v>45320</v>
      </c>
      <c r="BL7" s="361"/>
      <c r="BM7" s="345">
        <f>BK7+1</f>
        <v>45321</v>
      </c>
      <c r="BN7" s="346"/>
      <c r="BO7" s="345">
        <f>BM7+1</f>
        <v>45322</v>
      </c>
      <c r="BP7" s="346"/>
    </row>
    <row r="8" spans="1:68" s="172" customFormat="1" ht="20.100000000000001" hidden="1" customHeight="1" x14ac:dyDescent="0.2">
      <c r="A8" s="310" t="s">
        <v>99</v>
      </c>
      <c r="B8" s="341" t="s">
        <v>122</v>
      </c>
      <c r="C8" s="383"/>
      <c r="D8" s="182" t="s">
        <v>123</v>
      </c>
      <c r="E8" s="384">
        <f>SUM(BA8:BH8,BM8:BP8,AY8,AK8:AT8,W8:AF8,G8:BQ8)</f>
        <v>65</v>
      </c>
      <c r="F8" s="320"/>
      <c r="G8" s="385">
        <v>0</v>
      </c>
      <c r="H8" s="386"/>
      <c r="I8" s="364"/>
      <c r="J8" s="365"/>
      <c r="K8" s="323">
        <v>10</v>
      </c>
      <c r="L8" s="324"/>
      <c r="M8" s="323">
        <v>12</v>
      </c>
      <c r="N8" s="324"/>
      <c r="O8" s="323">
        <v>7</v>
      </c>
      <c r="P8" s="324"/>
      <c r="Q8" s="364"/>
      <c r="R8" s="365"/>
      <c r="S8" s="364"/>
      <c r="T8" s="365"/>
      <c r="U8" s="364"/>
      <c r="V8" s="365"/>
      <c r="W8" s="323"/>
      <c r="X8" s="324"/>
      <c r="Y8" s="323"/>
      <c r="Z8" s="324"/>
      <c r="AA8" s="308"/>
      <c r="AB8" s="309"/>
      <c r="AC8" s="323"/>
      <c r="AD8" s="324"/>
      <c r="AE8" s="308"/>
      <c r="AF8" s="309"/>
      <c r="AG8" s="308"/>
      <c r="AH8" s="309"/>
      <c r="AI8" s="308"/>
      <c r="AJ8" s="309"/>
      <c r="AK8" s="323"/>
      <c r="AL8" s="324"/>
      <c r="AM8" s="373"/>
      <c r="AN8" s="374"/>
      <c r="AO8" s="364"/>
      <c r="AP8" s="365"/>
      <c r="AQ8" s="323"/>
      <c r="AR8" s="324"/>
      <c r="AS8" s="308"/>
      <c r="AT8" s="309"/>
      <c r="AU8" s="308"/>
      <c r="AV8" s="309"/>
      <c r="AW8" s="308"/>
      <c r="AX8" s="309"/>
      <c r="AY8" s="398"/>
      <c r="AZ8" s="399"/>
      <c r="BA8" s="398"/>
      <c r="BB8" s="399"/>
      <c r="BC8" s="323"/>
      <c r="BD8" s="324"/>
      <c r="BE8" s="323">
        <v>11</v>
      </c>
      <c r="BF8" s="324"/>
      <c r="BG8" s="308">
        <v>7</v>
      </c>
      <c r="BH8" s="309"/>
      <c r="BI8" s="308"/>
      <c r="BJ8" s="309"/>
      <c r="BK8" s="308"/>
      <c r="BL8" s="309"/>
      <c r="BM8" s="373"/>
      <c r="BN8" s="374"/>
      <c r="BO8" s="308"/>
      <c r="BP8" s="309"/>
    </row>
    <row r="9" spans="1:68" s="21" customFormat="1" ht="20.100000000000001" hidden="1" customHeight="1" x14ac:dyDescent="0.25">
      <c r="A9" s="310"/>
      <c r="B9" s="330" t="s">
        <v>163</v>
      </c>
      <c r="C9" s="331"/>
      <c r="D9" s="352"/>
      <c r="E9" s="353"/>
      <c r="F9" s="168"/>
      <c r="G9" s="358" t="s">
        <v>167</v>
      </c>
      <c r="H9" s="359"/>
      <c r="I9" s="321"/>
      <c r="J9" s="322"/>
      <c r="K9" s="323"/>
      <c r="L9" s="324"/>
      <c r="M9" s="319"/>
      <c r="N9" s="320"/>
      <c r="O9" s="323"/>
      <c r="P9" s="324"/>
      <c r="Q9" s="321"/>
      <c r="R9" s="322"/>
      <c r="S9" s="321"/>
      <c r="T9" s="322"/>
      <c r="U9" s="321"/>
      <c r="V9" s="322"/>
      <c r="W9" s="319"/>
      <c r="X9" s="320"/>
      <c r="Y9" s="319"/>
      <c r="Z9" s="320"/>
      <c r="AA9" s="317"/>
      <c r="AB9" s="318"/>
      <c r="AC9" s="323" t="s">
        <v>168</v>
      </c>
      <c r="AD9" s="324"/>
      <c r="AE9" s="317" t="s">
        <v>169</v>
      </c>
      <c r="AF9" s="318"/>
      <c r="AG9" s="317" t="s">
        <v>170</v>
      </c>
      <c r="AH9" s="318"/>
      <c r="AI9" s="317" t="s">
        <v>171</v>
      </c>
      <c r="AJ9" s="318"/>
      <c r="AK9" s="319" t="s">
        <v>172</v>
      </c>
      <c r="AL9" s="320"/>
      <c r="AM9" s="387"/>
      <c r="AN9" s="388"/>
      <c r="AO9" s="321"/>
      <c r="AP9" s="322"/>
      <c r="AQ9" s="323"/>
      <c r="AR9" s="324"/>
      <c r="AS9" s="317"/>
      <c r="AT9" s="318"/>
      <c r="AU9" s="317" t="s">
        <v>175</v>
      </c>
      <c r="AV9" s="318"/>
      <c r="AW9" s="317"/>
      <c r="AX9" s="318"/>
      <c r="AY9" s="389"/>
      <c r="AZ9" s="390"/>
      <c r="BA9" s="389"/>
      <c r="BB9" s="390"/>
      <c r="BC9" s="319"/>
      <c r="BD9" s="320"/>
      <c r="BE9" s="323"/>
      <c r="BF9" s="324"/>
      <c r="BG9" s="317"/>
      <c r="BH9" s="318"/>
      <c r="BI9" s="317"/>
      <c r="BJ9" s="318"/>
      <c r="BK9" s="317"/>
      <c r="BL9" s="318"/>
      <c r="BM9" s="387"/>
      <c r="BN9" s="388"/>
      <c r="BO9" s="317"/>
      <c r="BP9" s="318"/>
    </row>
    <row r="10" spans="1:68" ht="20.100000000000001" hidden="1" customHeight="1" x14ac:dyDescent="0.25">
      <c r="A10" s="310"/>
      <c r="B10" s="161" t="str">
        <f>+'1 - Produits'!B6</f>
        <v>PAA 150</v>
      </c>
      <c r="C10" s="173" t="str">
        <f>+'1 - Produits'!C6</f>
        <v>Perlite agricole 150L</v>
      </c>
      <c r="D10" s="180" t="s">
        <v>115</v>
      </c>
      <c r="E10" s="181">
        <f t="shared" ref="E10:E12" si="0">SUM(W10,Y10,AK10,AM10,AY10,BA10,BO10,I10,K10,AA10,U10,S10,Q10,O10,M10,G10,AC10,AE10,AG10,AI10,AO10,AQ10,AS10,AU10,AW10,BC10,BE10,BG10,BI10,BK10,BM10)</f>
        <v>69</v>
      </c>
      <c r="F10" s="110"/>
      <c r="G10" s="257"/>
      <c r="H10" s="258" t="e">
        <f>G10/G20</f>
        <v>#DIV/0!</v>
      </c>
      <c r="I10" s="394"/>
      <c r="J10" s="395"/>
      <c r="K10" s="170">
        <v>24</v>
      </c>
      <c r="L10" s="166">
        <f>K10/K20</f>
        <v>0.65721298916527249</v>
      </c>
      <c r="M10" s="170">
        <v>30</v>
      </c>
      <c r="N10" s="166">
        <f>M10/M20</f>
        <v>0.64734507823087351</v>
      </c>
      <c r="O10" s="170">
        <v>15</v>
      </c>
      <c r="P10" s="166">
        <f>O10/O20</f>
        <v>0.68422423334852533</v>
      </c>
      <c r="Q10" s="268"/>
      <c r="R10" s="269" t="e">
        <f>Q10/Q20</f>
        <v>#DIV/0!</v>
      </c>
      <c r="S10" s="268"/>
      <c r="T10" s="269" t="e">
        <f>S10/S20</f>
        <v>#DIV/0!</v>
      </c>
      <c r="U10" s="268"/>
      <c r="V10" s="269" t="e">
        <f>U10/U20</f>
        <v>#DIV/0!</v>
      </c>
      <c r="W10" s="170"/>
      <c r="X10" s="166" t="e">
        <f>W10/W20</f>
        <v>#DIV/0!</v>
      </c>
      <c r="Y10" s="170"/>
      <c r="Z10" s="166" t="e">
        <f>Y10/Y20</f>
        <v>#DIV/0!</v>
      </c>
      <c r="AA10" s="170"/>
      <c r="AB10" s="166" t="e">
        <f>AA10/AA20</f>
        <v>#DIV/0!</v>
      </c>
      <c r="AC10" s="170"/>
      <c r="AD10" s="166" t="e">
        <f>AC10/AC20</f>
        <v>#DIV/0!</v>
      </c>
      <c r="AE10" s="170"/>
      <c r="AF10" s="166" t="e">
        <f>AE10/AE20</f>
        <v>#DIV/0!</v>
      </c>
      <c r="AG10" s="170"/>
      <c r="AH10" s="166" t="e">
        <f>AG10/AG20</f>
        <v>#DIV/0!</v>
      </c>
      <c r="AI10" s="170"/>
      <c r="AJ10" s="166" t="e">
        <f>AI10/AI20</f>
        <v>#DIV/0!</v>
      </c>
      <c r="AK10" s="170"/>
      <c r="AL10" s="166" t="e">
        <f>AK10/AK20</f>
        <v>#DIV/0!</v>
      </c>
      <c r="AM10" s="273"/>
      <c r="AN10" s="274" t="e">
        <f>AM10/AM20</f>
        <v>#DIV/0!</v>
      </c>
      <c r="AO10" s="268">
        <v>0</v>
      </c>
      <c r="AP10" s="269"/>
      <c r="AQ10" s="170"/>
      <c r="AR10" s="166" t="e">
        <f>AQ10/AQ20</f>
        <v>#DIV/0!</v>
      </c>
      <c r="AS10" s="170">
        <v>0</v>
      </c>
      <c r="AT10" s="166" t="e">
        <f>AS10/AS20</f>
        <v>#DIV/0!</v>
      </c>
      <c r="AU10" s="170"/>
      <c r="AV10" s="166" t="e">
        <f>AU10/AU20</f>
        <v>#DIV/0!</v>
      </c>
      <c r="AW10" s="170"/>
      <c r="AX10" s="166" t="e">
        <f>AW10/AW20</f>
        <v>#DIV/0!</v>
      </c>
      <c r="AY10" s="275"/>
      <c r="AZ10" s="276" t="e">
        <f>AY10/AY20</f>
        <v>#DIV/0!</v>
      </c>
      <c r="BA10" s="275"/>
      <c r="BB10" s="276" t="e">
        <f>BA10/BA20</f>
        <v>#DIV/0!</v>
      </c>
      <c r="BC10" s="170"/>
      <c r="BD10" s="166" t="e">
        <f>BC10/BC20</f>
        <v>#DIV/0!</v>
      </c>
      <c r="BE10" s="170"/>
      <c r="BF10" s="166">
        <f>BE10/BE20</f>
        <v>0</v>
      </c>
      <c r="BG10" s="170"/>
      <c r="BH10" s="166">
        <f>BG10/BG20</f>
        <v>0</v>
      </c>
      <c r="BI10" s="170"/>
      <c r="BJ10" s="166" t="e">
        <f>BI10/BI20</f>
        <v>#DIV/0!</v>
      </c>
      <c r="BK10" s="170"/>
      <c r="BL10" s="166" t="e">
        <f>BK10/BK20</f>
        <v>#DIV/0!</v>
      </c>
      <c r="BM10" s="273"/>
      <c r="BN10" s="274" t="e">
        <f>BM10/BM20</f>
        <v>#DIV/0!</v>
      </c>
      <c r="BO10" s="170"/>
      <c r="BP10" s="166" t="e">
        <f>BO10/BO20</f>
        <v>#DIV/0!</v>
      </c>
    </row>
    <row r="11" spans="1:68" ht="20.100000000000001" hidden="1" customHeight="1" x14ac:dyDescent="0.25">
      <c r="A11" s="310"/>
      <c r="B11" s="162" t="str">
        <f>+'1 - Produits'!B7</f>
        <v>PAA 100</v>
      </c>
      <c r="C11" s="174" t="str">
        <f>+'1 - Produits'!C7</f>
        <v>Perlite agricole 100L</v>
      </c>
      <c r="D11" s="180" t="s">
        <v>115</v>
      </c>
      <c r="E11" s="181">
        <f t="shared" si="0"/>
        <v>54.5</v>
      </c>
      <c r="F11" s="110"/>
      <c r="G11" s="257">
        <v>0</v>
      </c>
      <c r="H11" s="258" t="e">
        <f>G11/G20</f>
        <v>#DIV/0!</v>
      </c>
      <c r="I11" s="268"/>
      <c r="J11" s="269"/>
      <c r="K11" s="170">
        <v>0</v>
      </c>
      <c r="L11" s="166"/>
      <c r="M11" s="170">
        <v>0</v>
      </c>
      <c r="N11" s="166">
        <f>M11/M20</f>
        <v>0</v>
      </c>
      <c r="O11" s="170"/>
      <c r="P11" s="166">
        <f>O11/O20</f>
        <v>0</v>
      </c>
      <c r="Q11" s="268"/>
      <c r="R11" s="269" t="e">
        <f>Q11/Q20</f>
        <v>#DIV/0!</v>
      </c>
      <c r="S11" s="268"/>
      <c r="T11" s="269" t="e">
        <f>S11/S20</f>
        <v>#DIV/0!</v>
      </c>
      <c r="U11" s="268"/>
      <c r="V11" s="269" t="e">
        <f>U11/U20</f>
        <v>#DIV/0!</v>
      </c>
      <c r="W11" s="170">
        <v>0</v>
      </c>
      <c r="X11" s="166"/>
      <c r="Y11" s="170">
        <v>0</v>
      </c>
      <c r="Z11" s="166"/>
      <c r="AA11" s="170">
        <v>0</v>
      </c>
      <c r="AB11" s="166" t="e">
        <f>AA11/AA20</f>
        <v>#DIV/0!</v>
      </c>
      <c r="AC11" s="170"/>
      <c r="AD11" s="166"/>
      <c r="AE11" s="170">
        <v>0</v>
      </c>
      <c r="AF11" s="166" t="e">
        <f>AE11/AE20</f>
        <v>#DIV/0!</v>
      </c>
      <c r="AG11" s="170">
        <v>0</v>
      </c>
      <c r="AH11" s="166" t="e">
        <f>AG11/AG20</f>
        <v>#DIV/0!</v>
      </c>
      <c r="AI11" s="170"/>
      <c r="AJ11" s="166" t="e">
        <f>AI11/AI20</f>
        <v>#DIV/0!</v>
      </c>
      <c r="AK11" s="170"/>
      <c r="AL11" s="166" t="e">
        <f>AK11/AK20</f>
        <v>#DIV/0!</v>
      </c>
      <c r="AM11" s="273">
        <v>0</v>
      </c>
      <c r="AN11" s="274"/>
      <c r="AO11" s="268">
        <v>0</v>
      </c>
      <c r="AP11" s="269" t="e">
        <f>AO11/AO20</f>
        <v>#DIV/0!</v>
      </c>
      <c r="AQ11" s="170"/>
      <c r="AR11" s="166" t="e">
        <f>AQ11/AQ20</f>
        <v>#DIV/0!</v>
      </c>
      <c r="AS11" s="170"/>
      <c r="AT11" s="166" t="e">
        <f>AS11/AS20</f>
        <v>#DIV/0!</v>
      </c>
      <c r="AU11" s="170">
        <v>0</v>
      </c>
      <c r="AV11" s="166" t="e">
        <f>AU11/AU20</f>
        <v>#DIV/0!</v>
      </c>
      <c r="AW11" s="170">
        <v>0</v>
      </c>
      <c r="AX11" s="166" t="e">
        <f>AW11/AW20</f>
        <v>#DIV/0!</v>
      </c>
      <c r="AY11" s="275">
        <v>0</v>
      </c>
      <c r="AZ11" s="276"/>
      <c r="BA11" s="275">
        <v>0</v>
      </c>
      <c r="BB11" s="276" t="e">
        <f>BA11/BA20</f>
        <v>#DIV/0!</v>
      </c>
      <c r="BC11" s="170"/>
      <c r="BD11" s="166" t="e">
        <f>BC11/BC20</f>
        <v>#DIV/0!</v>
      </c>
      <c r="BE11" s="170">
        <v>30</v>
      </c>
      <c r="BF11" s="166">
        <f>BE11/BE20</f>
        <v>0.86822538003965644</v>
      </c>
      <c r="BG11" s="170">
        <v>24.5</v>
      </c>
      <c r="BH11" s="166">
        <f>BG11/BG20</f>
        <v>1</v>
      </c>
      <c r="BI11" s="170">
        <v>0</v>
      </c>
      <c r="BJ11" s="166" t="e">
        <f>BI11/BI20</f>
        <v>#DIV/0!</v>
      </c>
      <c r="BK11" s="170">
        <v>0</v>
      </c>
      <c r="BL11" s="166" t="e">
        <f>BK11/BK20</f>
        <v>#DIV/0!</v>
      </c>
      <c r="BM11" s="273"/>
      <c r="BN11" s="274"/>
      <c r="BO11" s="170"/>
      <c r="BP11" s="166" t="e">
        <f>BO11/BO20</f>
        <v>#DIV/0!</v>
      </c>
    </row>
    <row r="12" spans="1:68" ht="20.100000000000001" hidden="1" customHeight="1" x14ac:dyDescent="0.25">
      <c r="A12" s="310"/>
      <c r="B12" s="162" t="str">
        <f>+'1 - Produits'!B8</f>
        <v>PAA 33</v>
      </c>
      <c r="C12" s="174" t="str">
        <f>+'1 - Produits'!C8</f>
        <v>Perlite agricole 33L</v>
      </c>
      <c r="D12" s="180" t="s">
        <v>115</v>
      </c>
      <c r="E12" s="181">
        <f t="shared" si="0"/>
        <v>0</v>
      </c>
      <c r="F12" s="110"/>
      <c r="G12" s="257">
        <v>0</v>
      </c>
      <c r="H12" s="258" t="e">
        <f>G12/G20</f>
        <v>#DIV/0!</v>
      </c>
      <c r="I12" s="268"/>
      <c r="J12" s="269"/>
      <c r="K12" s="170">
        <v>0</v>
      </c>
      <c r="L12" s="166"/>
      <c r="M12" s="170">
        <v>0</v>
      </c>
      <c r="N12" s="166">
        <f>M12/M20</f>
        <v>0</v>
      </c>
      <c r="O12" s="170"/>
      <c r="P12" s="166">
        <f>O12/O20</f>
        <v>0</v>
      </c>
      <c r="Q12" s="268">
        <v>0</v>
      </c>
      <c r="R12" s="269" t="e">
        <f>Q12/Q20</f>
        <v>#DIV/0!</v>
      </c>
      <c r="S12" s="268"/>
      <c r="T12" s="269" t="e">
        <f>S12/S20</f>
        <v>#DIV/0!</v>
      </c>
      <c r="U12" s="268"/>
      <c r="V12" s="269" t="e">
        <f>U12/U20</f>
        <v>#DIV/0!</v>
      </c>
      <c r="W12" s="170">
        <v>0</v>
      </c>
      <c r="X12" s="166"/>
      <c r="Y12" s="170">
        <v>0</v>
      </c>
      <c r="Z12" s="166"/>
      <c r="AA12" s="170">
        <v>0</v>
      </c>
      <c r="AB12" s="166" t="e">
        <f>AA12/AA20</f>
        <v>#DIV/0!</v>
      </c>
      <c r="AC12" s="170">
        <v>0</v>
      </c>
      <c r="AD12" s="166" t="e">
        <f>AC12/AC20</f>
        <v>#DIV/0!</v>
      </c>
      <c r="AE12" s="170">
        <v>0</v>
      </c>
      <c r="AF12" s="166" t="e">
        <f>AE12/AE20</f>
        <v>#DIV/0!</v>
      </c>
      <c r="AG12" s="170"/>
      <c r="AH12" s="166" t="e">
        <f>AG12/AG20</f>
        <v>#DIV/0!</v>
      </c>
      <c r="AI12" s="170"/>
      <c r="AJ12" s="166" t="e">
        <f>AI12/AI20</f>
        <v>#DIV/0!</v>
      </c>
      <c r="AK12" s="170"/>
      <c r="AL12" s="166" t="e">
        <f>AK12/AK20</f>
        <v>#DIV/0!</v>
      </c>
      <c r="AM12" s="273">
        <v>0</v>
      </c>
      <c r="AN12" s="274"/>
      <c r="AO12" s="268">
        <v>0</v>
      </c>
      <c r="AP12" s="269" t="e">
        <f>AO12/AO20</f>
        <v>#DIV/0!</v>
      </c>
      <c r="AQ12" s="170"/>
      <c r="AR12" s="166" t="e">
        <f>AQ12/AQ20</f>
        <v>#DIV/0!</v>
      </c>
      <c r="AS12" s="170">
        <v>0</v>
      </c>
      <c r="AT12" s="166" t="e">
        <f>AS12/AS20</f>
        <v>#DIV/0!</v>
      </c>
      <c r="AU12" s="170"/>
      <c r="AV12" s="166" t="e">
        <f>AU12/AU20</f>
        <v>#DIV/0!</v>
      </c>
      <c r="AW12" s="170"/>
      <c r="AX12" s="166" t="e">
        <f>AW12/AW20</f>
        <v>#DIV/0!</v>
      </c>
      <c r="AY12" s="275">
        <v>0</v>
      </c>
      <c r="AZ12" s="276"/>
      <c r="BA12" s="275">
        <v>0</v>
      </c>
      <c r="BB12" s="276" t="e">
        <f>BA12/BA20</f>
        <v>#DIV/0!</v>
      </c>
      <c r="BC12" s="170"/>
      <c r="BD12" s="166" t="e">
        <f>BC12/BC20</f>
        <v>#DIV/0!</v>
      </c>
      <c r="BE12" s="170"/>
      <c r="BF12" s="166">
        <f>BE12/BE20</f>
        <v>0</v>
      </c>
      <c r="BG12" s="170">
        <v>0</v>
      </c>
      <c r="BH12" s="166">
        <f>BG12/BG20</f>
        <v>0</v>
      </c>
      <c r="BI12" s="170">
        <v>0</v>
      </c>
      <c r="BJ12" s="166" t="e">
        <f>BI12/BI20</f>
        <v>#DIV/0!</v>
      </c>
      <c r="BK12" s="170">
        <v>0</v>
      </c>
      <c r="BL12" s="166" t="e">
        <f>BK12/BK20</f>
        <v>#DIV/0!</v>
      </c>
      <c r="BM12" s="273"/>
      <c r="BN12" s="274"/>
      <c r="BO12" s="170"/>
      <c r="BP12" s="166" t="e">
        <f>BO12/BO20</f>
        <v>#DIV/0!</v>
      </c>
    </row>
    <row r="13" spans="1:68" ht="20.100000000000001" hidden="1" customHeight="1" x14ac:dyDescent="0.25">
      <c r="A13" s="310"/>
      <c r="B13" s="162" t="str">
        <f>+'1 - Produits'!B10</f>
        <v>PAF1</v>
      </c>
      <c r="C13" s="174" t="str">
        <f>+'1 - Produits'!C10</f>
        <v>Perlite AF1</v>
      </c>
      <c r="D13" s="180" t="s">
        <v>149</v>
      </c>
      <c r="E13" s="181">
        <f>SUM(W13,Y13,AK13,AM13,AG13,AY13,BA13,BO13,I13,K13,AA13,U13,S13,Q13,O13,M13,G13,AC13,AE13,AI13,AO13,AQ13,AS13,AU13,AW13,BC13,BE13,BG13,BI13,BK13,BM13)</f>
        <v>3100</v>
      </c>
      <c r="F13" s="110"/>
      <c r="G13" s="257"/>
      <c r="H13" s="258" t="e">
        <f>(G13/113)/G20</f>
        <v>#DIV/0!</v>
      </c>
      <c r="I13" s="268"/>
      <c r="J13" s="269"/>
      <c r="K13" s="170">
        <v>1050</v>
      </c>
      <c r="L13" s="166">
        <f>(K13/113)/K20</f>
        <v>0.25445193164584667</v>
      </c>
      <c r="M13" s="170">
        <v>1300</v>
      </c>
      <c r="N13" s="166">
        <f>(M13/113)/M20</f>
        <v>0.24824442528027596</v>
      </c>
      <c r="O13" s="170">
        <v>600</v>
      </c>
      <c r="P13" s="166">
        <f>(O13/113)/O20</f>
        <v>0.24220326844195586</v>
      </c>
      <c r="Q13" s="268"/>
      <c r="R13" s="269" t="e">
        <f>(Q13/113)/Q20</f>
        <v>#DIV/0!</v>
      </c>
      <c r="S13" s="268"/>
      <c r="T13" s="269" t="e">
        <f>(S13/113)/S20</f>
        <v>#DIV/0!</v>
      </c>
      <c r="U13" s="268"/>
      <c r="V13" s="269" t="e">
        <f>(U13/113)/U20</f>
        <v>#DIV/0!</v>
      </c>
      <c r="W13" s="170"/>
      <c r="X13" s="166" t="e">
        <f>(W13/113)/W20</f>
        <v>#DIV/0!</v>
      </c>
      <c r="Y13" s="170"/>
      <c r="Z13" s="166" t="e">
        <f>(Y13/113)/Y20</f>
        <v>#DIV/0!</v>
      </c>
      <c r="AA13" s="170"/>
      <c r="AB13" s="166" t="e">
        <f>(AA13/113)/AA20</f>
        <v>#DIV/0!</v>
      </c>
      <c r="AC13" s="170"/>
      <c r="AD13" s="166" t="e">
        <f>(AC13/113)/AC20</f>
        <v>#DIV/0!</v>
      </c>
      <c r="AE13" s="170"/>
      <c r="AF13" s="166" t="e">
        <f>(AE13/113)/AE20</f>
        <v>#DIV/0!</v>
      </c>
      <c r="AG13" s="170"/>
      <c r="AH13" s="166" t="e">
        <f>(AG13/113)/AG20</f>
        <v>#DIV/0!</v>
      </c>
      <c r="AI13" s="170"/>
      <c r="AJ13" s="166" t="e">
        <f>(AI13/113)/AI20</f>
        <v>#DIV/0!</v>
      </c>
      <c r="AK13" s="170"/>
      <c r="AL13" s="166" t="e">
        <f>(AK13/113)/AK20</f>
        <v>#DIV/0!</v>
      </c>
      <c r="AM13" s="273"/>
      <c r="AN13" s="274" t="e">
        <f>(AM13/113)/AM20</f>
        <v>#DIV/0!</v>
      </c>
      <c r="AO13" s="268">
        <v>0</v>
      </c>
      <c r="AP13" s="269" t="e">
        <f>(AO13/113)/AO20</f>
        <v>#DIV/0!</v>
      </c>
      <c r="AQ13" s="170"/>
      <c r="AR13" s="166" t="e">
        <f>(AQ13/113)/AQ20</f>
        <v>#DIV/0!</v>
      </c>
      <c r="AS13" s="170"/>
      <c r="AT13" s="166" t="e">
        <f>(AS13/113)/AS20</f>
        <v>#DIV/0!</v>
      </c>
      <c r="AU13" s="170"/>
      <c r="AV13" s="166" t="e">
        <f>(AU13/113)/AU20</f>
        <v>#DIV/0!</v>
      </c>
      <c r="AW13" s="170"/>
      <c r="AX13" s="166" t="e">
        <f>(AW13/113)/AW20</f>
        <v>#DIV/0!</v>
      </c>
      <c r="AY13" s="275"/>
      <c r="AZ13" s="276"/>
      <c r="BA13" s="275"/>
      <c r="BB13" s="276"/>
      <c r="BC13" s="170"/>
      <c r="BD13" s="166" t="e">
        <f>(BC13/113)/BC20</f>
        <v>#DIV/0!</v>
      </c>
      <c r="BE13" s="170">
        <v>150</v>
      </c>
      <c r="BF13" s="166">
        <f>(BE13/113)/BE20</f>
        <v>3.8417052214144091E-2</v>
      </c>
      <c r="BG13" s="170"/>
      <c r="BH13" s="166"/>
      <c r="BI13" s="170"/>
      <c r="BJ13" s="166" t="e">
        <f>(BI13/113)/BI20</f>
        <v>#DIV/0!</v>
      </c>
      <c r="BK13" s="170"/>
      <c r="BL13" s="166" t="e">
        <f>(BK13/113)/BK20</f>
        <v>#DIV/0!</v>
      </c>
      <c r="BM13" s="273"/>
      <c r="BN13" s="274" t="e">
        <f>(BM13/113)/BM20</f>
        <v>#DIV/0!</v>
      </c>
      <c r="BO13" s="170"/>
      <c r="BP13" s="166" t="e">
        <f>(BO13/113)/BO20</f>
        <v>#DIV/0!</v>
      </c>
    </row>
    <row r="14" spans="1:68" ht="20.100000000000001" hidden="1" customHeight="1" x14ac:dyDescent="0.25">
      <c r="A14" s="310"/>
      <c r="B14" s="162" t="str">
        <f>+'1 - Produits'!B18</f>
        <v>PPF2</v>
      </c>
      <c r="C14" s="174" t="str">
        <f>+'1 - Produits'!C18</f>
        <v>Perlite PF2</v>
      </c>
      <c r="D14" s="180" t="s">
        <v>149</v>
      </c>
      <c r="E14" s="181">
        <f>SUM(W14,Y14,AK14,AM14,AY14,BA14,BO14,I14,K14,AA14,U14,S14,Q14,O14,M14,G14,AC14,AE14,AG13,AI14,AO14,AQ14,AS14,AU14,AW14,BC14,BE14,BG14,BI14,BK14,BM14)</f>
        <v>1200</v>
      </c>
      <c r="F14" s="110"/>
      <c r="G14" s="257"/>
      <c r="H14" s="258" t="e">
        <f>(G14/93)/G20</f>
        <v>#DIV/0!</v>
      </c>
      <c r="I14" s="268"/>
      <c r="J14" s="269"/>
      <c r="K14" s="170">
        <v>300</v>
      </c>
      <c r="L14" s="166">
        <f>(K14/93)/K20</f>
        <v>8.8335079188880714E-2</v>
      </c>
      <c r="M14" s="170">
        <v>450</v>
      </c>
      <c r="N14" s="166">
        <f>(M14/93)/M20</f>
        <v>0.10441049648885056</v>
      </c>
      <c r="O14" s="170">
        <v>150</v>
      </c>
      <c r="P14" s="166">
        <f>(O14/93)/O20</f>
        <v>7.3572498209518847E-2</v>
      </c>
      <c r="Q14" s="268"/>
      <c r="R14" s="269" t="e">
        <f>(Q14/93)/Q20</f>
        <v>#DIV/0!</v>
      </c>
      <c r="S14" s="268"/>
      <c r="T14" s="269" t="e">
        <f>(S14/93)/S20</f>
        <v>#DIV/0!</v>
      </c>
      <c r="U14" s="268"/>
      <c r="V14" s="269" t="e">
        <f>(U14/93)/U20</f>
        <v>#DIV/0!</v>
      </c>
      <c r="W14" s="170"/>
      <c r="X14" s="166" t="e">
        <f>(W14/93)/W20</f>
        <v>#DIV/0!</v>
      </c>
      <c r="Y14" s="170"/>
      <c r="Z14" s="166" t="e">
        <f>(Y14/93)/Y20</f>
        <v>#DIV/0!</v>
      </c>
      <c r="AA14" s="170"/>
      <c r="AB14" s="166" t="e">
        <f>(AA14/93)/AA20</f>
        <v>#DIV/0!</v>
      </c>
      <c r="AC14" s="170">
        <v>0</v>
      </c>
      <c r="AD14" s="166" t="e">
        <f>(AC14/93)/AC20</f>
        <v>#DIV/0!</v>
      </c>
      <c r="AE14" s="170"/>
      <c r="AF14" s="166" t="e">
        <f>(AE14/93)/AE20</f>
        <v>#DIV/0!</v>
      </c>
      <c r="AG14" s="170"/>
      <c r="AH14" s="166" t="e">
        <f>(AG14/93)/AG20</f>
        <v>#DIV/0!</v>
      </c>
      <c r="AI14" s="170"/>
      <c r="AJ14" s="166" t="e">
        <f>(AI14/93)/AI20</f>
        <v>#DIV/0!</v>
      </c>
      <c r="AK14" s="170"/>
      <c r="AL14" s="166" t="e">
        <f>(AK14/93)/AK20</f>
        <v>#DIV/0!</v>
      </c>
      <c r="AM14" s="273"/>
      <c r="AN14" s="274" t="e">
        <f>(AM14/93)/AM20</f>
        <v>#DIV/0!</v>
      </c>
      <c r="AO14" s="268">
        <v>0</v>
      </c>
      <c r="AP14" s="269" t="e">
        <f>(AO14/93)/AO20</f>
        <v>#DIV/0!</v>
      </c>
      <c r="AQ14" s="170"/>
      <c r="AR14" s="166" t="e">
        <f>(AQ14/93)/AQ20</f>
        <v>#DIV/0!</v>
      </c>
      <c r="AS14" s="170"/>
      <c r="AT14" s="166" t="e">
        <f>(AS14/93)/AS20</f>
        <v>#DIV/0!</v>
      </c>
      <c r="AU14" s="170"/>
      <c r="AV14" s="166" t="e">
        <f>(AU14/93)/AU20</f>
        <v>#DIV/0!</v>
      </c>
      <c r="AW14" s="170"/>
      <c r="AX14" s="166" t="e">
        <f>(AW14/93)/AW20</f>
        <v>#DIV/0!</v>
      </c>
      <c r="AY14" s="275"/>
      <c r="AZ14" s="276" t="e">
        <f>(AY14/93)/AY20</f>
        <v>#DIV/0!</v>
      </c>
      <c r="BA14" s="275"/>
      <c r="BB14" s="276"/>
      <c r="BC14" s="170"/>
      <c r="BD14" s="166" t="e">
        <f>(BC14/93)/BC20</f>
        <v>#DIV/0!</v>
      </c>
      <c r="BE14" s="170">
        <v>300</v>
      </c>
      <c r="BF14" s="166">
        <f>(BE14/93)/BE20</f>
        <v>9.3357567746199605E-2</v>
      </c>
      <c r="BG14" s="170"/>
      <c r="BH14" s="166"/>
      <c r="BI14" s="170"/>
      <c r="BJ14" s="166" t="e">
        <f>(BI14/93)/BI20</f>
        <v>#DIV/0!</v>
      </c>
      <c r="BK14" s="170"/>
      <c r="BL14" s="166" t="e">
        <f>(BK14/93)/BK20</f>
        <v>#DIV/0!</v>
      </c>
      <c r="BM14" s="273"/>
      <c r="BN14" s="274" t="e">
        <f>(BM14/93)/BM20</f>
        <v>#DIV/0!</v>
      </c>
      <c r="BO14" s="170"/>
      <c r="BP14" s="166" t="e">
        <f>(BO14/93)/BO20</f>
        <v>#DIV/0!</v>
      </c>
    </row>
    <row r="15" spans="1:68" ht="15" hidden="1" customHeight="1" x14ac:dyDescent="0.25">
      <c r="A15" s="310"/>
      <c r="B15" s="339" t="s">
        <v>103</v>
      </c>
      <c r="C15" s="174" t="s">
        <v>110</v>
      </c>
      <c r="D15" s="180" t="s">
        <v>115</v>
      </c>
      <c r="E15" s="195"/>
      <c r="F15" s="110"/>
      <c r="G15" s="257"/>
      <c r="H15" s="366"/>
      <c r="I15" s="268"/>
      <c r="J15" s="325"/>
      <c r="K15" s="170">
        <v>359173</v>
      </c>
      <c r="L15" s="294"/>
      <c r="M15" s="170">
        <v>360120</v>
      </c>
      <c r="N15" s="294"/>
      <c r="O15" s="170">
        <v>361233</v>
      </c>
      <c r="P15" s="294"/>
      <c r="Q15" s="268"/>
      <c r="R15" s="325"/>
      <c r="S15" s="268"/>
      <c r="T15" s="325"/>
      <c r="U15" s="268"/>
      <c r="V15" s="325"/>
      <c r="W15" s="170"/>
      <c r="X15" s="294"/>
      <c r="Y15" s="170"/>
      <c r="Z15" s="294"/>
      <c r="AA15" s="170"/>
      <c r="AB15" s="297"/>
      <c r="AC15" s="170"/>
      <c r="AD15" s="294"/>
      <c r="AE15" s="170"/>
      <c r="AF15" s="297"/>
      <c r="AG15" s="170"/>
      <c r="AH15" s="297"/>
      <c r="AI15" s="170"/>
      <c r="AJ15" s="297"/>
      <c r="AK15" s="170"/>
      <c r="AL15" s="294"/>
      <c r="AM15" s="273"/>
      <c r="AN15" s="291"/>
      <c r="AO15" s="268">
        <v>0</v>
      </c>
      <c r="AP15" s="325"/>
      <c r="AQ15" s="170"/>
      <c r="AR15" s="294"/>
      <c r="AS15" s="170"/>
      <c r="AT15" s="297"/>
      <c r="AU15" s="170"/>
      <c r="AV15" s="297"/>
      <c r="AW15" s="170"/>
      <c r="AX15" s="297"/>
      <c r="AY15" s="275"/>
      <c r="AZ15" s="391"/>
      <c r="BA15" s="275"/>
      <c r="BB15" s="391"/>
      <c r="BC15" s="170"/>
      <c r="BD15" s="294"/>
      <c r="BE15" s="170">
        <v>373882</v>
      </c>
      <c r="BF15" s="294"/>
      <c r="BG15" s="170">
        <v>375129</v>
      </c>
      <c r="BH15" s="297"/>
      <c r="BI15" s="170"/>
      <c r="BJ15" s="297"/>
      <c r="BK15" s="170"/>
      <c r="BL15" s="297"/>
      <c r="BM15" s="273"/>
      <c r="BN15" s="291"/>
      <c r="BO15" s="170"/>
      <c r="BP15" s="297"/>
    </row>
    <row r="16" spans="1:68" ht="15" hidden="1" customHeight="1" x14ac:dyDescent="0.25">
      <c r="A16" s="310"/>
      <c r="B16" s="340"/>
      <c r="C16" s="174" t="s">
        <v>111</v>
      </c>
      <c r="D16" s="180" t="s">
        <v>115</v>
      </c>
      <c r="E16" s="195"/>
      <c r="F16" s="110"/>
      <c r="G16" s="257"/>
      <c r="H16" s="367"/>
      <c r="I16" s="268"/>
      <c r="J16" s="326"/>
      <c r="K16" s="170">
        <v>360120</v>
      </c>
      <c r="L16" s="295"/>
      <c r="M16" s="170">
        <v>361233</v>
      </c>
      <c r="N16" s="295"/>
      <c r="O16" s="170">
        <v>362158</v>
      </c>
      <c r="P16" s="295"/>
      <c r="Q16" s="268"/>
      <c r="R16" s="326"/>
      <c r="S16" s="268"/>
      <c r="T16" s="326"/>
      <c r="U16" s="268"/>
      <c r="V16" s="326"/>
      <c r="W16" s="170"/>
      <c r="X16" s="295"/>
      <c r="Y16" s="170"/>
      <c r="Z16" s="295"/>
      <c r="AA16" s="170"/>
      <c r="AB16" s="298"/>
      <c r="AC16" s="170"/>
      <c r="AD16" s="295"/>
      <c r="AE16" s="170"/>
      <c r="AF16" s="298"/>
      <c r="AG16" s="170"/>
      <c r="AH16" s="298"/>
      <c r="AI16" s="170"/>
      <c r="AJ16" s="298"/>
      <c r="AK16" s="170"/>
      <c r="AL16" s="295"/>
      <c r="AM16" s="273"/>
      <c r="AN16" s="292"/>
      <c r="AO16" s="268">
        <v>0</v>
      </c>
      <c r="AP16" s="326"/>
      <c r="AQ16" s="170"/>
      <c r="AR16" s="295"/>
      <c r="AS16" s="170"/>
      <c r="AT16" s="298"/>
      <c r="AU16" s="170"/>
      <c r="AV16" s="298"/>
      <c r="AW16" s="170"/>
      <c r="AX16" s="298"/>
      <c r="AY16" s="275"/>
      <c r="AZ16" s="392"/>
      <c r="BA16" s="275"/>
      <c r="BB16" s="392"/>
      <c r="BC16" s="170"/>
      <c r="BD16" s="295"/>
      <c r="BE16" s="170">
        <v>375129</v>
      </c>
      <c r="BF16" s="295"/>
      <c r="BG16" s="170">
        <v>375889</v>
      </c>
      <c r="BH16" s="298"/>
      <c r="BI16" s="170"/>
      <c r="BJ16" s="298"/>
      <c r="BK16" s="170"/>
      <c r="BL16" s="298"/>
      <c r="BM16" s="273"/>
      <c r="BN16" s="292"/>
      <c r="BO16" s="170"/>
      <c r="BP16" s="298"/>
    </row>
    <row r="17" spans="1:68" ht="15" hidden="1" customHeight="1" x14ac:dyDescent="0.25">
      <c r="A17" s="310"/>
      <c r="B17" s="341"/>
      <c r="C17" s="174" t="s">
        <v>103</v>
      </c>
      <c r="D17" s="180" t="s">
        <v>115</v>
      </c>
      <c r="E17" s="181">
        <f>SUM(W17,Y17,AK17,AM17,AY17,BA17,BO17,I17,K17,AA17,U17,S17,Q17,O17,M17,G17,AC17,AE17,AG17,AI17,AO17,AQ17,AS17,AU17,AW17,BC17,BE17,BG17,BI17,BK17,BM17)</f>
        <v>4992</v>
      </c>
      <c r="F17" s="110"/>
      <c r="G17" s="257">
        <f>G16-G15</f>
        <v>0</v>
      </c>
      <c r="H17" s="367"/>
      <c r="I17" s="268"/>
      <c r="J17" s="326"/>
      <c r="K17" s="170">
        <f>K16-K15</f>
        <v>947</v>
      </c>
      <c r="L17" s="295"/>
      <c r="M17" s="170">
        <f>M16-M15</f>
        <v>1113</v>
      </c>
      <c r="N17" s="295"/>
      <c r="O17" s="170">
        <f>O16-O15</f>
        <v>925</v>
      </c>
      <c r="P17" s="295"/>
      <c r="Q17" s="268"/>
      <c r="R17" s="326"/>
      <c r="S17" s="268">
        <f>S16-S15</f>
        <v>0</v>
      </c>
      <c r="T17" s="326"/>
      <c r="U17" s="268">
        <f>U16-U15</f>
        <v>0</v>
      </c>
      <c r="V17" s="326"/>
      <c r="W17" s="170"/>
      <c r="X17" s="295"/>
      <c r="Y17" s="170">
        <f>Y16-Y15</f>
        <v>0</v>
      </c>
      <c r="Z17" s="295"/>
      <c r="AA17" s="170"/>
      <c r="AB17" s="298"/>
      <c r="AC17" s="170"/>
      <c r="AD17" s="295"/>
      <c r="AE17" s="170"/>
      <c r="AF17" s="298"/>
      <c r="AG17" s="170">
        <f>AG16-AG15</f>
        <v>0</v>
      </c>
      <c r="AH17" s="298"/>
      <c r="AI17" s="170">
        <f>AI16-AI15</f>
        <v>0</v>
      </c>
      <c r="AJ17" s="298"/>
      <c r="AK17" s="170"/>
      <c r="AL17" s="295"/>
      <c r="AM17" s="273">
        <f>AM16-AM15</f>
        <v>0</v>
      </c>
      <c r="AN17" s="292"/>
      <c r="AO17" s="268">
        <f>AO16-AO15</f>
        <v>0</v>
      </c>
      <c r="AP17" s="326"/>
      <c r="AQ17" s="170">
        <f>AQ16-AQ15</f>
        <v>0</v>
      </c>
      <c r="AR17" s="295"/>
      <c r="AS17" s="170"/>
      <c r="AT17" s="298"/>
      <c r="AU17" s="170">
        <f>AU16-AU15</f>
        <v>0</v>
      </c>
      <c r="AV17" s="298"/>
      <c r="AW17" s="170">
        <f>AW16-AW15</f>
        <v>0</v>
      </c>
      <c r="AX17" s="298"/>
      <c r="AY17" s="275">
        <f>AY16-AY15</f>
        <v>0</v>
      </c>
      <c r="AZ17" s="392"/>
      <c r="BA17" s="275">
        <f>BA16-BA15</f>
        <v>0</v>
      </c>
      <c r="BB17" s="392"/>
      <c r="BC17" s="170">
        <f>BC16-BC15</f>
        <v>0</v>
      </c>
      <c r="BD17" s="295"/>
      <c r="BE17" s="170">
        <f>BE16-BE15</f>
        <v>1247</v>
      </c>
      <c r="BF17" s="295"/>
      <c r="BG17" s="170">
        <f>BG16-BG15</f>
        <v>760</v>
      </c>
      <c r="BH17" s="298"/>
      <c r="BI17" s="170">
        <f>BI16-BI15</f>
        <v>0</v>
      </c>
      <c r="BJ17" s="298"/>
      <c r="BK17" s="170">
        <f>BK16-BK15</f>
        <v>0</v>
      </c>
      <c r="BL17" s="298"/>
      <c r="BM17" s="273">
        <f>BM16-BM15</f>
        <v>0</v>
      </c>
      <c r="BN17" s="292"/>
      <c r="BO17" s="170">
        <f>BO16-BO15</f>
        <v>0</v>
      </c>
      <c r="BP17" s="298"/>
    </row>
    <row r="18" spans="1:68" ht="15" hidden="1" customHeight="1" x14ac:dyDescent="0.25">
      <c r="A18" s="310"/>
      <c r="B18" s="339" t="s">
        <v>104</v>
      </c>
      <c r="C18" s="174" t="s">
        <v>112</v>
      </c>
      <c r="D18" s="180" t="s">
        <v>118</v>
      </c>
      <c r="E18" s="181">
        <f>SUM(W18,Y18,AK18,AM18,AY18,BA18,BO18,I18,K18,AA18,U18,S18,Q18,O18,M18,G18,AC18,AE18,AG18,AI18,AO18,AQ18,AS18,AU18,AW18,BC18,BE18,BG18,BI18,BK18,BM18)</f>
        <v>10.5</v>
      </c>
      <c r="F18" s="110"/>
      <c r="G18" s="257"/>
      <c r="H18" s="367"/>
      <c r="I18" s="268"/>
      <c r="J18" s="326"/>
      <c r="K18" s="170">
        <v>2</v>
      </c>
      <c r="L18" s="295"/>
      <c r="M18" s="170">
        <v>2.5</v>
      </c>
      <c r="N18" s="295"/>
      <c r="O18" s="170">
        <v>1</v>
      </c>
      <c r="P18" s="295"/>
      <c r="Q18" s="268"/>
      <c r="R18" s="326"/>
      <c r="S18" s="268"/>
      <c r="T18" s="326"/>
      <c r="U18" s="268"/>
      <c r="V18" s="326"/>
      <c r="W18" s="170"/>
      <c r="X18" s="295"/>
      <c r="Y18" s="170"/>
      <c r="Z18" s="295"/>
      <c r="AA18" s="170"/>
      <c r="AB18" s="298"/>
      <c r="AC18" s="170"/>
      <c r="AD18" s="295"/>
      <c r="AE18" s="170"/>
      <c r="AF18" s="298"/>
      <c r="AG18" s="170"/>
      <c r="AH18" s="298"/>
      <c r="AI18" s="170"/>
      <c r="AJ18" s="298"/>
      <c r="AK18" s="170"/>
      <c r="AL18" s="295"/>
      <c r="AM18" s="273"/>
      <c r="AN18" s="292"/>
      <c r="AO18" s="268">
        <v>0</v>
      </c>
      <c r="AP18" s="326"/>
      <c r="AQ18" s="170"/>
      <c r="AR18" s="295"/>
      <c r="AS18" s="170"/>
      <c r="AT18" s="298"/>
      <c r="AU18" s="170"/>
      <c r="AV18" s="298"/>
      <c r="AW18" s="170"/>
      <c r="AX18" s="298"/>
      <c r="AY18" s="275"/>
      <c r="AZ18" s="392"/>
      <c r="BA18" s="275"/>
      <c r="BB18" s="392"/>
      <c r="BC18" s="170"/>
      <c r="BD18" s="295"/>
      <c r="BE18" s="170">
        <v>4</v>
      </c>
      <c r="BF18" s="295"/>
      <c r="BG18" s="170">
        <v>1</v>
      </c>
      <c r="BH18" s="298"/>
      <c r="BI18" s="170"/>
      <c r="BJ18" s="298"/>
      <c r="BK18" s="170"/>
      <c r="BL18" s="298"/>
      <c r="BM18" s="273"/>
      <c r="BN18" s="292"/>
      <c r="BO18" s="170"/>
      <c r="BP18" s="298"/>
    </row>
    <row r="19" spans="1:68" ht="15" hidden="1" customHeight="1" thickBot="1" x14ac:dyDescent="0.3">
      <c r="A19" s="310"/>
      <c r="B19" s="342"/>
      <c r="C19" s="175" t="s">
        <v>113</v>
      </c>
      <c r="D19" s="180" t="s">
        <v>118</v>
      </c>
      <c r="E19" s="181">
        <f>SUM(W19,Y19,AK19,AM19,AY19,BA19,BO19,I19,K19,AA19,U19,S19,Q19,O19,M19,G19,AC19,AE19,AG19,AI19,AO19,AQ19,AS19,AU19,AW19,BC19,BE19,BG19,BI19,BK19,BM19)</f>
        <v>10.5</v>
      </c>
      <c r="F19" s="110"/>
      <c r="G19" s="257"/>
      <c r="H19" s="368"/>
      <c r="I19" s="268"/>
      <c r="J19" s="327"/>
      <c r="K19" s="170">
        <v>2</v>
      </c>
      <c r="L19" s="296"/>
      <c r="M19" s="170">
        <v>2</v>
      </c>
      <c r="N19" s="296"/>
      <c r="O19" s="170">
        <v>1.5</v>
      </c>
      <c r="P19" s="296"/>
      <c r="Q19" s="268"/>
      <c r="R19" s="327"/>
      <c r="S19" s="268"/>
      <c r="T19" s="327"/>
      <c r="U19" s="268"/>
      <c r="V19" s="327"/>
      <c r="W19" s="170"/>
      <c r="X19" s="296"/>
      <c r="Y19" s="170"/>
      <c r="Z19" s="296"/>
      <c r="AA19" s="170"/>
      <c r="AB19" s="299"/>
      <c r="AC19" s="170"/>
      <c r="AD19" s="296"/>
      <c r="AE19" s="170"/>
      <c r="AF19" s="299"/>
      <c r="AG19" s="170"/>
      <c r="AH19" s="299"/>
      <c r="AI19" s="170"/>
      <c r="AJ19" s="299"/>
      <c r="AK19" s="170"/>
      <c r="AL19" s="296"/>
      <c r="AM19" s="273"/>
      <c r="AN19" s="293"/>
      <c r="AO19" s="268">
        <v>0</v>
      </c>
      <c r="AP19" s="327"/>
      <c r="AQ19" s="170"/>
      <c r="AR19" s="296"/>
      <c r="AS19" s="170"/>
      <c r="AT19" s="299"/>
      <c r="AU19" s="170"/>
      <c r="AV19" s="299"/>
      <c r="AW19" s="170"/>
      <c r="AX19" s="299"/>
      <c r="AY19" s="275"/>
      <c r="AZ19" s="393"/>
      <c r="BA19" s="275"/>
      <c r="BB19" s="393"/>
      <c r="BC19" s="170"/>
      <c r="BD19" s="296"/>
      <c r="BE19" s="170">
        <v>2.5</v>
      </c>
      <c r="BF19" s="296"/>
      <c r="BG19" s="170">
        <v>2.5</v>
      </c>
      <c r="BH19" s="299"/>
      <c r="BI19" s="170"/>
      <c r="BJ19" s="299"/>
      <c r="BK19" s="170"/>
      <c r="BL19" s="299"/>
      <c r="BM19" s="273"/>
      <c r="BN19" s="293"/>
      <c r="BO19" s="170"/>
      <c r="BP19" s="299"/>
    </row>
    <row r="20" spans="1:68" ht="15" hidden="1" customHeight="1" thickBot="1" x14ac:dyDescent="0.3">
      <c r="A20" s="311"/>
      <c r="B20" s="354" t="s">
        <v>117</v>
      </c>
      <c r="C20" s="355"/>
      <c r="D20" s="180" t="s">
        <v>115</v>
      </c>
      <c r="E20" s="256">
        <f>SUM(W20,Y20,AK20,AM20,AY20,BA20,BO20,I20,K20,AA20,U20,S20,Q20,O20,M20,G20,AC20,AE20,AG20,AI20,AO20,AQ20,AS20,AU20,AW20,BC20,BE20,BG20,BI20,BK20,BM20)</f>
        <v>163.8368541250357</v>
      </c>
      <c r="F20" s="110"/>
      <c r="G20" s="257"/>
      <c r="H20" s="258" t="e">
        <f t="shared" ref="H20" si="1">SUM(H10:H14)</f>
        <v>#DIV/0!</v>
      </c>
      <c r="I20" s="268"/>
      <c r="J20" s="269"/>
      <c r="K20" s="170">
        <f>SUM(K10+K11+K12+(K13/113)+(K14/93))</f>
        <v>36.517841849842995</v>
      </c>
      <c r="L20" s="166"/>
      <c r="M20" s="170">
        <f>SUM(M10+M11+M12+(M13/113)+(M14/93))</f>
        <v>46.343134456180415</v>
      </c>
      <c r="N20" s="166">
        <f t="shared" ref="N20" si="2">SUM(N10:N14)</f>
        <v>1</v>
      </c>
      <c r="O20" s="170">
        <f>SUM(O10+O11+O12+(O13/113)+(O14/93))</f>
        <v>21.922637739080788</v>
      </c>
      <c r="P20" s="166">
        <f t="shared" ref="P20" si="3">SUM(P10:P14)</f>
        <v>1</v>
      </c>
      <c r="Q20" s="268">
        <f>SUM(Q10+Q11+Q12+(Q13/113)+(Q14/93))</f>
        <v>0</v>
      </c>
      <c r="R20" s="269" t="e">
        <f t="shared" ref="R20" si="4">SUM(R10:R14)</f>
        <v>#DIV/0!</v>
      </c>
      <c r="S20" s="268">
        <f>SUM(S10+S11+S12+(S13/113)+(S14/93))</f>
        <v>0</v>
      </c>
      <c r="T20" s="269" t="e">
        <f t="shared" ref="T20" si="5">SUM(T10:T14)</f>
        <v>#DIV/0!</v>
      </c>
      <c r="U20" s="268">
        <f>SUM(U10+U11+U12+(U13/113)+(U14/93))</f>
        <v>0</v>
      </c>
      <c r="V20" s="269" t="e">
        <f t="shared" ref="V20" si="6">SUM(V10:V14)</f>
        <v>#DIV/0!</v>
      </c>
      <c r="W20" s="170">
        <f>SUM(W10+W11+W12+(W13/113)+(W14/93))</f>
        <v>0</v>
      </c>
      <c r="X20" s="166"/>
      <c r="Y20" s="170">
        <f>SUM(Y10+Y11+Y12+(Y13/113)+(Y14/93))</f>
        <v>0</v>
      </c>
      <c r="Z20" s="166"/>
      <c r="AA20" s="170">
        <f>SUM(AA10+AA11+AA12+(AA13/113)+(AA14/93))</f>
        <v>0</v>
      </c>
      <c r="AB20" s="166" t="e">
        <f t="shared" ref="AB20" si="7">SUM(AB10:AB14)</f>
        <v>#DIV/0!</v>
      </c>
      <c r="AC20" s="170">
        <f>SUM(AC10+AC11+AC12+(AC13/113)+(AC14/93))</f>
        <v>0</v>
      </c>
      <c r="AD20" s="166" t="e">
        <f t="shared" ref="AD20" si="8">SUM(AD10:AD14)</f>
        <v>#DIV/0!</v>
      </c>
      <c r="AE20" s="170">
        <f>SUM(AE10+AE11+AE12+(AE13/113)+(AE14/93))</f>
        <v>0</v>
      </c>
      <c r="AF20" s="166" t="e">
        <f t="shared" ref="AF20" si="9">SUM(AF10:AF14)</f>
        <v>#DIV/0!</v>
      </c>
      <c r="AG20" s="170">
        <f>SUM(AG10+AG11+AG12+(AG13/113)+(AG14/93))</f>
        <v>0</v>
      </c>
      <c r="AH20" s="166" t="e">
        <f t="shared" ref="AH20" si="10">SUM(AH10:AH14)</f>
        <v>#DIV/0!</v>
      </c>
      <c r="AI20" s="170">
        <f>SUM(AI10+AI11+AI12+(AI13/113)+(AI14/93))</f>
        <v>0</v>
      </c>
      <c r="AJ20" s="166" t="e">
        <f t="shared" ref="AJ20" si="11">SUM(AJ10:AJ14)</f>
        <v>#DIV/0!</v>
      </c>
      <c r="AK20" s="170"/>
      <c r="AL20" s="166" t="e">
        <f t="shared" ref="AL20" si="12">SUM(AL10:AL14)</f>
        <v>#DIV/0!</v>
      </c>
      <c r="AM20" s="273">
        <f>SUM(AM10+AM11+AM12+(AM13/113)+(AM14/93))</f>
        <v>0</v>
      </c>
      <c r="AN20" s="274"/>
      <c r="AO20" s="268">
        <f>SUM(AO10+AO11+AO12+(AO13/113)+(AO14/93))</f>
        <v>0</v>
      </c>
      <c r="AP20" s="269" t="e">
        <f t="shared" ref="AP20" si="13">SUM(AP10:AP14)</f>
        <v>#DIV/0!</v>
      </c>
      <c r="AQ20" s="268">
        <f>SUM(AQ10+AQ11+AQ12+(AQ13/113)+(AQ14/93))</f>
        <v>0</v>
      </c>
      <c r="AR20" s="269" t="e">
        <f t="shared" ref="AR20" si="14">SUM(AR10:AR14)</f>
        <v>#DIV/0!</v>
      </c>
      <c r="AS20" s="170">
        <f>SUM(AS10+AS11+AS12+(AS13/113)+(AS14/93))</f>
        <v>0</v>
      </c>
      <c r="AT20" s="166" t="e">
        <f t="shared" ref="AT20" si="15">SUM(AT10:AT14)</f>
        <v>#DIV/0!</v>
      </c>
      <c r="AU20" s="170">
        <f>SUM(AU10+AU11+AU12+(AU13/113)+(AU14/93))</f>
        <v>0</v>
      </c>
      <c r="AV20" s="166" t="e">
        <f t="shared" ref="AV20" si="16">SUM(AV10:AV14)</f>
        <v>#DIV/0!</v>
      </c>
      <c r="AW20" s="170">
        <f>SUM(AW10+AW11+AW12+(AW13/113)+(AW14/93))</f>
        <v>0</v>
      </c>
      <c r="AX20" s="166" t="e">
        <f t="shared" ref="AX20" si="17">SUM(AX10:AX14)</f>
        <v>#DIV/0!</v>
      </c>
      <c r="AY20" s="275">
        <f>SUM(AY10+AY11+AY12+(AY13/113)+(AY14/93))</f>
        <v>0</v>
      </c>
      <c r="AZ20" s="276"/>
      <c r="BA20" s="275">
        <f>SUM(BA10+BA11+BA12+(BA13/113)+(BA14/93))</f>
        <v>0</v>
      </c>
      <c r="BB20" s="276" t="e">
        <f t="shared" ref="BB20" si="18">SUM(BB10:BB14)</f>
        <v>#DIV/0!</v>
      </c>
      <c r="BC20" s="170">
        <f>SUM(BC10+BC11+BC12+(BC13/113)+(BC14/93))</f>
        <v>0</v>
      </c>
      <c r="BD20" s="166" t="e">
        <f t="shared" ref="BD20" si="19">SUM(BD10:BD14)</f>
        <v>#DIV/0!</v>
      </c>
      <c r="BE20" s="170">
        <f>SUM(BE10+BE11+BE12+(BE13/113)+(BE14/93))</f>
        <v>34.553240079931484</v>
      </c>
      <c r="BF20" s="166">
        <f t="shared" ref="BF20" si="20">SUM(BF10:BF14)</f>
        <v>1</v>
      </c>
      <c r="BG20" s="170">
        <f>SUM(BG10+BG11+BG12+(BG13/113)+(BG14/93))</f>
        <v>24.5</v>
      </c>
      <c r="BH20" s="166">
        <f t="shared" ref="BH20" si="21">SUM(BH10:BH14)</f>
        <v>1</v>
      </c>
      <c r="BI20" s="170">
        <f>SUM(BI10+BI11+BI12+(BI13/113)+(BI14/93))</f>
        <v>0</v>
      </c>
      <c r="BJ20" s="166" t="e">
        <f t="shared" ref="BJ20" si="22">SUM(BJ10:BJ14)</f>
        <v>#DIV/0!</v>
      </c>
      <c r="BK20" s="170">
        <f>SUM(BK10+BK11+BK12+(BK13/113)+(BK14/93))</f>
        <v>0</v>
      </c>
      <c r="BL20" s="166" t="e">
        <f t="shared" ref="BL20" si="23">SUM(BL10:BL14)</f>
        <v>#DIV/0!</v>
      </c>
      <c r="BM20" s="273">
        <f>SUM(BM10+BM11+BM12+(BM13/113)+(BM14/93))</f>
        <v>0</v>
      </c>
      <c r="BN20" s="274"/>
      <c r="BO20" s="170">
        <f>SUM(BO10+BO11+BO12+(BO13/113)+(BO14/93))</f>
        <v>0</v>
      </c>
      <c r="BP20" s="166" t="e">
        <f t="shared" ref="BP20" si="24">SUM(BP10:BP14)</f>
        <v>#DIV/0!</v>
      </c>
    </row>
    <row r="21" spans="1:68" ht="15" customHeight="1" x14ac:dyDescent="0.25">
      <c r="A21" s="314" t="s">
        <v>100</v>
      </c>
      <c r="B21" s="312" t="s">
        <v>122</v>
      </c>
      <c r="C21" s="313"/>
      <c r="D21" s="167" t="s">
        <v>123</v>
      </c>
      <c r="E21" s="170">
        <f>SUM(,K21,M21,O21,Q21,W21,S21,I21,U21,G21,Y21,AA21,AC21,AE21,AG21,AI21,AK21,AM21,AO21,AQ21,AS21,AU21,AW21,AY21,BA21,BC21,BE21,BG21,BI21,BK21,BM21,BO21)</f>
        <v>31</v>
      </c>
      <c r="F21" s="72"/>
      <c r="G21" s="300"/>
      <c r="H21" s="301"/>
      <c r="I21" s="306"/>
      <c r="J21" s="307"/>
      <c r="K21" s="306"/>
      <c r="L21" s="307"/>
      <c r="M21" s="300"/>
      <c r="N21" s="301"/>
      <c r="O21" s="300"/>
      <c r="P21" s="301"/>
      <c r="Q21" s="300"/>
      <c r="R21" s="301"/>
      <c r="S21" s="300"/>
      <c r="T21" s="301"/>
      <c r="U21" s="300"/>
      <c r="V21" s="301"/>
      <c r="W21" s="306"/>
      <c r="X21" s="307"/>
      <c r="Y21" s="306"/>
      <c r="Z21" s="307"/>
      <c r="AA21" s="300"/>
      <c r="AB21" s="301"/>
      <c r="AC21" s="300"/>
      <c r="AD21" s="301"/>
      <c r="AE21" s="300"/>
      <c r="AF21" s="301"/>
      <c r="AG21" s="300"/>
      <c r="AH21" s="301"/>
      <c r="AI21" s="300"/>
      <c r="AJ21" s="301"/>
      <c r="AK21" s="306"/>
      <c r="AL21" s="307"/>
      <c r="AM21" s="306"/>
      <c r="AN21" s="307"/>
      <c r="AO21" s="300">
        <v>5</v>
      </c>
      <c r="AP21" s="301"/>
      <c r="AQ21" s="300">
        <v>0</v>
      </c>
      <c r="AR21" s="301"/>
      <c r="AS21" s="300"/>
      <c r="AT21" s="301"/>
      <c r="AU21" s="300"/>
      <c r="AV21" s="301"/>
      <c r="AW21" s="300"/>
      <c r="AX21" s="301"/>
      <c r="AY21" s="306"/>
      <c r="AZ21" s="307"/>
      <c r="BA21" s="306"/>
      <c r="BB21" s="307"/>
      <c r="BC21" s="300">
        <v>15</v>
      </c>
      <c r="BD21" s="301"/>
      <c r="BE21" s="300">
        <v>3</v>
      </c>
      <c r="BF21" s="301"/>
      <c r="BG21" s="300">
        <v>8</v>
      </c>
      <c r="BH21" s="301"/>
      <c r="BI21" s="300"/>
      <c r="BJ21" s="301"/>
      <c r="BK21" s="300"/>
      <c r="BL21" s="301"/>
      <c r="BM21" s="306"/>
      <c r="BN21" s="307"/>
      <c r="BO21" s="300"/>
      <c r="BP21" s="301"/>
    </row>
    <row r="22" spans="1:68" ht="15" customHeight="1" x14ac:dyDescent="0.25">
      <c r="A22" s="314"/>
      <c r="B22" s="335" t="s">
        <v>163</v>
      </c>
      <c r="C22" s="336"/>
      <c r="D22" s="328"/>
      <c r="E22" s="329"/>
      <c r="F22" s="72"/>
      <c r="G22" s="300"/>
      <c r="H22" s="301"/>
      <c r="I22" s="306"/>
      <c r="J22" s="307"/>
      <c r="K22" s="306"/>
      <c r="L22" s="307"/>
      <c r="M22" s="300"/>
      <c r="N22" s="301"/>
      <c r="O22" s="300"/>
      <c r="P22" s="301"/>
      <c r="Q22" s="300"/>
      <c r="R22" s="301"/>
      <c r="S22" s="300"/>
      <c r="T22" s="301"/>
      <c r="U22" s="300"/>
      <c r="V22" s="301"/>
      <c r="W22" s="306"/>
      <c r="X22" s="307"/>
      <c r="Y22" s="306"/>
      <c r="Z22" s="307"/>
      <c r="AA22" s="300"/>
      <c r="AB22" s="301"/>
      <c r="AC22" s="300"/>
      <c r="AD22" s="301"/>
      <c r="AE22" s="300"/>
      <c r="AF22" s="301"/>
      <c r="AG22" s="300"/>
      <c r="AH22" s="301"/>
      <c r="AI22" s="300"/>
      <c r="AJ22" s="301"/>
      <c r="AK22" s="306"/>
      <c r="AL22" s="307"/>
      <c r="AM22" s="306"/>
      <c r="AN22" s="307"/>
      <c r="AO22" s="300"/>
      <c r="AP22" s="301"/>
      <c r="AQ22" s="300" t="s">
        <v>173</v>
      </c>
      <c r="AR22" s="301"/>
      <c r="AS22" s="300"/>
      <c r="AT22" s="301"/>
      <c r="AU22" s="300"/>
      <c r="AV22" s="301"/>
      <c r="AW22" s="300" t="s">
        <v>176</v>
      </c>
      <c r="AX22" s="301"/>
      <c r="AY22" s="306"/>
      <c r="AZ22" s="307"/>
      <c r="BA22" s="306"/>
      <c r="BB22" s="307"/>
      <c r="BC22" s="300"/>
      <c r="BD22" s="301"/>
      <c r="BE22" s="300"/>
      <c r="BF22" s="301"/>
      <c r="BG22" s="300" t="s">
        <v>177</v>
      </c>
      <c r="BH22" s="301"/>
      <c r="BI22" s="300"/>
      <c r="BJ22" s="301"/>
      <c r="BK22" s="300"/>
      <c r="BL22" s="301"/>
      <c r="BM22" s="306"/>
      <c r="BN22" s="307"/>
      <c r="BO22" s="300"/>
      <c r="BP22" s="301"/>
    </row>
    <row r="23" spans="1:68" ht="20.100000000000001" customHeight="1" x14ac:dyDescent="0.25">
      <c r="A23" s="314"/>
      <c r="B23" s="163" t="str">
        <f>+'1 - Produits'!B12</f>
        <v>PCC</v>
      </c>
      <c r="C23" s="114" t="str">
        <f>+'1 - Produits'!C12</f>
        <v xml:space="preserve">Perlite construction </v>
      </c>
      <c r="D23" s="169" t="s">
        <v>115</v>
      </c>
      <c r="E23" s="170">
        <f>SUM(,K23,M23,O23,Q23,W23,S23,I23,U23,G23,Y23,AA23,AC23,AE23,AG23,AI23,AK23,AM23,AO23,AQ23,AS23,AU23,AW23,AY23,BA23,BC23,BE23,BG23,BI23,BK23,BM23,BO23)</f>
        <v>124</v>
      </c>
      <c r="F23" s="72"/>
      <c r="G23" s="170"/>
      <c r="H23" s="166" t="e">
        <f>G23/G30</f>
        <v>#DIV/0!</v>
      </c>
      <c r="I23" s="257"/>
      <c r="J23" s="258"/>
      <c r="K23" s="257"/>
      <c r="L23" s="258"/>
      <c r="M23" s="170"/>
      <c r="N23" s="166" t="e">
        <f>M23/M30</f>
        <v>#DIV/0!</v>
      </c>
      <c r="O23" s="170"/>
      <c r="P23" s="166" t="e">
        <f>O23/O30</f>
        <v>#DIV/0!</v>
      </c>
      <c r="Q23" s="170"/>
      <c r="R23" s="166" t="e">
        <f>Q23/Q30</f>
        <v>#DIV/0!</v>
      </c>
      <c r="S23" s="170"/>
      <c r="T23" s="166" t="e">
        <f>S23/S30</f>
        <v>#DIV/0!</v>
      </c>
      <c r="U23" s="170"/>
      <c r="V23" s="166" t="e">
        <f>U23/U30</f>
        <v>#DIV/0!</v>
      </c>
      <c r="W23" s="257"/>
      <c r="X23" s="258"/>
      <c r="Y23" s="257"/>
      <c r="Z23" s="258"/>
      <c r="AA23" s="170"/>
      <c r="AB23" s="166" t="e">
        <f>AA23/AA30</f>
        <v>#DIV/0!</v>
      </c>
      <c r="AC23" s="170"/>
      <c r="AD23" s="166" t="e">
        <f>AC23/AC30</f>
        <v>#DIV/0!</v>
      </c>
      <c r="AE23" s="170"/>
      <c r="AF23" s="166" t="e">
        <f>AE23/AE30</f>
        <v>#DIV/0!</v>
      </c>
      <c r="AG23" s="170"/>
      <c r="AH23" s="166" t="e">
        <f>AG23/AG30</f>
        <v>#DIV/0!</v>
      </c>
      <c r="AI23" s="170"/>
      <c r="AJ23" s="166" t="e">
        <f>AI23/AI30</f>
        <v>#DIV/0!</v>
      </c>
      <c r="AK23" s="257"/>
      <c r="AL23" s="258"/>
      <c r="AM23" s="257"/>
      <c r="AN23" s="258"/>
      <c r="AO23" s="170">
        <v>21</v>
      </c>
      <c r="AP23" s="166">
        <f>AO23/AO30</f>
        <v>1</v>
      </c>
      <c r="AQ23" s="170">
        <v>0</v>
      </c>
      <c r="AR23" s="166" t="e">
        <f>AQ23/AQ30</f>
        <v>#DIV/0!</v>
      </c>
      <c r="AS23" s="170"/>
      <c r="AT23" s="166" t="e">
        <f>AS23/AS30</f>
        <v>#DIV/0!</v>
      </c>
      <c r="AU23" s="170"/>
      <c r="AV23" s="166" t="e">
        <f>AU23/AU30</f>
        <v>#DIV/0!</v>
      </c>
      <c r="AW23" s="170">
        <v>0</v>
      </c>
      <c r="AX23" s="166" t="e">
        <f>AW23/AW30</f>
        <v>#DIV/0!</v>
      </c>
      <c r="AY23" s="257"/>
      <c r="AZ23" s="258"/>
      <c r="BA23" s="257"/>
      <c r="BB23" s="258"/>
      <c r="BC23" s="170">
        <v>67</v>
      </c>
      <c r="BD23" s="166">
        <f>BC23/BC30</f>
        <v>0.93321885136424343</v>
      </c>
      <c r="BE23" s="170">
        <v>9</v>
      </c>
      <c r="BF23" s="166">
        <f>BE23/BE30</f>
        <v>0.92927864214992928</v>
      </c>
      <c r="BG23" s="170">
        <v>27</v>
      </c>
      <c r="BH23" s="166">
        <f>BG23/BG30</f>
        <v>0.92927864214992928</v>
      </c>
      <c r="BI23" s="170"/>
      <c r="BJ23" s="166" t="e">
        <f>BI23/BI30</f>
        <v>#DIV/0!</v>
      </c>
      <c r="BK23" s="170"/>
      <c r="BL23" s="166" t="e">
        <f>BK23/BK30</f>
        <v>#DIV/0!</v>
      </c>
      <c r="BM23" s="257"/>
      <c r="BN23" s="258"/>
      <c r="BO23" s="170"/>
      <c r="BP23" s="166" t="e">
        <f>BO23/BO30</f>
        <v>#DIV/0!</v>
      </c>
    </row>
    <row r="24" spans="1:68" ht="20.100000000000001" customHeight="1" x14ac:dyDescent="0.25">
      <c r="A24" s="314"/>
      <c r="B24" s="163" t="str">
        <f>+'1 - Produits'!B18</f>
        <v>PPF2</v>
      </c>
      <c r="C24" s="114" t="str">
        <f>+'1 - Produits'!C18</f>
        <v>Perlite PF2</v>
      </c>
      <c r="D24" s="169" t="s">
        <v>149</v>
      </c>
      <c r="E24" s="170">
        <f>SUM(,K24,M24,O24,Q24,W24,S24,I24,U24,G24,Y24,AA24,AC24,AE24,AG24,AI24,AK24,AM24,AO24,AQ24,AS24,AU24,AW24,AY24,BA24,BC24,BE24,BG24,BI24,BK24,BM24,BO24)</f>
        <v>550</v>
      </c>
      <c r="F24" s="72"/>
      <c r="G24" s="170"/>
      <c r="H24" s="166" t="e">
        <f>(G24/73)/G30</f>
        <v>#DIV/0!</v>
      </c>
      <c r="I24" s="257"/>
      <c r="J24" s="258"/>
      <c r="K24" s="257"/>
      <c r="L24" s="258"/>
      <c r="M24" s="170"/>
      <c r="N24" s="166" t="e">
        <f>(M24/73)/M30</f>
        <v>#DIV/0!</v>
      </c>
      <c r="O24" s="170"/>
      <c r="P24" s="166" t="e">
        <f>(O24/73)/O30</f>
        <v>#DIV/0!</v>
      </c>
      <c r="Q24" s="170"/>
      <c r="R24" s="166" t="e">
        <f>(Q24/73)/Q30</f>
        <v>#DIV/0!</v>
      </c>
      <c r="S24" s="170"/>
      <c r="T24" s="166" t="e">
        <f>(S24/73)/S30</f>
        <v>#DIV/0!</v>
      </c>
      <c r="U24" s="170"/>
      <c r="V24" s="166" t="e">
        <f>(U24/73)/U30</f>
        <v>#DIV/0!</v>
      </c>
      <c r="W24" s="257"/>
      <c r="X24" s="258"/>
      <c r="Y24" s="257"/>
      <c r="Z24" s="258"/>
      <c r="AA24" s="170"/>
      <c r="AB24" s="166" t="e">
        <f>(AA24/73)/AA30</f>
        <v>#DIV/0!</v>
      </c>
      <c r="AC24" s="170"/>
      <c r="AD24" s="166" t="e">
        <f>(AC24/73)/AC30</f>
        <v>#DIV/0!</v>
      </c>
      <c r="AE24" s="170"/>
      <c r="AF24" s="166" t="e">
        <f>(AE24/73)/AE30</f>
        <v>#DIV/0!</v>
      </c>
      <c r="AG24" s="170"/>
      <c r="AH24" s="166" t="e">
        <f>(AG24/73)/AG30</f>
        <v>#DIV/0!</v>
      </c>
      <c r="AI24" s="170"/>
      <c r="AJ24" s="166" t="e">
        <f>(AI24/73)/AI30</f>
        <v>#DIV/0!</v>
      </c>
      <c r="AK24" s="257"/>
      <c r="AL24" s="258"/>
      <c r="AM24" s="257"/>
      <c r="AN24" s="258"/>
      <c r="AO24" s="170"/>
      <c r="AP24" s="166">
        <f>(AO24/73)/AO30</f>
        <v>0</v>
      </c>
      <c r="AQ24" s="170">
        <v>0</v>
      </c>
      <c r="AR24" s="166" t="e">
        <f>(AQ24/73)/AQ30</f>
        <v>#DIV/0!</v>
      </c>
      <c r="AS24" s="170"/>
      <c r="AT24" s="166" t="e">
        <f>(AS24/73)/AS30</f>
        <v>#DIV/0!</v>
      </c>
      <c r="AU24" s="170"/>
      <c r="AV24" s="166" t="e">
        <f>(AU24/73)/AU30</f>
        <v>#DIV/0!</v>
      </c>
      <c r="AW24" s="170">
        <v>0</v>
      </c>
      <c r="AX24" s="166" t="e">
        <f>(AW24/73)/AW30</f>
        <v>#DIV/0!</v>
      </c>
      <c r="AY24" s="257"/>
      <c r="AZ24" s="258"/>
      <c r="BA24" s="257"/>
      <c r="BB24" s="258"/>
      <c r="BC24" s="170">
        <v>350</v>
      </c>
      <c r="BD24" s="166">
        <f>(BC24/73)/BC30</f>
        <v>6.6781148635756529E-2</v>
      </c>
      <c r="BE24" s="170">
        <v>50</v>
      </c>
      <c r="BF24" s="166">
        <f>(BE24/73)/BE30</f>
        <v>7.0721357850070721E-2</v>
      </c>
      <c r="BG24" s="170">
        <v>150</v>
      </c>
      <c r="BH24" s="166">
        <f>(BG24/73)/BG30</f>
        <v>7.0721357850070735E-2</v>
      </c>
      <c r="BI24" s="170"/>
      <c r="BJ24" s="166" t="e">
        <f>(BI24/73)/BI30</f>
        <v>#DIV/0!</v>
      </c>
      <c r="BK24" s="170"/>
      <c r="BL24" s="166" t="e">
        <f>(BK24/73)/BK30</f>
        <v>#DIV/0!</v>
      </c>
      <c r="BM24" s="257"/>
      <c r="BN24" s="258"/>
      <c r="BO24" s="170"/>
      <c r="BP24" s="166" t="e">
        <f>BO24/BO30</f>
        <v>#DIV/0!</v>
      </c>
    </row>
    <row r="25" spans="1:68" ht="15" customHeight="1" x14ac:dyDescent="0.25">
      <c r="A25" s="314"/>
      <c r="B25" s="332" t="s">
        <v>103</v>
      </c>
      <c r="C25" s="114" t="str">
        <f>C15</f>
        <v>Debit gaz j-1</v>
      </c>
      <c r="D25" s="169" t="s">
        <v>115</v>
      </c>
      <c r="E25" s="195"/>
      <c r="F25" s="72"/>
      <c r="G25" s="170"/>
      <c r="H25" s="196"/>
      <c r="I25" s="257"/>
      <c r="J25" s="257"/>
      <c r="K25" s="257"/>
      <c r="L25" s="257"/>
      <c r="M25" s="111"/>
      <c r="N25" s="196"/>
      <c r="O25" s="170"/>
      <c r="P25" s="196"/>
      <c r="Q25" s="111"/>
      <c r="R25" s="196"/>
      <c r="S25" s="170"/>
      <c r="T25" s="196"/>
      <c r="U25" s="170"/>
      <c r="V25" s="196"/>
      <c r="W25" s="257"/>
      <c r="X25" s="257"/>
      <c r="Y25" s="257"/>
      <c r="Z25" s="257"/>
      <c r="AA25" s="111"/>
      <c r="AB25" s="196"/>
      <c r="AC25" s="170"/>
      <c r="AD25" s="196"/>
      <c r="AE25" s="111"/>
      <c r="AF25" s="196"/>
      <c r="AG25" s="111"/>
      <c r="AH25" s="196"/>
      <c r="AI25" s="170"/>
      <c r="AJ25" s="196"/>
      <c r="AK25" s="261"/>
      <c r="AL25" s="257"/>
      <c r="AM25" s="257"/>
      <c r="AN25" s="257"/>
      <c r="AO25" s="111">
        <v>372041</v>
      </c>
      <c r="AP25" s="196"/>
      <c r="AQ25" s="170">
        <v>0</v>
      </c>
      <c r="AR25" s="196"/>
      <c r="AS25" s="111"/>
      <c r="AT25" s="196"/>
      <c r="AU25" s="111"/>
      <c r="AV25" s="196"/>
      <c r="AW25" s="170"/>
      <c r="AX25" s="196"/>
      <c r="AY25" s="261"/>
      <c r="AZ25" s="257"/>
      <c r="BA25" s="257"/>
      <c r="BB25" s="257"/>
      <c r="BC25" s="281">
        <v>372670</v>
      </c>
      <c r="BD25" s="196"/>
      <c r="BE25" s="170"/>
      <c r="BF25" s="196"/>
      <c r="BG25" s="170">
        <v>375889</v>
      </c>
      <c r="BH25" s="196"/>
      <c r="BI25" s="111"/>
      <c r="BJ25" s="196"/>
      <c r="BK25" s="170"/>
      <c r="BL25" s="196"/>
      <c r="BM25" s="261"/>
      <c r="BN25" s="257"/>
      <c r="BO25" s="170"/>
      <c r="BP25" s="196"/>
    </row>
    <row r="26" spans="1:68" ht="15" customHeight="1" x14ac:dyDescent="0.25">
      <c r="A26" s="314"/>
      <c r="B26" s="333"/>
      <c r="C26" s="114" t="str">
        <f>C16</f>
        <v>Debit gaz j</v>
      </c>
      <c r="D26" s="169" t="s">
        <v>115</v>
      </c>
      <c r="E26" s="195"/>
      <c r="F26" s="72"/>
      <c r="G26" s="170"/>
      <c r="H26" s="196"/>
      <c r="I26" s="257"/>
      <c r="J26" s="257"/>
      <c r="K26" s="257"/>
      <c r="L26" s="257"/>
      <c r="M26" s="170"/>
      <c r="N26" s="196"/>
      <c r="O26" s="170"/>
      <c r="P26" s="196"/>
      <c r="Q26" s="170"/>
      <c r="R26" s="196"/>
      <c r="S26" s="170"/>
      <c r="T26" s="196"/>
      <c r="U26" s="170"/>
      <c r="V26" s="196"/>
      <c r="W26" s="257"/>
      <c r="X26" s="257"/>
      <c r="Y26" s="257"/>
      <c r="Z26" s="257"/>
      <c r="AA26" s="170"/>
      <c r="AB26" s="196"/>
      <c r="AC26" s="170"/>
      <c r="AD26" s="196"/>
      <c r="AE26" s="170"/>
      <c r="AF26" s="196"/>
      <c r="AG26" s="170"/>
      <c r="AH26" s="196"/>
      <c r="AI26" s="170"/>
      <c r="AJ26" s="196"/>
      <c r="AK26" s="257"/>
      <c r="AL26" s="257"/>
      <c r="AM26" s="257"/>
      <c r="AN26" s="257"/>
      <c r="AO26" s="170">
        <v>372580</v>
      </c>
      <c r="AP26" s="196"/>
      <c r="AQ26" s="170">
        <v>0</v>
      </c>
      <c r="AR26" s="196"/>
      <c r="AS26" s="170"/>
      <c r="AT26" s="196"/>
      <c r="AU26" s="170"/>
      <c r="AV26" s="196"/>
      <c r="AW26" s="170"/>
      <c r="AX26" s="196"/>
      <c r="AY26" s="257"/>
      <c r="AZ26" s="257"/>
      <c r="BA26" s="257"/>
      <c r="BB26" s="257"/>
      <c r="BC26" s="170">
        <v>373882</v>
      </c>
      <c r="BD26" s="196"/>
      <c r="BE26" s="170"/>
      <c r="BF26" s="196"/>
      <c r="BG26" s="170">
        <v>376297</v>
      </c>
      <c r="BH26" s="196"/>
      <c r="BI26" s="170"/>
      <c r="BJ26" s="196"/>
      <c r="BK26" s="170"/>
      <c r="BL26" s="196"/>
      <c r="BM26" s="257"/>
      <c r="BN26" s="257"/>
      <c r="BO26" s="170"/>
      <c r="BP26" s="196"/>
    </row>
    <row r="27" spans="1:68" ht="15" customHeight="1" x14ac:dyDescent="0.25">
      <c r="A27" s="314"/>
      <c r="B27" s="334"/>
      <c r="C27" s="114" t="str">
        <f>C17</f>
        <v>Consomation Gaz</v>
      </c>
      <c r="D27" s="169" t="s">
        <v>115</v>
      </c>
      <c r="E27" s="170">
        <f>SUM(,K27,M27,O27,Q27,W27,S27,I27,U27,G27,Y27,AA27,AC27,AE27,AG27,AI27,AK27,AM27,AO27,AQ27,AS27,AU27,AW27,AY27,BA27,BC27,BE27,BG27,BI27,BK27,BM27,BO27)</f>
        <v>2159</v>
      </c>
      <c r="F27" s="72"/>
      <c r="G27" s="170">
        <f>+G26-G25</f>
        <v>0</v>
      </c>
      <c r="H27" s="196"/>
      <c r="I27" s="257"/>
      <c r="J27" s="257"/>
      <c r="K27" s="257"/>
      <c r="L27" s="257"/>
      <c r="M27" s="170">
        <f>+M26-M25</f>
        <v>0</v>
      </c>
      <c r="N27" s="196"/>
      <c r="O27" s="170">
        <f>+O26-O25</f>
        <v>0</v>
      </c>
      <c r="P27" s="196"/>
      <c r="Q27" s="170">
        <f>+Q26-Q25</f>
        <v>0</v>
      </c>
      <c r="R27" s="196"/>
      <c r="S27" s="170">
        <f>+S26-S25</f>
        <v>0</v>
      </c>
      <c r="T27" s="196"/>
      <c r="U27" s="170">
        <f>+U26-U25</f>
        <v>0</v>
      </c>
      <c r="V27" s="196"/>
      <c r="W27" s="257"/>
      <c r="X27" s="257"/>
      <c r="Y27" s="257"/>
      <c r="Z27" s="257"/>
      <c r="AA27" s="170">
        <f>+AA26-AA25</f>
        <v>0</v>
      </c>
      <c r="AB27" s="196"/>
      <c r="AC27" s="170">
        <f>+AC26-AC25</f>
        <v>0</v>
      </c>
      <c r="AD27" s="196"/>
      <c r="AE27" s="170">
        <f>+AE26-AE25</f>
        <v>0</v>
      </c>
      <c r="AF27" s="196"/>
      <c r="AG27" s="170">
        <f>+AG26-AG25</f>
        <v>0</v>
      </c>
      <c r="AH27" s="196"/>
      <c r="AI27" s="170"/>
      <c r="AJ27" s="196"/>
      <c r="AK27" s="257"/>
      <c r="AL27" s="257"/>
      <c r="AM27" s="257"/>
      <c r="AN27" s="257"/>
      <c r="AO27" s="170">
        <f>+AO26-AO25</f>
        <v>539</v>
      </c>
      <c r="AP27" s="196"/>
      <c r="AQ27" s="170">
        <v>0</v>
      </c>
      <c r="AR27" s="196"/>
      <c r="AS27" s="170">
        <f>+AS26-AS25</f>
        <v>0</v>
      </c>
      <c r="AT27" s="196"/>
      <c r="AU27" s="170">
        <f>+AU26-AU25</f>
        <v>0</v>
      </c>
      <c r="AV27" s="196"/>
      <c r="AW27" s="170">
        <f>+AW26-AW25</f>
        <v>0</v>
      </c>
      <c r="AX27" s="196"/>
      <c r="AY27" s="257"/>
      <c r="AZ27" s="257"/>
      <c r="BA27" s="257"/>
      <c r="BB27" s="257"/>
      <c r="BC27" s="170">
        <f>+BC26-BC25</f>
        <v>1212</v>
      </c>
      <c r="BD27" s="196"/>
      <c r="BE27" s="170">
        <f>+BE26-BE25</f>
        <v>0</v>
      </c>
      <c r="BF27" s="196"/>
      <c r="BG27" s="170">
        <f>+BG26-BG25</f>
        <v>408</v>
      </c>
      <c r="BH27" s="196"/>
      <c r="BI27" s="170">
        <f>+BI26-BI25</f>
        <v>0</v>
      </c>
      <c r="BJ27" s="196"/>
      <c r="BK27" s="170">
        <f>+BK26-BK25</f>
        <v>0</v>
      </c>
      <c r="BL27" s="196"/>
      <c r="BM27" s="257"/>
      <c r="BN27" s="257"/>
      <c r="BO27" s="170">
        <f>+BO26-BO25</f>
        <v>0</v>
      </c>
      <c r="BP27" s="196"/>
    </row>
    <row r="28" spans="1:68" ht="15" customHeight="1" x14ac:dyDescent="0.25">
      <c r="A28" s="314"/>
      <c r="B28" s="332" t="s">
        <v>104</v>
      </c>
      <c r="C28" s="114" t="str">
        <f>C18</f>
        <v>Chargement M.P</v>
      </c>
      <c r="D28" s="169" t="str">
        <f>D18</f>
        <v>BIGBAG</v>
      </c>
      <c r="E28" s="170">
        <f>SUM(G28,I28,K28,M28,O28,Q28,S28,U28,W28,Y28,AA28,AC28,AE28,AG28,AI28,AK28,AM28,AO28,AQ28,AS28,AU28,AW28,AY28,BA28,BC28,BE28,BG28,BI28,BK28,BM28)</f>
        <v>6</v>
      </c>
      <c r="F28" s="72"/>
      <c r="G28" s="170"/>
      <c r="H28" s="196"/>
      <c r="I28" s="257"/>
      <c r="J28" s="257"/>
      <c r="K28" s="257"/>
      <c r="L28" s="257"/>
      <c r="M28" s="170"/>
      <c r="N28" s="196"/>
      <c r="O28" s="170"/>
      <c r="P28" s="196"/>
      <c r="Q28" s="170"/>
      <c r="R28" s="196"/>
      <c r="S28" s="170"/>
      <c r="T28" s="196"/>
      <c r="U28" s="170"/>
      <c r="V28" s="196"/>
      <c r="W28" s="257"/>
      <c r="X28" s="257"/>
      <c r="Y28" s="257"/>
      <c r="Z28" s="257"/>
      <c r="AA28" s="170"/>
      <c r="AB28" s="196"/>
      <c r="AC28" s="170"/>
      <c r="AD28" s="196"/>
      <c r="AE28" s="170"/>
      <c r="AF28" s="196"/>
      <c r="AG28" s="170"/>
      <c r="AH28" s="196"/>
      <c r="AI28" s="170"/>
      <c r="AJ28" s="196"/>
      <c r="AK28" s="257"/>
      <c r="AL28" s="257"/>
      <c r="AM28" s="257"/>
      <c r="AN28" s="257"/>
      <c r="AO28" s="170">
        <v>1</v>
      </c>
      <c r="AP28" s="196"/>
      <c r="AQ28" s="170">
        <v>0</v>
      </c>
      <c r="AR28" s="196"/>
      <c r="AS28" s="170"/>
      <c r="AT28" s="196"/>
      <c r="AU28" s="170"/>
      <c r="AV28" s="196"/>
      <c r="AW28" s="170">
        <v>0</v>
      </c>
      <c r="AX28" s="196"/>
      <c r="AY28" s="257"/>
      <c r="AZ28" s="257"/>
      <c r="BA28" s="257"/>
      <c r="BB28" s="257"/>
      <c r="BC28" s="170">
        <v>3.5</v>
      </c>
      <c r="BD28" s="196"/>
      <c r="BE28" s="170"/>
      <c r="BF28" s="196"/>
      <c r="BG28" s="170">
        <v>1.5</v>
      </c>
      <c r="BH28" s="196"/>
      <c r="BI28" s="170"/>
      <c r="BJ28" s="196"/>
      <c r="BK28" s="170"/>
      <c r="BL28" s="196"/>
      <c r="BM28" s="257"/>
      <c r="BN28" s="257"/>
      <c r="BO28" s="170"/>
      <c r="BP28" s="196"/>
    </row>
    <row r="29" spans="1:68" ht="15.75" customHeight="1" thickBot="1" x14ac:dyDescent="0.3">
      <c r="A29" s="314"/>
      <c r="B29" s="333"/>
      <c r="C29" s="177" t="str">
        <f>C19</f>
        <v xml:space="preserve">Consommation journaliere M.P </v>
      </c>
      <c r="D29" s="169" t="str">
        <f>D19</f>
        <v>BIGBAG</v>
      </c>
      <c r="E29" s="170">
        <f>SUM(G29,I29,K29,M29,O29,Q29,S29,U29,W29,Y29,AA29,AC29,AE29,AG29,AI29,AK29,AM29,AO29,AQ29,AS29,AU29,AW29,AY29,BA29,BC29,BE29,BG29,BI29,BK29,BM29)</f>
        <v>6</v>
      </c>
      <c r="F29" s="72"/>
      <c r="G29" s="170"/>
      <c r="H29" s="196"/>
      <c r="I29" s="257"/>
      <c r="J29" s="257"/>
      <c r="K29" s="257"/>
      <c r="L29" s="257"/>
      <c r="M29" s="170"/>
      <c r="N29" s="196"/>
      <c r="O29" s="170"/>
      <c r="P29" s="196"/>
      <c r="Q29" s="170"/>
      <c r="R29" s="196"/>
      <c r="S29" s="170"/>
      <c r="T29" s="196"/>
      <c r="U29" s="170"/>
      <c r="V29" s="196"/>
      <c r="W29" s="257"/>
      <c r="X29" s="257"/>
      <c r="Y29" s="257"/>
      <c r="Z29" s="257"/>
      <c r="AA29" s="170"/>
      <c r="AB29" s="196"/>
      <c r="AC29" s="170"/>
      <c r="AD29" s="196"/>
      <c r="AE29" s="170"/>
      <c r="AF29" s="196"/>
      <c r="AG29" s="170"/>
      <c r="AH29" s="196"/>
      <c r="AI29" s="170"/>
      <c r="AJ29" s="196"/>
      <c r="AK29" s="257"/>
      <c r="AL29" s="257"/>
      <c r="AM29" s="257"/>
      <c r="AN29" s="257"/>
      <c r="AO29" s="170">
        <v>1</v>
      </c>
      <c r="AP29" s="196"/>
      <c r="AQ29" s="170">
        <v>0</v>
      </c>
      <c r="AR29" s="196"/>
      <c r="AS29" s="170"/>
      <c r="AT29" s="196"/>
      <c r="AU29" s="170"/>
      <c r="AV29" s="196"/>
      <c r="AW29" s="170">
        <v>0</v>
      </c>
      <c r="AX29" s="196"/>
      <c r="AY29" s="257"/>
      <c r="AZ29" s="257"/>
      <c r="BA29" s="257"/>
      <c r="BB29" s="257"/>
      <c r="BC29" s="170">
        <v>3</v>
      </c>
      <c r="BD29" s="196"/>
      <c r="BE29" s="170">
        <v>0.5</v>
      </c>
      <c r="BF29" s="196"/>
      <c r="BG29" s="170">
        <v>1.5</v>
      </c>
      <c r="BH29" s="196"/>
      <c r="BI29" s="170"/>
      <c r="BJ29" s="196"/>
      <c r="BK29" s="170"/>
      <c r="BL29" s="196"/>
      <c r="BM29" s="257"/>
      <c r="BN29" s="257"/>
      <c r="BO29" s="170"/>
      <c r="BP29" s="196"/>
    </row>
    <row r="30" spans="1:68" ht="15" customHeight="1" thickBot="1" x14ac:dyDescent="0.3">
      <c r="A30" s="314"/>
      <c r="B30" s="356" t="s">
        <v>117</v>
      </c>
      <c r="C30" s="357"/>
      <c r="D30" s="176" t="str">
        <f>D25</f>
        <v>m3</v>
      </c>
      <c r="E30" s="170">
        <f>SUM(E23+(E24/73))</f>
        <v>131.53424657534248</v>
      </c>
      <c r="F30" s="72"/>
      <c r="G30" s="170">
        <f>SUM(G23+(G24/73))</f>
        <v>0</v>
      </c>
      <c r="H30" s="166" t="e">
        <f>SUM(H23:H24)</f>
        <v>#DIV/0!</v>
      </c>
      <c r="I30" s="257"/>
      <c r="J30" s="258"/>
      <c r="K30" s="257"/>
      <c r="L30" s="258"/>
      <c r="M30" s="170">
        <f>SUM(M23+(M24/73))</f>
        <v>0</v>
      </c>
      <c r="N30" s="166" t="e">
        <f>SUM(N23:N24)</f>
        <v>#DIV/0!</v>
      </c>
      <c r="O30" s="170">
        <f>SUM(O23+(O24/73))</f>
        <v>0</v>
      </c>
      <c r="P30" s="166" t="e">
        <f>SUM(P23:P24)</f>
        <v>#DIV/0!</v>
      </c>
      <c r="Q30" s="170">
        <f>SUM(Q23+(Q24/73))</f>
        <v>0</v>
      </c>
      <c r="R30" s="166" t="e">
        <f>SUM(R23:R24)</f>
        <v>#DIV/0!</v>
      </c>
      <c r="S30" s="170">
        <f>SUM(S23+(S24/73))</f>
        <v>0</v>
      </c>
      <c r="T30" s="166" t="e">
        <f>SUM(T23:T24)</f>
        <v>#DIV/0!</v>
      </c>
      <c r="U30" s="170">
        <f>SUM(U23+(U24/73))</f>
        <v>0</v>
      </c>
      <c r="V30" s="166" t="e">
        <f>SUM(V23:V24)</f>
        <v>#DIV/0!</v>
      </c>
      <c r="W30" s="257"/>
      <c r="X30" s="258"/>
      <c r="Y30" s="257"/>
      <c r="Z30" s="258"/>
      <c r="AA30" s="170">
        <f>SUM(AA23+(AA24/73))</f>
        <v>0</v>
      </c>
      <c r="AB30" s="166" t="e">
        <f>SUM(AB23:AB24)</f>
        <v>#DIV/0!</v>
      </c>
      <c r="AC30" s="170">
        <f>SUM(AC23+(AC24/73))</f>
        <v>0</v>
      </c>
      <c r="AD30" s="166" t="e">
        <f>SUM(AD23:AD24)</f>
        <v>#DIV/0!</v>
      </c>
      <c r="AE30" s="170">
        <f>SUM(AE23+(AE24/73))</f>
        <v>0</v>
      </c>
      <c r="AF30" s="166" t="e">
        <f>SUM(AF23:AF24)</f>
        <v>#DIV/0!</v>
      </c>
      <c r="AG30" s="170">
        <f>SUM(AG23+(AG24/73))</f>
        <v>0</v>
      </c>
      <c r="AH30" s="166" t="e">
        <f>SUM(AH23:AH24)</f>
        <v>#DIV/0!</v>
      </c>
      <c r="AI30" s="170">
        <f>SUM(AI23+(AI24/73))</f>
        <v>0</v>
      </c>
      <c r="AJ30" s="166" t="e">
        <f>SUM(AJ23:AJ24)</f>
        <v>#DIV/0!</v>
      </c>
      <c r="AK30" s="257"/>
      <c r="AL30" s="258"/>
      <c r="AM30" s="257"/>
      <c r="AN30" s="258"/>
      <c r="AO30" s="170">
        <f>SUM(AO23+(AO24/73))</f>
        <v>21</v>
      </c>
      <c r="AP30" s="166">
        <f>SUM(AP23:AP24)</f>
        <v>1</v>
      </c>
      <c r="AQ30" s="170">
        <f>SUM(AQ23+(AQ24/73))</f>
        <v>0</v>
      </c>
      <c r="AR30" s="166" t="e">
        <f>SUM(AR23:AR24)</f>
        <v>#DIV/0!</v>
      </c>
      <c r="AS30" s="170">
        <f>SUM(AS23+(AS24/73))</f>
        <v>0</v>
      </c>
      <c r="AT30" s="166" t="e">
        <f>SUM(AT23:AT24)</f>
        <v>#DIV/0!</v>
      </c>
      <c r="AU30" s="170">
        <f>SUM(AU23+(AU24/73))</f>
        <v>0</v>
      </c>
      <c r="AV30" s="166" t="e">
        <f>SUM(AV23:AV24)</f>
        <v>#DIV/0!</v>
      </c>
      <c r="AW30" s="170">
        <f>SUM(AW23+(AW24/73))</f>
        <v>0</v>
      </c>
      <c r="AX30" s="166" t="e">
        <f>SUM(AX23:AX24)</f>
        <v>#DIV/0!</v>
      </c>
      <c r="AY30" s="257"/>
      <c r="AZ30" s="258"/>
      <c r="BA30" s="257"/>
      <c r="BB30" s="258"/>
      <c r="BC30" s="170">
        <f>SUM(BC23+(BC24/73))</f>
        <v>71.794520547945211</v>
      </c>
      <c r="BD30" s="166">
        <f>SUM(BD23:BD24)</f>
        <v>1</v>
      </c>
      <c r="BE30" s="170">
        <f>SUM(BE23+(BE24/73))</f>
        <v>9.6849315068493151</v>
      </c>
      <c r="BF30" s="166">
        <f>SUM(BF23:BF24)</f>
        <v>1</v>
      </c>
      <c r="BG30" s="170">
        <f>SUM(BG23+(BG24/73))</f>
        <v>29.054794520547944</v>
      </c>
      <c r="BH30" s="166">
        <f>SUM(BH23:BH24)</f>
        <v>1</v>
      </c>
      <c r="BI30" s="170">
        <f>SUM(BI23+(BI24/73))</f>
        <v>0</v>
      </c>
      <c r="BJ30" s="166" t="e">
        <f>SUM(BJ23:BJ24)</f>
        <v>#DIV/0!</v>
      </c>
      <c r="BK30" s="170">
        <f>SUM(BK23+(BK24/73))</f>
        <v>0</v>
      </c>
      <c r="BL30" s="166" t="e">
        <f>SUM(BL23:BL24)</f>
        <v>#DIV/0!</v>
      </c>
      <c r="BM30" s="257"/>
      <c r="BN30" s="258"/>
      <c r="BO30" s="170">
        <f>SUM(BO23:BO24)</f>
        <v>0</v>
      </c>
      <c r="BP30" s="166" t="e">
        <f>SUM(BP23:BP24)</f>
        <v>#DIV/0!</v>
      </c>
    </row>
    <row r="31" spans="1:68" ht="22.5" hidden="1" customHeight="1" x14ac:dyDescent="0.25">
      <c r="A31" s="316" t="s">
        <v>101</v>
      </c>
      <c r="B31" s="315" t="s">
        <v>122</v>
      </c>
      <c r="C31" s="315"/>
      <c r="D31" s="179" t="s">
        <v>123</v>
      </c>
      <c r="E31" s="255">
        <v>9</v>
      </c>
      <c r="F31" s="72"/>
      <c r="G31" s="304"/>
      <c r="H31" s="305"/>
      <c r="I31" s="302"/>
      <c r="J31" s="303"/>
      <c r="K31" s="302"/>
      <c r="L31" s="303"/>
      <c r="M31" s="304"/>
      <c r="N31" s="305"/>
      <c r="O31" s="304"/>
      <c r="P31" s="305"/>
      <c r="Q31" s="343"/>
      <c r="R31" s="344"/>
      <c r="S31" s="343"/>
      <c r="T31" s="344"/>
      <c r="U31" s="304">
        <v>8</v>
      </c>
      <c r="V31" s="305"/>
      <c r="W31" s="304">
        <v>13</v>
      </c>
      <c r="X31" s="305"/>
      <c r="Y31" s="304">
        <v>11</v>
      </c>
      <c r="Z31" s="305"/>
      <c r="AA31" s="304">
        <v>13</v>
      </c>
      <c r="AB31" s="305"/>
      <c r="AC31" s="304">
        <v>13</v>
      </c>
      <c r="AD31" s="305"/>
      <c r="AE31" s="304">
        <v>15</v>
      </c>
      <c r="AF31" s="305"/>
      <c r="AG31" s="304">
        <v>22</v>
      </c>
      <c r="AH31" s="305"/>
      <c r="AI31" s="304"/>
      <c r="AJ31" s="305"/>
      <c r="AK31" s="302"/>
      <c r="AL31" s="303"/>
      <c r="AM31" s="302"/>
      <c r="AN31" s="303"/>
      <c r="AO31" s="304"/>
      <c r="AP31" s="305"/>
      <c r="AQ31" s="304"/>
      <c r="AR31" s="305"/>
      <c r="AS31" s="304"/>
      <c r="AT31" s="305"/>
      <c r="AU31" s="304"/>
      <c r="AV31" s="305"/>
      <c r="AW31" s="304"/>
      <c r="AX31" s="305"/>
      <c r="AY31" s="302"/>
      <c r="AZ31" s="303"/>
      <c r="BA31" s="302"/>
      <c r="BB31" s="303"/>
      <c r="BC31" s="304"/>
      <c r="BD31" s="305"/>
      <c r="BE31" s="304"/>
      <c r="BF31" s="305"/>
      <c r="BG31" s="304"/>
      <c r="BH31" s="305"/>
      <c r="BI31" s="304"/>
      <c r="BJ31" s="305"/>
      <c r="BK31" s="304"/>
      <c r="BL31" s="305"/>
      <c r="BM31" s="302"/>
      <c r="BN31" s="303"/>
      <c r="BO31" s="304"/>
      <c r="BP31" s="305"/>
    </row>
    <row r="32" spans="1:68" ht="22.5" hidden="1" customHeight="1" x14ac:dyDescent="0.25">
      <c r="A32" s="316"/>
      <c r="B32" s="337" t="s">
        <v>163</v>
      </c>
      <c r="C32" s="338"/>
      <c r="D32" s="328"/>
      <c r="E32" s="329"/>
      <c r="F32" s="72"/>
      <c r="G32" s="304"/>
      <c r="H32" s="305"/>
      <c r="I32" s="302"/>
      <c r="J32" s="303"/>
      <c r="K32" s="302"/>
      <c r="L32" s="303"/>
      <c r="M32" s="304"/>
      <c r="N32" s="305"/>
      <c r="O32" s="304"/>
      <c r="P32" s="305"/>
      <c r="Q32" s="343"/>
      <c r="R32" s="344"/>
      <c r="S32" s="343"/>
      <c r="T32" s="344"/>
      <c r="U32" s="304"/>
      <c r="V32" s="305"/>
      <c r="W32" s="304"/>
      <c r="X32" s="305"/>
      <c r="Y32" s="304"/>
      <c r="Z32" s="305"/>
      <c r="AA32" s="304"/>
      <c r="AB32" s="305"/>
      <c r="AC32" s="304"/>
      <c r="AD32" s="305"/>
      <c r="AE32" s="304"/>
      <c r="AF32" s="305"/>
      <c r="AG32" s="304"/>
      <c r="AH32" s="305"/>
      <c r="AI32" s="304"/>
      <c r="AJ32" s="305"/>
      <c r="AK32" s="302"/>
      <c r="AL32" s="303"/>
      <c r="AM32" s="302"/>
      <c r="AN32" s="303"/>
      <c r="AO32" s="304"/>
      <c r="AP32" s="305"/>
      <c r="AQ32" s="304"/>
      <c r="AR32" s="305"/>
      <c r="AS32" s="304" t="s">
        <v>174</v>
      </c>
      <c r="AT32" s="305"/>
      <c r="AU32" s="304"/>
      <c r="AV32" s="305"/>
      <c r="AW32" s="304"/>
      <c r="AX32" s="305"/>
      <c r="AY32" s="302"/>
      <c r="AZ32" s="303"/>
      <c r="BA32" s="302"/>
      <c r="BB32" s="303"/>
      <c r="BC32" s="304"/>
      <c r="BD32" s="305"/>
      <c r="BE32" s="304"/>
      <c r="BF32" s="305"/>
      <c r="BG32" s="304"/>
      <c r="BH32" s="305"/>
      <c r="BI32" s="304"/>
      <c r="BJ32" s="305"/>
      <c r="BK32" s="304"/>
      <c r="BL32" s="305"/>
      <c r="BM32" s="302"/>
      <c r="BN32" s="303"/>
      <c r="BO32" s="396"/>
      <c r="BP32" s="397"/>
    </row>
    <row r="33" spans="1:68" ht="22.5" hidden="1" customHeight="1" x14ac:dyDescent="0.25">
      <c r="A33" s="316"/>
      <c r="B33" s="164" t="str">
        <f>+'1 - Produits'!B16</f>
        <v>PFF</v>
      </c>
      <c r="C33" s="115" t="str">
        <f>+'1 - Produits'!C16</f>
        <v>Perlite Filtration</v>
      </c>
      <c r="D33" s="169" t="s">
        <v>115</v>
      </c>
      <c r="E33" s="170">
        <f t="shared" ref="E33:E41" si="25">SUM(,K33,M33,O33,Q33,W33,S33,I33,U33,G33,Y33,AA33,AC33,AE33,AG33,AI33,AK33,AM33,AO33,AQ33,AS33,AU33,AW33,AY33,BA33,BC33,BE33,BG33,BI33,BK33,BM33,BO33)</f>
        <v>368.4</v>
      </c>
      <c r="F33" s="72"/>
      <c r="G33" s="232"/>
      <c r="H33" s="233" t="e">
        <f>G33/G41</f>
        <v>#DIV/0!</v>
      </c>
      <c r="I33" s="259"/>
      <c r="J33" s="260"/>
      <c r="K33" s="259"/>
      <c r="L33" s="260"/>
      <c r="M33" s="232"/>
      <c r="N33" s="233" t="e">
        <f>M33/M41</f>
        <v>#DIV/0!</v>
      </c>
      <c r="O33" s="232"/>
      <c r="P33" s="233" t="e">
        <f>O33/O41</f>
        <v>#DIV/0!</v>
      </c>
      <c r="Q33" s="277"/>
      <c r="R33" s="278" t="e">
        <f>Q33/Q41</f>
        <v>#DIV/0!</v>
      </c>
      <c r="S33" s="277"/>
      <c r="T33" s="278" t="e">
        <f>S33/S41</f>
        <v>#DIV/0!</v>
      </c>
      <c r="U33" s="232">
        <v>31.2</v>
      </c>
      <c r="V33" s="233">
        <f>U33/U41</f>
        <v>1</v>
      </c>
      <c r="W33" s="232">
        <v>48</v>
      </c>
      <c r="X33" s="233">
        <f>W33/W41</f>
        <v>0.9322493224932249</v>
      </c>
      <c r="Y33" s="232">
        <v>36</v>
      </c>
      <c r="Z33" s="233">
        <f>Y33/Y41</f>
        <v>0.91166077738515894</v>
      </c>
      <c r="AA33" s="232">
        <v>69.599999999999994</v>
      </c>
      <c r="AB33" s="233">
        <f>AA33/AA41</f>
        <v>0.9088921282798833</v>
      </c>
      <c r="AC33" s="232">
        <v>45.6</v>
      </c>
      <c r="AD33" s="233">
        <f>AC33/AC41</f>
        <v>0.90744168826360605</v>
      </c>
      <c r="AE33" s="232">
        <v>51.6</v>
      </c>
      <c r="AF33" s="233">
        <f>AE33/AE41</f>
        <v>0.8808956646021916</v>
      </c>
      <c r="AG33" s="232">
        <v>86.4</v>
      </c>
      <c r="AH33" s="233">
        <f>AG33/AG41</f>
        <v>0.87104942323923851</v>
      </c>
      <c r="AI33" s="232"/>
      <c r="AJ33" s="233" t="e">
        <f>AI33/AI41</f>
        <v>#DIV/0!</v>
      </c>
      <c r="AK33" s="259"/>
      <c r="AL33" s="260"/>
      <c r="AM33" s="259"/>
      <c r="AN33" s="260"/>
      <c r="AO33" s="232"/>
      <c r="AP33" s="233" t="e">
        <f>AO33/AO41</f>
        <v>#DIV/0!</v>
      </c>
      <c r="AQ33" s="232"/>
      <c r="AR33" s="233" t="e">
        <f>AQ33/AQ41</f>
        <v>#DIV/0!</v>
      </c>
      <c r="AS33" s="232">
        <v>0</v>
      </c>
      <c r="AT33" s="233" t="e">
        <f>AS33/AS41</f>
        <v>#DIV/0!</v>
      </c>
      <c r="AU33" s="232"/>
      <c r="AV33" s="233" t="e">
        <f>AU33/AU41</f>
        <v>#DIV/0!</v>
      </c>
      <c r="AW33" s="232"/>
      <c r="AX33" s="233" t="e">
        <f>AW33/AW41</f>
        <v>#DIV/0!</v>
      </c>
      <c r="AY33" s="259"/>
      <c r="AZ33" s="260"/>
      <c r="BA33" s="259"/>
      <c r="BB33" s="260"/>
      <c r="BC33" s="232"/>
      <c r="BD33" s="233"/>
      <c r="BE33" s="232"/>
      <c r="BF33" s="233"/>
      <c r="BG33" s="232"/>
      <c r="BH33" s="233"/>
      <c r="BI33" s="232"/>
      <c r="BJ33" s="233" t="e">
        <f>BI33/BI41</f>
        <v>#DIV/0!</v>
      </c>
      <c r="BK33" s="232"/>
      <c r="BL33" s="233" t="e">
        <f>BK33/BK41</f>
        <v>#DIV/0!</v>
      </c>
      <c r="BM33" s="259"/>
      <c r="BN33" s="260"/>
      <c r="BO33" s="232"/>
      <c r="BP33" s="233" t="e">
        <f>BO33/BO41</f>
        <v>#DIV/0!</v>
      </c>
    </row>
    <row r="34" spans="1:68" ht="22.5" hidden="1" customHeight="1" x14ac:dyDescent="0.25">
      <c r="A34" s="316"/>
      <c r="B34" s="164" t="str">
        <f>+'1 - Produits'!B17</f>
        <v>PFF0</v>
      </c>
      <c r="C34" s="115" t="str">
        <f>+'1 - Produits'!C17</f>
        <v>Perlite FF0</v>
      </c>
      <c r="D34" s="169" t="s">
        <v>115</v>
      </c>
      <c r="E34" s="170">
        <f t="shared" si="25"/>
        <v>0</v>
      </c>
      <c r="F34" s="72"/>
      <c r="G34" s="111"/>
      <c r="H34" s="201" t="e">
        <f>G34/G41</f>
        <v>#DIV/0!</v>
      </c>
      <c r="I34" s="261"/>
      <c r="J34" s="262"/>
      <c r="K34" s="261"/>
      <c r="L34" s="262"/>
      <c r="M34" s="111"/>
      <c r="N34" s="201" t="e">
        <f>M34/M41</f>
        <v>#DIV/0!</v>
      </c>
      <c r="O34" s="111"/>
      <c r="P34" s="201" t="e">
        <f>O34/O41</f>
        <v>#DIV/0!</v>
      </c>
      <c r="Q34" s="279"/>
      <c r="R34" s="280" t="e">
        <f>Q34/Q41</f>
        <v>#DIV/0!</v>
      </c>
      <c r="S34" s="279"/>
      <c r="T34" s="280" t="e">
        <f>S34/S41</f>
        <v>#DIV/0!</v>
      </c>
      <c r="U34" s="111"/>
      <c r="V34" s="201">
        <f>U34/U41</f>
        <v>0</v>
      </c>
      <c r="W34" s="111"/>
      <c r="X34" s="201"/>
      <c r="Y34" s="111"/>
      <c r="Z34" s="201"/>
      <c r="AA34" s="111"/>
      <c r="AB34" s="201">
        <f>AA34/AA41</f>
        <v>0</v>
      </c>
      <c r="AC34" s="111"/>
      <c r="AD34" s="201">
        <f>AC34/AC41</f>
        <v>0</v>
      </c>
      <c r="AE34" s="111"/>
      <c r="AF34" s="201">
        <f>AE34/AE41</f>
        <v>0</v>
      </c>
      <c r="AG34" s="111"/>
      <c r="AH34" s="201">
        <f>AG34/AG41</f>
        <v>0</v>
      </c>
      <c r="AI34" s="111"/>
      <c r="AJ34" s="201" t="e">
        <f>AI34/AI41</f>
        <v>#DIV/0!</v>
      </c>
      <c r="AK34" s="261"/>
      <c r="AL34" s="262"/>
      <c r="AM34" s="261"/>
      <c r="AN34" s="262"/>
      <c r="AO34" s="111"/>
      <c r="AP34" s="201" t="e">
        <f>AO34/AO41</f>
        <v>#DIV/0!</v>
      </c>
      <c r="AQ34" s="111"/>
      <c r="AR34" s="201" t="e">
        <f>AQ34/AQ41</f>
        <v>#DIV/0!</v>
      </c>
      <c r="AS34" s="111">
        <v>0</v>
      </c>
      <c r="AT34" s="201" t="e">
        <f>AS34/AS41</f>
        <v>#DIV/0!</v>
      </c>
      <c r="AU34" s="111"/>
      <c r="AV34" s="201" t="e">
        <f>AU34/AU41</f>
        <v>#DIV/0!</v>
      </c>
      <c r="AW34" s="111"/>
      <c r="AX34" s="201" t="e">
        <f>AW34/AW41</f>
        <v>#DIV/0!</v>
      </c>
      <c r="AY34" s="261"/>
      <c r="AZ34" s="262"/>
      <c r="BA34" s="261"/>
      <c r="BB34" s="262"/>
      <c r="BC34" s="111">
        <v>0</v>
      </c>
      <c r="BD34" s="201"/>
      <c r="BE34" s="111">
        <v>0</v>
      </c>
      <c r="BF34" s="201"/>
      <c r="BG34" s="111"/>
      <c r="BH34" s="201"/>
      <c r="BI34" s="111">
        <v>0</v>
      </c>
      <c r="BJ34" s="201" t="e">
        <f>BI34/BI41</f>
        <v>#DIV/0!</v>
      </c>
      <c r="BK34" s="111"/>
      <c r="BL34" s="201" t="e">
        <f>BK34/BK41</f>
        <v>#DIV/0!</v>
      </c>
      <c r="BM34" s="261"/>
      <c r="BN34" s="262"/>
      <c r="BO34" s="111"/>
      <c r="BP34" s="201" t="e">
        <f>BO34/BO41</f>
        <v>#DIV/0!</v>
      </c>
    </row>
    <row r="35" spans="1:68" ht="22.5" hidden="1" customHeight="1" x14ac:dyDescent="0.25">
      <c r="A35" s="316"/>
      <c r="B35" s="164" t="str">
        <f>+'1 - Produits'!B18</f>
        <v>PPF2</v>
      </c>
      <c r="C35" s="115" t="str">
        <f>+'1 - Produits'!C18</f>
        <v>Perlite PF2</v>
      </c>
      <c r="D35" s="169" t="s">
        <v>149</v>
      </c>
      <c r="E35" s="170">
        <f t="shared" si="25"/>
        <v>1650</v>
      </c>
      <c r="F35" s="72"/>
      <c r="G35" s="111"/>
      <c r="H35" s="201" t="e">
        <f>(G35/43)/G41</f>
        <v>#DIV/0!</v>
      </c>
      <c r="I35" s="261"/>
      <c r="J35" s="262"/>
      <c r="K35" s="261"/>
      <c r="L35" s="262"/>
      <c r="M35" s="111"/>
      <c r="N35" s="201" t="e">
        <f>(M35/43)/M41</f>
        <v>#DIV/0!</v>
      </c>
      <c r="O35" s="111"/>
      <c r="P35" s="201" t="e">
        <f>(O35/43)/O41</f>
        <v>#DIV/0!</v>
      </c>
      <c r="Q35" s="279"/>
      <c r="R35" s="280" t="e">
        <f>(Q35/43)/Q41</f>
        <v>#DIV/0!</v>
      </c>
      <c r="S35" s="279"/>
      <c r="T35" s="280" t="e">
        <f>(S35/43)/S41</f>
        <v>#DIV/0!</v>
      </c>
      <c r="U35" s="111"/>
      <c r="V35" s="201">
        <f>(U35/43)/U41</f>
        <v>0</v>
      </c>
      <c r="W35" s="111">
        <v>150</v>
      </c>
      <c r="X35" s="201">
        <f>(W35/43)/W41</f>
        <v>6.7750677506775062E-2</v>
      </c>
      <c r="Y35" s="111">
        <v>150</v>
      </c>
      <c r="Z35" s="201">
        <f>(Y35/43)/Y41</f>
        <v>8.8339222614840979E-2</v>
      </c>
      <c r="AA35" s="111">
        <v>300</v>
      </c>
      <c r="AB35" s="201">
        <f>(AA35/43)/AA41</f>
        <v>9.1107871720116612E-2</v>
      </c>
      <c r="AC35" s="111">
        <v>200</v>
      </c>
      <c r="AD35" s="201">
        <f>(AC35/43)/AC41</f>
        <v>9.2558311736393922E-2</v>
      </c>
      <c r="AE35" s="111">
        <v>300</v>
      </c>
      <c r="AF35" s="201">
        <f>(AE35/43)/AE41</f>
        <v>0.11910433539780849</v>
      </c>
      <c r="AG35" s="111">
        <v>550</v>
      </c>
      <c r="AH35" s="201">
        <f>(AG35/43)/AG41</f>
        <v>0.12895057676076149</v>
      </c>
      <c r="AI35" s="111"/>
      <c r="AJ35" s="201" t="e">
        <f>(AI35/43)/AI41</f>
        <v>#DIV/0!</v>
      </c>
      <c r="AK35" s="261"/>
      <c r="AL35" s="262"/>
      <c r="AM35" s="261"/>
      <c r="AN35" s="262"/>
      <c r="AO35" s="111"/>
      <c r="AP35" s="201" t="e">
        <f>(AO35/43)/AO41</f>
        <v>#DIV/0!</v>
      </c>
      <c r="AQ35" s="111"/>
      <c r="AR35" s="201" t="e">
        <f>(AQ35/43)/AQ41</f>
        <v>#DIV/0!</v>
      </c>
      <c r="AS35" s="111">
        <v>0</v>
      </c>
      <c r="AT35" s="201" t="e">
        <f>(AS35/43)/AS41</f>
        <v>#DIV/0!</v>
      </c>
      <c r="AU35" s="111"/>
      <c r="AV35" s="201" t="e">
        <f>(AU35/43)/AU41</f>
        <v>#DIV/0!</v>
      </c>
      <c r="AW35" s="111"/>
      <c r="AX35" s="201" t="e">
        <f>(AW35/43)/AW41</f>
        <v>#DIV/0!</v>
      </c>
      <c r="AY35" s="261"/>
      <c r="AZ35" s="262"/>
      <c r="BA35" s="261"/>
      <c r="BB35" s="262"/>
      <c r="BC35" s="111"/>
      <c r="BD35" s="201"/>
      <c r="BE35" s="111"/>
      <c r="BF35" s="201"/>
      <c r="BG35" s="111"/>
      <c r="BH35" s="201"/>
      <c r="BI35" s="111"/>
      <c r="BJ35" s="201" t="e">
        <f>(BI35/43)/BI41</f>
        <v>#DIV/0!</v>
      </c>
      <c r="BK35" s="111"/>
      <c r="BL35" s="201" t="e">
        <f>(BK35/43)/BK41</f>
        <v>#DIV/0!</v>
      </c>
      <c r="BM35" s="261"/>
      <c r="BN35" s="262"/>
      <c r="BO35" s="111"/>
      <c r="BP35" s="201" t="e">
        <f>(BO35/43)/BO41</f>
        <v>#DIV/0!</v>
      </c>
    </row>
    <row r="36" spans="1:68" ht="22.5" hidden="1" customHeight="1" x14ac:dyDescent="0.25">
      <c r="A36" s="316"/>
      <c r="B36" s="349" t="s">
        <v>103</v>
      </c>
      <c r="C36" s="115" t="str">
        <f>C25</f>
        <v>Debit gaz j-1</v>
      </c>
      <c r="D36" s="169" t="s">
        <v>115</v>
      </c>
      <c r="E36" s="200">
        <f t="shared" si="25"/>
        <v>2558245</v>
      </c>
      <c r="F36" s="72"/>
      <c r="G36" s="111"/>
      <c r="H36" s="202"/>
      <c r="I36" s="257"/>
      <c r="J36" s="262"/>
      <c r="K36" s="261"/>
      <c r="L36" s="262"/>
      <c r="M36" s="170"/>
      <c r="N36" s="202"/>
      <c r="O36" s="111"/>
      <c r="P36" s="202"/>
      <c r="Q36" s="268"/>
      <c r="R36" s="280"/>
      <c r="S36" s="268"/>
      <c r="T36" s="280"/>
      <c r="U36" s="111">
        <v>362158</v>
      </c>
      <c r="V36" s="202"/>
      <c r="W36" s="170">
        <v>362976</v>
      </c>
      <c r="X36" s="201"/>
      <c r="Y36" s="111">
        <v>364071</v>
      </c>
      <c r="Z36" s="201"/>
      <c r="AA36" s="170">
        <v>365120</v>
      </c>
      <c r="AB36" s="202"/>
      <c r="AC36" s="111">
        <v>366240</v>
      </c>
      <c r="AD36" s="202"/>
      <c r="AE36" s="170">
        <v>367957</v>
      </c>
      <c r="AF36" s="202"/>
      <c r="AG36" s="170">
        <v>369723</v>
      </c>
      <c r="AH36" s="202"/>
      <c r="AI36" s="111"/>
      <c r="AJ36" s="202"/>
      <c r="AK36" s="257"/>
      <c r="AL36" s="262"/>
      <c r="AM36" s="261"/>
      <c r="AN36" s="262"/>
      <c r="AO36" s="170"/>
      <c r="AP36" s="202"/>
      <c r="AQ36" s="111"/>
      <c r="AR36" s="202"/>
      <c r="AS36" s="170">
        <v>0</v>
      </c>
      <c r="AT36" s="202"/>
      <c r="AU36" s="170"/>
      <c r="AV36" s="202"/>
      <c r="AW36" s="111"/>
      <c r="AX36" s="202"/>
      <c r="AY36" s="257"/>
      <c r="AZ36" s="262"/>
      <c r="BA36" s="261"/>
      <c r="BB36" s="262"/>
      <c r="BC36" s="170"/>
      <c r="BD36" s="202"/>
      <c r="BE36" s="111"/>
      <c r="BF36" s="202"/>
      <c r="BG36" s="170"/>
      <c r="BH36" s="202"/>
      <c r="BI36" s="170"/>
      <c r="BJ36" s="202"/>
      <c r="BK36" s="111"/>
      <c r="BL36" s="202"/>
      <c r="BM36" s="257"/>
      <c r="BN36" s="262"/>
      <c r="BO36" s="111"/>
      <c r="BP36" s="202"/>
    </row>
    <row r="37" spans="1:68" ht="22.5" hidden="1" customHeight="1" x14ac:dyDescent="0.25">
      <c r="A37" s="316"/>
      <c r="B37" s="351"/>
      <c r="C37" s="115" t="str">
        <f>C26</f>
        <v>Debit gaz j</v>
      </c>
      <c r="D37" s="169" t="s">
        <v>115</v>
      </c>
      <c r="E37" s="200">
        <f t="shared" si="25"/>
        <v>2568128</v>
      </c>
      <c r="F37" s="72"/>
      <c r="G37" s="111"/>
      <c r="H37" s="202"/>
      <c r="I37" s="261"/>
      <c r="J37" s="262"/>
      <c r="K37" s="261"/>
      <c r="L37" s="262"/>
      <c r="M37" s="111"/>
      <c r="N37" s="202"/>
      <c r="O37" s="111"/>
      <c r="P37" s="202"/>
      <c r="Q37" s="279"/>
      <c r="R37" s="280"/>
      <c r="S37" s="279"/>
      <c r="T37" s="280"/>
      <c r="U37" s="111">
        <v>362976</v>
      </c>
      <c r="V37" s="202"/>
      <c r="W37" s="111">
        <v>364071</v>
      </c>
      <c r="X37" s="201"/>
      <c r="Y37" s="111">
        <v>365120</v>
      </c>
      <c r="Z37" s="201"/>
      <c r="AA37" s="111">
        <v>366240</v>
      </c>
      <c r="AB37" s="202"/>
      <c r="AC37" s="111">
        <v>367957</v>
      </c>
      <c r="AD37" s="202"/>
      <c r="AE37" s="111">
        <v>369723</v>
      </c>
      <c r="AF37" s="202"/>
      <c r="AG37" s="111">
        <v>372041</v>
      </c>
      <c r="AH37" s="202"/>
      <c r="AI37" s="111"/>
      <c r="AJ37" s="202"/>
      <c r="AK37" s="261"/>
      <c r="AL37" s="262"/>
      <c r="AM37" s="261"/>
      <c r="AN37" s="262"/>
      <c r="AO37" s="111"/>
      <c r="AP37" s="202"/>
      <c r="AQ37" s="111"/>
      <c r="AR37" s="202"/>
      <c r="AS37" s="111">
        <v>0</v>
      </c>
      <c r="AT37" s="202"/>
      <c r="AU37" s="111"/>
      <c r="AV37" s="202"/>
      <c r="AW37" s="111"/>
      <c r="AX37" s="202"/>
      <c r="AY37" s="261"/>
      <c r="AZ37" s="262"/>
      <c r="BA37" s="261"/>
      <c r="BB37" s="262"/>
      <c r="BC37" s="111"/>
      <c r="BD37" s="202"/>
      <c r="BE37" s="111"/>
      <c r="BF37" s="202"/>
      <c r="BG37" s="111"/>
      <c r="BH37" s="202"/>
      <c r="BI37" s="111"/>
      <c r="BJ37" s="202"/>
      <c r="BK37" s="111"/>
      <c r="BL37" s="202"/>
      <c r="BM37" s="261"/>
      <c r="BN37" s="262"/>
      <c r="BO37" s="111"/>
      <c r="BP37" s="202"/>
    </row>
    <row r="38" spans="1:68" ht="22.5" hidden="1" customHeight="1" x14ac:dyDescent="0.25">
      <c r="A38" s="316"/>
      <c r="B38" s="350"/>
      <c r="C38" s="115" t="str">
        <f>C27</f>
        <v>Consomation Gaz</v>
      </c>
      <c r="D38" s="169" t="s">
        <v>115</v>
      </c>
      <c r="E38" s="170">
        <f t="shared" si="25"/>
        <v>9883</v>
      </c>
      <c r="F38" s="72"/>
      <c r="G38" s="111">
        <f>G37-G36</f>
        <v>0</v>
      </c>
      <c r="H38" s="202"/>
      <c r="I38" s="261"/>
      <c r="J38" s="262"/>
      <c r="K38" s="261"/>
      <c r="L38" s="262"/>
      <c r="M38" s="111">
        <f>M37-M36</f>
        <v>0</v>
      </c>
      <c r="N38" s="202"/>
      <c r="O38" s="111">
        <f>O37-O36</f>
        <v>0</v>
      </c>
      <c r="P38" s="202"/>
      <c r="Q38" s="279">
        <f>Q37-Q36</f>
        <v>0</v>
      </c>
      <c r="R38" s="280"/>
      <c r="S38" s="279">
        <f>S37-S36</f>
        <v>0</v>
      </c>
      <c r="T38" s="280"/>
      <c r="U38" s="111">
        <f>U37-U36</f>
        <v>818</v>
      </c>
      <c r="V38" s="202"/>
      <c r="W38" s="111">
        <f>W37-W36</f>
        <v>1095</v>
      </c>
      <c r="X38" s="201"/>
      <c r="Y38" s="111">
        <f>Y37-Y36</f>
        <v>1049</v>
      </c>
      <c r="Z38" s="201"/>
      <c r="AA38" s="111">
        <f>AA37-AA36</f>
        <v>1120</v>
      </c>
      <c r="AB38" s="202"/>
      <c r="AC38" s="111">
        <f>AC37-AC36</f>
        <v>1717</v>
      </c>
      <c r="AD38" s="202"/>
      <c r="AE38" s="111">
        <f>AE37-AE36</f>
        <v>1766</v>
      </c>
      <c r="AF38" s="202"/>
      <c r="AG38" s="111">
        <f>AG37-AG36</f>
        <v>2318</v>
      </c>
      <c r="AH38" s="202"/>
      <c r="AI38" s="111">
        <f>AI37-AI36</f>
        <v>0</v>
      </c>
      <c r="AJ38" s="202"/>
      <c r="AK38" s="261"/>
      <c r="AL38" s="262"/>
      <c r="AM38" s="261"/>
      <c r="AN38" s="262"/>
      <c r="AO38" s="111">
        <f>AO37-AO36</f>
        <v>0</v>
      </c>
      <c r="AP38" s="202"/>
      <c r="AQ38" s="111">
        <f>AQ37-AQ36</f>
        <v>0</v>
      </c>
      <c r="AR38" s="202"/>
      <c r="AS38" s="111">
        <f>AS37-AS36</f>
        <v>0</v>
      </c>
      <c r="AT38" s="202"/>
      <c r="AU38" s="111">
        <f>AU37-AU36</f>
        <v>0</v>
      </c>
      <c r="AV38" s="202"/>
      <c r="AW38" s="111">
        <f>AW37-AW36</f>
        <v>0</v>
      </c>
      <c r="AX38" s="202"/>
      <c r="AY38" s="261"/>
      <c r="AZ38" s="262"/>
      <c r="BA38" s="261"/>
      <c r="BB38" s="262"/>
      <c r="BC38" s="111"/>
      <c r="BD38" s="202"/>
      <c r="BE38" s="111">
        <f>BE37-BE36</f>
        <v>0</v>
      </c>
      <c r="BF38" s="202"/>
      <c r="BG38" s="111">
        <f>BG37-BG36</f>
        <v>0</v>
      </c>
      <c r="BH38" s="202"/>
      <c r="BI38" s="111">
        <f>BI37-BI36</f>
        <v>0</v>
      </c>
      <c r="BJ38" s="202"/>
      <c r="BK38" s="111">
        <f>BK37-BK36</f>
        <v>0</v>
      </c>
      <c r="BL38" s="202"/>
      <c r="BM38" s="261"/>
      <c r="BN38" s="262"/>
      <c r="BO38" s="111">
        <f>BO37-BO36</f>
        <v>0</v>
      </c>
      <c r="BP38" s="202"/>
    </row>
    <row r="39" spans="1:68" ht="22.5" hidden="1" customHeight="1" x14ac:dyDescent="0.25">
      <c r="A39" s="316"/>
      <c r="B39" s="349" t="s">
        <v>104</v>
      </c>
      <c r="C39" s="115" t="str">
        <f>C28</f>
        <v>Chargement M.P</v>
      </c>
      <c r="D39" s="169" t="str">
        <f>D19</f>
        <v>BIGBAG</v>
      </c>
      <c r="E39" s="170">
        <f t="shared" si="25"/>
        <v>27.5</v>
      </c>
      <c r="F39" s="72"/>
      <c r="G39" s="111"/>
      <c r="H39" s="202"/>
      <c r="I39" s="261"/>
      <c r="J39" s="262"/>
      <c r="K39" s="261"/>
      <c r="L39" s="262"/>
      <c r="M39" s="111"/>
      <c r="N39" s="202"/>
      <c r="O39" s="111"/>
      <c r="P39" s="202"/>
      <c r="Q39" s="279"/>
      <c r="R39" s="280"/>
      <c r="S39" s="279"/>
      <c r="T39" s="280"/>
      <c r="U39" s="111">
        <v>3</v>
      </c>
      <c r="V39" s="202"/>
      <c r="W39" s="111">
        <v>4</v>
      </c>
      <c r="X39" s="201"/>
      <c r="Y39" s="111">
        <v>4</v>
      </c>
      <c r="Z39" s="201"/>
      <c r="AA39" s="111">
        <v>3</v>
      </c>
      <c r="AB39" s="202"/>
      <c r="AC39" s="111">
        <v>5</v>
      </c>
      <c r="AD39" s="202"/>
      <c r="AE39" s="111">
        <v>4.5</v>
      </c>
      <c r="AF39" s="202"/>
      <c r="AG39" s="111">
        <v>4</v>
      </c>
      <c r="AH39" s="202"/>
      <c r="AI39" s="111"/>
      <c r="AJ39" s="202"/>
      <c r="AK39" s="261"/>
      <c r="AL39" s="262"/>
      <c r="AM39" s="261"/>
      <c r="AN39" s="262"/>
      <c r="AO39" s="111"/>
      <c r="AP39" s="202"/>
      <c r="AQ39" s="111"/>
      <c r="AR39" s="202"/>
      <c r="AS39" s="111">
        <v>0</v>
      </c>
      <c r="AT39" s="202"/>
      <c r="AU39" s="111"/>
      <c r="AV39" s="202"/>
      <c r="AW39" s="111"/>
      <c r="AX39" s="202"/>
      <c r="AY39" s="261"/>
      <c r="AZ39" s="262"/>
      <c r="BA39" s="261"/>
      <c r="BB39" s="262"/>
      <c r="BC39" s="111">
        <v>0</v>
      </c>
      <c r="BD39" s="202"/>
      <c r="BE39" s="111">
        <v>0</v>
      </c>
      <c r="BF39" s="202"/>
      <c r="BG39" s="111"/>
      <c r="BH39" s="202"/>
      <c r="BI39" s="111"/>
      <c r="BJ39" s="202"/>
      <c r="BK39" s="111"/>
      <c r="BL39" s="202"/>
      <c r="BM39" s="261"/>
      <c r="BN39" s="262"/>
      <c r="BO39" s="111"/>
      <c r="BP39" s="202"/>
    </row>
    <row r="40" spans="1:68" ht="22.5" hidden="1" customHeight="1" x14ac:dyDescent="0.25">
      <c r="A40" s="316"/>
      <c r="B40" s="350"/>
      <c r="C40" s="115" t="str">
        <f>C29</f>
        <v xml:space="preserve">Consommation journaliere M.P </v>
      </c>
      <c r="D40" s="169" t="str">
        <f>D39</f>
        <v>BIGBAG</v>
      </c>
      <c r="E40" s="170">
        <f t="shared" si="25"/>
        <v>27.5</v>
      </c>
      <c r="F40" s="72"/>
      <c r="G40" s="111"/>
      <c r="H40" s="202"/>
      <c r="I40" s="261"/>
      <c r="J40" s="262"/>
      <c r="K40" s="261"/>
      <c r="L40" s="262"/>
      <c r="M40" s="111"/>
      <c r="N40" s="202"/>
      <c r="O40" s="111"/>
      <c r="P40" s="202"/>
      <c r="Q40" s="279"/>
      <c r="R40" s="280"/>
      <c r="S40" s="279"/>
      <c r="T40" s="280"/>
      <c r="U40" s="111">
        <v>2</v>
      </c>
      <c r="V40" s="202"/>
      <c r="W40" s="111">
        <v>3.5</v>
      </c>
      <c r="X40" s="201"/>
      <c r="Y40" s="111">
        <v>3.5</v>
      </c>
      <c r="Z40" s="201"/>
      <c r="AA40" s="111">
        <v>4.5</v>
      </c>
      <c r="AB40" s="202"/>
      <c r="AC40" s="111">
        <v>4.5</v>
      </c>
      <c r="AD40" s="202"/>
      <c r="AE40" s="111">
        <v>5</v>
      </c>
      <c r="AF40" s="202"/>
      <c r="AG40" s="111">
        <v>4.5</v>
      </c>
      <c r="AH40" s="202"/>
      <c r="AI40" s="111"/>
      <c r="AJ40" s="202"/>
      <c r="AK40" s="261"/>
      <c r="AL40" s="262"/>
      <c r="AM40" s="261"/>
      <c r="AN40" s="262"/>
      <c r="AO40" s="111"/>
      <c r="AP40" s="202"/>
      <c r="AQ40" s="111"/>
      <c r="AR40" s="202"/>
      <c r="AS40" s="111">
        <v>0</v>
      </c>
      <c r="AT40" s="202"/>
      <c r="AU40" s="111"/>
      <c r="AV40" s="202"/>
      <c r="AW40" s="111"/>
      <c r="AX40" s="202"/>
      <c r="AY40" s="261"/>
      <c r="AZ40" s="262"/>
      <c r="BA40" s="261"/>
      <c r="BB40" s="262"/>
      <c r="BC40" s="111"/>
      <c r="BD40" s="202"/>
      <c r="BE40" s="111"/>
      <c r="BF40" s="202"/>
      <c r="BG40" s="111"/>
      <c r="BH40" s="202"/>
      <c r="BI40" s="111"/>
      <c r="BJ40" s="202"/>
      <c r="BK40" s="111"/>
      <c r="BL40" s="202"/>
      <c r="BM40" s="261"/>
      <c r="BN40" s="262"/>
      <c r="BO40" s="111"/>
      <c r="BP40" s="202"/>
    </row>
    <row r="41" spans="1:68" ht="22.5" hidden="1" customHeight="1" thickBot="1" x14ac:dyDescent="0.3">
      <c r="A41" s="316"/>
      <c r="B41" s="347" t="s">
        <v>117</v>
      </c>
      <c r="C41" s="348"/>
      <c r="D41" s="165" t="str">
        <f>D38</f>
        <v>m3</v>
      </c>
      <c r="E41" s="170">
        <f t="shared" si="25"/>
        <v>406.77209302325582</v>
      </c>
      <c r="F41" s="160"/>
      <c r="G41" s="111">
        <f>SUM(G33+G34+(G35/43))</f>
        <v>0</v>
      </c>
      <c r="H41" s="201" t="e">
        <f>SUM(H33:H35)</f>
        <v>#DIV/0!</v>
      </c>
      <c r="I41" s="261"/>
      <c r="J41" s="262"/>
      <c r="K41" s="261"/>
      <c r="L41" s="262"/>
      <c r="M41" s="111">
        <f>SUM(M33+M34+(M35/43))</f>
        <v>0</v>
      </c>
      <c r="N41" s="201" t="e">
        <f>SUM(N33:N35)</f>
        <v>#DIV/0!</v>
      </c>
      <c r="O41" s="111">
        <f>SUM(O33+O34+(O35/43))</f>
        <v>0</v>
      </c>
      <c r="P41" s="201" t="e">
        <f>SUM(P33:P35)</f>
        <v>#DIV/0!</v>
      </c>
      <c r="Q41" s="279">
        <f>SUM(Q33+Q34+(Q35/43))</f>
        <v>0</v>
      </c>
      <c r="R41" s="280" t="e">
        <f>SUM(R33:R35)</f>
        <v>#DIV/0!</v>
      </c>
      <c r="S41" s="279">
        <f>SUM(S33+S34+(S35/43))</f>
        <v>0</v>
      </c>
      <c r="T41" s="280" t="e">
        <f>SUM(T33:T35)</f>
        <v>#DIV/0!</v>
      </c>
      <c r="U41" s="111">
        <f>SUM(U33+U34+(U35/43))</f>
        <v>31.2</v>
      </c>
      <c r="V41" s="201">
        <f>SUM(V33:V35)</f>
        <v>1</v>
      </c>
      <c r="W41" s="111">
        <f>SUM(W33+W34+(W35/43))</f>
        <v>51.488372093023258</v>
      </c>
      <c r="X41" s="201"/>
      <c r="Y41" s="111">
        <f>SUM(Y33+Y34+(Y35/43))</f>
        <v>39.488372093023258</v>
      </c>
      <c r="Z41" s="201"/>
      <c r="AA41" s="111">
        <f>SUM(AA33+AA34+(AA35/43))</f>
        <v>76.576744186046511</v>
      </c>
      <c r="AB41" s="201">
        <f>SUM(AB33:AB35)</f>
        <v>0.99999999999999989</v>
      </c>
      <c r="AC41" s="111">
        <f>SUM(AC33+AC34+(AC35/43))</f>
        <v>50.251162790697677</v>
      </c>
      <c r="AD41" s="201">
        <f>SUM(AD33:AD35)</f>
        <v>1</v>
      </c>
      <c r="AE41" s="111">
        <f>SUM(AE33+AE34+(AE35/43))</f>
        <v>58.576744186046511</v>
      </c>
      <c r="AF41" s="201">
        <f>SUM(AF33:AF35)</f>
        <v>1</v>
      </c>
      <c r="AG41" s="111">
        <f>SUM(AG33+AG34+(AG35/43))</f>
        <v>99.190697674418615</v>
      </c>
      <c r="AH41" s="201">
        <f>SUM(AH33:AH35)</f>
        <v>1</v>
      </c>
      <c r="AI41" s="111">
        <f>SUM(AI33+AI34+(AI35/43))</f>
        <v>0</v>
      </c>
      <c r="AJ41" s="201" t="e">
        <f>SUM(AJ33:AJ35)</f>
        <v>#DIV/0!</v>
      </c>
      <c r="AK41" s="261"/>
      <c r="AL41" s="262"/>
      <c r="AM41" s="261"/>
      <c r="AN41" s="262"/>
      <c r="AO41" s="111">
        <f>SUM(AO33+AO34+(AO35/43))</f>
        <v>0</v>
      </c>
      <c r="AP41" s="201" t="e">
        <f>SUM(AP33:AP35)</f>
        <v>#DIV/0!</v>
      </c>
      <c r="AQ41" s="111">
        <f>SUM(AQ33+AQ34+(AQ35/43))</f>
        <v>0</v>
      </c>
      <c r="AR41" s="201" t="e">
        <f>SUM(AR33:AR35)</f>
        <v>#DIV/0!</v>
      </c>
      <c r="AS41" s="111">
        <f>SUM(AS33+AS34+(AS35/43))</f>
        <v>0</v>
      </c>
      <c r="AT41" s="201" t="e">
        <f>SUM(AT33:AT35)</f>
        <v>#DIV/0!</v>
      </c>
      <c r="AU41" s="111">
        <f>SUM(AU33+AU34+(AU35/43))</f>
        <v>0</v>
      </c>
      <c r="AV41" s="201" t="e">
        <f>SUM(AV33:AV35)</f>
        <v>#DIV/0!</v>
      </c>
      <c r="AW41" s="111">
        <f>SUM(AW33+AW34+(AW35/43))</f>
        <v>0</v>
      </c>
      <c r="AX41" s="201" t="e">
        <f>SUM(AX33:AX35)</f>
        <v>#DIV/0!</v>
      </c>
      <c r="AY41" s="261"/>
      <c r="AZ41" s="262"/>
      <c r="BA41" s="261"/>
      <c r="BB41" s="262"/>
      <c r="BC41" s="111">
        <f>SUM(BC33+BC34+(BC35/43))</f>
        <v>0</v>
      </c>
      <c r="BD41" s="201"/>
      <c r="BE41" s="111">
        <f>SUM(BE33+BE34+(BE35/43))</f>
        <v>0</v>
      </c>
      <c r="BF41" s="201"/>
      <c r="BG41" s="111">
        <f>SUM(BG33+BG34+(BG35/43))</f>
        <v>0</v>
      </c>
      <c r="BH41" s="201"/>
      <c r="BI41" s="111">
        <f>SUM(BI33+BI34+(BI35/43))</f>
        <v>0</v>
      </c>
      <c r="BJ41" s="201" t="e">
        <f>SUM(BJ33:BJ35)</f>
        <v>#DIV/0!</v>
      </c>
      <c r="BK41" s="111">
        <f>SUM(BK33+BK34+(BK35/43))</f>
        <v>0</v>
      </c>
      <c r="BL41" s="201" t="e">
        <f>SUM(BL33:BL35)</f>
        <v>#DIV/0!</v>
      </c>
      <c r="BM41" s="261"/>
      <c r="BN41" s="262"/>
      <c r="BO41" s="111">
        <f>SUM(BO33+BO34+(BO35/43))</f>
        <v>0</v>
      </c>
      <c r="BP41" s="201" t="e">
        <f>SUM(BP33:BP35)</f>
        <v>#DIV/0!</v>
      </c>
    </row>
    <row r="42" spans="1:68" ht="13.2" hidden="1" x14ac:dyDescent="0.25">
      <c r="D42" s="159"/>
      <c r="E42" s="108"/>
      <c r="F42" s="108"/>
      <c r="G42" s="223"/>
      <c r="I42" s="108"/>
      <c r="J42" s="108"/>
      <c r="K42" s="108"/>
      <c r="L42" s="79"/>
      <c r="M42" s="79"/>
      <c r="N42" s="79"/>
      <c r="O42" s="79"/>
      <c r="W42" t="s">
        <v>137</v>
      </c>
      <c r="BI42" s="1"/>
      <c r="BJ42" s="1"/>
    </row>
    <row r="44" spans="1:68" ht="22.5" customHeight="1" x14ac:dyDescent="0.25">
      <c r="G44" s="221"/>
      <c r="M44" s="1" t="s">
        <v>138</v>
      </c>
      <c r="AS44" s="1" t="s">
        <v>109</v>
      </c>
    </row>
    <row r="47" spans="1:68" ht="22.5" customHeight="1" x14ac:dyDescent="0.25">
      <c r="E47" s="263"/>
    </row>
    <row r="49" spans="15:15" ht="22.5" customHeight="1" x14ac:dyDescent="0.25">
      <c r="O49" s="1" t="s">
        <v>109</v>
      </c>
    </row>
  </sheetData>
  <sheetProtection formatCells="0" formatColumns="0" formatRows="0" insertColumns="0" insertRows="0" insertHyperlinks="0" deleteColumns="0" deleteRows="0" sort="0" autoFilter="0" pivotTables="0"/>
  <autoFilter ref="B7:C42" xr:uid="{00000000-0009-0000-0000-000002000000}">
    <filterColumn colId="0">
      <colorFilter dxfId="0"/>
    </filterColumn>
  </autoFilter>
  <mergeCells count="272">
    <mergeCell ref="I10:J10"/>
    <mergeCell ref="BP15:BP19"/>
    <mergeCell ref="BK32:BL32"/>
    <mergeCell ref="AS9:AT9"/>
    <mergeCell ref="AI32:AJ32"/>
    <mergeCell ref="U9:V9"/>
    <mergeCell ref="AA9:AB9"/>
    <mergeCell ref="AD15:AD19"/>
    <mergeCell ref="I8:J8"/>
    <mergeCell ref="K8:L8"/>
    <mergeCell ref="BM8:BN8"/>
    <mergeCell ref="BO8:BP8"/>
    <mergeCell ref="BO9:BP9"/>
    <mergeCell ref="BO22:BP22"/>
    <mergeCell ref="BO32:BP32"/>
    <mergeCell ref="AY8:AZ8"/>
    <mergeCell ref="BA8:BB8"/>
    <mergeCell ref="BC8:BD8"/>
    <mergeCell ref="BE8:BF8"/>
    <mergeCell ref="BG8:BH8"/>
    <mergeCell ref="J15:J19"/>
    <mergeCell ref="L15:L19"/>
    <mergeCell ref="X15:X19"/>
    <mergeCell ref="Z15:Z19"/>
    <mergeCell ref="AS32:AT32"/>
    <mergeCell ref="BE31:BF31"/>
    <mergeCell ref="BG31:BH31"/>
    <mergeCell ref="BA9:BB9"/>
    <mergeCell ref="AM9:AN9"/>
    <mergeCell ref="AK9:AL9"/>
    <mergeCell ref="AI9:AJ9"/>
    <mergeCell ref="BI22:BJ22"/>
    <mergeCell ref="BK22:BL22"/>
    <mergeCell ref="AY9:AZ9"/>
    <mergeCell ref="BL15:BL19"/>
    <mergeCell ref="BK9:BL9"/>
    <mergeCell ref="BG9:BH9"/>
    <mergeCell ref="BI9:BJ9"/>
    <mergeCell ref="BC9:BD9"/>
    <mergeCell ref="BE9:BF9"/>
    <mergeCell ref="AZ15:AZ19"/>
    <mergeCell ref="BB15:BB19"/>
    <mergeCell ref="BM9:BN9"/>
    <mergeCell ref="AR15:AR19"/>
    <mergeCell ref="AT15:AT19"/>
    <mergeCell ref="AV15:AV19"/>
    <mergeCell ref="AX15:AX19"/>
    <mergeCell ref="BA31:BB31"/>
    <mergeCell ref="AY31:AZ31"/>
    <mergeCell ref="BI32:BJ32"/>
    <mergeCell ref="AG32:AH32"/>
    <mergeCell ref="BM32:BN32"/>
    <mergeCell ref="AU32:AV32"/>
    <mergeCell ref="AW32:AX32"/>
    <mergeCell ref="AY32:AZ32"/>
    <mergeCell ref="BA32:BB32"/>
    <mergeCell ref="BC32:BD32"/>
    <mergeCell ref="BE32:BF32"/>
    <mergeCell ref="BG32:BH32"/>
    <mergeCell ref="AK32:AL32"/>
    <mergeCell ref="AM32:AN32"/>
    <mergeCell ref="AO32:AP32"/>
    <mergeCell ref="AQ32:AR32"/>
    <mergeCell ref="AG9:AH9"/>
    <mergeCell ref="AU31:AV31"/>
    <mergeCell ref="AG22:AH22"/>
    <mergeCell ref="AC31:AD31"/>
    <mergeCell ref="AE31:AF31"/>
    <mergeCell ref="Q32:R32"/>
    <mergeCell ref="S32:T32"/>
    <mergeCell ref="U32:V32"/>
    <mergeCell ref="W32:X32"/>
    <mergeCell ref="AA31:AB31"/>
    <mergeCell ref="Y31:Z31"/>
    <mergeCell ref="AE32:AF32"/>
    <mergeCell ref="U31:V31"/>
    <mergeCell ref="Y32:Z32"/>
    <mergeCell ref="Q7:R7"/>
    <mergeCell ref="AC9:AD9"/>
    <mergeCell ref="AE9:AF9"/>
    <mergeCell ref="B2:AH3"/>
    <mergeCell ref="U8:V8"/>
    <mergeCell ref="O8:P8"/>
    <mergeCell ref="AA8:AB8"/>
    <mergeCell ref="AC8:AD8"/>
    <mergeCell ref="AE8:AF8"/>
    <mergeCell ref="AG8:AH8"/>
    <mergeCell ref="Y7:Z7"/>
    <mergeCell ref="B8:C8"/>
    <mergeCell ref="E8:F8"/>
    <mergeCell ref="M8:N8"/>
    <mergeCell ref="O7:P7"/>
    <mergeCell ref="M7:N7"/>
    <mergeCell ref="K7:L7"/>
    <mergeCell ref="I7:J7"/>
    <mergeCell ref="AG7:AH7"/>
    <mergeCell ref="S7:T7"/>
    <mergeCell ref="U7:V7"/>
    <mergeCell ref="W7:X7"/>
    <mergeCell ref="G8:H8"/>
    <mergeCell ref="AA7:AB7"/>
    <mergeCell ref="BK8:BL8"/>
    <mergeCell ref="S31:T31"/>
    <mergeCell ref="AO8:AP8"/>
    <mergeCell ref="G7:H7"/>
    <mergeCell ref="M9:N9"/>
    <mergeCell ref="H15:H19"/>
    <mergeCell ref="T15:T19"/>
    <mergeCell ref="Q8:R8"/>
    <mergeCell ref="S8:T8"/>
    <mergeCell ref="AI7:AJ7"/>
    <mergeCell ref="AK7:AL7"/>
    <mergeCell ref="AM7:AN7"/>
    <mergeCell ref="AO7:AP7"/>
    <mergeCell ref="AI8:AJ8"/>
    <mergeCell ref="AL15:AL19"/>
    <mergeCell ref="AN15:AN19"/>
    <mergeCell ref="AP15:AP19"/>
    <mergeCell ref="W8:X8"/>
    <mergeCell ref="Y8:Z8"/>
    <mergeCell ref="AK8:AL8"/>
    <mergeCell ref="AM8:AN8"/>
    <mergeCell ref="AF15:AF19"/>
    <mergeCell ref="AB15:AB19"/>
    <mergeCell ref="S22:T22"/>
    <mergeCell ref="BM7:BN7"/>
    <mergeCell ref="BO7:BP7"/>
    <mergeCell ref="BC7:BD7"/>
    <mergeCell ref="BE7:BF7"/>
    <mergeCell ref="BG7:BH7"/>
    <mergeCell ref="BI7:BJ7"/>
    <mergeCell ref="BK7:BL7"/>
    <mergeCell ref="AY7:AZ7"/>
    <mergeCell ref="BA7:BB7"/>
    <mergeCell ref="AQ8:AR8"/>
    <mergeCell ref="AS8:AT8"/>
    <mergeCell ref="AU8:AV8"/>
    <mergeCell ref="AW8:AX8"/>
    <mergeCell ref="AU9:AV9"/>
    <mergeCell ref="AQ7:AR7"/>
    <mergeCell ref="AS7:AT7"/>
    <mergeCell ref="AU7:AV7"/>
    <mergeCell ref="AW7:AX7"/>
    <mergeCell ref="AC7:AD7"/>
    <mergeCell ref="AE7:AF7"/>
    <mergeCell ref="V15:V19"/>
    <mergeCell ref="AH15:AH19"/>
    <mergeCell ref="B41:C41"/>
    <mergeCell ref="K9:L9"/>
    <mergeCell ref="I9:J9"/>
    <mergeCell ref="AA32:AB32"/>
    <mergeCell ref="AC32:AD32"/>
    <mergeCell ref="M22:N22"/>
    <mergeCell ref="O22:P22"/>
    <mergeCell ref="Q22:R22"/>
    <mergeCell ref="B39:B40"/>
    <mergeCell ref="B36:B38"/>
    <mergeCell ref="D9:E9"/>
    <mergeCell ref="B20:C20"/>
    <mergeCell ref="B30:C30"/>
    <mergeCell ref="D32:E32"/>
    <mergeCell ref="I32:J32"/>
    <mergeCell ref="K32:L32"/>
    <mergeCell ref="M32:N32"/>
    <mergeCell ref="O32:P32"/>
    <mergeCell ref="G9:H9"/>
    <mergeCell ref="G21:H21"/>
    <mergeCell ref="D22:E22"/>
    <mergeCell ref="G31:H31"/>
    <mergeCell ref="O21:P21"/>
    <mergeCell ref="M31:N31"/>
    <mergeCell ref="Y9:Z9"/>
    <mergeCell ref="B9:C9"/>
    <mergeCell ref="G32:H32"/>
    <mergeCell ref="I31:J31"/>
    <mergeCell ref="K31:L31"/>
    <mergeCell ref="B25:B27"/>
    <mergeCell ref="B28:B29"/>
    <mergeCell ref="B22:C22"/>
    <mergeCell ref="B32:C32"/>
    <mergeCell ref="B15:B17"/>
    <mergeCell ref="B18:B19"/>
    <mergeCell ref="O31:P31"/>
    <mergeCell ref="Q31:R31"/>
    <mergeCell ref="O9:P9"/>
    <mergeCell ref="Q9:R9"/>
    <mergeCell ref="S9:T9"/>
    <mergeCell ref="I21:J21"/>
    <mergeCell ref="K21:L21"/>
    <mergeCell ref="N15:N19"/>
    <mergeCell ref="M21:N21"/>
    <mergeCell ref="AE22:AF22"/>
    <mergeCell ref="P15:P19"/>
    <mergeCell ref="AE21:AF21"/>
    <mergeCell ref="Q21:R21"/>
    <mergeCell ref="S21:T21"/>
    <mergeCell ref="U21:V21"/>
    <mergeCell ref="W21:X21"/>
    <mergeCell ref="Y21:Z21"/>
    <mergeCell ref="AA21:AB21"/>
    <mergeCell ref="AC21:AD21"/>
    <mergeCell ref="AC22:AD22"/>
    <mergeCell ref="R15:R19"/>
    <mergeCell ref="I22:J22"/>
    <mergeCell ref="BI8:BJ8"/>
    <mergeCell ref="A8:A20"/>
    <mergeCell ref="B21:C21"/>
    <mergeCell ref="A21:A30"/>
    <mergeCell ref="B31:C31"/>
    <mergeCell ref="A31:A41"/>
    <mergeCell ref="K22:L22"/>
    <mergeCell ref="AW9:AX9"/>
    <mergeCell ref="AM22:AN22"/>
    <mergeCell ref="AO22:AP22"/>
    <mergeCell ref="AI22:AJ22"/>
    <mergeCell ref="AK22:AL22"/>
    <mergeCell ref="W9:X9"/>
    <mergeCell ref="AJ15:AJ19"/>
    <mergeCell ref="AO9:AP9"/>
    <mergeCell ref="AQ9:AR9"/>
    <mergeCell ref="U22:V22"/>
    <mergeCell ref="W22:X22"/>
    <mergeCell ref="Y22:Z22"/>
    <mergeCell ref="AA22:AB22"/>
    <mergeCell ref="W31:X31"/>
    <mergeCell ref="G22:H22"/>
    <mergeCell ref="AG31:AH31"/>
    <mergeCell ref="BO31:BP31"/>
    <mergeCell ref="BO21:BP21"/>
    <mergeCell ref="BK21:BL21"/>
    <mergeCell ref="BA21:BB21"/>
    <mergeCell ref="BC21:BD21"/>
    <mergeCell ref="BE21:BF21"/>
    <mergeCell ref="BG21:BH21"/>
    <mergeCell ref="BI21:BJ21"/>
    <mergeCell ref="AI21:AJ21"/>
    <mergeCell ref="AK21:AL21"/>
    <mergeCell ref="AM21:AN21"/>
    <mergeCell ref="AO21:AP21"/>
    <mergeCell ref="AQ21:AR21"/>
    <mergeCell ref="AS21:AT21"/>
    <mergeCell ref="AU21:AV21"/>
    <mergeCell ref="AW21:AX21"/>
    <mergeCell ref="AY21:AZ21"/>
    <mergeCell ref="AI31:AJ31"/>
    <mergeCell ref="AW31:AX31"/>
    <mergeCell ref="BK31:BL31"/>
    <mergeCell ref="BM21:BN21"/>
    <mergeCell ref="BG22:BH22"/>
    <mergeCell ref="BI31:BJ31"/>
    <mergeCell ref="BM31:BN31"/>
    <mergeCell ref="BN15:BN19"/>
    <mergeCell ref="BD15:BD19"/>
    <mergeCell ref="BF15:BF19"/>
    <mergeCell ref="BH15:BH19"/>
    <mergeCell ref="BJ15:BJ19"/>
    <mergeCell ref="AG21:AH21"/>
    <mergeCell ref="AK31:AL31"/>
    <mergeCell ref="AM31:AN31"/>
    <mergeCell ref="AO31:AP31"/>
    <mergeCell ref="AQ31:AR31"/>
    <mergeCell ref="AS31:AT31"/>
    <mergeCell ref="BC31:BD31"/>
    <mergeCell ref="BM22:BN22"/>
    <mergeCell ref="AW22:AX22"/>
    <mergeCell ref="AY22:AZ22"/>
    <mergeCell ref="BA22:BB22"/>
    <mergeCell ref="BC22:BD22"/>
    <mergeCell ref="BE22:BF22"/>
    <mergeCell ref="AQ22:AR22"/>
    <mergeCell ref="AS22:AT22"/>
    <mergeCell ref="AU22:AV22"/>
  </mergeCells>
  <phoneticPr fontId="3" type="noConversion"/>
  <conditionalFormatting sqref="B28:C28 B23:C25 C29">
    <cfRule type="uniqueValues" dxfId="145" priority="26"/>
  </conditionalFormatting>
  <conditionalFormatting sqref="B18:C18 B10:C15">
    <cfRule type="duplicateValues" dxfId="144" priority="34"/>
  </conditionalFormatting>
  <conditionalFormatting sqref="B9">
    <cfRule type="duplicateValues" dxfId="143" priority="16"/>
  </conditionalFormatting>
  <conditionalFormatting sqref="B22">
    <cfRule type="uniqueValues" dxfId="142" priority="13"/>
  </conditionalFormatting>
  <conditionalFormatting sqref="C26">
    <cfRule type="uniqueValues" dxfId="141" priority="12"/>
  </conditionalFormatting>
  <conditionalFormatting sqref="C27">
    <cfRule type="uniqueValues" dxfId="140" priority="11"/>
  </conditionalFormatting>
  <conditionalFormatting sqref="B8">
    <cfRule type="duplicateValues" dxfId="139" priority="10"/>
  </conditionalFormatting>
  <conditionalFormatting sqref="B21">
    <cfRule type="uniqueValues" dxfId="138" priority="8"/>
  </conditionalFormatting>
  <conditionalFormatting sqref="B31">
    <cfRule type="duplicateValues" dxfId="137" priority="6"/>
  </conditionalFormatting>
  <pageMargins left="0.7" right="0.7" top="0.75" bottom="0.75" header="0.3" footer="0.3"/>
  <pageSetup paperSize="9" fitToWidth="0" fitToHeight="0" orientation="landscape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3" r:id="rId4" name="Button 3">
              <controlPr defaultSize="0" print="0" autoFill="0" autoPict="0" macro="[0]!Perlite_agricole">
                <anchor moveWithCells="1" sizeWithCells="1">
                  <from>
                    <xdr:col>0</xdr:col>
                    <xdr:colOff>259080</xdr:colOff>
                    <xdr:row>4</xdr:row>
                    <xdr:rowOff>38100</xdr:rowOff>
                  </from>
                  <to>
                    <xdr:col>1</xdr:col>
                    <xdr:colOff>1226820</xdr:colOff>
                    <xdr:row>4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5" name="Button 4">
              <controlPr defaultSize="0" print="0" autoFill="0" autoPict="0" macro="[0]!Macro2">
                <anchor moveWithCells="1" sizeWithCells="1">
                  <from>
                    <xdr:col>2</xdr:col>
                    <xdr:colOff>38100</xdr:colOff>
                    <xdr:row>4</xdr:row>
                    <xdr:rowOff>45720</xdr:rowOff>
                  </from>
                  <to>
                    <xdr:col>2</xdr:col>
                    <xdr:colOff>1714500</xdr:colOff>
                    <xdr:row>4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6" name="Button 5">
              <controlPr defaultSize="0" print="0" autoFill="0" autoPict="0" macro="[0]!PF">
                <anchor moveWithCells="1" sizeWithCells="1">
                  <from>
                    <xdr:col>2</xdr:col>
                    <xdr:colOff>1866900</xdr:colOff>
                    <xdr:row>4</xdr:row>
                    <xdr:rowOff>30480</xdr:rowOff>
                  </from>
                  <to>
                    <xdr:col>4</xdr:col>
                    <xdr:colOff>563880</xdr:colOff>
                    <xdr:row>4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1" r:id="rId7" name="Button 31">
              <controlPr defaultSize="0" print="0" autoFill="0" autoPict="0" macro="[0]!PF">
                <anchor moveWithCells="1">
                  <from>
                    <xdr:col>4</xdr:col>
                    <xdr:colOff>632460</xdr:colOff>
                    <xdr:row>4</xdr:row>
                    <xdr:rowOff>30480</xdr:rowOff>
                  </from>
                  <to>
                    <xdr:col>4</xdr:col>
                    <xdr:colOff>1554480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theme="4"/>
  </sheetPr>
  <dimension ref="B1:R105"/>
  <sheetViews>
    <sheetView showGridLines="0" showRowColHeaders="0" zoomScaleNormal="100" workbookViewId="0">
      <pane xSplit="1" ySplit="5" topLeftCell="B6" activePane="bottomRight" state="frozen"/>
      <selection pane="topRight" activeCell="B1" sqref="B1"/>
      <selection pane="bottomLeft" activeCell="A3" sqref="A3"/>
      <selection pane="bottomRight" activeCell="H26" sqref="H26"/>
    </sheetView>
  </sheetViews>
  <sheetFormatPr baseColWidth="10" defaultColWidth="9.109375" defaultRowHeight="13.2" x14ac:dyDescent="0.25"/>
  <cols>
    <col min="1" max="1" width="3.6640625" style="1" customWidth="1"/>
    <col min="2" max="2" width="25.33203125" style="1" customWidth="1"/>
    <col min="3" max="3" width="19.88671875" style="1" customWidth="1"/>
    <col min="4" max="4" width="21.88671875" style="1" bestFit="1" customWidth="1"/>
    <col min="5" max="5" width="9.109375" style="15"/>
    <col min="6" max="6" width="15" style="15" customWidth="1"/>
    <col min="7" max="16384" width="9.109375" style="1"/>
  </cols>
  <sheetData>
    <row r="1" spans="2:18" ht="13.8" thickBot="1" x14ac:dyDescent="0.3"/>
    <row r="2" spans="2:18" x14ac:dyDescent="0.25">
      <c r="B2" s="284" t="s">
        <v>27</v>
      </c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1"/>
    </row>
    <row r="3" spans="2:18" ht="13.8" thickBot="1" x14ac:dyDescent="0.3">
      <c r="B3" s="402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4"/>
    </row>
    <row r="4" spans="2:18" ht="13.8" thickBot="1" x14ac:dyDescent="0.3"/>
    <row r="5" spans="2:18" s="21" customFormat="1" ht="27" thickBot="1" x14ac:dyDescent="0.3">
      <c r="B5" s="116" t="s">
        <v>0</v>
      </c>
      <c r="C5" s="117" t="s">
        <v>1</v>
      </c>
      <c r="D5" s="117" t="s">
        <v>2</v>
      </c>
      <c r="E5" s="117" t="s">
        <v>136</v>
      </c>
      <c r="F5" s="118" t="s">
        <v>4</v>
      </c>
    </row>
    <row r="6" spans="2:18" x14ac:dyDescent="0.25">
      <c r="B6" s="119" t="s">
        <v>178</v>
      </c>
      <c r="C6" s="120" t="s">
        <v>76</v>
      </c>
      <c r="D6" s="19" t="str">
        <f>+VLOOKUP(C6,'1 - Produits'!$B$6:$C$18,2,0)</f>
        <v>Perlite agricole 150L</v>
      </c>
      <c r="E6" s="120">
        <v>10.050000000000001</v>
      </c>
      <c r="F6" s="190">
        <v>45295</v>
      </c>
    </row>
    <row r="7" spans="2:18" x14ac:dyDescent="0.25">
      <c r="B7" s="119" t="s">
        <v>182</v>
      </c>
      <c r="C7" s="121" t="s">
        <v>78</v>
      </c>
      <c r="D7" s="1" t="str">
        <f>+VLOOKUP(C7,'1 - Produits'!$B$6:$C$18,2,0)</f>
        <v>Perlite agricole 33L</v>
      </c>
      <c r="E7" s="121">
        <v>0.33</v>
      </c>
      <c r="F7" s="189">
        <v>45295</v>
      </c>
    </row>
    <row r="8" spans="2:18" x14ac:dyDescent="0.25">
      <c r="B8" s="119" t="s">
        <v>183</v>
      </c>
      <c r="C8" s="121" t="s">
        <v>78</v>
      </c>
      <c r="D8" s="1" t="str">
        <f>+VLOOKUP(C8,'1 - Produits'!$B$6:$C$18,2,0)</f>
        <v>Perlite agricole 33L</v>
      </c>
      <c r="E8" s="121">
        <v>20.36</v>
      </c>
      <c r="F8" s="189">
        <v>45296</v>
      </c>
      <c r="H8" s="15"/>
    </row>
    <row r="9" spans="2:18" x14ac:dyDescent="0.25">
      <c r="B9" s="119" t="s">
        <v>184</v>
      </c>
      <c r="C9" s="121" t="s">
        <v>76</v>
      </c>
      <c r="D9" s="1" t="str">
        <f>+VLOOKUP(C9,'1 - Produits'!$B$6:$C$18,2,0)</f>
        <v>Perlite agricole 150L</v>
      </c>
      <c r="E9" s="121">
        <v>80.099999999999994</v>
      </c>
      <c r="F9" s="189">
        <v>45309</v>
      </c>
    </row>
    <row r="10" spans="2:18" x14ac:dyDescent="0.25">
      <c r="B10" s="119" t="s">
        <v>185</v>
      </c>
      <c r="C10" s="121" t="s">
        <v>76</v>
      </c>
      <c r="D10" s="1" t="str">
        <f>+VLOOKUP(C10,'1 - Produits'!$B$6:$C$18,2,0)</f>
        <v>Perlite agricole 150L</v>
      </c>
      <c r="E10" s="121">
        <v>15</v>
      </c>
      <c r="F10" s="191">
        <v>45309</v>
      </c>
    </row>
    <row r="11" spans="2:18" x14ac:dyDescent="0.25">
      <c r="B11" s="119" t="s">
        <v>183</v>
      </c>
      <c r="C11" s="121" t="s">
        <v>76</v>
      </c>
      <c r="D11" s="1" t="str">
        <f>+VLOOKUP(C11,'1 - Produits'!$B$6:$C$18,2,0)</f>
        <v>Perlite agricole 150L</v>
      </c>
      <c r="E11" s="121">
        <v>25.05</v>
      </c>
      <c r="F11" s="191">
        <v>45308</v>
      </c>
    </row>
    <row r="12" spans="2:18" x14ac:dyDescent="0.25">
      <c r="B12" s="119" t="s">
        <v>186</v>
      </c>
      <c r="C12" s="121" t="s">
        <v>82</v>
      </c>
      <c r="D12" s="1" t="str">
        <f>+VLOOKUP(C12,'1 - Produits'!$B$6:$C$18,2,0)</f>
        <v>Perlite Filtration</v>
      </c>
      <c r="E12" s="121">
        <v>360</v>
      </c>
      <c r="F12" s="191">
        <v>45306</v>
      </c>
    </row>
    <row r="13" spans="2:18" x14ac:dyDescent="0.25">
      <c r="B13" s="119" t="s">
        <v>187</v>
      </c>
      <c r="C13" s="121" t="s">
        <v>77</v>
      </c>
      <c r="D13" s="1" t="str">
        <f>+VLOOKUP(C13,'1 - Produits'!$B$6:$C$18,2,0)</f>
        <v>Perlite agricole 100L</v>
      </c>
      <c r="E13" s="121">
        <v>10</v>
      </c>
      <c r="F13" s="191">
        <v>45313</v>
      </c>
    </row>
    <row r="14" spans="2:18" x14ac:dyDescent="0.25">
      <c r="B14" s="119" t="s">
        <v>185</v>
      </c>
      <c r="C14" s="121" t="s">
        <v>76</v>
      </c>
      <c r="D14" s="1" t="s">
        <v>188</v>
      </c>
      <c r="E14" s="121">
        <v>17.7</v>
      </c>
      <c r="F14" s="191">
        <v>45313</v>
      </c>
    </row>
    <row r="15" spans="2:18" x14ac:dyDescent="0.25">
      <c r="B15" s="119" t="s">
        <v>189</v>
      </c>
      <c r="C15" s="121" t="s">
        <v>80</v>
      </c>
      <c r="D15" s="1" t="str">
        <f>+VLOOKUP(C15,'1 - Produits'!$B$6:$C$18,2,0)</f>
        <v xml:space="preserve">Perlite construction </v>
      </c>
      <c r="E15" s="121">
        <v>12</v>
      </c>
      <c r="F15" s="191">
        <v>45310</v>
      </c>
    </row>
    <row r="16" spans="2:18" x14ac:dyDescent="0.25">
      <c r="B16" s="119" t="s">
        <v>189</v>
      </c>
      <c r="C16" s="121" t="s">
        <v>80</v>
      </c>
      <c r="D16" s="1" t="str">
        <f>+VLOOKUP(C16,'1 - Produits'!$B$6:$C$18,2,0)</f>
        <v xml:space="preserve">Perlite construction </v>
      </c>
      <c r="E16" s="121">
        <v>16.7</v>
      </c>
      <c r="F16" s="191">
        <v>45314</v>
      </c>
    </row>
    <row r="17" spans="2:6" x14ac:dyDescent="0.25">
      <c r="B17" s="119" t="s">
        <v>190</v>
      </c>
      <c r="C17" s="121" t="s">
        <v>79</v>
      </c>
      <c r="D17" s="1" t="str">
        <f>+VLOOKUP(C17,'1 - Produits'!$B$6:$C$18,2,0)</f>
        <v>Perlite AF1</v>
      </c>
      <c r="E17" s="121">
        <v>88.49</v>
      </c>
      <c r="F17" s="191">
        <v>45314</v>
      </c>
    </row>
    <row r="18" spans="2:6" x14ac:dyDescent="0.25">
      <c r="B18" s="119" t="s">
        <v>185</v>
      </c>
      <c r="C18" s="121" t="s">
        <v>77</v>
      </c>
      <c r="D18" s="1" t="str">
        <f>+VLOOKUP(C18,'1 - Produits'!$B$6:$C$18,2,0)</f>
        <v>Perlite agricole 100L</v>
      </c>
      <c r="E18" s="121">
        <v>38</v>
      </c>
      <c r="F18" s="191">
        <v>45318</v>
      </c>
    </row>
    <row r="19" spans="2:6" x14ac:dyDescent="0.25">
      <c r="B19" s="119" t="s">
        <v>189</v>
      </c>
      <c r="C19" s="121" t="s">
        <v>80</v>
      </c>
      <c r="D19" s="1" t="str">
        <f>+VLOOKUP(C19,'1 - Produits'!$B$6:$C$18,2,0)</f>
        <v xml:space="preserve">Perlite construction </v>
      </c>
      <c r="E19" s="121">
        <v>57</v>
      </c>
      <c r="F19" s="191">
        <v>45317</v>
      </c>
    </row>
    <row r="20" spans="2:6" x14ac:dyDescent="0.25">
      <c r="B20" s="119"/>
      <c r="C20" s="121"/>
      <c r="D20" s="1" t="e">
        <f>+VLOOKUP(C20,'1 - Produits'!$B$6:$C$18,2,0)</f>
        <v>#N/A</v>
      </c>
      <c r="E20" s="121"/>
      <c r="F20" s="191"/>
    </row>
    <row r="21" spans="2:6" x14ac:dyDescent="0.25">
      <c r="B21" s="119"/>
      <c r="C21" s="121"/>
      <c r="D21" s="1" t="e">
        <f>+VLOOKUP(C21,'1 - Produits'!$B$6:$C$18,2,0)</f>
        <v>#N/A</v>
      </c>
      <c r="E21" s="121"/>
      <c r="F21" s="191"/>
    </row>
    <row r="22" spans="2:6" x14ac:dyDescent="0.25">
      <c r="B22" s="119"/>
      <c r="C22" s="121"/>
      <c r="D22" s="1" t="e">
        <f>+VLOOKUP(C22,'1 - Produits'!$B$6:$C$18,2,0)</f>
        <v>#N/A</v>
      </c>
      <c r="E22" s="121"/>
      <c r="F22" s="191"/>
    </row>
    <row r="23" spans="2:6" x14ac:dyDescent="0.25">
      <c r="B23" s="119"/>
      <c r="C23" s="121"/>
      <c r="D23" s="1" t="e">
        <f>+VLOOKUP(C23,'1 - Produits'!$B$6:$C$18,2,0)</f>
        <v>#N/A</v>
      </c>
      <c r="E23" s="121"/>
      <c r="F23" s="191"/>
    </row>
    <row r="24" spans="2:6" x14ac:dyDescent="0.25">
      <c r="B24" s="119"/>
      <c r="C24" s="121"/>
      <c r="D24" s="1" t="e">
        <f>+VLOOKUP(C24,'1 - Produits'!$B$6:$C$18,2,0)</f>
        <v>#N/A</v>
      </c>
      <c r="E24" s="121"/>
      <c r="F24" s="191"/>
    </row>
    <row r="25" spans="2:6" x14ac:dyDescent="0.25">
      <c r="B25" s="119"/>
      <c r="C25" s="121"/>
      <c r="E25" s="121"/>
      <c r="F25" s="191"/>
    </row>
    <row r="26" spans="2:6" x14ac:dyDescent="0.25">
      <c r="B26" s="119"/>
      <c r="C26" s="121"/>
      <c r="D26" s="1" t="e">
        <f>+VLOOKUP(C26,'1 - Produits'!$B$6:$C$18,2,0)</f>
        <v>#N/A</v>
      </c>
      <c r="E26" s="121"/>
      <c r="F26" s="191"/>
    </row>
    <row r="27" spans="2:6" x14ac:dyDescent="0.25">
      <c r="B27" s="119"/>
      <c r="C27" s="121"/>
      <c r="D27" s="1" t="e">
        <f>+VLOOKUP(C27,'1 - Produits'!$B$6:$C$18,2,0)</f>
        <v>#N/A</v>
      </c>
      <c r="E27" s="121"/>
      <c r="F27" s="191"/>
    </row>
    <row r="28" spans="2:6" x14ac:dyDescent="0.25">
      <c r="B28" s="119"/>
      <c r="C28" s="121"/>
      <c r="D28" s="1" t="e">
        <f>+VLOOKUP(C28,'1 - Produits'!$B$6:$C$18,2,0)</f>
        <v>#N/A</v>
      </c>
      <c r="E28" s="121"/>
      <c r="F28" s="191"/>
    </row>
    <row r="29" spans="2:6" x14ac:dyDescent="0.25">
      <c r="B29" s="119"/>
      <c r="C29" s="121"/>
      <c r="D29" s="1" t="e">
        <f>+VLOOKUP(C29,'1 - Produits'!$B$6:$C$18,2,0)</f>
        <v>#N/A</v>
      </c>
      <c r="E29" s="121"/>
      <c r="F29" s="191"/>
    </row>
    <row r="30" spans="2:6" x14ac:dyDescent="0.25">
      <c r="B30" s="119"/>
      <c r="C30" s="121"/>
      <c r="D30" s="1" t="e">
        <f>+VLOOKUP(C30,'1 - Produits'!$B$6:$C$18,2,0)</f>
        <v>#N/A</v>
      </c>
      <c r="E30" s="121"/>
      <c r="F30" s="191"/>
    </row>
    <row r="31" spans="2:6" x14ac:dyDescent="0.25">
      <c r="B31" s="119"/>
      <c r="C31" s="121"/>
      <c r="D31" s="1" t="e">
        <f>+VLOOKUP(C31,'1 - Produits'!$B$6:$C$18,2,0)</f>
        <v>#N/A</v>
      </c>
      <c r="E31" s="121"/>
      <c r="F31" s="191"/>
    </row>
    <row r="32" spans="2:6" x14ac:dyDescent="0.25">
      <c r="B32" s="119"/>
      <c r="C32" s="121"/>
      <c r="D32" s="1" t="e">
        <f>+VLOOKUP(C32,'1 - Produits'!$B$6:$C$18,2,0)</f>
        <v>#N/A</v>
      </c>
      <c r="E32" s="121"/>
      <c r="F32" s="189"/>
    </row>
    <row r="33" spans="2:6" x14ac:dyDescent="0.25">
      <c r="B33" s="119"/>
      <c r="C33" s="121"/>
      <c r="D33" s="1" t="e">
        <f>+VLOOKUP(C33,'1 - Produits'!$B$6:$C$18,2,0)</f>
        <v>#N/A</v>
      </c>
      <c r="E33" s="121"/>
      <c r="F33" s="189"/>
    </row>
    <row r="34" spans="2:6" x14ac:dyDescent="0.25">
      <c r="B34" s="119"/>
      <c r="C34" s="121"/>
      <c r="D34" s="1" t="s">
        <v>181</v>
      </c>
      <c r="E34" s="121"/>
      <c r="F34" s="189"/>
    </row>
    <row r="35" spans="2:6" x14ac:dyDescent="0.25">
      <c r="B35" s="119"/>
      <c r="C35" s="121"/>
      <c r="D35" s="1" t="e">
        <f>+VLOOKUP(C35,'1 - Produits'!$B$6:$C$18,2,0)</f>
        <v>#N/A</v>
      </c>
      <c r="E35" s="121"/>
      <c r="F35" s="189"/>
    </row>
    <row r="36" spans="2:6" x14ac:dyDescent="0.25">
      <c r="B36" s="119"/>
      <c r="C36" s="121"/>
      <c r="D36" s="1" t="e">
        <f>+VLOOKUP(C36,'1 - Produits'!$B$6:$C$18,2,0)</f>
        <v>#N/A</v>
      </c>
      <c r="E36" s="121"/>
      <c r="F36" s="189"/>
    </row>
    <row r="37" spans="2:6" x14ac:dyDescent="0.25">
      <c r="B37" s="119"/>
      <c r="C37" s="121"/>
      <c r="D37" s="1" t="e">
        <f>+VLOOKUP(C37,'1 - Produits'!$B$6:$C$18,2,0)</f>
        <v>#N/A</v>
      </c>
      <c r="E37" s="121"/>
      <c r="F37" s="189"/>
    </row>
    <row r="38" spans="2:6" x14ac:dyDescent="0.25">
      <c r="B38" s="119"/>
      <c r="C38" s="121"/>
      <c r="D38" s="1" t="e">
        <f>+VLOOKUP(C38,'1 - Produits'!$B$6:$C$18,2,0)</f>
        <v>#N/A</v>
      </c>
      <c r="E38" s="121"/>
      <c r="F38" s="189"/>
    </row>
    <row r="39" spans="2:6" x14ac:dyDescent="0.25">
      <c r="B39" s="119"/>
      <c r="C39" s="121"/>
      <c r="D39" s="1" t="e">
        <f>+VLOOKUP(C39,'1 - Produits'!$B$6:$C$18,2,0)</f>
        <v>#N/A</v>
      </c>
      <c r="E39" s="121"/>
      <c r="F39" s="189"/>
    </row>
    <row r="40" spans="2:6" x14ac:dyDescent="0.25">
      <c r="B40" s="119"/>
      <c r="C40" s="121"/>
      <c r="D40" s="1" t="e">
        <f>+VLOOKUP(C40,'1 - Produits'!$B$6:$C$18,2,0)</f>
        <v>#N/A</v>
      </c>
      <c r="E40" s="121"/>
      <c r="F40" s="189"/>
    </row>
    <row r="41" spans="2:6" x14ac:dyDescent="0.25">
      <c r="B41" s="119"/>
      <c r="C41" s="121"/>
      <c r="D41" s="1" t="e">
        <f>+VLOOKUP(C41,'1 - Produits'!$B$6:$C$18,2,0)</f>
        <v>#N/A</v>
      </c>
      <c r="E41" s="121"/>
      <c r="F41" s="189"/>
    </row>
    <row r="42" spans="2:6" x14ac:dyDescent="0.25">
      <c r="B42" s="119"/>
      <c r="C42" s="121"/>
      <c r="D42" s="1" t="e">
        <f>+VLOOKUP(C42,'1 - Produits'!$B$6:$C$18,2,0)</f>
        <v>#N/A</v>
      </c>
      <c r="E42" s="121"/>
      <c r="F42" s="189"/>
    </row>
    <row r="43" spans="2:6" x14ac:dyDescent="0.25">
      <c r="B43" s="119"/>
      <c r="C43" s="121"/>
      <c r="D43" s="1" t="e">
        <f>+VLOOKUP(C43,'1 - Produits'!$B$6:$C$18,2,0)</f>
        <v>#N/A</v>
      </c>
      <c r="E43" s="121"/>
      <c r="F43" s="189"/>
    </row>
    <row r="44" spans="2:6" x14ac:dyDescent="0.25">
      <c r="B44" s="119"/>
      <c r="C44" s="121"/>
      <c r="D44" s="1" t="e">
        <f>+VLOOKUP(C44,'1 - Produits'!$B$6:$C$18,2,0)</f>
        <v>#N/A</v>
      </c>
      <c r="E44" s="121"/>
      <c r="F44" s="189"/>
    </row>
    <row r="45" spans="2:6" x14ac:dyDescent="0.25">
      <c r="B45" s="119"/>
      <c r="C45" s="121"/>
      <c r="D45" s="1" t="e">
        <f>+VLOOKUP(C45,'1 - Produits'!$B$6:$C$18,2,0)</f>
        <v>#N/A</v>
      </c>
      <c r="E45" s="121"/>
      <c r="F45" s="189"/>
    </row>
    <row r="46" spans="2:6" x14ac:dyDescent="0.25">
      <c r="B46" s="119"/>
      <c r="C46" s="121"/>
      <c r="D46" s="1" t="e">
        <f>+VLOOKUP(C46,'1 - Produits'!$B$6:$C$18,2,0)</f>
        <v>#N/A</v>
      </c>
      <c r="E46" s="121"/>
      <c r="F46" s="189"/>
    </row>
    <row r="47" spans="2:6" x14ac:dyDescent="0.25">
      <c r="B47" s="119"/>
      <c r="C47" s="121"/>
      <c r="D47" s="1" t="e">
        <f>+VLOOKUP(C47,'1 - Produits'!$B$6:$C$18,2,0)</f>
        <v>#N/A</v>
      </c>
      <c r="E47" s="121"/>
      <c r="F47" s="189"/>
    </row>
    <row r="48" spans="2:6" x14ac:dyDescent="0.25">
      <c r="B48" s="119"/>
      <c r="C48" s="121"/>
      <c r="D48" s="1" t="e">
        <f>+VLOOKUP(C48,'1 - Produits'!$B$6:$C$18,2,0)</f>
        <v>#N/A</v>
      </c>
      <c r="E48" s="121"/>
      <c r="F48" s="189"/>
    </row>
    <row r="49" spans="2:6" x14ac:dyDescent="0.25">
      <c r="B49" s="119"/>
      <c r="C49" s="121"/>
      <c r="D49" s="1" t="e">
        <f>+VLOOKUP(C49,'1 - Produits'!$B$6:$C$18,2,0)</f>
        <v>#N/A</v>
      </c>
      <c r="E49" s="121"/>
      <c r="F49" s="189"/>
    </row>
    <row r="50" spans="2:6" x14ac:dyDescent="0.25">
      <c r="B50" s="119"/>
      <c r="C50" s="121"/>
      <c r="D50" s="1" t="e">
        <f>+VLOOKUP(C50,'1 - Produits'!$B$6:$C$18,2,0)</f>
        <v>#N/A</v>
      </c>
      <c r="E50" s="121"/>
      <c r="F50" s="189"/>
    </row>
    <row r="51" spans="2:6" x14ac:dyDescent="0.25">
      <c r="B51" s="119"/>
      <c r="C51" s="121"/>
      <c r="D51" s="1" t="e">
        <f>+VLOOKUP(C51,'1 - Produits'!$B$6:$C$18,2,0)</f>
        <v>#N/A</v>
      </c>
      <c r="E51" s="121"/>
      <c r="F51" s="189"/>
    </row>
    <row r="52" spans="2:6" x14ac:dyDescent="0.25">
      <c r="B52" s="119"/>
      <c r="C52" s="121"/>
      <c r="D52" s="1" t="e">
        <f>+VLOOKUP(C52,'1 - Produits'!$B$6:$C$18,2,0)</f>
        <v>#N/A</v>
      </c>
      <c r="E52" s="121"/>
      <c r="F52" s="189"/>
    </row>
    <row r="53" spans="2:6" x14ac:dyDescent="0.25">
      <c r="B53" s="119"/>
      <c r="C53" s="121"/>
      <c r="D53" s="1" t="e">
        <f>+VLOOKUP(C53,'1 - Produits'!$B$6:$C$18,2,0)</f>
        <v>#N/A</v>
      </c>
      <c r="E53" s="121"/>
      <c r="F53" s="189"/>
    </row>
    <row r="54" spans="2:6" x14ac:dyDescent="0.25">
      <c r="B54" s="119"/>
      <c r="C54" s="121"/>
      <c r="D54" s="1" t="e">
        <f>+VLOOKUP(C54,'1 - Produits'!$B$6:$C$18,2,0)</f>
        <v>#N/A</v>
      </c>
      <c r="E54" s="121"/>
      <c r="F54" s="189"/>
    </row>
    <row r="55" spans="2:6" x14ac:dyDescent="0.25">
      <c r="B55" s="119"/>
      <c r="C55" s="121"/>
      <c r="D55" s="1" t="e">
        <f>+VLOOKUP(C55,'1 - Produits'!$B$6:$C$18,2,0)</f>
        <v>#N/A</v>
      </c>
      <c r="E55" s="121"/>
      <c r="F55" s="189"/>
    </row>
    <row r="56" spans="2:6" x14ac:dyDescent="0.25">
      <c r="B56" s="119"/>
      <c r="C56" s="121"/>
      <c r="D56" s="1" t="e">
        <f>+VLOOKUP(C56,'1 - Produits'!$B$6:$C$18,2,0)</f>
        <v>#N/A</v>
      </c>
      <c r="E56" s="121"/>
      <c r="F56" s="189"/>
    </row>
    <row r="57" spans="2:6" x14ac:dyDescent="0.25">
      <c r="B57" s="119"/>
      <c r="C57" s="121"/>
      <c r="D57" s="1" t="e">
        <f>+VLOOKUP(C57,'1 - Produits'!$B$6:$C$18,2,0)</f>
        <v>#N/A</v>
      </c>
      <c r="E57" s="121"/>
      <c r="F57" s="189"/>
    </row>
    <row r="58" spans="2:6" x14ac:dyDescent="0.25">
      <c r="B58" s="119"/>
      <c r="C58" s="121"/>
      <c r="D58" s="1" t="e">
        <f>+VLOOKUP(C58,'1 - Produits'!$B$6:$C$18,2,0)</f>
        <v>#N/A</v>
      </c>
      <c r="E58" s="121"/>
      <c r="F58" s="189"/>
    </row>
    <row r="59" spans="2:6" x14ac:dyDescent="0.25">
      <c r="B59" s="119"/>
      <c r="C59" s="121"/>
      <c r="D59" s="1" t="e">
        <f>+VLOOKUP(C59,'1 - Produits'!$B$6:$C$18,2,0)</f>
        <v>#N/A</v>
      </c>
      <c r="E59" s="121"/>
      <c r="F59" s="189"/>
    </row>
    <row r="60" spans="2:6" x14ac:dyDescent="0.25">
      <c r="B60" s="119"/>
      <c r="C60" s="121"/>
      <c r="D60" s="1" t="e">
        <f>+VLOOKUP(C60,'1 - Produits'!$B$6:$C$18,2,0)</f>
        <v>#N/A</v>
      </c>
      <c r="E60" s="121"/>
      <c r="F60" s="189"/>
    </row>
    <row r="61" spans="2:6" x14ac:dyDescent="0.25">
      <c r="B61" s="119"/>
      <c r="C61" s="121"/>
      <c r="D61" s="1" t="e">
        <f>+VLOOKUP(C61,'1 - Produits'!$B$6:$C$18,2,0)</f>
        <v>#N/A</v>
      </c>
      <c r="E61" s="121"/>
      <c r="F61" s="189"/>
    </row>
    <row r="62" spans="2:6" x14ac:dyDescent="0.25">
      <c r="B62" s="119"/>
      <c r="C62" s="121"/>
      <c r="D62" s="1" t="e">
        <f>+VLOOKUP(C62,'1 - Produits'!$B$6:$C$18,2,0)</f>
        <v>#N/A</v>
      </c>
      <c r="E62" s="121"/>
      <c r="F62" s="189"/>
    </row>
    <row r="63" spans="2:6" x14ac:dyDescent="0.25">
      <c r="B63" s="119"/>
      <c r="C63" s="121"/>
      <c r="D63" s="1" t="e">
        <f>+VLOOKUP(C63,'1 - Produits'!$B$6:$C$18,2,0)</f>
        <v>#N/A</v>
      </c>
      <c r="E63" s="121"/>
      <c r="F63" s="189"/>
    </row>
    <row r="64" spans="2:6" x14ac:dyDescent="0.25">
      <c r="B64" s="119"/>
      <c r="C64" s="121"/>
      <c r="D64" s="1" t="e">
        <f>+VLOOKUP(C64,'1 - Produits'!$B$6:$C$18,2,0)</f>
        <v>#N/A</v>
      </c>
      <c r="E64" s="121"/>
      <c r="F64" s="189"/>
    </row>
    <row r="65" spans="2:6" x14ac:dyDescent="0.25">
      <c r="B65" s="119"/>
      <c r="C65" s="121"/>
      <c r="D65" s="1" t="e">
        <f>+VLOOKUP(C65,'1 - Produits'!$B$6:$C$18,2,0)</f>
        <v>#N/A</v>
      </c>
      <c r="E65" s="121"/>
      <c r="F65" s="189"/>
    </row>
    <row r="66" spans="2:6" x14ac:dyDescent="0.25">
      <c r="B66" s="119"/>
      <c r="C66" s="121"/>
      <c r="D66" s="1" t="e">
        <f>+VLOOKUP(C66,'1 - Produits'!$B$6:$C$18,2,0)</f>
        <v>#N/A</v>
      </c>
      <c r="E66" s="121"/>
      <c r="F66" s="189"/>
    </row>
    <row r="67" spans="2:6" x14ac:dyDescent="0.25">
      <c r="B67" s="119"/>
      <c r="C67" s="121"/>
      <c r="D67" s="1" t="e">
        <f>+VLOOKUP(C67,'1 - Produits'!$B$6:$C$18,2,0)</f>
        <v>#N/A</v>
      </c>
      <c r="E67" s="121"/>
      <c r="F67" s="189"/>
    </row>
    <row r="68" spans="2:6" x14ac:dyDescent="0.25">
      <c r="B68" s="119"/>
      <c r="C68" s="121"/>
      <c r="D68" s="1" t="e">
        <f>+VLOOKUP(C68,'1 - Produits'!$B$6:$C$18,2,0)</f>
        <v>#N/A</v>
      </c>
      <c r="E68" s="121"/>
      <c r="F68" s="189"/>
    </row>
    <row r="69" spans="2:6" x14ac:dyDescent="0.25">
      <c r="B69" s="119"/>
      <c r="C69" s="121"/>
      <c r="D69" s="1" t="e">
        <f>+VLOOKUP(C69,'1 - Produits'!$B$6:$C$18,2,0)</f>
        <v>#N/A</v>
      </c>
      <c r="E69" s="121"/>
      <c r="F69" s="189"/>
    </row>
    <row r="70" spans="2:6" x14ac:dyDescent="0.25">
      <c r="B70" s="119"/>
      <c r="C70" s="121"/>
      <c r="D70" s="1" t="e">
        <f>+VLOOKUP(C70,'1 - Produits'!$B$6:$C$18,2,0)</f>
        <v>#N/A</v>
      </c>
      <c r="E70" s="121"/>
      <c r="F70" s="189"/>
    </row>
    <row r="71" spans="2:6" x14ac:dyDescent="0.25">
      <c r="B71" s="119"/>
      <c r="C71" s="121"/>
      <c r="D71" s="1" t="e">
        <f>+VLOOKUP(C71,'1 - Produits'!$B$6:$C$18,2,0)</f>
        <v>#N/A</v>
      </c>
      <c r="E71" s="121"/>
      <c r="F71" s="189"/>
    </row>
    <row r="72" spans="2:6" x14ac:dyDescent="0.25">
      <c r="B72" s="119"/>
      <c r="C72" s="121"/>
      <c r="D72" s="1" t="e">
        <f>+VLOOKUP(C72,'1 - Produits'!$B$6:$C$18,2,0)</f>
        <v>#N/A</v>
      </c>
      <c r="E72" s="121"/>
      <c r="F72" s="189"/>
    </row>
    <row r="73" spans="2:6" x14ac:dyDescent="0.25">
      <c r="B73" s="119"/>
      <c r="C73" s="121"/>
      <c r="D73" s="1" t="e">
        <f>+VLOOKUP(C73,'1 - Produits'!$B$6:$C$18,2,0)</f>
        <v>#N/A</v>
      </c>
      <c r="E73" s="121"/>
      <c r="F73" s="189"/>
    </row>
    <row r="74" spans="2:6" x14ac:dyDescent="0.25">
      <c r="B74" s="119"/>
      <c r="C74" s="121"/>
      <c r="D74" s="1" t="e">
        <f>+VLOOKUP(C74,'1 - Produits'!$B$6:$C$18,2,0)</f>
        <v>#N/A</v>
      </c>
      <c r="E74" s="121"/>
      <c r="F74" s="189"/>
    </row>
    <row r="75" spans="2:6" x14ac:dyDescent="0.25">
      <c r="B75" s="119"/>
      <c r="C75" s="121"/>
      <c r="D75" s="1" t="e">
        <f>+VLOOKUP(C75,'1 - Produits'!$B$6:$C$18,2,0)</f>
        <v>#N/A</v>
      </c>
      <c r="E75" s="121"/>
      <c r="F75" s="189"/>
    </row>
    <row r="76" spans="2:6" x14ac:dyDescent="0.25">
      <c r="B76" s="119"/>
      <c r="C76" s="121"/>
      <c r="D76" s="1" t="e">
        <f>+VLOOKUP(C76,'1 - Produits'!$B$6:$C$18,2,0)</f>
        <v>#N/A</v>
      </c>
      <c r="E76" s="121"/>
      <c r="F76" s="189"/>
    </row>
    <row r="77" spans="2:6" x14ac:dyDescent="0.25">
      <c r="B77" s="119"/>
      <c r="C77" s="121"/>
      <c r="D77" s="1" t="e">
        <f>+VLOOKUP(C77,'1 - Produits'!$B$6:$C$18,2,0)</f>
        <v>#N/A</v>
      </c>
      <c r="E77" s="121"/>
      <c r="F77" s="189"/>
    </row>
    <row r="78" spans="2:6" x14ac:dyDescent="0.25">
      <c r="B78" s="119"/>
      <c r="C78" s="121"/>
      <c r="D78" s="1" t="e">
        <f>+VLOOKUP(C78,'1 - Produits'!$B$6:$C$18,2,0)</f>
        <v>#N/A</v>
      </c>
      <c r="E78" s="121"/>
      <c r="F78" s="189"/>
    </row>
    <row r="79" spans="2:6" x14ac:dyDescent="0.25">
      <c r="B79" s="119"/>
      <c r="C79" s="121"/>
      <c r="D79" s="1" t="e">
        <f>+VLOOKUP(C79,'1 - Produits'!$B$6:$C$18,2,0)</f>
        <v>#N/A</v>
      </c>
      <c r="E79" s="121"/>
      <c r="F79" s="189"/>
    </row>
    <row r="80" spans="2:6" x14ac:dyDescent="0.25">
      <c r="B80" s="119"/>
      <c r="C80" s="121"/>
      <c r="D80" s="1" t="e">
        <f>+VLOOKUP(C80,'1 - Produits'!$B$6:$C$18,2,0)</f>
        <v>#N/A</v>
      </c>
      <c r="E80" s="121"/>
      <c r="F80" s="189"/>
    </row>
    <row r="81" spans="2:6" x14ac:dyDescent="0.25">
      <c r="B81" s="119"/>
      <c r="C81" s="121"/>
      <c r="D81" s="1" t="e">
        <f>+VLOOKUP(C81,'1 - Produits'!$B$6:$C$18,2,0)</f>
        <v>#N/A</v>
      </c>
      <c r="E81" s="121"/>
      <c r="F81" s="189"/>
    </row>
    <row r="82" spans="2:6" x14ac:dyDescent="0.25">
      <c r="B82" s="119"/>
      <c r="C82" s="121"/>
      <c r="D82" s="1" t="e">
        <f>+VLOOKUP(C82,'1 - Produits'!$B$6:$C$18,2,0)</f>
        <v>#N/A</v>
      </c>
      <c r="E82" s="121"/>
      <c r="F82" s="189"/>
    </row>
    <row r="83" spans="2:6" x14ac:dyDescent="0.25">
      <c r="B83" s="119"/>
      <c r="C83" s="121"/>
      <c r="D83" s="1" t="e">
        <f>+VLOOKUP(C83,'1 - Produits'!$B$6:$C$18,2,0)</f>
        <v>#N/A</v>
      </c>
      <c r="E83" s="121"/>
      <c r="F83" s="189"/>
    </row>
    <row r="84" spans="2:6" x14ac:dyDescent="0.25">
      <c r="B84" s="119"/>
      <c r="C84" s="121"/>
      <c r="D84" s="1" t="e">
        <f>+VLOOKUP(C84,'1 - Produits'!$B$6:$C$18,2,0)</f>
        <v>#N/A</v>
      </c>
      <c r="E84" s="121"/>
      <c r="F84" s="189"/>
    </row>
    <row r="85" spans="2:6" x14ac:dyDescent="0.25">
      <c r="B85" s="119"/>
      <c r="C85" s="121"/>
      <c r="D85" s="1" t="e">
        <f>+VLOOKUP(C85,'1 - Produits'!$B$6:$C$18,2,0)</f>
        <v>#N/A</v>
      </c>
      <c r="E85" s="121"/>
      <c r="F85" s="189"/>
    </row>
    <row r="86" spans="2:6" x14ac:dyDescent="0.25">
      <c r="B86" s="119"/>
      <c r="C86" s="121"/>
      <c r="D86" s="1" t="e">
        <f>+VLOOKUP(C86,'1 - Produits'!$B$6:$C$18,2,0)</f>
        <v>#N/A</v>
      </c>
      <c r="E86" s="121"/>
      <c r="F86" s="189"/>
    </row>
    <row r="87" spans="2:6" x14ac:dyDescent="0.25">
      <c r="B87" s="119"/>
      <c r="C87" s="121"/>
      <c r="D87" s="1" t="e">
        <f>+VLOOKUP(C87,'1 - Produits'!$B$6:$C$18,2,0)</f>
        <v>#N/A</v>
      </c>
      <c r="E87" s="121"/>
      <c r="F87" s="189"/>
    </row>
    <row r="88" spans="2:6" x14ac:dyDescent="0.25">
      <c r="B88" s="119"/>
      <c r="C88" s="121"/>
      <c r="D88" s="1" t="e">
        <f>+VLOOKUP(C88,'1 - Produits'!$B$6:$C$18,2,0)</f>
        <v>#N/A</v>
      </c>
      <c r="E88" s="121"/>
      <c r="F88" s="189"/>
    </row>
    <row r="89" spans="2:6" x14ac:dyDescent="0.25">
      <c r="B89" s="119"/>
      <c r="C89" s="121"/>
      <c r="D89" s="1" t="e">
        <f>+VLOOKUP(C89,'1 - Produits'!$B$6:$C$18,2,0)</f>
        <v>#N/A</v>
      </c>
      <c r="E89" s="121"/>
      <c r="F89" s="189"/>
    </row>
    <row r="90" spans="2:6" x14ac:dyDescent="0.25">
      <c r="B90" s="119"/>
      <c r="C90" s="121"/>
      <c r="D90" s="1" t="e">
        <f>+VLOOKUP(C90,'1 - Produits'!$B$6:$C$18,2,0)</f>
        <v>#N/A</v>
      </c>
      <c r="E90" s="121"/>
      <c r="F90" s="189"/>
    </row>
    <row r="91" spans="2:6" x14ac:dyDescent="0.25">
      <c r="B91" s="119"/>
      <c r="C91" s="121"/>
      <c r="D91" s="1" t="e">
        <f>+VLOOKUP(C91,'1 - Produits'!$B$6:$C$18,2,0)</f>
        <v>#N/A</v>
      </c>
      <c r="E91" s="121"/>
      <c r="F91" s="189"/>
    </row>
    <row r="92" spans="2:6" x14ac:dyDescent="0.25">
      <c r="B92" s="119"/>
      <c r="C92" s="121"/>
      <c r="D92" s="1" t="e">
        <f>+VLOOKUP(C92,'1 - Produits'!$B$6:$C$18,2,0)</f>
        <v>#N/A</v>
      </c>
      <c r="E92" s="121"/>
      <c r="F92" s="189"/>
    </row>
    <row r="93" spans="2:6" x14ac:dyDescent="0.25">
      <c r="B93" s="119"/>
      <c r="C93" s="121"/>
      <c r="D93" s="1" t="e">
        <f>+VLOOKUP(C93,'1 - Produits'!$B$6:$C$18,2,0)</f>
        <v>#N/A</v>
      </c>
      <c r="E93" s="121"/>
      <c r="F93" s="189"/>
    </row>
    <row r="94" spans="2:6" x14ac:dyDescent="0.25">
      <c r="B94" s="119"/>
      <c r="C94" s="121"/>
      <c r="D94" s="1" t="e">
        <f>+VLOOKUP(C94,'1 - Produits'!$B$6:$C$18,2,0)</f>
        <v>#N/A</v>
      </c>
      <c r="E94" s="121"/>
      <c r="F94" s="189"/>
    </row>
    <row r="95" spans="2:6" x14ac:dyDescent="0.25">
      <c r="B95" s="119"/>
      <c r="C95" s="121"/>
      <c r="D95" s="1" t="e">
        <f>+VLOOKUP(C95,'1 - Produits'!$B$6:$C$18,2,0)</f>
        <v>#N/A</v>
      </c>
      <c r="E95" s="121"/>
      <c r="F95" s="189"/>
    </row>
    <row r="96" spans="2:6" x14ac:dyDescent="0.25">
      <c r="B96" s="119"/>
      <c r="C96" s="121"/>
      <c r="D96" s="1" t="e">
        <f>+VLOOKUP(C96,'1 - Produits'!$B$6:$C$18,2,0)</f>
        <v>#N/A</v>
      </c>
      <c r="E96" s="121"/>
      <c r="F96" s="189"/>
    </row>
    <row r="97" spans="2:6" x14ac:dyDescent="0.25">
      <c r="B97" s="119"/>
      <c r="C97" s="121"/>
      <c r="D97" s="1" t="e">
        <f>+VLOOKUP(C97,'1 - Produits'!$B$6:$C$18,2,0)</f>
        <v>#N/A</v>
      </c>
      <c r="E97" s="121"/>
      <c r="F97" s="189"/>
    </row>
    <row r="98" spans="2:6" x14ac:dyDescent="0.25">
      <c r="B98" s="119"/>
      <c r="C98" s="121"/>
      <c r="D98" s="1" t="e">
        <f>+VLOOKUP(C98,'1 - Produits'!$B$6:$C$18,2,0)</f>
        <v>#N/A</v>
      </c>
      <c r="E98" s="121"/>
      <c r="F98" s="189"/>
    </row>
    <row r="99" spans="2:6" x14ac:dyDescent="0.25">
      <c r="B99" s="119"/>
      <c r="C99" s="121"/>
      <c r="D99" s="1" t="e">
        <f>+VLOOKUP(C99,'1 - Produits'!$B$6:$C$18,2,0)</f>
        <v>#N/A</v>
      </c>
      <c r="E99" s="121"/>
      <c r="F99" s="189"/>
    </row>
    <row r="100" spans="2:6" x14ac:dyDescent="0.25">
      <c r="B100" s="119"/>
      <c r="C100" s="121"/>
      <c r="D100" s="1" t="e">
        <f>+VLOOKUP(C100,'1 - Produits'!$B$6:$C$18,2,0)</f>
        <v>#N/A</v>
      </c>
      <c r="E100" s="121"/>
      <c r="F100" s="123"/>
    </row>
    <row r="101" spans="2:6" x14ac:dyDescent="0.25">
      <c r="B101" s="119"/>
      <c r="C101" s="121"/>
      <c r="D101" s="1" t="e">
        <f>+VLOOKUP(C101,'1 - Produits'!$B$6:$C$18,2,0)</f>
        <v>#N/A</v>
      </c>
      <c r="E101" s="121"/>
      <c r="F101" s="123"/>
    </row>
    <row r="102" spans="2:6" x14ac:dyDescent="0.25">
      <c r="B102" s="119"/>
      <c r="C102" s="121"/>
      <c r="D102" s="1" t="e">
        <f>+VLOOKUP(C102,'1 - Produits'!$B$6:$C$18,2,0)</f>
        <v>#N/A</v>
      </c>
      <c r="E102" s="121"/>
      <c r="F102" s="123"/>
    </row>
    <row r="103" spans="2:6" x14ac:dyDescent="0.25">
      <c r="B103" s="119"/>
      <c r="C103" s="121"/>
      <c r="D103" s="1" t="e">
        <f>+VLOOKUP(C103,'1 - Produits'!$B$6:$C$18,2,0)</f>
        <v>#N/A</v>
      </c>
      <c r="E103" s="121"/>
      <c r="F103" s="123"/>
    </row>
    <row r="104" spans="2:6" x14ac:dyDescent="0.25">
      <c r="B104" s="119"/>
      <c r="C104" s="121"/>
      <c r="D104" s="1" t="e">
        <f>+VLOOKUP(C104,'1 - Produits'!$B$6:$C$18,2,0)</f>
        <v>#N/A</v>
      </c>
      <c r="E104" s="121"/>
      <c r="F104" s="123"/>
    </row>
    <row r="105" spans="2:6" ht="13.8" thickBot="1" x14ac:dyDescent="0.3">
      <c r="B105" s="119"/>
      <c r="C105" s="122"/>
      <c r="D105" s="20" t="e">
        <f>+VLOOKUP(C105,'1 - Produits'!$B$6:$C$18,2,0)</f>
        <v>#N/A</v>
      </c>
      <c r="E105" s="122"/>
      <c r="F105" s="124"/>
    </row>
  </sheetData>
  <autoFilter ref="B5:C105" xr:uid="{00000000-0009-0000-0000-000003000000}"/>
  <mergeCells count="1">
    <mergeCell ref="B2:R3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'1 - Produits'!$B$6:$B$18</xm:f>
          </x14:formula1>
          <xm:sqref>C6:C105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0" tint="-0.34998626667073579"/>
  </sheetPr>
  <dimension ref="A1:AU56"/>
  <sheetViews>
    <sheetView topLeftCell="A22" zoomScaleNormal="100" workbookViewId="0">
      <selection activeCell="H21" sqref="H21"/>
    </sheetView>
  </sheetViews>
  <sheetFormatPr baseColWidth="10" defaultColWidth="9.109375" defaultRowHeight="13.2" x14ac:dyDescent="0.25"/>
  <cols>
    <col min="2" max="2" width="13.109375" bestFit="1" customWidth="1"/>
    <col min="3" max="15" width="22.88671875" style="12" bestFit="1" customWidth="1"/>
    <col min="16" max="28" width="22.88671875" bestFit="1" customWidth="1"/>
    <col min="29" max="45" width="22.88671875" style="1" bestFit="1" customWidth="1"/>
    <col min="46" max="46" width="5" style="1" bestFit="1" customWidth="1"/>
    <col min="47" max="47" width="9.109375" style="1"/>
  </cols>
  <sheetData>
    <row r="1" spans="1:47" s="1" customFormat="1" ht="13.8" thickBot="1" x14ac:dyDescent="0.3">
      <c r="B1" s="1" t="s">
        <v>35</v>
      </c>
    </row>
    <row r="2" spans="1:47" s="1" customFormat="1" ht="12.75" customHeight="1" x14ac:dyDescent="0.25">
      <c r="B2" s="405" t="s">
        <v>49</v>
      </c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7"/>
    </row>
    <row r="3" spans="1:47" s="1" customFormat="1" ht="13.5" customHeight="1" thickBot="1" x14ac:dyDescent="0.3">
      <c r="B3" s="408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10"/>
    </row>
    <row r="4" spans="1:47" x14ac:dyDescent="0.25">
      <c r="A4" s="1"/>
      <c r="B4" s="1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47" x14ac:dyDescent="0.25">
      <c r="A5" s="1"/>
      <c r="B5" s="13" t="s">
        <v>20</v>
      </c>
      <c r="C5" s="16" t="s">
        <v>0</v>
      </c>
      <c r="D5" s="16" t="s">
        <v>1</v>
      </c>
      <c r="E5" s="16" t="s">
        <v>2</v>
      </c>
      <c r="F5" s="13" t="s">
        <v>3</v>
      </c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</row>
    <row r="6" spans="1:47" s="12" customFormat="1" ht="90" x14ac:dyDescent="0.25">
      <c r="A6" s="15"/>
      <c r="B6"/>
      <c r="C6" s="14" t="s">
        <v>16</v>
      </c>
      <c r="D6" s="14"/>
      <c r="E6" s="14"/>
      <c r="F6" s="14"/>
      <c r="G6" s="14"/>
      <c r="H6" s="14" t="s">
        <v>19</v>
      </c>
      <c r="I6" s="14"/>
      <c r="J6" s="14"/>
      <c r="K6" s="14"/>
      <c r="L6" s="14"/>
      <c r="M6" s="14" t="s">
        <v>18</v>
      </c>
      <c r="N6" s="14"/>
      <c r="O6" s="14"/>
      <c r="P6" s="14"/>
      <c r="Q6" s="14"/>
      <c r="R6" s="14"/>
      <c r="S6" s="14" t="s">
        <v>13</v>
      </c>
      <c r="T6" s="14"/>
      <c r="U6" s="14"/>
      <c r="V6" s="14"/>
      <c r="W6" s="14"/>
      <c r="X6" s="14"/>
      <c r="Y6" s="14" t="s">
        <v>15</v>
      </c>
      <c r="Z6" s="14"/>
      <c r="AA6" s="14"/>
      <c r="AB6" s="14"/>
      <c r="AC6" s="14"/>
      <c r="AD6" s="14"/>
      <c r="AE6" s="14"/>
      <c r="AF6" s="14"/>
      <c r="AG6" s="14"/>
      <c r="AH6" s="14"/>
      <c r="AI6" s="14" t="s">
        <v>17</v>
      </c>
      <c r="AJ6" s="14"/>
      <c r="AK6" s="14"/>
      <c r="AL6" s="14" t="s">
        <v>14</v>
      </c>
      <c r="AM6" s="14"/>
      <c r="AN6" s="14"/>
      <c r="AO6" s="14"/>
      <c r="AP6" s="14"/>
      <c r="AQ6" s="14"/>
      <c r="AR6" s="14"/>
      <c r="AS6" s="14"/>
      <c r="AT6" s="14" t="s">
        <v>102</v>
      </c>
      <c r="AU6" s="15"/>
    </row>
    <row r="7" spans="1:47" ht="24" x14ac:dyDescent="0.25">
      <c r="A7" s="1"/>
      <c r="C7" s="14" t="s">
        <v>8</v>
      </c>
      <c r="D7" s="14"/>
      <c r="E7" s="14"/>
      <c r="F7" s="14"/>
      <c r="G7" s="14"/>
      <c r="H7" s="14" t="s">
        <v>6</v>
      </c>
      <c r="I7" s="14"/>
      <c r="J7" s="14" t="s">
        <v>11</v>
      </c>
      <c r="K7" s="14"/>
      <c r="L7" s="14"/>
      <c r="M7" s="14" t="s">
        <v>12</v>
      </c>
      <c r="N7" s="14"/>
      <c r="O7" s="14" t="s">
        <v>11</v>
      </c>
      <c r="P7" s="14"/>
      <c r="Q7" s="14"/>
      <c r="R7" s="14"/>
      <c r="S7" s="14" t="s">
        <v>8</v>
      </c>
      <c r="T7" s="14"/>
      <c r="U7" s="14"/>
      <c r="V7" s="14" t="s">
        <v>6</v>
      </c>
      <c r="W7" s="14"/>
      <c r="X7" s="14"/>
      <c r="Y7" s="14" t="s">
        <v>12</v>
      </c>
      <c r="Z7" s="14"/>
      <c r="AA7" s="14"/>
      <c r="AB7" s="14" t="s">
        <v>8</v>
      </c>
      <c r="AC7" s="14"/>
      <c r="AD7" s="14"/>
      <c r="AE7" s="14"/>
      <c r="AF7" s="14" t="s">
        <v>6</v>
      </c>
      <c r="AG7" s="14"/>
      <c r="AH7" s="14"/>
      <c r="AI7" s="14" t="s">
        <v>11</v>
      </c>
      <c r="AJ7" s="14"/>
      <c r="AK7" s="14"/>
      <c r="AL7" s="14" t="s">
        <v>8</v>
      </c>
      <c r="AM7" s="14"/>
      <c r="AN7" s="14" t="s">
        <v>6</v>
      </c>
      <c r="AO7" s="14"/>
      <c r="AP7" s="14"/>
      <c r="AQ7" s="14"/>
      <c r="AR7" s="14"/>
      <c r="AS7" s="14"/>
      <c r="AT7" s="14"/>
    </row>
    <row r="8" spans="1:47" ht="70.2" x14ac:dyDescent="0.25">
      <c r="A8" s="1"/>
      <c r="C8" s="14" t="s">
        <v>7</v>
      </c>
      <c r="D8" s="14"/>
      <c r="E8" s="14"/>
      <c r="F8" s="14"/>
      <c r="G8" s="14"/>
      <c r="H8" s="14" t="s">
        <v>5</v>
      </c>
      <c r="I8" s="14"/>
      <c r="J8" s="14" t="s">
        <v>9</v>
      </c>
      <c r="K8" s="14"/>
      <c r="L8" s="14"/>
      <c r="M8" s="14" t="s">
        <v>10</v>
      </c>
      <c r="N8" s="14"/>
      <c r="O8" s="14" t="s">
        <v>9</v>
      </c>
      <c r="P8" s="14"/>
      <c r="Q8" s="14"/>
      <c r="R8" s="14"/>
      <c r="S8" s="14" t="s">
        <v>7</v>
      </c>
      <c r="T8" s="14"/>
      <c r="U8" s="14"/>
      <c r="V8" s="14" t="s">
        <v>5</v>
      </c>
      <c r="W8" s="14"/>
      <c r="X8" s="14"/>
      <c r="Y8" s="14" t="s">
        <v>10</v>
      </c>
      <c r="Z8" s="14"/>
      <c r="AA8" s="14"/>
      <c r="AB8" s="14" t="s">
        <v>7</v>
      </c>
      <c r="AC8" s="14"/>
      <c r="AD8" s="14"/>
      <c r="AE8" s="14"/>
      <c r="AF8" s="14" t="s">
        <v>5</v>
      </c>
      <c r="AG8" s="14"/>
      <c r="AH8" s="14"/>
      <c r="AI8" s="14" t="s">
        <v>9</v>
      </c>
      <c r="AJ8" s="14"/>
      <c r="AK8" s="14"/>
      <c r="AL8" s="14" t="s">
        <v>7</v>
      </c>
      <c r="AM8" s="14"/>
      <c r="AN8" s="14" t="s">
        <v>5</v>
      </c>
      <c r="AO8" s="14"/>
      <c r="AP8" s="14"/>
      <c r="AQ8" s="14"/>
      <c r="AR8" s="14"/>
      <c r="AS8" s="14"/>
      <c r="AT8" s="14"/>
    </row>
    <row r="9" spans="1:47" x14ac:dyDescent="0.25">
      <c r="A9" s="1"/>
      <c r="B9" s="13" t="s">
        <v>4</v>
      </c>
      <c r="C9">
        <v>8</v>
      </c>
      <c r="D9">
        <v>10</v>
      </c>
      <c r="E9">
        <v>12</v>
      </c>
      <c r="F9">
        <v>15</v>
      </c>
      <c r="G9">
        <v>16</v>
      </c>
      <c r="H9">
        <v>60</v>
      </c>
      <c r="I9">
        <v>80</v>
      </c>
      <c r="J9">
        <v>10</v>
      </c>
      <c r="K9">
        <v>45</v>
      </c>
      <c r="L9">
        <v>55</v>
      </c>
      <c r="M9">
        <v>85</v>
      </c>
      <c r="N9">
        <v>180</v>
      </c>
      <c r="O9">
        <v>20</v>
      </c>
      <c r="P9">
        <v>62</v>
      </c>
      <c r="Q9">
        <v>80</v>
      </c>
      <c r="R9">
        <v>100</v>
      </c>
      <c r="S9">
        <v>75</v>
      </c>
      <c r="T9">
        <v>80</v>
      </c>
      <c r="U9">
        <v>85</v>
      </c>
      <c r="V9">
        <v>24</v>
      </c>
      <c r="W9">
        <v>30</v>
      </c>
      <c r="X9">
        <v>58</v>
      </c>
      <c r="Y9">
        <v>100</v>
      </c>
      <c r="Z9">
        <v>120</v>
      </c>
      <c r="AA9">
        <v>200</v>
      </c>
      <c r="AB9">
        <v>85</v>
      </c>
      <c r="AC9">
        <v>180</v>
      </c>
      <c r="AD9">
        <v>185</v>
      </c>
      <c r="AE9">
        <v>220</v>
      </c>
      <c r="AF9">
        <v>45</v>
      </c>
      <c r="AG9">
        <v>50</v>
      </c>
      <c r="AH9">
        <v>60</v>
      </c>
      <c r="AI9">
        <v>255</v>
      </c>
      <c r="AJ9">
        <v>340</v>
      </c>
      <c r="AK9">
        <v>410</v>
      </c>
      <c r="AL9">
        <v>20</v>
      </c>
      <c r="AM9">
        <v>25</v>
      </c>
      <c r="AN9">
        <v>55</v>
      </c>
      <c r="AO9">
        <v>64</v>
      </c>
      <c r="AP9">
        <v>80</v>
      </c>
      <c r="AQ9">
        <v>84</v>
      </c>
      <c r="AR9">
        <v>94</v>
      </c>
      <c r="AS9">
        <v>140</v>
      </c>
      <c r="AT9" s="14"/>
    </row>
    <row r="10" spans="1:47" x14ac:dyDescent="0.25">
      <c r="A10" s="1"/>
      <c r="B10" s="18">
        <v>44348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>
        <v>80</v>
      </c>
      <c r="U10" s="15"/>
      <c r="V10" s="15"/>
      <c r="W10" s="15"/>
      <c r="X10" s="15">
        <v>58</v>
      </c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>
        <v>84</v>
      </c>
      <c r="AR10" s="15"/>
      <c r="AS10" s="15"/>
      <c r="AT10" s="1">
        <v>222</v>
      </c>
    </row>
    <row r="11" spans="1:47" x14ac:dyDescent="0.25">
      <c r="A11" s="1"/>
      <c r="B11" s="18">
        <v>44349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>
        <v>220</v>
      </c>
      <c r="AF11" s="15"/>
      <c r="AG11" s="15"/>
      <c r="AH11" s="15">
        <v>60</v>
      </c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">
        <v>280</v>
      </c>
    </row>
    <row r="12" spans="1:47" x14ac:dyDescent="0.25">
      <c r="A12" s="1"/>
      <c r="B12" s="18">
        <v>44350</v>
      </c>
      <c r="C12" s="15"/>
      <c r="D12" s="15">
        <v>10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>
        <v>340</v>
      </c>
      <c r="AK12" s="15"/>
      <c r="AL12" s="15"/>
      <c r="AM12" s="15"/>
      <c r="AN12" s="15"/>
      <c r="AO12" s="15"/>
      <c r="AP12" s="15"/>
      <c r="AQ12" s="15"/>
      <c r="AR12" s="15"/>
      <c r="AS12" s="15"/>
      <c r="AT12" s="1">
        <v>350</v>
      </c>
    </row>
    <row r="13" spans="1:47" x14ac:dyDescent="0.25">
      <c r="A13" s="1"/>
      <c r="B13" s="18">
        <v>44351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>
        <v>180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">
        <v>180</v>
      </c>
    </row>
    <row r="14" spans="1:47" x14ac:dyDescent="0.25">
      <c r="A14" s="1"/>
      <c r="B14" s="18">
        <v>44354</v>
      </c>
      <c r="C14" s="15"/>
      <c r="D14" s="15"/>
      <c r="E14" s="15"/>
      <c r="F14" s="15"/>
      <c r="G14" s="15"/>
      <c r="H14" s="15"/>
      <c r="I14" s="15">
        <v>80</v>
      </c>
      <c r="J14" s="15"/>
      <c r="K14" s="15"/>
      <c r="L14" s="15"/>
      <c r="M14" s="15"/>
      <c r="N14" s="15"/>
      <c r="O14" s="15"/>
      <c r="P14" s="15"/>
      <c r="Q14" s="15"/>
      <c r="R14" s="15">
        <v>100</v>
      </c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">
        <v>180</v>
      </c>
    </row>
    <row r="15" spans="1:47" x14ac:dyDescent="0.25">
      <c r="A15" s="1"/>
      <c r="B15" s="18">
        <v>44355</v>
      </c>
      <c r="C15" s="15"/>
      <c r="D15" s="15"/>
      <c r="E15" s="15"/>
      <c r="F15" s="15"/>
      <c r="G15" s="15"/>
      <c r="H15" s="15"/>
      <c r="I15" s="15"/>
      <c r="J15" s="15"/>
      <c r="K15" s="15"/>
      <c r="L15" s="15">
        <v>55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>
        <v>200</v>
      </c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">
        <v>255</v>
      </c>
    </row>
    <row r="16" spans="1:47" x14ac:dyDescent="0.25">
      <c r="A16" s="1"/>
      <c r="B16" s="18">
        <v>44356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>
        <v>120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">
        <v>120</v>
      </c>
    </row>
    <row r="17" spans="1:46" x14ac:dyDescent="0.25">
      <c r="A17" s="1"/>
      <c r="B17" s="18">
        <v>44357</v>
      </c>
      <c r="C17" s="15"/>
      <c r="D17" s="15"/>
      <c r="E17" s="15">
        <v>12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v>80</v>
      </c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>
        <v>180</v>
      </c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">
        <v>272</v>
      </c>
    </row>
    <row r="18" spans="1:46" x14ac:dyDescent="0.25">
      <c r="A18" s="1"/>
      <c r="B18" s="18">
        <v>44358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>
        <v>64</v>
      </c>
      <c r="AP18" s="15"/>
      <c r="AQ18" s="15"/>
      <c r="AR18" s="15"/>
      <c r="AS18" s="15"/>
      <c r="AT18" s="1">
        <v>64</v>
      </c>
    </row>
    <row r="19" spans="1:46" x14ac:dyDescent="0.25">
      <c r="A19" s="1"/>
      <c r="B19" s="18">
        <v>44359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>
        <v>200</v>
      </c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">
        <v>200</v>
      </c>
    </row>
    <row r="20" spans="1:46" x14ac:dyDescent="0.25">
      <c r="A20" s="1"/>
      <c r="B20" s="18">
        <v>44361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>
        <v>24</v>
      </c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">
        <v>24</v>
      </c>
    </row>
    <row r="21" spans="1:46" s="1" customFormat="1" x14ac:dyDescent="0.25">
      <c r="B21" s="18">
        <v>44362</v>
      </c>
      <c r="C21" s="15">
        <v>8</v>
      </c>
      <c r="D21" s="15"/>
      <c r="E21" s="15"/>
      <c r="F21" s="15"/>
      <c r="G21" s="15"/>
      <c r="H21" s="15">
        <v>60</v>
      </c>
      <c r="I21" s="15"/>
      <c r="J21" s="15"/>
      <c r="K21" s="15">
        <v>45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">
        <v>113</v>
      </c>
    </row>
    <row r="22" spans="1:46" s="1" customFormat="1" x14ac:dyDescent="0.25">
      <c r="B22" s="18">
        <v>44363</v>
      </c>
      <c r="C22" s="15"/>
      <c r="D22" s="15"/>
      <c r="E22" s="15"/>
      <c r="F22" s="15"/>
      <c r="G22" s="15"/>
      <c r="H22" s="15"/>
      <c r="I22" s="15"/>
      <c r="J22" s="15">
        <v>10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>
        <v>410</v>
      </c>
      <c r="AL22" s="15"/>
      <c r="AM22" s="15"/>
      <c r="AN22" s="15"/>
      <c r="AO22" s="15"/>
      <c r="AP22" s="15"/>
      <c r="AQ22" s="15"/>
      <c r="AR22" s="15"/>
      <c r="AS22" s="15"/>
      <c r="AT22" s="1">
        <v>420</v>
      </c>
    </row>
    <row r="23" spans="1:46" s="1" customFormat="1" x14ac:dyDescent="0.25">
      <c r="B23" s="18">
        <v>44364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>
        <v>100</v>
      </c>
      <c r="Z23" s="15"/>
      <c r="AA23" s="15"/>
      <c r="AB23" s="15"/>
      <c r="AC23" s="15"/>
      <c r="AD23" s="15">
        <v>185</v>
      </c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">
        <v>285</v>
      </c>
    </row>
    <row r="24" spans="1:46" s="1" customFormat="1" x14ac:dyDescent="0.25">
      <c r="B24" s="18">
        <v>44365</v>
      </c>
      <c r="C24" s="15"/>
      <c r="D24" s="15"/>
      <c r="E24" s="15"/>
      <c r="F24" s="15">
        <v>15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>
        <v>85</v>
      </c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">
        <v>100</v>
      </c>
    </row>
    <row r="25" spans="1:46" s="1" customFormat="1" x14ac:dyDescent="0.25">
      <c r="B25" s="18">
        <v>44368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>
        <v>20</v>
      </c>
      <c r="AM25" s="15"/>
      <c r="AN25" s="15"/>
      <c r="AO25" s="15"/>
      <c r="AP25" s="15"/>
      <c r="AQ25" s="15"/>
      <c r="AR25" s="15">
        <v>94</v>
      </c>
      <c r="AS25" s="15"/>
      <c r="AT25" s="1">
        <v>114</v>
      </c>
    </row>
    <row r="26" spans="1:46" s="1" customFormat="1" x14ac:dyDescent="0.25">
      <c r="B26" s="18">
        <v>44369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>
        <v>180</v>
      </c>
      <c r="AD26" s="15"/>
      <c r="AE26" s="15"/>
      <c r="AF26" s="15">
        <v>45</v>
      </c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">
        <v>225</v>
      </c>
    </row>
    <row r="27" spans="1:46" s="1" customFormat="1" x14ac:dyDescent="0.25">
      <c r="B27" s="18">
        <v>44370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>
        <v>85</v>
      </c>
      <c r="N27" s="15"/>
      <c r="O27" s="15"/>
      <c r="P27" s="15"/>
      <c r="Q27" s="15"/>
      <c r="R27" s="15"/>
      <c r="S27" s="15">
        <v>75</v>
      </c>
      <c r="T27" s="15"/>
      <c r="U27" s="15"/>
      <c r="V27" s="15"/>
      <c r="W27" s="15">
        <v>30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">
        <v>190</v>
      </c>
    </row>
    <row r="28" spans="1:46" s="1" customFormat="1" x14ac:dyDescent="0.25">
      <c r="B28" s="18">
        <v>44371</v>
      </c>
      <c r="C28" s="15"/>
      <c r="D28" s="15"/>
      <c r="E28" s="15"/>
      <c r="F28" s="15"/>
      <c r="G28" s="15"/>
      <c r="H28" s="15"/>
      <c r="I28" s="15">
        <v>80</v>
      </c>
      <c r="J28" s="15"/>
      <c r="K28" s="15"/>
      <c r="L28" s="15">
        <v>55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">
        <v>135</v>
      </c>
    </row>
    <row r="29" spans="1:46" s="1" customFormat="1" x14ac:dyDescent="0.25">
      <c r="B29" s="18">
        <v>44372</v>
      </c>
      <c r="C29" s="15"/>
      <c r="D29" s="15"/>
      <c r="E29" s="15"/>
      <c r="F29" s="15"/>
      <c r="G29" s="15">
        <v>16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>
        <v>85</v>
      </c>
      <c r="AC29" s="15"/>
      <c r="AD29" s="15"/>
      <c r="AE29" s="15"/>
      <c r="AF29" s="15"/>
      <c r="AG29" s="15">
        <v>50</v>
      </c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>
        <v>140</v>
      </c>
      <c r="AT29" s="1">
        <v>291</v>
      </c>
    </row>
    <row r="30" spans="1:46" s="1" customFormat="1" x14ac:dyDescent="0.25">
      <c r="B30" s="18">
        <v>44375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>
        <v>62</v>
      </c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>
        <v>255</v>
      </c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">
        <v>317</v>
      </c>
    </row>
    <row r="31" spans="1:46" s="1" customFormat="1" x14ac:dyDescent="0.25">
      <c r="B31" s="18">
        <v>44376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>
        <v>20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>
        <v>25</v>
      </c>
      <c r="AN31" s="15"/>
      <c r="AO31" s="15"/>
      <c r="AP31" s="15">
        <v>80</v>
      </c>
      <c r="AQ31" s="15"/>
      <c r="AR31" s="15"/>
      <c r="AS31" s="15"/>
      <c r="AT31" s="1">
        <v>125</v>
      </c>
    </row>
    <row r="32" spans="1:46" s="1" customFormat="1" x14ac:dyDescent="0.25">
      <c r="B32" s="18">
        <v>44377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>
        <v>55</v>
      </c>
      <c r="AO32" s="15"/>
      <c r="AP32" s="15"/>
      <c r="AQ32" s="15"/>
      <c r="AR32" s="15"/>
      <c r="AS32" s="15"/>
      <c r="AT32" s="1">
        <v>55</v>
      </c>
    </row>
    <row r="33" spans="2:46" s="1" customFormat="1" x14ac:dyDescent="0.25">
      <c r="B33" t="s">
        <v>102</v>
      </c>
      <c r="C33" s="12">
        <v>8</v>
      </c>
      <c r="D33" s="12">
        <v>10</v>
      </c>
      <c r="E33" s="12">
        <v>12</v>
      </c>
      <c r="F33" s="12">
        <v>15</v>
      </c>
      <c r="G33" s="12">
        <v>16</v>
      </c>
      <c r="H33" s="12">
        <v>60</v>
      </c>
      <c r="I33" s="12">
        <v>160</v>
      </c>
      <c r="J33" s="12">
        <v>10</v>
      </c>
      <c r="K33" s="12">
        <v>45</v>
      </c>
      <c r="L33" s="12">
        <v>110</v>
      </c>
      <c r="M33" s="12">
        <v>85</v>
      </c>
      <c r="N33" s="12">
        <v>180</v>
      </c>
      <c r="O33" s="12">
        <v>20</v>
      </c>
      <c r="P33" s="12">
        <v>62</v>
      </c>
      <c r="Q33" s="12">
        <v>80</v>
      </c>
      <c r="R33" s="12">
        <v>100</v>
      </c>
      <c r="S33" s="12">
        <v>75</v>
      </c>
      <c r="T33" s="12">
        <v>80</v>
      </c>
      <c r="U33" s="12">
        <v>85</v>
      </c>
      <c r="V33" s="12">
        <v>24</v>
      </c>
      <c r="W33" s="12">
        <v>30</v>
      </c>
      <c r="X33" s="12">
        <v>58</v>
      </c>
      <c r="Y33" s="12">
        <v>100</v>
      </c>
      <c r="Z33" s="12">
        <v>120</v>
      </c>
      <c r="AA33" s="12">
        <v>400</v>
      </c>
      <c r="AB33" s="12">
        <v>85</v>
      </c>
      <c r="AC33" s="12">
        <v>360</v>
      </c>
      <c r="AD33" s="12">
        <v>185</v>
      </c>
      <c r="AE33" s="12">
        <v>220</v>
      </c>
      <c r="AF33" s="12">
        <v>45</v>
      </c>
      <c r="AG33" s="12">
        <v>50</v>
      </c>
      <c r="AH33" s="12">
        <v>60</v>
      </c>
      <c r="AI33" s="12">
        <v>255</v>
      </c>
      <c r="AJ33" s="12">
        <v>340</v>
      </c>
      <c r="AK33" s="12">
        <v>410</v>
      </c>
      <c r="AL33" s="12">
        <v>20</v>
      </c>
      <c r="AM33" s="12">
        <v>25</v>
      </c>
      <c r="AN33" s="12">
        <v>55</v>
      </c>
      <c r="AO33" s="12">
        <v>64</v>
      </c>
      <c r="AP33" s="12">
        <v>80</v>
      </c>
      <c r="AQ33" s="12">
        <v>84</v>
      </c>
      <c r="AR33" s="12">
        <v>94</v>
      </c>
      <c r="AS33" s="12">
        <v>140</v>
      </c>
      <c r="AT33">
        <v>4517</v>
      </c>
    </row>
    <row r="34" spans="2:46" s="1" customFormat="1" x14ac:dyDescent="0.25"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2:46" s="1" customFormat="1" x14ac:dyDescent="0.25"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2:46" s="1" customFormat="1" x14ac:dyDescent="0.25"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</row>
    <row r="37" spans="2:46" s="1" customFormat="1" x14ac:dyDescent="0.25"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2:46" s="1" customFormat="1" x14ac:dyDescent="0.25"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</row>
    <row r="39" spans="2:46" s="1" customFormat="1" x14ac:dyDescent="0.25"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0" spans="2:46" s="1" customFormat="1" x14ac:dyDescent="0.25"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2:46" s="1" customFormat="1" x14ac:dyDescent="0.25"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</row>
    <row r="42" spans="2:46" s="1" customFormat="1" x14ac:dyDescent="0.25"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spans="2:46" s="1" customFormat="1" x14ac:dyDescent="0.25"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2:46" s="1" customFormat="1" x14ac:dyDescent="0.25"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</row>
    <row r="45" spans="2:46" s="1" customFormat="1" x14ac:dyDescent="0.25"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</row>
    <row r="46" spans="2:46" s="1" customFormat="1" x14ac:dyDescent="0.25"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</row>
    <row r="47" spans="2:46" s="1" customFormat="1" x14ac:dyDescent="0.25"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</row>
    <row r="48" spans="2:46" s="1" customFormat="1" x14ac:dyDescent="0.25"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spans="3:15" s="1" customFormat="1" x14ac:dyDescent="0.25"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</row>
    <row r="50" spans="3:15" s="1" customFormat="1" x14ac:dyDescent="0.25"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3:15" s="1" customFormat="1" x14ac:dyDescent="0.25"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3:15" s="1" customFormat="1" x14ac:dyDescent="0.25"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3:15" s="1" customFormat="1" x14ac:dyDescent="0.25"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3:15" s="1" customFormat="1" x14ac:dyDescent="0.25"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3:15" s="1" customFormat="1" x14ac:dyDescent="0.25"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3:15" s="1" customFormat="1" x14ac:dyDescent="0.25"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</sheetData>
  <mergeCells count="1">
    <mergeCell ref="B2:P3"/>
  </mergeCells>
  <pageMargins left="0.7" right="0.7" top="0.75" bottom="0.75" header="0.3" footer="0.3"/>
  <pageSetup paperSize="9" orientation="portrait" horizontalDpi="90" verticalDpi="9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theme="0" tint="-0.34998626667073579"/>
  </sheetPr>
  <dimension ref="B1:C106"/>
  <sheetViews>
    <sheetView zoomScaleNormal="100" workbookViewId="0">
      <pane xSplit="1" ySplit="5" topLeftCell="B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9.109375" defaultRowHeight="13.2" x14ac:dyDescent="0.25"/>
  <cols>
    <col min="1" max="1" width="3.6640625" style="1" customWidth="1"/>
    <col min="2" max="2" width="25.44140625" style="1" customWidth="1"/>
    <col min="3" max="16384" width="9.109375" style="1"/>
  </cols>
  <sheetData>
    <row r="1" spans="2:3" ht="13.8" thickBot="1" x14ac:dyDescent="0.3">
      <c r="B1" s="1" t="s">
        <v>39</v>
      </c>
    </row>
    <row r="2" spans="2:3" ht="12.75" customHeight="1" x14ac:dyDescent="0.25">
      <c r="B2" s="405" t="s">
        <v>50</v>
      </c>
      <c r="C2" s="407"/>
    </row>
    <row r="3" spans="2:3" ht="13.5" customHeight="1" thickBot="1" x14ac:dyDescent="0.3">
      <c r="B3" s="408"/>
      <c r="C3" s="410"/>
    </row>
    <row r="4" spans="2:3" ht="13.8" thickBot="1" x14ac:dyDescent="0.3"/>
    <row r="5" spans="2:3" s="21" customFormat="1" ht="13.8" thickBot="1" x14ac:dyDescent="0.3">
      <c r="B5" s="45" t="s">
        <v>32</v>
      </c>
      <c r="C5" s="44" t="s">
        <v>3</v>
      </c>
    </row>
    <row r="6" spans="2:3" x14ac:dyDescent="0.25">
      <c r="B6" s="40" t="str">
        <f>+'2 - Commandes clients'!C6&amp;"-"&amp;'2 - Commandes clients'!F6</f>
        <v>PAA 150-45295</v>
      </c>
      <c r="C6" s="89">
        <f>+'2 - Commandes clients'!E6</f>
        <v>10.050000000000001</v>
      </c>
    </row>
    <row r="7" spans="2:3" x14ac:dyDescent="0.25">
      <c r="B7" s="40" t="str">
        <f>+'2 - Commandes clients'!C7&amp;"-"&amp;'2 - Commandes clients'!F7</f>
        <v>PAA 33-45295</v>
      </c>
      <c r="C7" s="80">
        <f>+'2 - Commandes clients'!E7</f>
        <v>0.33</v>
      </c>
    </row>
    <row r="8" spans="2:3" x14ac:dyDescent="0.25">
      <c r="B8" s="40" t="str">
        <f>+'2 - Commandes clients'!C8&amp;"-"&amp;'2 - Commandes clients'!F8</f>
        <v>PAA 33-45296</v>
      </c>
      <c r="C8" s="80">
        <f>+'2 - Commandes clients'!E8</f>
        <v>20.36</v>
      </c>
    </row>
    <row r="9" spans="2:3" x14ac:dyDescent="0.25">
      <c r="B9" s="40" t="str">
        <f>+'2 - Commandes clients'!C9&amp;"-"&amp;'2 - Commandes clients'!F9</f>
        <v>PAA 150-45309</v>
      </c>
      <c r="C9" s="80">
        <f>+'2 - Commandes clients'!E9</f>
        <v>80.099999999999994</v>
      </c>
    </row>
    <row r="10" spans="2:3" x14ac:dyDescent="0.25">
      <c r="B10" s="40" t="str">
        <f>+'2 - Commandes clients'!C10&amp;"-"&amp;'2 - Commandes clients'!F10</f>
        <v>PAA 150-45309</v>
      </c>
      <c r="C10" s="80">
        <f>+'2 - Commandes clients'!E10</f>
        <v>15</v>
      </c>
    </row>
    <row r="11" spans="2:3" x14ac:dyDescent="0.25">
      <c r="B11" s="40" t="str">
        <f>+'2 - Commandes clients'!C11&amp;"-"&amp;'2 - Commandes clients'!F11</f>
        <v>PAA 150-45308</v>
      </c>
      <c r="C11" s="80">
        <f>+'2 - Commandes clients'!E11</f>
        <v>25.05</v>
      </c>
    </row>
    <row r="12" spans="2:3" x14ac:dyDescent="0.25">
      <c r="B12" s="40" t="str">
        <f>+'2 - Commandes clients'!C12&amp;"-"&amp;'2 - Commandes clients'!F12</f>
        <v>PFF-45306</v>
      </c>
      <c r="C12" s="80">
        <f>+'2 - Commandes clients'!E12</f>
        <v>360</v>
      </c>
    </row>
    <row r="13" spans="2:3" x14ac:dyDescent="0.25">
      <c r="B13" s="40" t="str">
        <f>+'2 - Commandes clients'!C13&amp;"-"&amp;'2 - Commandes clients'!F13</f>
        <v>PAA 100-45313</v>
      </c>
      <c r="C13" s="80">
        <f>+'2 - Commandes clients'!E13</f>
        <v>10</v>
      </c>
    </row>
    <row r="14" spans="2:3" x14ac:dyDescent="0.25">
      <c r="B14" s="40" t="str">
        <f>+'2 - Commandes clients'!C14&amp;"-"&amp;'2 - Commandes clients'!F14</f>
        <v>PAA 150-45313</v>
      </c>
      <c r="C14" s="80">
        <f>+'2 - Commandes clients'!E14</f>
        <v>17.7</v>
      </c>
    </row>
    <row r="15" spans="2:3" x14ac:dyDescent="0.25">
      <c r="B15" s="40" t="str">
        <f>+'2 - Commandes clients'!C15&amp;"-"&amp;'2 - Commandes clients'!F15</f>
        <v>PCC-45310</v>
      </c>
      <c r="C15" s="80">
        <f>+'2 - Commandes clients'!E15</f>
        <v>12</v>
      </c>
    </row>
    <row r="16" spans="2:3" x14ac:dyDescent="0.25">
      <c r="B16" s="40" t="str">
        <f>+'2 - Commandes clients'!C16&amp;"-"&amp;'2 - Commandes clients'!F16</f>
        <v>PCC-45314</v>
      </c>
      <c r="C16" s="80">
        <f>+'2 - Commandes clients'!E16</f>
        <v>16.7</v>
      </c>
    </row>
    <row r="17" spans="2:3" x14ac:dyDescent="0.25">
      <c r="B17" s="40" t="str">
        <f>+'2 - Commandes clients'!C17&amp;"-"&amp;'2 - Commandes clients'!F17</f>
        <v>PAF1-45314</v>
      </c>
      <c r="C17" s="80">
        <f>+'2 - Commandes clients'!E17</f>
        <v>88.49</v>
      </c>
    </row>
    <row r="18" spans="2:3" x14ac:dyDescent="0.25">
      <c r="B18" s="40" t="str">
        <f>+'2 - Commandes clients'!C18&amp;"-"&amp;'2 - Commandes clients'!F18</f>
        <v>PAA 100-45318</v>
      </c>
      <c r="C18" s="80">
        <f>+'2 - Commandes clients'!E18</f>
        <v>38</v>
      </c>
    </row>
    <row r="19" spans="2:3" x14ac:dyDescent="0.25">
      <c r="B19" s="40" t="str">
        <f>+'2 - Commandes clients'!C19&amp;"-"&amp;'2 - Commandes clients'!F19</f>
        <v>PCC-45317</v>
      </c>
      <c r="C19" s="80">
        <f>+'2 - Commandes clients'!E19</f>
        <v>57</v>
      </c>
    </row>
    <row r="20" spans="2:3" x14ac:dyDescent="0.25">
      <c r="B20" s="40" t="str">
        <f>+'2 - Commandes clients'!C20&amp;"-"&amp;'2 - Commandes clients'!F20</f>
        <v>-</v>
      </c>
      <c r="C20" s="80">
        <f>+'2 - Commandes clients'!E20</f>
        <v>0</v>
      </c>
    </row>
    <row r="21" spans="2:3" x14ac:dyDescent="0.25">
      <c r="B21" s="40" t="str">
        <f>+'2 - Commandes clients'!C21&amp;"-"&amp;'2 - Commandes clients'!F21</f>
        <v>-</v>
      </c>
      <c r="C21" s="80">
        <f>+'2 - Commandes clients'!E21</f>
        <v>0</v>
      </c>
    </row>
    <row r="22" spans="2:3" x14ac:dyDescent="0.25">
      <c r="B22" s="40" t="str">
        <f>+'2 - Commandes clients'!C22&amp;"-"&amp;'2 - Commandes clients'!F22</f>
        <v>-</v>
      </c>
      <c r="C22" s="80">
        <f>+'2 - Commandes clients'!E22</f>
        <v>0</v>
      </c>
    </row>
    <row r="23" spans="2:3" x14ac:dyDescent="0.25">
      <c r="B23" s="40" t="str">
        <f>+'2 - Commandes clients'!C23&amp;"-"&amp;'2 - Commandes clients'!F23</f>
        <v>-</v>
      </c>
      <c r="C23" s="80">
        <f>+'2 - Commandes clients'!E23</f>
        <v>0</v>
      </c>
    </row>
    <row r="24" spans="2:3" x14ac:dyDescent="0.25">
      <c r="B24" s="40" t="str">
        <f>+'2 - Commandes clients'!C24&amp;"-"&amp;'2 - Commandes clients'!F24</f>
        <v>-</v>
      </c>
      <c r="C24" s="80">
        <f>+'2 - Commandes clients'!E24</f>
        <v>0</v>
      </c>
    </row>
    <row r="25" spans="2:3" x14ac:dyDescent="0.25">
      <c r="B25" s="40" t="str">
        <f>+'2 - Commandes clients'!C25&amp;"-"&amp;'2 - Commandes clients'!F25</f>
        <v>-</v>
      </c>
      <c r="C25" s="80">
        <f>+'2 - Commandes clients'!E25</f>
        <v>0</v>
      </c>
    </row>
    <row r="26" spans="2:3" x14ac:dyDescent="0.25">
      <c r="B26" s="40" t="str">
        <f>+'2 - Commandes clients'!C26&amp;"-"&amp;'2 - Commandes clients'!F26</f>
        <v>-</v>
      </c>
      <c r="C26" s="80">
        <f>+'2 - Commandes clients'!E26</f>
        <v>0</v>
      </c>
    </row>
    <row r="27" spans="2:3" x14ac:dyDescent="0.25">
      <c r="B27" s="40" t="str">
        <f>+'2 - Commandes clients'!C27&amp;"-"&amp;'2 - Commandes clients'!F27</f>
        <v>-</v>
      </c>
      <c r="C27" s="80">
        <f>+'2 - Commandes clients'!E27</f>
        <v>0</v>
      </c>
    </row>
    <row r="28" spans="2:3" x14ac:dyDescent="0.25">
      <c r="B28" s="40" t="str">
        <f>+'2 - Commandes clients'!C28&amp;"-"&amp;'2 - Commandes clients'!F28</f>
        <v>-</v>
      </c>
      <c r="C28" s="80">
        <f>+'2 - Commandes clients'!E28</f>
        <v>0</v>
      </c>
    </row>
    <row r="29" spans="2:3" x14ac:dyDescent="0.25">
      <c r="B29" s="40" t="str">
        <f>+'2 - Commandes clients'!C29&amp;"-"&amp;'2 - Commandes clients'!F29</f>
        <v>-</v>
      </c>
      <c r="C29" s="80">
        <f>+'2 - Commandes clients'!E29</f>
        <v>0</v>
      </c>
    </row>
    <row r="30" spans="2:3" x14ac:dyDescent="0.25">
      <c r="B30" s="40" t="str">
        <f>+'2 - Commandes clients'!C30&amp;"-"&amp;'2 - Commandes clients'!F30</f>
        <v>-</v>
      </c>
      <c r="C30" s="80">
        <f>+'2 - Commandes clients'!E30</f>
        <v>0</v>
      </c>
    </row>
    <row r="31" spans="2:3" x14ac:dyDescent="0.25">
      <c r="B31" s="40" t="str">
        <f>+'2 - Commandes clients'!C31&amp;"-"&amp;'2 - Commandes clients'!F31</f>
        <v>-</v>
      </c>
      <c r="C31" s="80">
        <f>+'2 - Commandes clients'!E31</f>
        <v>0</v>
      </c>
    </row>
    <row r="32" spans="2:3" x14ac:dyDescent="0.25">
      <c r="B32" s="40" t="str">
        <f>+'2 - Commandes clients'!C32&amp;"-"&amp;'2 - Commandes clients'!F32</f>
        <v>-</v>
      </c>
      <c r="C32" s="80">
        <f>+'2 - Commandes clients'!E32</f>
        <v>0</v>
      </c>
    </row>
    <row r="33" spans="2:3" x14ac:dyDescent="0.25">
      <c r="B33" s="40" t="str">
        <f>+'2 - Commandes clients'!C33&amp;"-"&amp;'2 - Commandes clients'!F33</f>
        <v>-</v>
      </c>
      <c r="C33" s="80">
        <f>+'2 - Commandes clients'!E33</f>
        <v>0</v>
      </c>
    </row>
    <row r="34" spans="2:3" x14ac:dyDescent="0.25">
      <c r="B34" s="40" t="str">
        <f>+'2 - Commandes clients'!C34&amp;"-"&amp;'2 - Commandes clients'!F34</f>
        <v>-</v>
      </c>
      <c r="C34" s="80">
        <f>+'2 - Commandes clients'!E34</f>
        <v>0</v>
      </c>
    </row>
    <row r="35" spans="2:3" x14ac:dyDescent="0.25">
      <c r="B35" s="40" t="str">
        <f>+'2 - Commandes clients'!C35&amp;"-"&amp;'2 - Commandes clients'!F35</f>
        <v>-</v>
      </c>
      <c r="C35" s="80">
        <f>+'2 - Commandes clients'!E35</f>
        <v>0</v>
      </c>
    </row>
    <row r="36" spans="2:3" x14ac:dyDescent="0.25">
      <c r="B36" s="40" t="str">
        <f>+'2 - Commandes clients'!C36&amp;"-"&amp;'2 - Commandes clients'!F36</f>
        <v>-</v>
      </c>
      <c r="C36" s="80">
        <f>+'2 - Commandes clients'!E36</f>
        <v>0</v>
      </c>
    </row>
    <row r="37" spans="2:3" x14ac:dyDescent="0.25">
      <c r="B37" s="40" t="str">
        <f>+'2 - Commandes clients'!C37&amp;"-"&amp;'2 - Commandes clients'!F37</f>
        <v>-</v>
      </c>
      <c r="C37" s="80">
        <f>+'2 - Commandes clients'!E37</f>
        <v>0</v>
      </c>
    </row>
    <row r="38" spans="2:3" x14ac:dyDescent="0.25">
      <c r="B38" s="40" t="str">
        <f>+'2 - Commandes clients'!C38&amp;"-"&amp;'2 - Commandes clients'!F38</f>
        <v>-</v>
      </c>
      <c r="C38" s="80">
        <f>+'2 - Commandes clients'!E38</f>
        <v>0</v>
      </c>
    </row>
    <row r="39" spans="2:3" x14ac:dyDescent="0.25">
      <c r="B39" s="40" t="str">
        <f>+'2 - Commandes clients'!C39&amp;"-"&amp;'2 - Commandes clients'!F39</f>
        <v>-</v>
      </c>
      <c r="C39" s="80">
        <f>+'2 - Commandes clients'!E39</f>
        <v>0</v>
      </c>
    </row>
    <row r="40" spans="2:3" x14ac:dyDescent="0.25">
      <c r="B40" s="40" t="str">
        <f>+'2 - Commandes clients'!C40&amp;"-"&amp;'2 - Commandes clients'!F40</f>
        <v>-</v>
      </c>
      <c r="C40" s="80">
        <f>+'2 - Commandes clients'!E40</f>
        <v>0</v>
      </c>
    </row>
    <row r="41" spans="2:3" x14ac:dyDescent="0.25">
      <c r="B41" s="40" t="str">
        <f>+'2 - Commandes clients'!C41&amp;"-"&amp;'2 - Commandes clients'!F41</f>
        <v>-</v>
      </c>
      <c r="C41" s="80">
        <f>+'2 - Commandes clients'!E41</f>
        <v>0</v>
      </c>
    </row>
    <row r="42" spans="2:3" x14ac:dyDescent="0.25">
      <c r="B42" s="40" t="str">
        <f>+'2 - Commandes clients'!C42&amp;"-"&amp;'2 - Commandes clients'!F42</f>
        <v>-</v>
      </c>
      <c r="C42" s="80">
        <f>+'2 - Commandes clients'!E42</f>
        <v>0</v>
      </c>
    </row>
    <row r="43" spans="2:3" x14ac:dyDescent="0.25">
      <c r="B43" s="40" t="str">
        <f>+'2 - Commandes clients'!C43&amp;"-"&amp;'2 - Commandes clients'!F43</f>
        <v>-</v>
      </c>
      <c r="C43" s="80">
        <f>+'2 - Commandes clients'!E43</f>
        <v>0</v>
      </c>
    </row>
    <row r="44" spans="2:3" x14ac:dyDescent="0.25">
      <c r="B44" s="40" t="str">
        <f>+'2 - Commandes clients'!C44&amp;"-"&amp;'2 - Commandes clients'!F44</f>
        <v>-</v>
      </c>
      <c r="C44" s="80">
        <f>+'2 - Commandes clients'!E44</f>
        <v>0</v>
      </c>
    </row>
    <row r="45" spans="2:3" x14ac:dyDescent="0.25">
      <c r="B45" s="40" t="str">
        <f>+'2 - Commandes clients'!C45&amp;"-"&amp;'2 - Commandes clients'!F45</f>
        <v>-</v>
      </c>
      <c r="C45" s="80">
        <f>+'2 - Commandes clients'!E45</f>
        <v>0</v>
      </c>
    </row>
    <row r="46" spans="2:3" x14ac:dyDescent="0.25">
      <c r="B46" s="40" t="str">
        <f>+'2 - Commandes clients'!C46&amp;"-"&amp;'2 - Commandes clients'!F46</f>
        <v>-</v>
      </c>
      <c r="C46" s="80">
        <f>+'2 - Commandes clients'!E46</f>
        <v>0</v>
      </c>
    </row>
    <row r="47" spans="2:3" x14ac:dyDescent="0.25">
      <c r="B47" s="40" t="str">
        <f>+'2 - Commandes clients'!C47&amp;"-"&amp;'2 - Commandes clients'!F47</f>
        <v>-</v>
      </c>
      <c r="C47" s="80">
        <f>+'2 - Commandes clients'!E47</f>
        <v>0</v>
      </c>
    </row>
    <row r="48" spans="2:3" x14ac:dyDescent="0.25">
      <c r="B48" s="40" t="str">
        <f>+'2 - Commandes clients'!C48&amp;"-"&amp;'2 - Commandes clients'!F48</f>
        <v>-</v>
      </c>
      <c r="C48" s="80">
        <f>+'2 - Commandes clients'!E48</f>
        <v>0</v>
      </c>
    </row>
    <row r="49" spans="2:3" x14ac:dyDescent="0.25">
      <c r="B49" s="40" t="str">
        <f>+'2 - Commandes clients'!C49&amp;"-"&amp;'2 - Commandes clients'!F49</f>
        <v>-</v>
      </c>
      <c r="C49" s="80">
        <f>+'2 - Commandes clients'!E49</f>
        <v>0</v>
      </c>
    </row>
    <row r="50" spans="2:3" x14ac:dyDescent="0.25">
      <c r="B50" s="40" t="str">
        <f>+'2 - Commandes clients'!C50&amp;"-"&amp;'2 - Commandes clients'!F50</f>
        <v>-</v>
      </c>
      <c r="C50" s="80">
        <f>+'2 - Commandes clients'!E50</f>
        <v>0</v>
      </c>
    </row>
    <row r="51" spans="2:3" x14ac:dyDescent="0.25">
      <c r="B51" s="40" t="str">
        <f>+'2 - Commandes clients'!C51&amp;"-"&amp;'2 - Commandes clients'!F51</f>
        <v>-</v>
      </c>
      <c r="C51" s="80">
        <f>+'2 - Commandes clients'!E51</f>
        <v>0</v>
      </c>
    </row>
    <row r="52" spans="2:3" x14ac:dyDescent="0.25">
      <c r="B52" s="40" t="str">
        <f>+'2 - Commandes clients'!C52&amp;"-"&amp;'2 - Commandes clients'!F52</f>
        <v>-</v>
      </c>
      <c r="C52" s="80">
        <f>+'2 - Commandes clients'!E52</f>
        <v>0</v>
      </c>
    </row>
    <row r="53" spans="2:3" x14ac:dyDescent="0.25">
      <c r="B53" s="40" t="str">
        <f>+'2 - Commandes clients'!C53&amp;"-"&amp;'2 - Commandes clients'!F53</f>
        <v>-</v>
      </c>
      <c r="C53" s="80">
        <f>+'2 - Commandes clients'!E53</f>
        <v>0</v>
      </c>
    </row>
    <row r="54" spans="2:3" x14ac:dyDescent="0.25">
      <c r="B54" s="40" t="str">
        <f>+'2 - Commandes clients'!C54&amp;"-"&amp;'2 - Commandes clients'!F54</f>
        <v>-</v>
      </c>
      <c r="C54" s="80">
        <f>+'2 - Commandes clients'!E54</f>
        <v>0</v>
      </c>
    </row>
    <row r="55" spans="2:3" x14ac:dyDescent="0.25">
      <c r="B55" s="40" t="str">
        <f>+'2 - Commandes clients'!C55&amp;"-"&amp;'2 - Commandes clients'!F55</f>
        <v>-</v>
      </c>
      <c r="C55" s="80">
        <f>+'2 - Commandes clients'!E55</f>
        <v>0</v>
      </c>
    </row>
    <row r="56" spans="2:3" x14ac:dyDescent="0.25">
      <c r="B56" s="40" t="str">
        <f>+'2 - Commandes clients'!C56&amp;"-"&amp;'2 - Commandes clients'!F56</f>
        <v>-</v>
      </c>
      <c r="C56" s="80">
        <f>+'2 - Commandes clients'!E56</f>
        <v>0</v>
      </c>
    </row>
    <row r="57" spans="2:3" x14ac:dyDescent="0.25">
      <c r="B57" s="40" t="str">
        <f>+'2 - Commandes clients'!C57&amp;"-"&amp;'2 - Commandes clients'!F57</f>
        <v>-</v>
      </c>
      <c r="C57" s="80">
        <f>+'2 - Commandes clients'!E57</f>
        <v>0</v>
      </c>
    </row>
    <row r="58" spans="2:3" x14ac:dyDescent="0.25">
      <c r="B58" s="40" t="str">
        <f>+'2 - Commandes clients'!C58&amp;"-"&amp;'2 - Commandes clients'!F58</f>
        <v>-</v>
      </c>
      <c r="C58" s="80">
        <f>+'2 - Commandes clients'!E58</f>
        <v>0</v>
      </c>
    </row>
    <row r="59" spans="2:3" x14ac:dyDescent="0.25">
      <c r="B59" s="40" t="str">
        <f>+'2 - Commandes clients'!C59&amp;"-"&amp;'2 - Commandes clients'!F59</f>
        <v>-</v>
      </c>
      <c r="C59" s="80">
        <f>+'2 - Commandes clients'!E59</f>
        <v>0</v>
      </c>
    </row>
    <row r="60" spans="2:3" x14ac:dyDescent="0.25">
      <c r="B60" s="40" t="str">
        <f>+'2 - Commandes clients'!C60&amp;"-"&amp;'2 - Commandes clients'!F60</f>
        <v>-</v>
      </c>
      <c r="C60" s="80">
        <f>+'2 - Commandes clients'!E60</f>
        <v>0</v>
      </c>
    </row>
    <row r="61" spans="2:3" x14ac:dyDescent="0.25">
      <c r="B61" s="40" t="str">
        <f>+'2 - Commandes clients'!C61&amp;"-"&amp;'2 - Commandes clients'!F61</f>
        <v>-</v>
      </c>
      <c r="C61" s="80">
        <f>+'2 - Commandes clients'!E61</f>
        <v>0</v>
      </c>
    </row>
    <row r="62" spans="2:3" x14ac:dyDescent="0.25">
      <c r="B62" s="40" t="str">
        <f>+'2 - Commandes clients'!C62&amp;"-"&amp;'2 - Commandes clients'!F62</f>
        <v>-</v>
      </c>
      <c r="C62" s="80">
        <f>+'2 - Commandes clients'!E62</f>
        <v>0</v>
      </c>
    </row>
    <row r="63" spans="2:3" x14ac:dyDescent="0.25">
      <c r="B63" s="40" t="str">
        <f>+'2 - Commandes clients'!C63&amp;"-"&amp;'2 - Commandes clients'!F63</f>
        <v>-</v>
      </c>
      <c r="C63" s="80">
        <f>+'2 - Commandes clients'!E63</f>
        <v>0</v>
      </c>
    </row>
    <row r="64" spans="2:3" x14ac:dyDescent="0.25">
      <c r="B64" s="40" t="str">
        <f>+'2 - Commandes clients'!C64&amp;"-"&amp;'2 - Commandes clients'!F64</f>
        <v>-</v>
      </c>
      <c r="C64" s="80">
        <f>+'2 - Commandes clients'!E64</f>
        <v>0</v>
      </c>
    </row>
    <row r="65" spans="2:3" x14ac:dyDescent="0.25">
      <c r="B65" s="40" t="str">
        <f>+'2 - Commandes clients'!C65&amp;"-"&amp;'2 - Commandes clients'!F65</f>
        <v>-</v>
      </c>
      <c r="C65" s="80">
        <f>+'2 - Commandes clients'!E65</f>
        <v>0</v>
      </c>
    </row>
    <row r="66" spans="2:3" x14ac:dyDescent="0.25">
      <c r="B66" s="40" t="str">
        <f>+'2 - Commandes clients'!C66&amp;"-"&amp;'2 - Commandes clients'!F66</f>
        <v>-</v>
      </c>
      <c r="C66" s="80">
        <f>+'2 - Commandes clients'!E66</f>
        <v>0</v>
      </c>
    </row>
    <row r="67" spans="2:3" x14ac:dyDescent="0.25">
      <c r="B67" s="40" t="str">
        <f>+'2 - Commandes clients'!C67&amp;"-"&amp;'2 - Commandes clients'!F67</f>
        <v>-</v>
      </c>
      <c r="C67" s="80">
        <f>+'2 - Commandes clients'!E67</f>
        <v>0</v>
      </c>
    </row>
    <row r="68" spans="2:3" x14ac:dyDescent="0.25">
      <c r="B68" s="40" t="str">
        <f>+'2 - Commandes clients'!C68&amp;"-"&amp;'2 - Commandes clients'!F68</f>
        <v>-</v>
      </c>
      <c r="C68" s="80">
        <f>+'2 - Commandes clients'!E68</f>
        <v>0</v>
      </c>
    </row>
    <row r="69" spans="2:3" x14ac:dyDescent="0.25">
      <c r="B69" s="40" t="str">
        <f>+'2 - Commandes clients'!C69&amp;"-"&amp;'2 - Commandes clients'!F69</f>
        <v>-</v>
      </c>
      <c r="C69" s="80">
        <f>+'2 - Commandes clients'!E69</f>
        <v>0</v>
      </c>
    </row>
    <row r="70" spans="2:3" x14ac:dyDescent="0.25">
      <c r="B70" s="40" t="str">
        <f>+'2 - Commandes clients'!C70&amp;"-"&amp;'2 - Commandes clients'!F70</f>
        <v>-</v>
      </c>
      <c r="C70" s="80">
        <f>+'2 - Commandes clients'!E70</f>
        <v>0</v>
      </c>
    </row>
    <row r="71" spans="2:3" x14ac:dyDescent="0.25">
      <c r="B71" s="40" t="str">
        <f>+'2 - Commandes clients'!C71&amp;"-"&amp;'2 - Commandes clients'!F71</f>
        <v>-</v>
      </c>
      <c r="C71" s="80">
        <f>+'2 - Commandes clients'!E71</f>
        <v>0</v>
      </c>
    </row>
    <row r="72" spans="2:3" x14ac:dyDescent="0.25">
      <c r="B72" s="40" t="str">
        <f>+'2 - Commandes clients'!C72&amp;"-"&amp;'2 - Commandes clients'!F72</f>
        <v>-</v>
      </c>
      <c r="C72" s="80">
        <f>+'2 - Commandes clients'!E72</f>
        <v>0</v>
      </c>
    </row>
    <row r="73" spans="2:3" x14ac:dyDescent="0.25">
      <c r="B73" s="40" t="str">
        <f>+'2 - Commandes clients'!C73&amp;"-"&amp;'2 - Commandes clients'!F73</f>
        <v>-</v>
      </c>
      <c r="C73" s="80">
        <f>+'2 - Commandes clients'!E73</f>
        <v>0</v>
      </c>
    </row>
    <row r="74" spans="2:3" x14ac:dyDescent="0.25">
      <c r="B74" s="40" t="str">
        <f>+'2 - Commandes clients'!C74&amp;"-"&amp;'2 - Commandes clients'!F74</f>
        <v>-</v>
      </c>
      <c r="C74" s="80">
        <f>+'2 - Commandes clients'!E74</f>
        <v>0</v>
      </c>
    </row>
    <row r="75" spans="2:3" x14ac:dyDescent="0.25">
      <c r="B75" s="40" t="str">
        <f>+'2 - Commandes clients'!C75&amp;"-"&amp;'2 - Commandes clients'!F75</f>
        <v>-</v>
      </c>
      <c r="C75" s="80">
        <f>+'2 - Commandes clients'!E75</f>
        <v>0</v>
      </c>
    </row>
    <row r="76" spans="2:3" x14ac:dyDescent="0.25">
      <c r="B76" s="40" t="str">
        <f>+'2 - Commandes clients'!C76&amp;"-"&amp;'2 - Commandes clients'!F76</f>
        <v>-</v>
      </c>
      <c r="C76" s="80">
        <f>+'2 - Commandes clients'!E76</f>
        <v>0</v>
      </c>
    </row>
    <row r="77" spans="2:3" x14ac:dyDescent="0.25">
      <c r="B77" s="40" t="str">
        <f>+'2 - Commandes clients'!C77&amp;"-"&amp;'2 - Commandes clients'!F77</f>
        <v>-</v>
      </c>
      <c r="C77" s="80">
        <f>+'2 - Commandes clients'!E77</f>
        <v>0</v>
      </c>
    </row>
    <row r="78" spans="2:3" x14ac:dyDescent="0.25">
      <c r="B78" s="40" t="str">
        <f>+'2 - Commandes clients'!C78&amp;"-"&amp;'2 - Commandes clients'!F78</f>
        <v>-</v>
      </c>
      <c r="C78" s="80">
        <f>+'2 - Commandes clients'!E78</f>
        <v>0</v>
      </c>
    </row>
    <row r="79" spans="2:3" x14ac:dyDescent="0.25">
      <c r="B79" s="40" t="str">
        <f>+'2 - Commandes clients'!C79&amp;"-"&amp;'2 - Commandes clients'!F79</f>
        <v>-</v>
      </c>
      <c r="C79" s="80">
        <f>+'2 - Commandes clients'!E79</f>
        <v>0</v>
      </c>
    </row>
    <row r="80" spans="2:3" x14ac:dyDescent="0.25">
      <c r="B80" s="40" t="str">
        <f>+'2 - Commandes clients'!C80&amp;"-"&amp;'2 - Commandes clients'!F80</f>
        <v>-</v>
      </c>
      <c r="C80" s="80">
        <f>+'2 - Commandes clients'!E80</f>
        <v>0</v>
      </c>
    </row>
    <row r="81" spans="2:3" x14ac:dyDescent="0.25">
      <c r="B81" s="40" t="str">
        <f>+'2 - Commandes clients'!C81&amp;"-"&amp;'2 - Commandes clients'!F81</f>
        <v>-</v>
      </c>
      <c r="C81" s="80">
        <f>+'2 - Commandes clients'!E81</f>
        <v>0</v>
      </c>
    </row>
    <row r="82" spans="2:3" x14ac:dyDescent="0.25">
      <c r="B82" s="40" t="str">
        <f>+'2 - Commandes clients'!C82&amp;"-"&amp;'2 - Commandes clients'!F82</f>
        <v>-</v>
      </c>
      <c r="C82" s="80">
        <f>+'2 - Commandes clients'!E82</f>
        <v>0</v>
      </c>
    </row>
    <row r="83" spans="2:3" x14ac:dyDescent="0.25">
      <c r="B83" s="40" t="str">
        <f>+'2 - Commandes clients'!C83&amp;"-"&amp;'2 - Commandes clients'!F83</f>
        <v>-</v>
      </c>
      <c r="C83" s="80">
        <f>+'2 - Commandes clients'!E83</f>
        <v>0</v>
      </c>
    </row>
    <row r="84" spans="2:3" x14ac:dyDescent="0.25">
      <c r="B84" s="40" t="str">
        <f>+'2 - Commandes clients'!C84&amp;"-"&amp;'2 - Commandes clients'!F84</f>
        <v>-</v>
      </c>
      <c r="C84" s="80">
        <f>+'2 - Commandes clients'!E84</f>
        <v>0</v>
      </c>
    </row>
    <row r="85" spans="2:3" x14ac:dyDescent="0.25">
      <c r="B85" s="40" t="str">
        <f>+'2 - Commandes clients'!C85&amp;"-"&amp;'2 - Commandes clients'!F85</f>
        <v>-</v>
      </c>
      <c r="C85" s="80">
        <f>+'2 - Commandes clients'!E85</f>
        <v>0</v>
      </c>
    </row>
    <row r="86" spans="2:3" x14ac:dyDescent="0.25">
      <c r="B86" s="40" t="str">
        <f>+'2 - Commandes clients'!C86&amp;"-"&amp;'2 - Commandes clients'!F86</f>
        <v>-</v>
      </c>
      <c r="C86" s="80">
        <f>+'2 - Commandes clients'!E86</f>
        <v>0</v>
      </c>
    </row>
    <row r="87" spans="2:3" x14ac:dyDescent="0.25">
      <c r="B87" s="40" t="str">
        <f>+'2 - Commandes clients'!C87&amp;"-"&amp;'2 - Commandes clients'!F87</f>
        <v>-</v>
      </c>
      <c r="C87" s="80">
        <f>+'2 - Commandes clients'!E87</f>
        <v>0</v>
      </c>
    </row>
    <row r="88" spans="2:3" x14ac:dyDescent="0.25">
      <c r="B88" s="40" t="str">
        <f>+'2 - Commandes clients'!C88&amp;"-"&amp;'2 - Commandes clients'!F88</f>
        <v>-</v>
      </c>
      <c r="C88" s="80">
        <f>+'2 - Commandes clients'!E88</f>
        <v>0</v>
      </c>
    </row>
    <row r="89" spans="2:3" x14ac:dyDescent="0.25">
      <c r="B89" s="40" t="str">
        <f>+'2 - Commandes clients'!C89&amp;"-"&amp;'2 - Commandes clients'!F89</f>
        <v>-</v>
      </c>
      <c r="C89" s="80">
        <f>+'2 - Commandes clients'!E89</f>
        <v>0</v>
      </c>
    </row>
    <row r="90" spans="2:3" x14ac:dyDescent="0.25">
      <c r="B90" s="40" t="str">
        <f>+'2 - Commandes clients'!C90&amp;"-"&amp;'2 - Commandes clients'!F90</f>
        <v>-</v>
      </c>
      <c r="C90" s="80">
        <f>+'2 - Commandes clients'!E90</f>
        <v>0</v>
      </c>
    </row>
    <row r="91" spans="2:3" x14ac:dyDescent="0.25">
      <c r="B91" s="40" t="str">
        <f>+'2 - Commandes clients'!C91&amp;"-"&amp;'2 - Commandes clients'!F91</f>
        <v>-</v>
      </c>
      <c r="C91" s="80">
        <f>+'2 - Commandes clients'!E91</f>
        <v>0</v>
      </c>
    </row>
    <row r="92" spans="2:3" x14ac:dyDescent="0.25">
      <c r="B92" s="40" t="str">
        <f>+'2 - Commandes clients'!C92&amp;"-"&amp;'2 - Commandes clients'!F92</f>
        <v>-</v>
      </c>
      <c r="C92" s="80">
        <f>+'2 - Commandes clients'!E92</f>
        <v>0</v>
      </c>
    </row>
    <row r="93" spans="2:3" x14ac:dyDescent="0.25">
      <c r="B93" s="40" t="str">
        <f>+'2 - Commandes clients'!C93&amp;"-"&amp;'2 - Commandes clients'!F93</f>
        <v>-</v>
      </c>
      <c r="C93" s="80">
        <f>+'2 - Commandes clients'!E93</f>
        <v>0</v>
      </c>
    </row>
    <row r="94" spans="2:3" x14ac:dyDescent="0.25">
      <c r="B94" s="40" t="str">
        <f>+'2 - Commandes clients'!C94&amp;"-"&amp;'2 - Commandes clients'!F94</f>
        <v>-</v>
      </c>
      <c r="C94" s="80">
        <f>+'2 - Commandes clients'!E94</f>
        <v>0</v>
      </c>
    </row>
    <row r="95" spans="2:3" x14ac:dyDescent="0.25">
      <c r="B95" s="40" t="str">
        <f>+'2 - Commandes clients'!C95&amp;"-"&amp;'2 - Commandes clients'!F95</f>
        <v>-</v>
      </c>
      <c r="C95" s="80">
        <f>+'2 - Commandes clients'!E95</f>
        <v>0</v>
      </c>
    </row>
    <row r="96" spans="2:3" x14ac:dyDescent="0.25">
      <c r="B96" s="40" t="str">
        <f>+'2 - Commandes clients'!C96&amp;"-"&amp;'2 - Commandes clients'!F96</f>
        <v>-</v>
      </c>
      <c r="C96" s="80">
        <f>+'2 - Commandes clients'!E96</f>
        <v>0</v>
      </c>
    </row>
    <row r="97" spans="2:3" x14ac:dyDescent="0.25">
      <c r="B97" s="40" t="str">
        <f>+'2 - Commandes clients'!C97&amp;"-"&amp;'2 - Commandes clients'!F97</f>
        <v>-</v>
      </c>
      <c r="C97" s="80">
        <f>+'2 - Commandes clients'!E97</f>
        <v>0</v>
      </c>
    </row>
    <row r="98" spans="2:3" x14ac:dyDescent="0.25">
      <c r="B98" s="40" t="str">
        <f>+'2 - Commandes clients'!C98&amp;"-"&amp;'2 - Commandes clients'!F98</f>
        <v>-</v>
      </c>
      <c r="C98" s="80">
        <f>+'2 - Commandes clients'!E98</f>
        <v>0</v>
      </c>
    </row>
    <row r="99" spans="2:3" x14ac:dyDescent="0.25">
      <c r="B99" s="40" t="str">
        <f>+'2 - Commandes clients'!C99&amp;"-"&amp;'2 - Commandes clients'!F99</f>
        <v>-</v>
      </c>
      <c r="C99" s="80">
        <f>+'2 - Commandes clients'!E99</f>
        <v>0</v>
      </c>
    </row>
    <row r="100" spans="2:3" x14ac:dyDescent="0.25">
      <c r="B100" s="40" t="str">
        <f>+'2 - Commandes clients'!C100&amp;"-"&amp;'2 - Commandes clients'!F100</f>
        <v>-</v>
      </c>
      <c r="C100" s="80">
        <f>+'2 - Commandes clients'!E100</f>
        <v>0</v>
      </c>
    </row>
    <row r="101" spans="2:3" x14ac:dyDescent="0.25">
      <c r="B101" s="40" t="str">
        <f>+'2 - Commandes clients'!C101&amp;"-"&amp;'2 - Commandes clients'!F101</f>
        <v>-</v>
      </c>
      <c r="C101" s="80">
        <f>+'2 - Commandes clients'!E101</f>
        <v>0</v>
      </c>
    </row>
    <row r="102" spans="2:3" x14ac:dyDescent="0.25">
      <c r="B102" s="40" t="str">
        <f>+'2 - Commandes clients'!C102&amp;"-"&amp;'2 - Commandes clients'!F102</f>
        <v>-</v>
      </c>
      <c r="C102" s="80">
        <f>+'2 - Commandes clients'!E102</f>
        <v>0</v>
      </c>
    </row>
    <row r="103" spans="2:3" x14ac:dyDescent="0.25">
      <c r="B103" s="40" t="str">
        <f>+'2 - Commandes clients'!C103&amp;"-"&amp;'2 - Commandes clients'!F103</f>
        <v>-</v>
      </c>
      <c r="C103" s="80">
        <f>+'2 - Commandes clients'!E103</f>
        <v>0</v>
      </c>
    </row>
    <row r="104" spans="2:3" x14ac:dyDescent="0.25">
      <c r="B104" s="40" t="str">
        <f>+'2 - Commandes clients'!C104&amp;"-"&amp;'2 - Commandes clients'!F104</f>
        <v>-</v>
      </c>
      <c r="C104" s="80">
        <f>+'2 - Commandes clients'!E104</f>
        <v>0</v>
      </c>
    </row>
    <row r="105" spans="2:3" ht="13.8" thickBot="1" x14ac:dyDescent="0.3">
      <c r="B105" s="27" t="str">
        <f>+'2 - Commandes clients'!C105&amp;"-"&amp;'2 - Commandes clients'!F105</f>
        <v>-</v>
      </c>
      <c r="C105" s="82">
        <f>+'2 - Commandes clients'!E105</f>
        <v>0</v>
      </c>
    </row>
    <row r="106" spans="2:3" ht="13.8" thickBot="1" x14ac:dyDescent="0.3">
      <c r="B106" s="47" t="s">
        <v>21</v>
      </c>
      <c r="C106" s="83">
        <f>+SUM(C6:C105)</f>
        <v>750.78000000000009</v>
      </c>
    </row>
  </sheetData>
  <mergeCells count="1">
    <mergeCell ref="B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3">
    <tabColor rgb="FF00B050"/>
  </sheetPr>
  <dimension ref="B1:V66"/>
  <sheetViews>
    <sheetView showGridLines="0" topLeftCell="B9" zoomScaleNormal="100" workbookViewId="0">
      <selection activeCell="E42" sqref="E42"/>
    </sheetView>
  </sheetViews>
  <sheetFormatPr baseColWidth="10" defaultColWidth="9.109375" defaultRowHeight="13.2" x14ac:dyDescent="0.25"/>
  <cols>
    <col min="1" max="1" width="3.6640625" style="1" customWidth="1"/>
    <col min="2" max="2" width="12.6640625" style="15" customWidth="1"/>
    <col min="3" max="5" width="10.6640625" style="1" customWidth="1"/>
    <col min="6" max="6" width="10.6640625" style="1" hidden="1" customWidth="1"/>
    <col min="7" max="7" width="12" style="1" customWidth="1"/>
    <col min="8" max="8" width="11.88671875" style="1" customWidth="1"/>
    <col min="9" max="9" width="10.6640625" style="1" customWidth="1"/>
    <col min="10" max="16384" width="9.109375" style="1"/>
  </cols>
  <sheetData>
    <row r="1" spans="2:22" ht="13.8" thickBot="1" x14ac:dyDescent="0.3"/>
    <row r="2" spans="2:22" ht="12.75" customHeight="1" x14ac:dyDescent="0.25">
      <c r="B2" s="413" t="s">
        <v>37</v>
      </c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414"/>
    </row>
    <row r="3" spans="2:22" ht="13.5" customHeight="1" thickBot="1" x14ac:dyDescent="0.3">
      <c r="B3" s="415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416"/>
    </row>
    <row r="4" spans="2:22" ht="13.8" thickBot="1" x14ac:dyDescent="0.3"/>
    <row r="5" spans="2:22" s="26" customFormat="1" ht="24.9" customHeight="1" thickBot="1" x14ac:dyDescent="0.3">
      <c r="B5" s="194"/>
      <c r="C5" s="417" t="s">
        <v>31</v>
      </c>
      <c r="D5" s="418"/>
      <c r="E5" s="418"/>
      <c r="F5" s="418"/>
      <c r="G5" s="418"/>
      <c r="H5" s="418"/>
      <c r="I5" s="418"/>
      <c r="J5" s="418"/>
      <c r="K5" s="418"/>
      <c r="L5" s="419"/>
    </row>
    <row r="6" spans="2:22" s="21" customFormat="1" x14ac:dyDescent="0.25">
      <c r="B6" s="411" t="s">
        <v>29</v>
      </c>
      <c r="C6" s="225" t="str">
        <f>+'1 - Produits'!B6</f>
        <v>PAA 150</v>
      </c>
      <c r="D6" s="226" t="str">
        <f>+'1 - Produits'!B7</f>
        <v>PAA 100</v>
      </c>
      <c r="E6" s="226" t="str">
        <f>+'1 - Produits'!B8</f>
        <v>PAA 33</v>
      </c>
      <c r="F6" s="226">
        <f>+'1 - Produits'!B9</f>
        <v>0</v>
      </c>
      <c r="G6" s="226" t="str">
        <f>+'1 - Produits'!B10</f>
        <v>PAF1</v>
      </c>
      <c r="H6" s="227" t="str">
        <f>+'1 - Produits'!B12</f>
        <v>PCC</v>
      </c>
      <c r="I6" s="227" t="str">
        <f>+'1 - Produits'!B14</f>
        <v>PCF1</v>
      </c>
      <c r="J6" s="228" t="str">
        <f>+'1 - Produits'!B16</f>
        <v>PFF</v>
      </c>
      <c r="K6" s="228" t="str">
        <f>+'1 - Produits'!B17</f>
        <v>PFF0</v>
      </c>
      <c r="L6" s="107" t="str">
        <f>+'1 - Produits'!B18</f>
        <v>PPF2</v>
      </c>
    </row>
    <row r="7" spans="2:22" s="21" customFormat="1" ht="40.200000000000003" thickBot="1" x14ac:dyDescent="0.3">
      <c r="B7" s="412"/>
      <c r="C7" s="225" t="str">
        <f>+'1 - Produits'!C6</f>
        <v>Perlite agricole 150L</v>
      </c>
      <c r="D7" s="226" t="str">
        <f>+'1 - Produits'!C7</f>
        <v>Perlite agricole 100L</v>
      </c>
      <c r="E7" s="226" t="str">
        <f>+'1 - Produits'!C8</f>
        <v>Perlite agricole 33L</v>
      </c>
      <c r="F7" s="226">
        <f>+'1 - Produits'!C9</f>
        <v>0</v>
      </c>
      <c r="G7" s="226" t="str">
        <f>+'1 - Produits'!C10</f>
        <v>Perlite AF1</v>
      </c>
      <c r="H7" s="227" t="str">
        <f>+'1 - Produits'!C12</f>
        <v xml:space="preserve">Perlite construction </v>
      </c>
      <c r="I7" s="227" t="str">
        <f>+'1 - Produits'!C14</f>
        <v>Perlite CF1</v>
      </c>
      <c r="J7" s="228" t="str">
        <f>+'1 - Produits'!C16</f>
        <v>Perlite Filtration</v>
      </c>
      <c r="K7" s="228" t="str">
        <f>+'1 - Produits'!C17</f>
        <v>Perlite FF0</v>
      </c>
      <c r="L7" s="107" t="str">
        <f>+'1 - Produits'!C18</f>
        <v>Perlite PF2</v>
      </c>
    </row>
    <row r="8" spans="2:22" ht="13.8" thickBot="1" x14ac:dyDescent="0.3">
      <c r="B8" s="46">
        <v>45292</v>
      </c>
      <c r="C8" s="264"/>
      <c r="D8" s="264"/>
      <c r="E8" s="264"/>
      <c r="F8" s="264">
        <f ca="1">+SUMIF('2B - calc commandes'!$B:$C,'7A - calc livraisons'!#REF!,'2B - calc commandes'!$C:$C)</f>
        <v>0</v>
      </c>
      <c r="G8" s="264"/>
      <c r="H8" s="264"/>
      <c r="I8" s="264"/>
      <c r="J8" s="264"/>
      <c r="K8" s="264"/>
      <c r="L8" s="264"/>
    </row>
    <row r="9" spans="2:22" ht="13.8" thickBot="1" x14ac:dyDescent="0.3">
      <c r="B9" s="46">
        <v>45293</v>
      </c>
      <c r="C9" s="264"/>
      <c r="D9" s="264"/>
      <c r="E9" s="264"/>
      <c r="F9" s="264">
        <f ca="1">+SUMIF('2B - calc commandes'!$B:$C,'7A - calc livraisons'!#REF!,'2B - calc commandes'!$C:$C)</f>
        <v>0</v>
      </c>
      <c r="G9" s="264"/>
      <c r="H9" s="264"/>
      <c r="I9" s="264"/>
      <c r="J9" s="264"/>
      <c r="K9" s="264"/>
      <c r="L9" s="264"/>
    </row>
    <row r="10" spans="2:22" ht="13.8" thickBot="1" x14ac:dyDescent="0.3">
      <c r="B10" s="46">
        <v>45294</v>
      </c>
      <c r="C10" s="264"/>
      <c r="D10" s="264"/>
      <c r="E10" s="264"/>
      <c r="F10" s="264">
        <f ca="1">+SUMIF('2B - calc commandes'!$B:$C,'7A - calc livraisons'!#REF!,'2B - calc commandes'!$C:$C)</f>
        <v>0</v>
      </c>
      <c r="G10" s="264"/>
      <c r="H10" s="264"/>
      <c r="I10" s="264"/>
      <c r="J10" s="264"/>
      <c r="K10" s="264"/>
      <c r="L10" s="264"/>
    </row>
    <row r="11" spans="2:22" ht="13.8" thickBot="1" x14ac:dyDescent="0.3">
      <c r="B11" s="46">
        <v>45295</v>
      </c>
      <c r="C11" s="264">
        <v>10.050000000000001</v>
      </c>
      <c r="D11" s="264"/>
      <c r="E11" s="264">
        <v>0.33</v>
      </c>
      <c r="F11" s="264">
        <f ca="1">+SUMIF('2B - calc commandes'!$B:$C,'7A - calc livraisons'!#REF!,'2B - calc commandes'!$C:$C)</f>
        <v>0</v>
      </c>
      <c r="G11" s="264"/>
      <c r="H11" s="264"/>
      <c r="I11" s="264"/>
      <c r="J11" s="264"/>
      <c r="K11" s="264"/>
      <c r="L11" s="264"/>
    </row>
    <row r="12" spans="2:22" ht="13.8" thickBot="1" x14ac:dyDescent="0.3">
      <c r="B12" s="46">
        <v>45296</v>
      </c>
      <c r="C12" s="264"/>
      <c r="D12" s="264"/>
      <c r="E12" s="264">
        <v>20.36</v>
      </c>
      <c r="F12" s="264">
        <f ca="1">+SUMIF('2B - calc commandes'!$B:$C,'7A - calc livraisons'!#REF!,'2B - calc commandes'!$C:$C)</f>
        <v>0</v>
      </c>
      <c r="G12" s="264"/>
      <c r="H12" s="264"/>
      <c r="I12" s="264"/>
      <c r="J12" s="264"/>
      <c r="K12" s="264"/>
      <c r="L12" s="264"/>
    </row>
    <row r="13" spans="2:22" ht="13.8" thickBot="1" x14ac:dyDescent="0.3">
      <c r="B13" s="46">
        <v>45297</v>
      </c>
      <c r="C13" s="264"/>
      <c r="D13" s="264"/>
      <c r="E13" s="264"/>
      <c r="F13" s="264">
        <f ca="1">+SUMIF('2B - calc commandes'!$B:$C,'7A - calc livraisons'!#REF!,'2B - calc commandes'!$C:$C)</f>
        <v>0</v>
      </c>
      <c r="G13" s="264"/>
      <c r="H13" s="264"/>
      <c r="I13" s="264"/>
      <c r="J13" s="264"/>
      <c r="K13" s="264"/>
      <c r="L13" s="264"/>
    </row>
    <row r="14" spans="2:22" ht="13.8" thickBot="1" x14ac:dyDescent="0.3">
      <c r="B14" s="46">
        <v>45298</v>
      </c>
      <c r="C14" s="264"/>
      <c r="D14" s="264"/>
      <c r="E14" s="264"/>
      <c r="F14" s="264">
        <f ca="1">+SUMIF('2B - calc commandes'!$B:$C,'7A - calc livraisons'!#REF!,'2B - calc commandes'!$C:$C)</f>
        <v>0</v>
      </c>
      <c r="G14" s="264"/>
      <c r="H14" s="264"/>
      <c r="I14" s="264"/>
      <c r="J14" s="264"/>
      <c r="K14" s="264"/>
      <c r="L14" s="264"/>
    </row>
    <row r="15" spans="2:22" ht="13.8" thickBot="1" x14ac:dyDescent="0.3">
      <c r="B15" s="46">
        <v>45299</v>
      </c>
      <c r="C15" s="264"/>
      <c r="D15" s="264"/>
      <c r="E15" s="264"/>
      <c r="F15" s="264">
        <f ca="1">+SUMIF('2B - calc commandes'!$B:$C,'7A - calc livraisons'!#REF!,'2B - calc commandes'!$C:$C)</f>
        <v>0</v>
      </c>
      <c r="G15" s="264"/>
      <c r="H15" s="264"/>
      <c r="I15" s="264"/>
      <c r="J15" s="264"/>
      <c r="K15" s="264"/>
      <c r="L15" s="264"/>
    </row>
    <row r="16" spans="2:22" ht="13.8" thickBot="1" x14ac:dyDescent="0.3">
      <c r="B16" s="46">
        <v>45300</v>
      </c>
      <c r="C16" s="264"/>
      <c r="D16" s="264"/>
      <c r="E16" s="264"/>
      <c r="F16" s="264">
        <f ca="1">+SUMIF('2B - calc commandes'!$B:$C,'7A - calc livraisons'!#REF!,'2B - calc commandes'!$C:$C)</f>
        <v>0</v>
      </c>
      <c r="G16" s="264"/>
      <c r="H16" s="264"/>
      <c r="I16" s="264"/>
      <c r="J16" s="264"/>
      <c r="K16" s="264"/>
      <c r="L16" s="264"/>
    </row>
    <row r="17" spans="2:12" ht="13.8" thickBot="1" x14ac:dyDescent="0.3">
      <c r="B17" s="46">
        <v>45301</v>
      </c>
      <c r="C17" s="264"/>
      <c r="D17" s="264"/>
      <c r="E17" s="264"/>
      <c r="F17" s="264">
        <f ca="1">+SUMIF('2B - calc commandes'!$B:$C,'7A - calc livraisons'!#REF!,'2B - calc commandes'!$C:$C)</f>
        <v>0</v>
      </c>
      <c r="G17" s="264"/>
      <c r="H17" s="264"/>
      <c r="I17" s="264"/>
      <c r="J17" s="264"/>
      <c r="K17" s="264"/>
      <c r="L17" s="264"/>
    </row>
    <row r="18" spans="2:12" ht="13.8" thickBot="1" x14ac:dyDescent="0.3">
      <c r="B18" s="46">
        <v>45302</v>
      </c>
      <c r="C18" s="264"/>
      <c r="D18" s="264"/>
      <c r="E18" s="264"/>
      <c r="F18" s="264">
        <f ca="1">+SUMIF('2B - calc commandes'!$B:$C,'7A - calc livraisons'!#REF!,'2B - calc commandes'!$C:$C)</f>
        <v>0</v>
      </c>
      <c r="G18" s="264"/>
      <c r="H18" s="264"/>
      <c r="I18" s="264"/>
      <c r="J18" s="264"/>
      <c r="K18" s="264"/>
      <c r="L18" s="264"/>
    </row>
    <row r="19" spans="2:12" ht="13.8" thickBot="1" x14ac:dyDescent="0.3">
      <c r="B19" s="46">
        <v>45303</v>
      </c>
      <c r="C19" s="264"/>
      <c r="D19" s="264"/>
      <c r="E19" s="264"/>
      <c r="F19" s="264">
        <f ca="1">+SUMIF('2B - calc commandes'!$B:$C,'7A - calc livraisons'!#REF!,'2B - calc commandes'!$C:$C)</f>
        <v>0</v>
      </c>
      <c r="G19" s="264"/>
      <c r="H19" s="264"/>
      <c r="I19" s="264"/>
      <c r="J19" s="264"/>
      <c r="K19" s="264"/>
      <c r="L19" s="264"/>
    </row>
    <row r="20" spans="2:12" ht="13.8" thickBot="1" x14ac:dyDescent="0.3">
      <c r="B20" s="46">
        <v>45304</v>
      </c>
      <c r="C20" s="264"/>
      <c r="D20" s="264"/>
      <c r="E20" s="264"/>
      <c r="F20" s="264">
        <f ca="1">+SUMIF('2B - calc commandes'!$B:$C,'7A - calc livraisons'!#REF!,'2B - calc commandes'!$C:$C)</f>
        <v>0</v>
      </c>
      <c r="G20" s="264"/>
      <c r="H20" s="264"/>
      <c r="I20" s="264"/>
      <c r="J20" s="264"/>
      <c r="K20" s="264"/>
      <c r="L20" s="264"/>
    </row>
    <row r="21" spans="2:12" ht="13.8" thickBot="1" x14ac:dyDescent="0.3">
      <c r="B21" s="46">
        <v>45305</v>
      </c>
      <c r="C21" s="264"/>
      <c r="D21" s="264"/>
      <c r="E21" s="264"/>
      <c r="F21" s="264">
        <f ca="1">+SUMIF('2B - calc commandes'!$B:$C,'7A - calc livraisons'!#REF!,'2B - calc commandes'!$C:$C)</f>
        <v>0</v>
      </c>
      <c r="G21" s="264"/>
      <c r="H21" s="264"/>
      <c r="I21" s="264"/>
      <c r="J21" s="264"/>
      <c r="K21" s="264"/>
      <c r="L21" s="264"/>
    </row>
    <row r="22" spans="2:12" ht="13.8" thickBot="1" x14ac:dyDescent="0.3">
      <c r="B22" s="46">
        <v>45306</v>
      </c>
      <c r="C22" s="264"/>
      <c r="D22" s="264"/>
      <c r="E22" s="264"/>
      <c r="F22" s="264">
        <f ca="1">+SUMIF('2B - calc commandes'!$B:$C,'7A - calc livraisons'!#REF!,'2B - calc commandes'!$C:$C)</f>
        <v>0</v>
      </c>
      <c r="G22" s="264"/>
      <c r="H22" s="264"/>
      <c r="I22" s="264"/>
      <c r="J22" s="264">
        <v>360</v>
      </c>
      <c r="K22" s="264"/>
      <c r="L22" s="264"/>
    </row>
    <row r="23" spans="2:12" ht="13.8" thickBot="1" x14ac:dyDescent="0.3">
      <c r="B23" s="46">
        <v>45307</v>
      </c>
      <c r="C23" s="264"/>
      <c r="D23" s="264"/>
      <c r="E23" s="264"/>
      <c r="F23" s="264">
        <f ca="1">+SUMIF('2B - calc commandes'!$B:$C,'7A - calc livraisons'!#REF!,'2B - calc commandes'!$C:$C)</f>
        <v>0</v>
      </c>
      <c r="G23" s="264"/>
      <c r="H23" s="264"/>
      <c r="I23" s="264"/>
      <c r="J23" s="264"/>
      <c r="K23" s="264"/>
      <c r="L23" s="264"/>
    </row>
    <row r="24" spans="2:12" ht="13.8" thickBot="1" x14ac:dyDescent="0.3">
      <c r="B24" s="46">
        <v>45308</v>
      </c>
      <c r="C24" s="264">
        <v>25.05</v>
      </c>
      <c r="D24" s="264"/>
      <c r="E24" s="264"/>
      <c r="F24" s="264">
        <f ca="1">+SUMIF('2B - calc commandes'!$B:$C,'7A - calc livraisons'!#REF!,'2B - calc commandes'!$C:$C)</f>
        <v>0</v>
      </c>
      <c r="G24" s="264"/>
      <c r="H24" s="264"/>
      <c r="I24" s="264"/>
      <c r="J24" s="264"/>
      <c r="K24" s="264"/>
      <c r="L24" s="264"/>
    </row>
    <row r="25" spans="2:12" ht="13.8" thickBot="1" x14ac:dyDescent="0.3">
      <c r="B25" s="46">
        <v>45309</v>
      </c>
      <c r="C25" s="264">
        <v>95.1</v>
      </c>
      <c r="D25" s="264"/>
      <c r="E25" s="264"/>
      <c r="F25" s="264">
        <f ca="1">+SUMIF('2B - calc commandes'!$B:$C,'7A - calc livraisons'!#REF!,'2B - calc commandes'!$C:$C)</f>
        <v>0</v>
      </c>
      <c r="G25" s="264"/>
      <c r="H25" s="264"/>
      <c r="I25" s="264"/>
      <c r="J25" s="264"/>
      <c r="K25" s="264"/>
      <c r="L25" s="264">
        <v>0</v>
      </c>
    </row>
    <row r="26" spans="2:12" ht="13.8" thickBot="1" x14ac:dyDescent="0.3">
      <c r="B26" s="46">
        <v>45310</v>
      </c>
      <c r="C26" s="264"/>
      <c r="D26" s="264"/>
      <c r="E26" s="264"/>
      <c r="F26" s="264">
        <f ca="1">+SUMIF('2B - calc commandes'!$B:$C,'7A - calc livraisons'!#REF!,'2B - calc commandes'!$C:$C)</f>
        <v>0</v>
      </c>
      <c r="G26" s="264"/>
      <c r="H26" s="264">
        <v>12</v>
      </c>
      <c r="I26" s="264"/>
      <c r="J26" s="264"/>
      <c r="K26" s="264"/>
      <c r="L26" s="264"/>
    </row>
    <row r="27" spans="2:12" ht="13.8" thickBot="1" x14ac:dyDescent="0.3">
      <c r="B27" s="46">
        <v>45311</v>
      </c>
      <c r="C27" s="264"/>
      <c r="D27" s="264"/>
      <c r="E27" s="264"/>
      <c r="F27" s="264">
        <f ca="1">+SUMIF('2B - calc commandes'!$B:$C,'7A - calc livraisons'!#REF!,'2B - calc commandes'!$C:$C)</f>
        <v>0</v>
      </c>
      <c r="G27" s="264"/>
      <c r="H27" s="264"/>
      <c r="I27" s="264"/>
      <c r="J27" s="264"/>
      <c r="K27" s="264"/>
      <c r="L27" s="264"/>
    </row>
    <row r="28" spans="2:12" ht="13.8" thickBot="1" x14ac:dyDescent="0.3">
      <c r="B28" s="46">
        <v>45312</v>
      </c>
      <c r="C28" s="264"/>
      <c r="D28" s="264"/>
      <c r="E28" s="264"/>
      <c r="F28" s="264">
        <f ca="1">+SUMIF('2B - calc commandes'!$B:$C,'7A - calc livraisons'!#REF!,'2B - calc commandes'!$C:$C)</f>
        <v>0</v>
      </c>
      <c r="G28" s="264"/>
      <c r="H28" s="264"/>
      <c r="I28" s="264"/>
      <c r="J28" s="264"/>
      <c r="K28" s="264"/>
      <c r="L28" s="264"/>
    </row>
    <row r="29" spans="2:12" ht="13.8" thickBot="1" x14ac:dyDescent="0.3">
      <c r="B29" s="46">
        <v>45313</v>
      </c>
      <c r="C29" s="264">
        <v>27.7</v>
      </c>
      <c r="D29" s="264"/>
      <c r="E29" s="264"/>
      <c r="F29" s="264">
        <f ca="1">+SUMIF('2B - calc commandes'!$B:$C,'7A - calc livraisons'!#REF!,'2B - calc commandes'!$C:$C)</f>
        <v>0</v>
      </c>
      <c r="G29" s="264"/>
      <c r="H29" s="264"/>
      <c r="I29" s="264"/>
      <c r="J29" s="264"/>
      <c r="K29" s="264"/>
      <c r="L29" s="264"/>
    </row>
    <row r="30" spans="2:12" ht="13.8" thickBot="1" x14ac:dyDescent="0.3">
      <c r="B30" s="46">
        <v>45314</v>
      </c>
      <c r="C30" s="264">
        <v>15</v>
      </c>
      <c r="D30" s="264"/>
      <c r="E30" s="264"/>
      <c r="F30" s="264">
        <f ca="1">+SUMIF('2B - calc commandes'!$B:$C,'7A - calc livraisons'!#REF!,'2B - calc commandes'!$C:$C)</f>
        <v>0</v>
      </c>
      <c r="G30" s="264">
        <v>10000</v>
      </c>
      <c r="H30" s="264">
        <v>11.2</v>
      </c>
      <c r="I30" s="264"/>
      <c r="J30" s="264">
        <v>8.5</v>
      </c>
      <c r="K30" s="264"/>
      <c r="L30" s="264"/>
    </row>
    <row r="31" spans="2:12" ht="13.8" thickBot="1" x14ac:dyDescent="0.3">
      <c r="B31" s="46">
        <v>45315</v>
      </c>
      <c r="C31" s="264"/>
      <c r="D31" s="264"/>
      <c r="E31" s="264"/>
      <c r="F31" s="264">
        <f ca="1">+SUMIF('2B - calc commandes'!$B:$C,'7A - calc livraisons'!#REF!,'2B - calc commandes'!$C:$C)</f>
        <v>0</v>
      </c>
      <c r="G31" s="264"/>
      <c r="H31" s="264"/>
      <c r="I31" s="264"/>
      <c r="J31" s="264"/>
      <c r="K31" s="264"/>
      <c r="L31" s="264"/>
    </row>
    <row r="32" spans="2:12" ht="13.8" thickBot="1" x14ac:dyDescent="0.3">
      <c r="B32" s="46">
        <v>45316</v>
      </c>
      <c r="C32" s="264"/>
      <c r="D32" s="264"/>
      <c r="E32" s="264"/>
      <c r="F32" s="264">
        <f ca="1">+SUMIF('2B - calc commandes'!$B:$C,'7A - calc livraisons'!#REF!,'2B - calc commandes'!$C:$C)</f>
        <v>0</v>
      </c>
      <c r="G32" s="264"/>
      <c r="H32" s="264"/>
      <c r="I32" s="264"/>
      <c r="J32" s="264"/>
      <c r="K32" s="264"/>
      <c r="L32" s="264"/>
    </row>
    <row r="33" spans="2:12" ht="13.8" thickBot="1" x14ac:dyDescent="0.3">
      <c r="B33" s="46">
        <v>45317</v>
      </c>
      <c r="C33" s="264"/>
      <c r="D33" s="264"/>
      <c r="E33" s="264"/>
      <c r="F33" s="264">
        <f ca="1">+SUMIF('2B - calc commandes'!$B:$C,'7A - calc livraisons'!#REF!,'2B - calc commandes'!$C:$C)</f>
        <v>0</v>
      </c>
      <c r="G33" s="264"/>
      <c r="H33" s="264">
        <v>57</v>
      </c>
      <c r="I33" s="264"/>
      <c r="J33" s="264"/>
      <c r="K33" s="264"/>
      <c r="L33" s="264"/>
    </row>
    <row r="34" spans="2:12" ht="13.8" thickBot="1" x14ac:dyDescent="0.3">
      <c r="B34" s="46">
        <v>45318</v>
      </c>
      <c r="C34" s="264"/>
      <c r="D34" s="264">
        <v>38</v>
      </c>
      <c r="E34" s="264"/>
      <c r="F34" s="264">
        <f ca="1">+SUMIF('2B - calc commandes'!$B:$C,'7A - calc livraisons'!#REF!,'2B - calc commandes'!$C:$C)</f>
        <v>0</v>
      </c>
      <c r="G34" s="264"/>
      <c r="H34" s="264"/>
      <c r="I34" s="264"/>
      <c r="J34" s="264"/>
      <c r="K34" s="264"/>
      <c r="L34" s="264"/>
    </row>
    <row r="35" spans="2:12" ht="13.8" thickBot="1" x14ac:dyDescent="0.3">
      <c r="B35" s="46">
        <v>45319</v>
      </c>
      <c r="C35" s="264"/>
      <c r="D35" s="264"/>
      <c r="E35" s="264"/>
      <c r="F35" s="264">
        <f ca="1">+SUMIF('2B - calc commandes'!$B:$C,'7A - calc livraisons'!#REF!,'2B - calc commandes'!$C:$C)</f>
        <v>0</v>
      </c>
      <c r="G35" s="264"/>
      <c r="H35" s="264"/>
      <c r="I35" s="264"/>
      <c r="J35" s="264"/>
      <c r="K35" s="264"/>
      <c r="L35" s="264"/>
    </row>
    <row r="36" spans="2:12" ht="13.8" thickBot="1" x14ac:dyDescent="0.3">
      <c r="B36" s="46">
        <v>45320</v>
      </c>
      <c r="C36" s="264"/>
      <c r="D36" s="264"/>
      <c r="E36" s="264"/>
      <c r="F36" s="264">
        <f ca="1">+SUMIF('2B - calc commandes'!$B:$C,'7A - calc livraisons'!#REF!,'2B - calc commandes'!$C:$C)</f>
        <v>0</v>
      </c>
      <c r="G36" s="264"/>
      <c r="H36" s="264"/>
      <c r="I36" s="264"/>
      <c r="J36" s="264"/>
      <c r="K36" s="264"/>
      <c r="L36" s="264"/>
    </row>
    <row r="37" spans="2:12" ht="13.8" thickBot="1" x14ac:dyDescent="0.3">
      <c r="B37" s="46">
        <v>45321</v>
      </c>
      <c r="C37" s="264"/>
      <c r="D37" s="264"/>
      <c r="E37" s="264"/>
      <c r="F37" s="264">
        <f ca="1">+SUMIF('2B - calc commandes'!$B:$C,'7A - calc livraisons'!#REF!,'2B - calc commandes'!$C:$C)</f>
        <v>0</v>
      </c>
      <c r="G37" s="264"/>
      <c r="H37" s="264"/>
      <c r="I37" s="264"/>
      <c r="J37" s="264"/>
      <c r="K37" s="264"/>
      <c r="L37" s="264"/>
    </row>
    <row r="38" spans="2:12" ht="13.8" thickBot="1" x14ac:dyDescent="0.3">
      <c r="B38" s="46">
        <v>45322</v>
      </c>
      <c r="C38" s="264"/>
      <c r="D38" s="264"/>
      <c r="E38" s="264"/>
      <c r="F38" s="264">
        <f ca="1">+SUMIF('2B - calc commandes'!$B:$C,'7A - calc livraisons'!#REF!,'2B - calc commandes'!$C:$C)</f>
        <v>0</v>
      </c>
      <c r="G38" s="264"/>
      <c r="H38" s="264"/>
      <c r="I38" s="264"/>
      <c r="J38" s="264"/>
      <c r="K38" s="264"/>
      <c r="L38" s="264"/>
    </row>
    <row r="39" spans="2:12" s="15" customFormat="1" ht="14.4" thickBot="1" x14ac:dyDescent="0.3">
      <c r="B39" s="178" t="s">
        <v>21</v>
      </c>
      <c r="C39" s="265">
        <f>SUM(C8:C38)</f>
        <v>172.89999999999998</v>
      </c>
      <c r="D39" s="266">
        <f t="shared" ref="D39:L39" si="0">+SUM(D8:D38)</f>
        <v>38</v>
      </c>
      <c r="E39" s="266">
        <f t="shared" si="0"/>
        <v>20.689999999999998</v>
      </c>
      <c r="F39" s="266">
        <f t="shared" ca="1" si="0"/>
        <v>0</v>
      </c>
      <c r="G39" s="266">
        <f t="shared" si="0"/>
        <v>10000</v>
      </c>
      <c r="H39" s="266">
        <f t="shared" si="0"/>
        <v>80.2</v>
      </c>
      <c r="I39" s="266">
        <f t="shared" si="0"/>
        <v>0</v>
      </c>
      <c r="J39" s="266">
        <f t="shared" si="0"/>
        <v>368.5</v>
      </c>
      <c r="K39" s="266">
        <f t="shared" si="0"/>
        <v>0</v>
      </c>
      <c r="L39" s="267">
        <f t="shared" si="0"/>
        <v>0</v>
      </c>
    </row>
    <row r="66" spans="2:2" x14ac:dyDescent="0.25">
      <c r="B66" s="79">
        <f>SUM(C39:E39)</f>
        <v>231.58999999999997</v>
      </c>
    </row>
  </sheetData>
  <mergeCells count="3">
    <mergeCell ref="B6:B7"/>
    <mergeCell ref="B2:V3"/>
    <mergeCell ref="C5:L5"/>
  </mergeCells>
  <conditionalFormatting sqref="C8:L39">
    <cfRule type="cellIs" dxfId="11" priority="1" operator="equal">
      <formula>0</formula>
    </cfRule>
  </conditionalFormatting>
  <pageMargins left="0.7" right="0.7" top="0.75" bottom="0.75" header="0.3" footer="0.3"/>
  <pageSetup paperSize="9" orientation="portrait" horizontalDpi="90" verticalDpi="9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4"/>
  </sheetPr>
  <dimension ref="B1:N37"/>
  <sheetViews>
    <sheetView showGridLines="0" zoomScale="130" zoomScaleNormal="130" workbookViewId="0">
      <selection activeCell="J19" sqref="J19"/>
    </sheetView>
  </sheetViews>
  <sheetFormatPr baseColWidth="10" defaultColWidth="9.109375" defaultRowHeight="13.2" x14ac:dyDescent="0.25"/>
  <cols>
    <col min="1" max="1" width="3.6640625" style="1" customWidth="1"/>
    <col min="2" max="2" width="24.109375" style="1" customWidth="1"/>
    <col min="3" max="3" width="39.33203125" style="1" bestFit="1" customWidth="1"/>
    <col min="4" max="4" width="9.109375" style="1" customWidth="1"/>
    <col min="5" max="6" width="10.6640625" style="1" customWidth="1"/>
    <col min="7" max="7" width="12.109375" style="1" bestFit="1" customWidth="1"/>
    <col min="8" max="16384" width="9.109375" style="1"/>
  </cols>
  <sheetData>
    <row r="1" spans="2:14" ht="13.8" thickBot="1" x14ac:dyDescent="0.3"/>
    <row r="2" spans="2:14" ht="12.75" customHeight="1" x14ac:dyDescent="0.25">
      <c r="B2" s="284" t="s">
        <v>51</v>
      </c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1"/>
    </row>
    <row r="3" spans="2:14" ht="13.5" customHeight="1" thickBot="1" x14ac:dyDescent="0.3">
      <c r="B3" s="402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4"/>
    </row>
    <row r="4" spans="2:14" ht="8.25" customHeight="1" x14ac:dyDescent="0.25"/>
    <row r="5" spans="2:14" ht="2.25" customHeight="1" thickBot="1" x14ac:dyDescent="0.3"/>
    <row r="6" spans="2:14" s="26" customFormat="1" ht="24.9" customHeight="1" thickBot="1" x14ac:dyDescent="0.3">
      <c r="E6" s="430" t="s">
        <v>121</v>
      </c>
      <c r="F6" s="171" t="s">
        <v>34</v>
      </c>
      <c r="G6" s="420" t="s">
        <v>150</v>
      </c>
    </row>
    <row r="7" spans="2:14" s="21" customFormat="1" ht="13.8" thickBot="1" x14ac:dyDescent="0.3">
      <c r="B7" s="116" t="s">
        <v>1</v>
      </c>
      <c r="C7" s="171" t="s">
        <v>2</v>
      </c>
      <c r="D7" s="229" t="s">
        <v>114</v>
      </c>
      <c r="E7" s="431"/>
      <c r="F7" s="205">
        <v>45290</v>
      </c>
      <c r="G7" s="421"/>
    </row>
    <row r="8" spans="2:14" x14ac:dyDescent="0.25">
      <c r="B8" s="2" t="str">
        <f>+'1 - Produits'!B6</f>
        <v>PAA 150</v>
      </c>
      <c r="C8" s="3" t="str">
        <f>+'1 - Produits'!C6</f>
        <v>Perlite agricole 150L</v>
      </c>
      <c r="D8" s="230" t="s">
        <v>115</v>
      </c>
      <c r="E8" s="206">
        <v>100</v>
      </c>
      <c r="F8" s="151">
        <v>108.05</v>
      </c>
      <c r="G8" s="207">
        <f>(F8+'1 - Production'!E10)-'3 - Livraisons'!C39</f>
        <v>4.1500000000000341</v>
      </c>
    </row>
    <row r="9" spans="2:14" x14ac:dyDescent="0.25">
      <c r="B9" s="4" t="str">
        <f>+'1 - Produits'!B7</f>
        <v>PAA 100</v>
      </c>
      <c r="C9" s="5" t="str">
        <f>+'1 - Produits'!C7</f>
        <v>Perlite agricole 100L</v>
      </c>
      <c r="D9" s="231" t="s">
        <v>115</v>
      </c>
      <c r="E9" s="131">
        <v>100</v>
      </c>
      <c r="F9" s="142">
        <v>0</v>
      </c>
      <c r="G9" s="208">
        <f>(F9+'1 - Production'!E11)-'3 - Livraisons'!D39</f>
        <v>16.5</v>
      </c>
    </row>
    <row r="10" spans="2:14" x14ac:dyDescent="0.25">
      <c r="B10" s="4" t="str">
        <f>+'1 - Produits'!B8</f>
        <v>PAA 33</v>
      </c>
      <c r="C10" s="5" t="str">
        <f>+'1 - Produits'!C8</f>
        <v>Perlite agricole 33L</v>
      </c>
      <c r="D10" s="231" t="s">
        <v>115</v>
      </c>
      <c r="E10" s="131">
        <v>100</v>
      </c>
      <c r="F10" s="142">
        <v>20.25</v>
      </c>
      <c r="G10" s="208">
        <f>(F10+'1 - Production'!E12)-'3 - Livraisons'!E39</f>
        <v>-0.43999999999999773</v>
      </c>
    </row>
    <row r="11" spans="2:14" x14ac:dyDescent="0.25">
      <c r="B11" s="4" t="str">
        <f>+'1 - Produits'!B10</f>
        <v>PAF1</v>
      </c>
      <c r="C11" s="5" t="str">
        <f>+'1 - Produits'!C10</f>
        <v>Perlite AF1</v>
      </c>
      <c r="D11" s="231" t="s">
        <v>149</v>
      </c>
      <c r="E11" s="131">
        <v>5000</v>
      </c>
      <c r="F11" s="142">
        <v>74284.2</v>
      </c>
      <c r="G11" s="208">
        <f>(F11+'1 - Production'!E13)-'3 - Livraisons'!G39</f>
        <v>67384.2</v>
      </c>
    </row>
    <row r="12" spans="2:14" x14ac:dyDescent="0.25">
      <c r="B12" s="4" t="str">
        <f>+'1 - Produits'!B18</f>
        <v>PPF2</v>
      </c>
      <c r="C12" s="5" t="str">
        <f>+'1 - Produits'!C18</f>
        <v>Perlite PF2</v>
      </c>
      <c r="D12" s="231" t="s">
        <v>149</v>
      </c>
      <c r="E12" s="131">
        <v>5000</v>
      </c>
      <c r="F12" s="142">
        <v>14346.25</v>
      </c>
      <c r="G12" s="208">
        <f>(F12+'1 - Production'!E14)+('1 - Production'!E24)+('1 - Production'!E35)-'3 - Livraisons'!L39</f>
        <v>17746.25</v>
      </c>
    </row>
    <row r="13" spans="2:14" x14ac:dyDescent="0.25">
      <c r="B13" s="4" t="str">
        <f>+'1 - Produits'!B12</f>
        <v>PCC</v>
      </c>
      <c r="C13" s="5" t="str">
        <f>+'1 - Produits'!C12</f>
        <v xml:space="preserve">Perlite construction </v>
      </c>
      <c r="D13" s="231" t="s">
        <v>115</v>
      </c>
      <c r="E13" s="131">
        <v>300</v>
      </c>
      <c r="F13" s="142">
        <v>2.2000000000000002</v>
      </c>
      <c r="G13" s="208">
        <f>(F13+'1 - Production'!E23)-'3 - Livraisons'!H39</f>
        <v>46</v>
      </c>
    </row>
    <row r="14" spans="2:14" x14ac:dyDescent="0.25">
      <c r="B14" s="4" t="str">
        <f>+'1 - Produits'!B16</f>
        <v>PFF</v>
      </c>
      <c r="C14" s="5" t="str">
        <f>+'1 - Produits'!C16</f>
        <v>Perlite Filtration</v>
      </c>
      <c r="D14" s="231" t="s">
        <v>115</v>
      </c>
      <c r="E14" s="131">
        <v>100</v>
      </c>
      <c r="F14" s="142">
        <v>1.32</v>
      </c>
      <c r="G14" s="208">
        <f>(F14+'1 - Production'!E33)-'3 - Livraisons'!J39</f>
        <v>1.2199999999999704</v>
      </c>
    </row>
    <row r="15" spans="2:14" ht="21.75" customHeight="1" thickBot="1" x14ac:dyDescent="0.3">
      <c r="E15" s="210"/>
      <c r="F15" s="209"/>
      <c r="G15" s="209"/>
    </row>
    <row r="16" spans="2:14" x14ac:dyDescent="0.25">
      <c r="B16" s="211" t="s">
        <v>139</v>
      </c>
      <c r="C16" s="422" t="s">
        <v>140</v>
      </c>
      <c r="D16" s="423"/>
      <c r="E16" s="212">
        <v>40</v>
      </c>
      <c r="F16" s="213">
        <v>25.5</v>
      </c>
      <c r="G16" s="214">
        <f>F16-'1 - Production'!E18</f>
        <v>15</v>
      </c>
    </row>
    <row r="17" spans="2:7" x14ac:dyDescent="0.25">
      <c r="B17" s="215" t="s">
        <v>141</v>
      </c>
      <c r="C17" s="426" t="s">
        <v>142</v>
      </c>
      <c r="D17" s="427"/>
      <c r="E17" s="203">
        <v>40</v>
      </c>
      <c r="F17" s="204">
        <v>21</v>
      </c>
      <c r="G17" s="216">
        <f>F17-'1 - Production'!E28</f>
        <v>15</v>
      </c>
    </row>
    <row r="18" spans="2:7" x14ac:dyDescent="0.25">
      <c r="B18" s="215" t="s">
        <v>143</v>
      </c>
      <c r="C18" s="426" t="s">
        <v>145</v>
      </c>
      <c r="D18" s="427"/>
      <c r="E18" s="203">
        <v>40</v>
      </c>
      <c r="F18" s="204">
        <v>27.5</v>
      </c>
      <c r="G18" s="216">
        <f>F18-'1 - Production'!E39</f>
        <v>0</v>
      </c>
    </row>
    <row r="19" spans="2:7" ht="13.8" thickBot="1" x14ac:dyDescent="0.3">
      <c r="B19" s="217" t="s">
        <v>144</v>
      </c>
      <c r="C19" s="428" t="s">
        <v>146</v>
      </c>
      <c r="D19" s="429"/>
      <c r="E19" s="218">
        <v>40</v>
      </c>
      <c r="F19" s="219">
        <v>12</v>
      </c>
      <c r="G19" s="220">
        <v>12</v>
      </c>
    </row>
    <row r="21" spans="2:7" ht="13.8" thickBot="1" x14ac:dyDescent="0.3"/>
    <row r="22" spans="2:7" ht="21" thickBot="1" x14ac:dyDescent="0.3">
      <c r="B22" s="424" t="s">
        <v>157</v>
      </c>
      <c r="C22" s="425"/>
      <c r="D22" s="234"/>
      <c r="E22" s="234"/>
    </row>
    <row r="23" spans="2:7" x14ac:dyDescent="0.25">
      <c r="B23" s="236" t="s">
        <v>151</v>
      </c>
      <c r="C23" s="237" t="s">
        <v>152</v>
      </c>
      <c r="D23" s="437"/>
      <c r="E23" s="437"/>
    </row>
    <row r="24" spans="2:7" x14ac:dyDescent="0.25">
      <c r="B24" s="238" t="s">
        <v>153</v>
      </c>
      <c r="C24" s="239">
        <v>5000</v>
      </c>
      <c r="D24" s="436"/>
      <c r="E24" s="436"/>
    </row>
    <row r="25" spans="2:7" x14ac:dyDescent="0.25">
      <c r="B25" s="238" t="s">
        <v>154</v>
      </c>
      <c r="C25" s="239">
        <v>190</v>
      </c>
      <c r="D25" s="436"/>
      <c r="E25" s="436"/>
    </row>
    <row r="26" spans="2:7" x14ac:dyDescent="0.25">
      <c r="B26" s="238" t="s">
        <v>155</v>
      </c>
      <c r="C26" s="239">
        <v>0</v>
      </c>
      <c r="D26" s="436"/>
      <c r="E26" s="436"/>
    </row>
    <row r="27" spans="2:7" ht="13.8" thickBot="1" x14ac:dyDescent="0.3">
      <c r="B27" s="240" t="s">
        <v>156</v>
      </c>
      <c r="C27" s="241">
        <v>58846</v>
      </c>
      <c r="D27" s="436"/>
      <c r="E27" s="436"/>
    </row>
    <row r="28" spans="2:7" ht="13.8" thickBot="1" x14ac:dyDescent="0.3">
      <c r="B28" s="254" t="s">
        <v>166</v>
      </c>
      <c r="C28" s="241">
        <v>4173</v>
      </c>
    </row>
    <row r="29" spans="2:7" ht="13.8" thickBot="1" x14ac:dyDescent="0.3">
      <c r="B29" s="270" t="s">
        <v>179</v>
      </c>
      <c r="C29" s="66">
        <v>1700</v>
      </c>
    </row>
    <row r="30" spans="2:7" ht="13.8" thickBot="1" x14ac:dyDescent="0.3">
      <c r="B30" s="270" t="s">
        <v>180</v>
      </c>
      <c r="C30" s="66">
        <v>600</v>
      </c>
    </row>
    <row r="31" spans="2:7" ht="13.8" thickBot="1" x14ac:dyDescent="0.3">
      <c r="B31" s="271"/>
      <c r="C31" s="272"/>
    </row>
    <row r="32" spans="2:7" ht="23.4" thickBot="1" x14ac:dyDescent="0.3">
      <c r="B32" s="433" t="s">
        <v>162</v>
      </c>
      <c r="C32" s="434"/>
      <c r="D32" s="435"/>
      <c r="E32" s="243"/>
      <c r="F32" s="243"/>
      <c r="G32" s="243"/>
    </row>
    <row r="33" spans="2:7" x14ac:dyDescent="0.25">
      <c r="B33" s="246" t="s">
        <v>1</v>
      </c>
      <c r="C33" s="247" t="s">
        <v>2</v>
      </c>
      <c r="D33" s="248" t="s">
        <v>158</v>
      </c>
      <c r="E33" s="244"/>
      <c r="F33" s="244"/>
      <c r="G33" s="244"/>
    </row>
    <row r="34" spans="2:7" x14ac:dyDescent="0.25">
      <c r="B34" s="249" t="s">
        <v>82</v>
      </c>
      <c r="C34" s="242" t="s">
        <v>159</v>
      </c>
      <c r="D34" s="250">
        <v>66</v>
      </c>
      <c r="E34" s="235"/>
      <c r="F34" s="235"/>
      <c r="G34" s="432"/>
    </row>
    <row r="35" spans="2:7" x14ac:dyDescent="0.25">
      <c r="B35" s="249" t="s">
        <v>82</v>
      </c>
      <c r="C35" s="242" t="s">
        <v>160</v>
      </c>
      <c r="D35" s="250">
        <f>140*150/1000</f>
        <v>21</v>
      </c>
      <c r="E35" s="235"/>
      <c r="F35" s="235"/>
      <c r="G35" s="432"/>
    </row>
    <row r="36" spans="2:7" ht="13.8" thickBot="1" x14ac:dyDescent="0.3">
      <c r="B36" s="251" t="s">
        <v>83</v>
      </c>
      <c r="C36" s="252" t="s">
        <v>161</v>
      </c>
      <c r="D36" s="253">
        <f>160*100/1000</f>
        <v>16</v>
      </c>
      <c r="E36" s="235"/>
      <c r="F36" s="235"/>
      <c r="G36" s="245"/>
    </row>
    <row r="37" spans="2:7" ht="13.8" thickBot="1" x14ac:dyDescent="0.3">
      <c r="B37" s="251" t="s">
        <v>81</v>
      </c>
      <c r="C37" s="252" t="s">
        <v>165</v>
      </c>
      <c r="D37" s="253">
        <v>9.6</v>
      </c>
    </row>
  </sheetData>
  <mergeCells count="15">
    <mergeCell ref="G34:G35"/>
    <mergeCell ref="B32:D32"/>
    <mergeCell ref="D27:E27"/>
    <mergeCell ref="D23:E23"/>
    <mergeCell ref="D24:E24"/>
    <mergeCell ref="D25:E25"/>
    <mergeCell ref="D26:E26"/>
    <mergeCell ref="B2:N3"/>
    <mergeCell ref="G6:G7"/>
    <mergeCell ref="C16:D16"/>
    <mergeCell ref="B22:C22"/>
    <mergeCell ref="C18:D18"/>
    <mergeCell ref="C17:D17"/>
    <mergeCell ref="C19:D19"/>
    <mergeCell ref="E6:E7"/>
  </mergeCells>
  <phoneticPr fontId="3" type="noConversion"/>
  <printOptions horizontalCentered="1"/>
  <pageMargins left="0" right="0" top="0.74803149606299213" bottom="0.15748031496062992" header="0.31496062992125984" footer="0.31496062992125984"/>
  <pageSetup paperSize="9" scale="75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4"/>
  </sheetPr>
  <dimension ref="B1:P21"/>
  <sheetViews>
    <sheetView showGridLines="0" zoomScale="90" zoomScaleNormal="90" workbookViewId="0">
      <selection activeCell="B19" sqref="B19:C21"/>
    </sheetView>
  </sheetViews>
  <sheetFormatPr baseColWidth="10" defaultColWidth="9.109375" defaultRowHeight="13.2" x14ac:dyDescent="0.25"/>
  <cols>
    <col min="1" max="1" width="14.33203125" style="1" customWidth="1"/>
    <col min="2" max="2" width="16.5546875" style="1" bestFit="1" customWidth="1"/>
    <col min="3" max="3" width="18.6640625" style="1" customWidth="1"/>
    <col min="4" max="5" width="14.33203125" style="1" customWidth="1"/>
    <col min="6" max="6" width="16.88671875" style="1" customWidth="1"/>
    <col min="7" max="11" width="14.33203125" style="1" customWidth="1"/>
    <col min="12" max="15" width="13" style="1" hidden="1" customWidth="1"/>
    <col min="16" max="16" width="0" style="22" hidden="1" customWidth="1"/>
    <col min="17" max="16384" width="9.109375" style="1"/>
  </cols>
  <sheetData>
    <row r="1" spans="2:16" ht="13.8" thickBot="1" x14ac:dyDescent="0.3"/>
    <row r="2" spans="2:16" x14ac:dyDescent="0.25">
      <c r="B2" s="284" t="s">
        <v>52</v>
      </c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1"/>
    </row>
    <row r="3" spans="2:16" ht="13.8" thickBot="1" x14ac:dyDescent="0.3">
      <c r="B3" s="402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4"/>
    </row>
    <row r="5" spans="2:16" ht="13.8" thickBot="1" x14ac:dyDescent="0.3"/>
    <row r="6" spans="2:16" s="26" customFormat="1" ht="24.9" customHeight="1" thickBot="1" x14ac:dyDescent="0.3">
      <c r="D6" s="440" t="s">
        <v>135</v>
      </c>
      <c r="E6" s="441"/>
      <c r="F6" s="441"/>
      <c r="G6" s="441"/>
      <c r="H6" s="441"/>
      <c r="I6" s="441"/>
      <c r="J6" s="441"/>
      <c r="K6" s="441"/>
      <c r="L6" s="441"/>
      <c r="M6" s="441"/>
      <c r="N6" s="441"/>
      <c r="O6" s="441"/>
      <c r="P6" s="442"/>
    </row>
    <row r="7" spans="2:16" s="21" customFormat="1" ht="30" customHeight="1" x14ac:dyDescent="0.25">
      <c r="B7" s="130" t="s">
        <v>1</v>
      </c>
      <c r="C7" s="129" t="s">
        <v>2</v>
      </c>
      <c r="D7" s="132" t="s">
        <v>84</v>
      </c>
      <c r="E7" s="133" t="s">
        <v>85</v>
      </c>
      <c r="F7" s="133" t="s">
        <v>86</v>
      </c>
      <c r="G7" s="133" t="s">
        <v>87</v>
      </c>
      <c r="H7" s="133" t="s">
        <v>88</v>
      </c>
      <c r="I7" s="133" t="s">
        <v>89</v>
      </c>
      <c r="J7" s="133" t="s">
        <v>90</v>
      </c>
      <c r="K7" s="133" t="s">
        <v>91</v>
      </c>
      <c r="L7" s="133" t="s">
        <v>92</v>
      </c>
      <c r="M7" s="133" t="s">
        <v>93</v>
      </c>
      <c r="N7" s="133" t="s">
        <v>94</v>
      </c>
      <c r="O7" s="134" t="s">
        <v>95</v>
      </c>
      <c r="P7" s="23" t="s">
        <v>21</v>
      </c>
    </row>
    <row r="8" spans="2:16" x14ac:dyDescent="0.25">
      <c r="B8" s="185" t="str">
        <f>+'1 - Produits'!B6</f>
        <v>PAA 150</v>
      </c>
      <c r="C8" s="186" t="str">
        <f>+'1 - Produits'!C6</f>
        <v>Perlite agricole 150L</v>
      </c>
      <c r="D8" s="443" t="s">
        <v>126</v>
      </c>
      <c r="E8" s="445" t="s">
        <v>129</v>
      </c>
      <c r="F8" s="447" t="s">
        <v>130</v>
      </c>
      <c r="G8" s="448" t="s">
        <v>127</v>
      </c>
      <c r="H8" s="448"/>
      <c r="I8" s="448"/>
      <c r="J8" s="448"/>
      <c r="K8" s="448" t="s">
        <v>128</v>
      </c>
      <c r="L8" s="136">
        <v>0</v>
      </c>
      <c r="M8" s="136">
        <v>0</v>
      </c>
      <c r="N8" s="136">
        <v>0</v>
      </c>
      <c r="O8" s="137">
        <v>0</v>
      </c>
      <c r="P8" s="24">
        <f>+SUM(D8:O8)</f>
        <v>0</v>
      </c>
    </row>
    <row r="9" spans="2:16" x14ac:dyDescent="0.25">
      <c r="B9" s="185" t="str">
        <f>+'1 - Produits'!B7</f>
        <v>PAA 100</v>
      </c>
      <c r="C9" s="186" t="str">
        <f>+'1 - Produits'!C7</f>
        <v>Perlite agricole 100L</v>
      </c>
      <c r="D9" s="444"/>
      <c r="E9" s="446"/>
      <c r="F9" s="439"/>
      <c r="G9" s="438"/>
      <c r="H9" s="438"/>
      <c r="I9" s="438"/>
      <c r="J9" s="438"/>
      <c r="K9" s="438"/>
      <c r="L9" s="136">
        <v>1</v>
      </c>
      <c r="M9" s="136">
        <v>0</v>
      </c>
      <c r="N9" s="136">
        <v>4</v>
      </c>
      <c r="O9" s="137">
        <v>5</v>
      </c>
      <c r="P9" s="24">
        <f t="shared" ref="P9:P16" si="0">+SUM(D9:O9)</f>
        <v>10</v>
      </c>
    </row>
    <row r="10" spans="2:16" x14ac:dyDescent="0.25">
      <c r="B10" s="185" t="str">
        <f>+'1 - Produits'!B8</f>
        <v>PAA 33</v>
      </c>
      <c r="C10" s="186" t="str">
        <f>+'1 - Produits'!C8</f>
        <v>Perlite agricole 33L</v>
      </c>
      <c r="D10" s="444"/>
      <c r="E10" s="446"/>
      <c r="F10" s="439"/>
      <c r="G10" s="438"/>
      <c r="H10" s="438"/>
      <c r="I10" s="438"/>
      <c r="J10" s="438"/>
      <c r="K10" s="438"/>
      <c r="L10" s="136">
        <v>0.2</v>
      </c>
      <c r="M10" s="136">
        <v>0</v>
      </c>
      <c r="N10" s="136">
        <v>15</v>
      </c>
      <c r="O10" s="137">
        <v>5</v>
      </c>
      <c r="P10" s="24">
        <f t="shared" si="0"/>
        <v>20.2</v>
      </c>
    </row>
    <row r="11" spans="2:16" x14ac:dyDescent="0.25">
      <c r="B11" s="185" t="str">
        <f>+'1 - Produits'!B10</f>
        <v>PAF1</v>
      </c>
      <c r="C11" s="186" t="str">
        <f>+'1 - Produits'!C10</f>
        <v>Perlite AF1</v>
      </c>
      <c r="D11" s="444"/>
      <c r="E11" s="446"/>
      <c r="F11" s="439"/>
      <c r="G11" s="438"/>
      <c r="H11" s="438"/>
      <c r="I11" s="438"/>
      <c r="J11" s="438"/>
      <c r="K11" s="438"/>
      <c r="L11" s="136">
        <v>10</v>
      </c>
      <c r="M11" s="136">
        <v>1</v>
      </c>
      <c r="N11" s="136">
        <v>20</v>
      </c>
      <c r="O11" s="137">
        <v>20</v>
      </c>
      <c r="P11" s="24">
        <f t="shared" si="0"/>
        <v>51</v>
      </c>
    </row>
    <row r="12" spans="2:16" x14ac:dyDescent="0.25">
      <c r="B12" s="4" t="str">
        <f>+'1 - Produits'!B12</f>
        <v>PCC</v>
      </c>
      <c r="C12" s="1" t="str">
        <f>+'1 - Produits'!C12</f>
        <v xml:space="preserve">Perlite construction </v>
      </c>
      <c r="D12" s="449" t="s">
        <v>131</v>
      </c>
      <c r="E12" s="450" t="s">
        <v>132</v>
      </c>
      <c r="F12" s="450" t="s">
        <v>133</v>
      </c>
      <c r="G12" s="451" t="s">
        <v>134</v>
      </c>
      <c r="H12" s="451"/>
      <c r="I12" s="451"/>
      <c r="J12" s="451"/>
      <c r="K12" s="451">
        <v>20</v>
      </c>
      <c r="L12" s="136">
        <v>15</v>
      </c>
      <c r="M12" s="136">
        <v>1</v>
      </c>
      <c r="N12" s="136">
        <v>30</v>
      </c>
      <c r="O12" s="137">
        <v>30</v>
      </c>
      <c r="P12" s="24">
        <f t="shared" si="0"/>
        <v>96</v>
      </c>
    </row>
    <row r="13" spans="2:16" x14ac:dyDescent="0.25">
      <c r="B13" s="4" t="str">
        <f>+'1 - Produits'!B14</f>
        <v>PCF1</v>
      </c>
      <c r="C13" s="1" t="str">
        <f>+'1 - Produits'!C14</f>
        <v>Perlite CF1</v>
      </c>
      <c r="D13" s="449"/>
      <c r="E13" s="450"/>
      <c r="F13" s="450"/>
      <c r="G13" s="451"/>
      <c r="H13" s="451"/>
      <c r="I13" s="451"/>
      <c r="J13" s="451"/>
      <c r="K13" s="451"/>
      <c r="L13" s="136">
        <v>15</v>
      </c>
      <c r="M13" s="136">
        <v>1</v>
      </c>
      <c r="N13" s="136">
        <v>30</v>
      </c>
      <c r="O13" s="137">
        <v>30</v>
      </c>
      <c r="P13" s="24">
        <f t="shared" si="0"/>
        <v>76</v>
      </c>
    </row>
    <row r="14" spans="2:16" x14ac:dyDescent="0.25">
      <c r="B14" s="185" t="str">
        <f>+'1 - Produits'!B16</f>
        <v>PFF</v>
      </c>
      <c r="C14" s="186" t="str">
        <f>+'1 - Produits'!C16</f>
        <v>Perlite Filtration</v>
      </c>
      <c r="D14" s="444"/>
      <c r="E14" s="438"/>
      <c r="F14" s="438"/>
      <c r="G14" s="438"/>
      <c r="H14" s="439"/>
      <c r="I14" s="438"/>
      <c r="J14" s="438"/>
      <c r="K14" s="438"/>
      <c r="L14" s="136">
        <v>15</v>
      </c>
      <c r="M14" s="136">
        <v>1</v>
      </c>
      <c r="N14" s="136">
        <v>30</v>
      </c>
      <c r="O14" s="137">
        <v>30</v>
      </c>
      <c r="P14" s="24">
        <f t="shared" si="0"/>
        <v>76</v>
      </c>
    </row>
    <row r="15" spans="2:16" x14ac:dyDescent="0.25">
      <c r="B15" s="185" t="str">
        <f>+'1 - Produits'!B17</f>
        <v>PFF0</v>
      </c>
      <c r="C15" s="186" t="str">
        <f>+'1 - Produits'!C17</f>
        <v>Perlite FF0</v>
      </c>
      <c r="D15" s="444"/>
      <c r="E15" s="438"/>
      <c r="F15" s="438"/>
      <c r="G15" s="438"/>
      <c r="H15" s="439"/>
      <c r="I15" s="438"/>
      <c r="J15" s="438"/>
      <c r="K15" s="438"/>
      <c r="L15" s="136">
        <v>15</v>
      </c>
      <c r="M15" s="136">
        <v>1</v>
      </c>
      <c r="N15" s="136">
        <v>30</v>
      </c>
      <c r="O15" s="137">
        <v>30</v>
      </c>
      <c r="P15" s="24">
        <f t="shared" si="0"/>
        <v>76</v>
      </c>
    </row>
    <row r="16" spans="2:16" ht="13.8" thickBot="1" x14ac:dyDescent="0.3">
      <c r="B16" s="187" t="str">
        <f>+'1 - Produits'!B18</f>
        <v>PPF2</v>
      </c>
      <c r="C16" s="188" t="str">
        <f>+'1 - Produits'!C18</f>
        <v>Perlite PF2</v>
      </c>
      <c r="D16" s="444"/>
      <c r="E16" s="438"/>
      <c r="F16" s="438"/>
      <c r="G16" s="438"/>
      <c r="H16" s="439"/>
      <c r="I16" s="438"/>
      <c r="J16" s="438"/>
      <c r="K16" s="438"/>
      <c r="L16" s="136">
        <v>15</v>
      </c>
      <c r="M16" s="136">
        <v>1</v>
      </c>
      <c r="N16" s="136">
        <v>30</v>
      </c>
      <c r="O16" s="137">
        <v>30</v>
      </c>
      <c r="P16" s="25">
        <f t="shared" si="0"/>
        <v>76</v>
      </c>
    </row>
    <row r="17" spans="2:15" x14ac:dyDescent="0.25">
      <c r="L17" s="105"/>
      <c r="O17" s="106"/>
    </row>
    <row r="19" spans="2:15" x14ac:dyDescent="0.25">
      <c r="B19" s="290"/>
      <c r="C19" s="290"/>
    </row>
    <row r="20" spans="2:15" x14ac:dyDescent="0.25">
      <c r="B20" s="290"/>
      <c r="C20" s="290"/>
    </row>
    <row r="21" spans="2:15" x14ac:dyDescent="0.25">
      <c r="B21" s="290"/>
      <c r="C21" s="290"/>
    </row>
  </sheetData>
  <mergeCells count="21">
    <mergeCell ref="D6:P6"/>
    <mergeCell ref="B2:P3"/>
    <mergeCell ref="B19:C21"/>
    <mergeCell ref="D8:D11"/>
    <mergeCell ref="E8:E11"/>
    <mergeCell ref="F8:F11"/>
    <mergeCell ref="G8:J11"/>
    <mergeCell ref="K8:K11"/>
    <mergeCell ref="D12:D13"/>
    <mergeCell ref="E12:E13"/>
    <mergeCell ref="F12:F13"/>
    <mergeCell ref="G12:J13"/>
    <mergeCell ref="K12:K13"/>
    <mergeCell ref="D14:D16"/>
    <mergeCell ref="E14:E16"/>
    <mergeCell ref="F14:F16"/>
    <mergeCell ref="G14:G16"/>
    <mergeCell ref="H14:H16"/>
    <mergeCell ref="I14:I16"/>
    <mergeCell ref="J14:J16"/>
    <mergeCell ref="K14:K16"/>
  </mergeCells>
  <conditionalFormatting sqref="D8:G8 D12:G12 K8:O8 D14:K14 K12 L9:L17 M9:N16 O9:O17">
    <cfRule type="cellIs" dxfId="10" priority="2" operator="equal">
      <formula>"N/A"</formula>
    </cfRule>
  </conditionalFormatting>
  <conditionalFormatting sqref="D7:O7">
    <cfRule type="duplicateValues" dxfId="9" priority="1"/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theme="4"/>
  </sheetPr>
  <dimension ref="B1:Q18"/>
  <sheetViews>
    <sheetView showGridLines="0" showRowColHeaders="0" workbookViewId="0">
      <selection activeCell="B17" sqref="B17"/>
    </sheetView>
  </sheetViews>
  <sheetFormatPr baseColWidth="10" defaultColWidth="9.109375" defaultRowHeight="13.2" x14ac:dyDescent="0.25"/>
  <cols>
    <col min="1" max="1" width="3.6640625" style="1" customWidth="1"/>
    <col min="2" max="2" width="25.6640625" style="1" customWidth="1"/>
    <col min="3" max="8" width="12.6640625" style="1" customWidth="1"/>
    <col min="9" max="9" width="15.6640625" style="1" customWidth="1"/>
    <col min="10" max="12" width="12.6640625" style="1" customWidth="1"/>
    <col min="13" max="16384" width="9.109375" style="1"/>
  </cols>
  <sheetData>
    <row r="1" spans="2:17" ht="13.8" thickBot="1" x14ac:dyDescent="0.3"/>
    <row r="2" spans="2:17" ht="12.75" customHeight="1" x14ac:dyDescent="0.25">
      <c r="B2" s="413" t="s">
        <v>53</v>
      </c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414"/>
    </row>
    <row r="3" spans="2:17" ht="13.5" customHeight="1" thickBot="1" x14ac:dyDescent="0.3">
      <c r="B3" s="415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416"/>
    </row>
    <row r="4" spans="2:17" ht="13.8" thickBot="1" x14ac:dyDescent="0.3"/>
    <row r="5" spans="2:17" s="32" customFormat="1" ht="39.6" x14ac:dyDescent="0.25">
      <c r="B5" s="29" t="s">
        <v>28</v>
      </c>
      <c r="C5" s="30" t="s">
        <v>22</v>
      </c>
      <c r="D5" s="30" t="s">
        <v>23</v>
      </c>
      <c r="E5" s="30" t="s">
        <v>24</v>
      </c>
      <c r="F5" s="30" t="s">
        <v>25</v>
      </c>
      <c r="G5" s="30" t="s">
        <v>40</v>
      </c>
      <c r="H5" s="30" t="s">
        <v>41</v>
      </c>
      <c r="I5" s="31" t="s">
        <v>42</v>
      </c>
    </row>
    <row r="6" spans="2:17" x14ac:dyDescent="0.25">
      <c r="B6" s="4" t="str">
        <f>+'4 - Processus'!D7</f>
        <v>Vis de dosage</v>
      </c>
      <c r="C6" s="139">
        <v>600</v>
      </c>
      <c r="D6" s="139">
        <v>42.5</v>
      </c>
      <c r="E6" s="33">
        <f>+C6-D6</f>
        <v>557.5</v>
      </c>
      <c r="F6" s="138">
        <v>0</v>
      </c>
      <c r="G6" s="138">
        <v>0</v>
      </c>
      <c r="H6" s="34">
        <f>+F6*G6</f>
        <v>0</v>
      </c>
      <c r="I6" s="90">
        <f>+E6*H6</f>
        <v>0</v>
      </c>
      <c r="J6" s="33"/>
      <c r="K6" s="33"/>
      <c r="L6" s="33"/>
      <c r="M6" s="33"/>
      <c r="N6" s="33"/>
    </row>
    <row r="7" spans="2:17" x14ac:dyDescent="0.25">
      <c r="B7" s="4" t="str">
        <f>+'4 - Processus'!E7</f>
        <v>Préchauffage</v>
      </c>
      <c r="C7" s="139">
        <v>600</v>
      </c>
      <c r="D7" s="139">
        <v>42.5</v>
      </c>
      <c r="E7" s="33">
        <f t="shared" ref="E7:E17" si="0">+C7-D7</f>
        <v>557.5</v>
      </c>
      <c r="F7" s="138">
        <v>0</v>
      </c>
      <c r="G7" s="138">
        <v>0</v>
      </c>
      <c r="H7" s="34">
        <f t="shared" ref="H7:H17" si="1">+F7*G7</f>
        <v>0</v>
      </c>
      <c r="I7" s="90">
        <f t="shared" ref="I7:I17" si="2">+E7*H7</f>
        <v>0</v>
      </c>
      <c r="J7" s="33"/>
      <c r="K7" s="33"/>
      <c r="L7" s="33"/>
      <c r="M7" s="33"/>
      <c r="N7" s="33"/>
    </row>
    <row r="8" spans="2:17" x14ac:dyDescent="0.25">
      <c r="B8" s="4" t="str">
        <f>+'4 - Processus'!F7</f>
        <v xml:space="preserve">Four </v>
      </c>
      <c r="C8" s="139">
        <v>600</v>
      </c>
      <c r="D8" s="139">
        <v>42.5</v>
      </c>
      <c r="E8" s="33">
        <f t="shared" si="0"/>
        <v>557.5</v>
      </c>
      <c r="F8" s="138">
        <v>0</v>
      </c>
      <c r="G8" s="138">
        <v>0</v>
      </c>
      <c r="H8" s="34">
        <f t="shared" si="1"/>
        <v>0</v>
      </c>
      <c r="I8" s="90">
        <f t="shared" si="2"/>
        <v>0</v>
      </c>
      <c r="J8" s="33"/>
      <c r="K8" s="33"/>
      <c r="L8" s="33"/>
      <c r="M8" s="33"/>
      <c r="N8" s="33"/>
    </row>
    <row r="9" spans="2:17" x14ac:dyDescent="0.25">
      <c r="B9" s="4" t="str">
        <f>+'4 - Processus'!G7</f>
        <v>Cyclone 1</v>
      </c>
      <c r="C9" s="139">
        <v>600</v>
      </c>
      <c r="D9" s="139">
        <v>55</v>
      </c>
      <c r="E9" s="33">
        <f t="shared" si="0"/>
        <v>545</v>
      </c>
      <c r="F9" s="138">
        <v>0</v>
      </c>
      <c r="G9" s="138">
        <v>0</v>
      </c>
      <c r="H9" s="34">
        <f t="shared" si="1"/>
        <v>0</v>
      </c>
      <c r="I9" s="90">
        <f t="shared" si="2"/>
        <v>0</v>
      </c>
      <c r="J9" s="33"/>
      <c r="K9" s="33"/>
      <c r="L9" s="33"/>
      <c r="M9" s="33"/>
      <c r="N9" s="33"/>
    </row>
    <row r="10" spans="2:17" x14ac:dyDescent="0.25">
      <c r="B10" s="4" t="str">
        <f>+'4 - Processus'!H7</f>
        <v>Cyclone 2</v>
      </c>
      <c r="C10" s="139">
        <v>600</v>
      </c>
      <c r="D10" s="139">
        <v>47</v>
      </c>
      <c r="E10" s="33">
        <f t="shared" si="0"/>
        <v>553</v>
      </c>
      <c r="F10" s="138">
        <v>0</v>
      </c>
      <c r="G10" s="138">
        <v>0</v>
      </c>
      <c r="H10" s="34">
        <f t="shared" si="1"/>
        <v>0</v>
      </c>
      <c r="I10" s="90">
        <f t="shared" si="2"/>
        <v>0</v>
      </c>
      <c r="J10" s="33"/>
      <c r="K10" s="33"/>
      <c r="L10" s="33"/>
      <c r="M10" s="33"/>
      <c r="N10" s="33"/>
    </row>
    <row r="11" spans="2:17" x14ac:dyDescent="0.25">
      <c r="B11" s="4" t="str">
        <f>+'4 - Processus'!I7</f>
        <v>Cyclone 3</v>
      </c>
      <c r="C11" s="139">
        <v>600</v>
      </c>
      <c r="D11" s="139">
        <v>42.5</v>
      </c>
      <c r="E11" s="33">
        <f t="shared" si="0"/>
        <v>557.5</v>
      </c>
      <c r="F11" s="138">
        <v>0</v>
      </c>
      <c r="G11" s="138">
        <v>0</v>
      </c>
      <c r="H11" s="34">
        <f t="shared" si="1"/>
        <v>0</v>
      </c>
      <c r="I11" s="90">
        <f t="shared" si="2"/>
        <v>0</v>
      </c>
      <c r="J11" s="33"/>
      <c r="K11" s="33"/>
      <c r="L11" s="33"/>
      <c r="M11" s="33"/>
      <c r="N11" s="33"/>
    </row>
    <row r="12" spans="2:17" x14ac:dyDescent="0.25">
      <c r="B12" s="4" t="str">
        <f>+'4 - Processus'!J7</f>
        <v>4 Cyclone</v>
      </c>
      <c r="C12" s="139">
        <v>600</v>
      </c>
      <c r="D12" s="139">
        <v>42.5</v>
      </c>
      <c r="E12" s="33">
        <f t="shared" si="0"/>
        <v>557.5</v>
      </c>
      <c r="F12" s="138">
        <v>0</v>
      </c>
      <c r="G12" s="138">
        <v>0</v>
      </c>
      <c r="H12" s="34">
        <f t="shared" si="1"/>
        <v>0</v>
      </c>
      <c r="I12" s="90">
        <f t="shared" si="2"/>
        <v>0</v>
      </c>
      <c r="J12" s="33"/>
      <c r="K12" s="33"/>
      <c r="L12" s="33"/>
      <c r="M12" s="33"/>
      <c r="N12" s="33"/>
    </row>
    <row r="13" spans="2:17" x14ac:dyDescent="0.25">
      <c r="B13" s="4" t="str">
        <f>+'4 - Processus'!K7</f>
        <v>Tamis</v>
      </c>
      <c r="C13" s="139">
        <v>600</v>
      </c>
      <c r="D13" s="139">
        <v>42.5</v>
      </c>
      <c r="E13" s="33">
        <f t="shared" si="0"/>
        <v>557.5</v>
      </c>
      <c r="F13" s="138">
        <v>1</v>
      </c>
      <c r="G13" s="138">
        <v>1</v>
      </c>
      <c r="H13" s="34">
        <f t="shared" si="1"/>
        <v>1</v>
      </c>
      <c r="I13" s="90">
        <f t="shared" si="2"/>
        <v>557.5</v>
      </c>
      <c r="J13" s="33"/>
      <c r="K13" s="33"/>
      <c r="L13" s="33"/>
      <c r="M13" s="33"/>
      <c r="N13" s="33"/>
    </row>
    <row r="14" spans="2:17" x14ac:dyDescent="0.25">
      <c r="B14" s="4" t="str">
        <f>+'4 - Processus'!L7</f>
        <v>Chargement</v>
      </c>
      <c r="C14" s="139">
        <v>480</v>
      </c>
      <c r="D14" s="139">
        <v>42.5</v>
      </c>
      <c r="E14" s="33">
        <f t="shared" si="0"/>
        <v>437.5</v>
      </c>
      <c r="F14" s="138">
        <v>1</v>
      </c>
      <c r="G14" s="138">
        <v>1</v>
      </c>
      <c r="H14" s="34">
        <f t="shared" si="1"/>
        <v>1</v>
      </c>
      <c r="I14" s="90">
        <f t="shared" si="2"/>
        <v>437.5</v>
      </c>
      <c r="J14" s="33"/>
      <c r="K14" s="33"/>
      <c r="L14" s="33"/>
      <c r="M14" s="33"/>
      <c r="N14" s="33"/>
    </row>
    <row r="15" spans="2:17" x14ac:dyDescent="0.25">
      <c r="B15" s="4" t="str">
        <f>+'4 - Processus'!M7</f>
        <v>Machine a coudre</v>
      </c>
      <c r="C15" s="139">
        <v>480</v>
      </c>
      <c r="D15" s="139">
        <v>42.5</v>
      </c>
      <c r="E15" s="33">
        <f t="shared" si="0"/>
        <v>437.5</v>
      </c>
      <c r="F15" s="138">
        <v>1</v>
      </c>
      <c r="G15" s="138">
        <v>1</v>
      </c>
      <c r="H15" s="34">
        <f t="shared" si="1"/>
        <v>1</v>
      </c>
      <c r="I15" s="90">
        <f t="shared" si="2"/>
        <v>437.5</v>
      </c>
      <c r="J15" s="33"/>
      <c r="K15" s="33"/>
      <c r="L15" s="33"/>
      <c r="M15" s="33"/>
      <c r="N15" s="33"/>
    </row>
    <row r="16" spans="2:17" x14ac:dyDescent="0.25">
      <c r="B16" s="4" t="str">
        <f>+'4 - Processus'!N7</f>
        <v>Palettisation</v>
      </c>
      <c r="C16" s="139">
        <v>480</v>
      </c>
      <c r="D16" s="139">
        <v>42.5</v>
      </c>
      <c r="E16" s="33">
        <f t="shared" si="0"/>
        <v>437.5</v>
      </c>
      <c r="F16" s="138">
        <v>1</v>
      </c>
      <c r="G16" s="138">
        <v>1</v>
      </c>
      <c r="H16" s="34">
        <v>1</v>
      </c>
      <c r="I16" s="90">
        <f t="shared" si="2"/>
        <v>437.5</v>
      </c>
      <c r="J16" s="33"/>
      <c r="K16" s="33"/>
      <c r="L16" s="33"/>
      <c r="M16" s="33"/>
      <c r="N16" s="33"/>
    </row>
    <row r="17" spans="2:14" ht="13.8" thickBot="1" x14ac:dyDescent="0.3">
      <c r="B17" s="4" t="str">
        <f>+'4 - Processus'!O7</f>
        <v>Stockage</v>
      </c>
      <c r="C17" s="139">
        <v>480</v>
      </c>
      <c r="D17" s="139">
        <v>42.5</v>
      </c>
      <c r="E17" s="33">
        <f t="shared" si="0"/>
        <v>437.5</v>
      </c>
      <c r="F17" s="138">
        <v>1</v>
      </c>
      <c r="G17" s="138">
        <v>1</v>
      </c>
      <c r="H17" s="34">
        <f t="shared" si="1"/>
        <v>1</v>
      </c>
      <c r="I17" s="90">
        <f t="shared" si="2"/>
        <v>437.5</v>
      </c>
      <c r="J17" s="33"/>
      <c r="K17" s="33"/>
      <c r="L17" s="33"/>
      <c r="M17" s="33"/>
      <c r="N17" s="33"/>
    </row>
    <row r="18" spans="2:14" x14ac:dyDescent="0.25">
      <c r="B18" s="19"/>
      <c r="C18" s="19"/>
      <c r="D18" s="19"/>
      <c r="E18" s="19"/>
      <c r="F18" s="19"/>
      <c r="G18" s="19"/>
      <c r="H18" s="19"/>
      <c r="I18" s="19"/>
    </row>
  </sheetData>
  <mergeCells count="1">
    <mergeCell ref="B2:Q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theme="4"/>
  </sheetPr>
  <dimension ref="A1:T38"/>
  <sheetViews>
    <sheetView showGridLines="0" topLeftCell="H1" zoomScale="77" zoomScaleNormal="77" workbookViewId="0">
      <selection activeCell="R3" sqref="R3"/>
    </sheetView>
  </sheetViews>
  <sheetFormatPr baseColWidth="10" defaultColWidth="9.109375" defaultRowHeight="13.2" x14ac:dyDescent="0.25"/>
  <cols>
    <col min="1" max="1" width="12.33203125" style="1" bestFit="1" customWidth="1"/>
    <col min="2" max="2" width="14" style="1" customWidth="1"/>
    <col min="3" max="3" width="12.6640625" style="15" customWidth="1"/>
    <col min="4" max="4" width="10.6640625" style="1" customWidth="1"/>
    <col min="5" max="5" width="15" style="1" customWidth="1"/>
    <col min="6" max="11" width="10.6640625" style="1" customWidth="1"/>
    <col min="12" max="12" width="12" style="1" customWidth="1"/>
    <col min="13" max="13" width="9.109375" style="1"/>
    <col min="14" max="14" width="13.109375" style="1" customWidth="1"/>
    <col min="15" max="15" width="12.109375" style="1" customWidth="1"/>
    <col min="16" max="16" width="11.88671875" style="1" bestFit="1" customWidth="1"/>
    <col min="17" max="17" width="9.109375" style="1"/>
    <col min="18" max="18" width="17" style="1" customWidth="1"/>
    <col min="19" max="16384" width="9.109375" style="1"/>
  </cols>
  <sheetData>
    <row r="1" spans="1:20" ht="13.8" thickBot="1" x14ac:dyDescent="0.3"/>
    <row r="2" spans="1:20" x14ac:dyDescent="0.25">
      <c r="C2" s="284" t="s">
        <v>54</v>
      </c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1"/>
    </row>
    <row r="3" spans="1:20" ht="21" customHeight="1" thickBot="1" x14ac:dyDescent="0.3">
      <c r="C3" s="402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4"/>
      <c r="R3" s="140" t="s">
        <v>72</v>
      </c>
    </row>
    <row r="4" spans="1:20" ht="13.8" thickBot="1" x14ac:dyDescent="0.3">
      <c r="T4" s="1" t="s">
        <v>64</v>
      </c>
    </row>
    <row r="5" spans="1:20" s="26" customFormat="1" ht="24.9" customHeight="1" x14ac:dyDescent="0.25">
      <c r="C5" s="17"/>
      <c r="D5" s="452" t="s">
        <v>28</v>
      </c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4"/>
      <c r="R5" s="103">
        <f>DATEVALUE("1"&amp;R3)</f>
        <v>45536</v>
      </c>
      <c r="T5" s="1" t="s">
        <v>65</v>
      </c>
    </row>
    <row r="6" spans="1:20" s="21" customFormat="1" ht="27" thickBot="1" x14ac:dyDescent="0.3">
      <c r="A6" s="455" t="s">
        <v>29</v>
      </c>
      <c r="B6" s="456"/>
      <c r="C6" s="457"/>
      <c r="D6" s="147" t="str">
        <f>+'4 - Processus'!D7</f>
        <v>Vis de dosage</v>
      </c>
      <c r="E6" s="147" t="str">
        <f>+'4 - Processus'!E7</f>
        <v>Préchauffage</v>
      </c>
      <c r="F6" s="147" t="str">
        <f>+'4 - Processus'!F7</f>
        <v xml:space="preserve">Four </v>
      </c>
      <c r="G6" s="147" t="str">
        <f>+'4 - Processus'!G7</f>
        <v>Cyclone 1</v>
      </c>
      <c r="H6" s="147" t="str">
        <f>+'4 - Processus'!H7</f>
        <v>Cyclone 2</v>
      </c>
      <c r="I6" s="147" t="str">
        <f>+'4 - Processus'!I7</f>
        <v>Cyclone 3</v>
      </c>
      <c r="J6" s="147" t="str">
        <f>+'4 - Processus'!J7</f>
        <v>4 Cyclone</v>
      </c>
      <c r="K6" s="147" t="str">
        <f>+'4 - Processus'!K7</f>
        <v>Tamis</v>
      </c>
      <c r="L6" s="147" t="str">
        <f>+'4 - Processus'!L7</f>
        <v>Chargement</v>
      </c>
      <c r="M6" s="147" t="str">
        <f>+'4 - Processus'!M7</f>
        <v>Machine a coudre</v>
      </c>
      <c r="N6" s="147" t="str">
        <f>+'4 - Processus'!N7</f>
        <v>Palettisation</v>
      </c>
      <c r="O6" s="148" t="str">
        <f>+'4 - Processus'!O7</f>
        <v>Stockage</v>
      </c>
      <c r="R6" s="104">
        <f>EOMONTH(R5,0)</f>
        <v>45565</v>
      </c>
      <c r="T6" s="1" t="s">
        <v>66</v>
      </c>
    </row>
    <row r="7" spans="1:20" x14ac:dyDescent="0.25">
      <c r="A7" s="101">
        <f>R5</f>
        <v>45536</v>
      </c>
      <c r="B7" s="102">
        <f>R5</f>
        <v>45536</v>
      </c>
      <c r="C7" s="145">
        <f>R5</f>
        <v>45536</v>
      </c>
      <c r="D7" s="149" t="s">
        <v>30</v>
      </c>
      <c r="E7" s="150" t="s">
        <v>30</v>
      </c>
      <c r="F7" s="150" t="s">
        <v>30</v>
      </c>
      <c r="G7" s="150" t="s">
        <v>30</v>
      </c>
      <c r="H7" s="150" t="s">
        <v>30</v>
      </c>
      <c r="I7" s="150" t="s">
        <v>30</v>
      </c>
      <c r="J7" s="150" t="s">
        <v>30</v>
      </c>
      <c r="K7" s="150" t="s">
        <v>30</v>
      </c>
      <c r="L7" s="150" t="s">
        <v>30</v>
      </c>
      <c r="M7" s="150" t="s">
        <v>30</v>
      </c>
      <c r="N7" s="150" t="s">
        <v>30</v>
      </c>
      <c r="O7" s="151" t="s">
        <v>30</v>
      </c>
      <c r="P7" s="100"/>
      <c r="T7" s="1" t="s">
        <v>67</v>
      </c>
    </row>
    <row r="8" spans="1:20" x14ac:dyDescent="0.25">
      <c r="A8" s="101">
        <f>A7+1</f>
        <v>45537</v>
      </c>
      <c r="B8" s="102">
        <f>B7+1</f>
        <v>45537</v>
      </c>
      <c r="C8" s="146">
        <f>C7+1</f>
        <v>45537</v>
      </c>
      <c r="D8" s="135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2"/>
      <c r="P8" s="100"/>
      <c r="T8" s="1" t="s">
        <v>68</v>
      </c>
    </row>
    <row r="9" spans="1:20" x14ac:dyDescent="0.25">
      <c r="A9" s="101">
        <f t="shared" ref="A9:A37" si="0">A8+1</f>
        <v>45538</v>
      </c>
      <c r="B9" s="102">
        <f t="shared" ref="B9:B37" si="1">B8+1</f>
        <v>45538</v>
      </c>
      <c r="C9" s="146">
        <f t="shared" ref="C9:C37" si="2">C8+1</f>
        <v>45538</v>
      </c>
      <c r="D9" s="152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43"/>
      <c r="P9" s="100"/>
      <c r="T9" s="1" t="s">
        <v>69</v>
      </c>
    </row>
    <row r="10" spans="1:20" x14ac:dyDescent="0.25">
      <c r="A10" s="101">
        <f t="shared" si="0"/>
        <v>45539</v>
      </c>
      <c r="B10" s="102">
        <f t="shared" si="1"/>
        <v>45539</v>
      </c>
      <c r="C10" s="146">
        <f t="shared" si="2"/>
        <v>45539</v>
      </c>
      <c r="D10" s="136" t="s">
        <v>30</v>
      </c>
      <c r="E10" s="136" t="s">
        <v>30</v>
      </c>
      <c r="F10" s="136" t="s">
        <v>30</v>
      </c>
      <c r="G10" s="136" t="s">
        <v>30</v>
      </c>
      <c r="H10" s="136" t="s">
        <v>30</v>
      </c>
      <c r="I10" s="136" t="s">
        <v>30</v>
      </c>
      <c r="J10" s="136" t="s">
        <v>30</v>
      </c>
      <c r="K10" s="136" t="s">
        <v>30</v>
      </c>
      <c r="L10" s="136" t="s">
        <v>30</v>
      </c>
      <c r="M10" s="136" t="s">
        <v>30</v>
      </c>
      <c r="N10" s="136" t="s">
        <v>30</v>
      </c>
      <c r="O10" s="136" t="s">
        <v>30</v>
      </c>
      <c r="P10" s="100"/>
      <c r="T10" s="1" t="s">
        <v>70</v>
      </c>
    </row>
    <row r="11" spans="1:20" x14ac:dyDescent="0.25">
      <c r="A11" s="101">
        <f t="shared" si="0"/>
        <v>45540</v>
      </c>
      <c r="B11" s="102">
        <f t="shared" si="1"/>
        <v>45540</v>
      </c>
      <c r="C11" s="146">
        <f t="shared" si="2"/>
        <v>45540</v>
      </c>
      <c r="D11" s="136" t="s">
        <v>30</v>
      </c>
      <c r="E11" s="136" t="s">
        <v>30</v>
      </c>
      <c r="F11" s="136" t="s">
        <v>30</v>
      </c>
      <c r="G11" s="136" t="s">
        <v>30</v>
      </c>
      <c r="H11" s="136" t="s">
        <v>30</v>
      </c>
      <c r="I11" s="136" t="s">
        <v>30</v>
      </c>
      <c r="J11" s="136" t="s">
        <v>30</v>
      </c>
      <c r="K11" s="136" t="s">
        <v>30</v>
      </c>
      <c r="L11" s="136" t="s">
        <v>30</v>
      </c>
      <c r="M11" s="136" t="s">
        <v>30</v>
      </c>
      <c r="N11" s="136" t="s">
        <v>30</v>
      </c>
      <c r="O11" s="136" t="s">
        <v>30</v>
      </c>
      <c r="P11" s="100"/>
      <c r="T11" s="1" t="s">
        <v>71</v>
      </c>
    </row>
    <row r="12" spans="1:20" x14ac:dyDescent="0.25">
      <c r="A12" s="101">
        <f t="shared" si="0"/>
        <v>45541</v>
      </c>
      <c r="B12" s="102">
        <f t="shared" si="1"/>
        <v>45541</v>
      </c>
      <c r="C12" s="146">
        <f t="shared" si="2"/>
        <v>45541</v>
      </c>
      <c r="D12" s="136" t="s">
        <v>30</v>
      </c>
      <c r="E12" s="136" t="s">
        <v>30</v>
      </c>
      <c r="F12" s="136" t="s">
        <v>30</v>
      </c>
      <c r="G12" s="136" t="s">
        <v>30</v>
      </c>
      <c r="H12" s="136" t="s">
        <v>30</v>
      </c>
      <c r="I12" s="136" t="s">
        <v>30</v>
      </c>
      <c r="J12" s="136" t="s">
        <v>30</v>
      </c>
      <c r="K12" s="136" t="s">
        <v>30</v>
      </c>
      <c r="L12" s="136" t="s">
        <v>30</v>
      </c>
      <c r="M12" s="136" t="s">
        <v>30</v>
      </c>
      <c r="N12" s="136" t="s">
        <v>30</v>
      </c>
      <c r="O12" s="136" t="s">
        <v>30</v>
      </c>
      <c r="P12" s="100"/>
      <c r="T12" s="1" t="s">
        <v>72</v>
      </c>
    </row>
    <row r="13" spans="1:20" x14ac:dyDescent="0.25">
      <c r="A13" s="101">
        <f t="shared" si="0"/>
        <v>45542</v>
      </c>
      <c r="B13" s="102">
        <f t="shared" si="1"/>
        <v>45542</v>
      </c>
      <c r="C13" s="146">
        <f t="shared" si="2"/>
        <v>45542</v>
      </c>
      <c r="D13" s="152" t="s">
        <v>30</v>
      </c>
      <c r="E13" s="136" t="s">
        <v>30</v>
      </c>
      <c r="F13" s="136" t="s">
        <v>30</v>
      </c>
      <c r="G13" s="136" t="s">
        <v>30</v>
      </c>
      <c r="H13" s="136" t="s">
        <v>30</v>
      </c>
      <c r="I13" s="136" t="s">
        <v>30</v>
      </c>
      <c r="J13" s="136" t="s">
        <v>30</v>
      </c>
      <c r="K13" s="136" t="s">
        <v>30</v>
      </c>
      <c r="L13" s="136" t="s">
        <v>30</v>
      </c>
      <c r="M13" s="136" t="s">
        <v>30</v>
      </c>
      <c r="N13" s="136" t="s">
        <v>30</v>
      </c>
      <c r="O13" s="143" t="s">
        <v>30</v>
      </c>
      <c r="P13" s="100"/>
      <c r="T13" s="1" t="s">
        <v>73</v>
      </c>
    </row>
    <row r="14" spans="1:20" x14ac:dyDescent="0.25">
      <c r="A14" s="101">
        <f t="shared" si="0"/>
        <v>45543</v>
      </c>
      <c r="B14" s="102">
        <f t="shared" si="1"/>
        <v>45543</v>
      </c>
      <c r="C14" s="146">
        <f t="shared" si="2"/>
        <v>45543</v>
      </c>
      <c r="D14" s="152" t="s">
        <v>30</v>
      </c>
      <c r="E14" s="136" t="s">
        <v>30</v>
      </c>
      <c r="F14" s="136" t="s">
        <v>30</v>
      </c>
      <c r="G14" s="136" t="s">
        <v>30</v>
      </c>
      <c r="H14" s="136" t="s">
        <v>30</v>
      </c>
      <c r="I14" s="136" t="s">
        <v>30</v>
      </c>
      <c r="J14" s="136" t="s">
        <v>30</v>
      </c>
      <c r="K14" s="136" t="s">
        <v>30</v>
      </c>
      <c r="L14" s="136" t="s">
        <v>30</v>
      </c>
      <c r="M14" s="136" t="s">
        <v>30</v>
      </c>
      <c r="N14" s="136" t="s">
        <v>30</v>
      </c>
      <c r="O14" s="143" t="s">
        <v>30</v>
      </c>
      <c r="P14" s="100"/>
      <c r="T14" s="1" t="s">
        <v>74</v>
      </c>
    </row>
    <row r="15" spans="1:20" x14ac:dyDescent="0.25">
      <c r="A15" s="101">
        <f t="shared" si="0"/>
        <v>45544</v>
      </c>
      <c r="B15" s="102">
        <f t="shared" si="1"/>
        <v>45544</v>
      </c>
      <c r="C15" s="146">
        <f t="shared" si="2"/>
        <v>45544</v>
      </c>
      <c r="D15" s="152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43"/>
      <c r="P15" s="100"/>
      <c r="T15" s="1" t="s">
        <v>75</v>
      </c>
    </row>
    <row r="16" spans="1:20" x14ac:dyDescent="0.25">
      <c r="A16" s="101">
        <f t="shared" si="0"/>
        <v>45545</v>
      </c>
      <c r="B16" s="102">
        <f t="shared" si="1"/>
        <v>45545</v>
      </c>
      <c r="C16" s="146">
        <f t="shared" si="2"/>
        <v>45545</v>
      </c>
      <c r="D16" s="152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43"/>
      <c r="P16" s="100"/>
    </row>
    <row r="17" spans="1:16" x14ac:dyDescent="0.25">
      <c r="A17" s="101">
        <f t="shared" si="0"/>
        <v>45546</v>
      </c>
      <c r="B17" s="102">
        <f t="shared" si="1"/>
        <v>45546</v>
      </c>
      <c r="C17" s="146">
        <f t="shared" si="2"/>
        <v>45546</v>
      </c>
      <c r="D17" s="152" t="s">
        <v>30</v>
      </c>
      <c r="E17" s="136" t="s">
        <v>30</v>
      </c>
      <c r="F17" s="136" t="s">
        <v>30</v>
      </c>
      <c r="G17" s="136" t="s">
        <v>30</v>
      </c>
      <c r="H17" s="136" t="s">
        <v>30</v>
      </c>
      <c r="I17" s="136" t="s">
        <v>30</v>
      </c>
      <c r="J17" s="136" t="s">
        <v>30</v>
      </c>
      <c r="K17" s="136" t="s">
        <v>30</v>
      </c>
      <c r="L17" s="136" t="s">
        <v>30</v>
      </c>
      <c r="M17" s="136" t="s">
        <v>30</v>
      </c>
      <c r="N17" s="136" t="s">
        <v>30</v>
      </c>
      <c r="O17" s="136" t="s">
        <v>30</v>
      </c>
      <c r="P17" s="100"/>
    </row>
    <row r="18" spans="1:16" x14ac:dyDescent="0.25">
      <c r="A18" s="101">
        <f t="shared" si="0"/>
        <v>45547</v>
      </c>
      <c r="B18" s="102">
        <f t="shared" si="1"/>
        <v>45547</v>
      </c>
      <c r="C18" s="146">
        <f t="shared" si="2"/>
        <v>45547</v>
      </c>
      <c r="D18" s="152" t="s">
        <v>30</v>
      </c>
      <c r="E18" s="136" t="s">
        <v>30</v>
      </c>
      <c r="F18" s="136" t="s">
        <v>30</v>
      </c>
      <c r="G18" s="136" t="s">
        <v>30</v>
      </c>
      <c r="H18" s="136" t="s">
        <v>30</v>
      </c>
      <c r="I18" s="136" t="s">
        <v>30</v>
      </c>
      <c r="J18" s="136" t="s">
        <v>30</v>
      </c>
      <c r="K18" s="136" t="s">
        <v>30</v>
      </c>
      <c r="L18" s="136" t="s">
        <v>30</v>
      </c>
      <c r="M18" s="136" t="s">
        <v>30</v>
      </c>
      <c r="N18" s="136" t="s">
        <v>30</v>
      </c>
      <c r="O18" s="136" t="s">
        <v>30</v>
      </c>
      <c r="P18" s="100"/>
    </row>
    <row r="19" spans="1:16" x14ac:dyDescent="0.25">
      <c r="A19" s="101">
        <f t="shared" si="0"/>
        <v>45548</v>
      </c>
      <c r="B19" s="102">
        <f t="shared" si="1"/>
        <v>45548</v>
      </c>
      <c r="C19" s="146">
        <f t="shared" si="2"/>
        <v>45548</v>
      </c>
      <c r="D19" s="152" t="s">
        <v>30</v>
      </c>
      <c r="E19" s="136" t="s">
        <v>30</v>
      </c>
      <c r="F19" s="136" t="s">
        <v>30</v>
      </c>
      <c r="G19" s="136" t="s">
        <v>30</v>
      </c>
      <c r="H19" s="136" t="s">
        <v>30</v>
      </c>
      <c r="I19" s="136" t="s">
        <v>30</v>
      </c>
      <c r="J19" s="136" t="s">
        <v>30</v>
      </c>
      <c r="K19" s="136" t="s">
        <v>30</v>
      </c>
      <c r="L19" s="136" t="s">
        <v>30</v>
      </c>
      <c r="M19" s="136" t="s">
        <v>30</v>
      </c>
      <c r="N19" s="136" t="s">
        <v>30</v>
      </c>
      <c r="O19" s="136" t="s">
        <v>30</v>
      </c>
      <c r="P19" s="100"/>
    </row>
    <row r="20" spans="1:16" x14ac:dyDescent="0.25">
      <c r="A20" s="101">
        <f t="shared" si="0"/>
        <v>45549</v>
      </c>
      <c r="B20" s="102">
        <f t="shared" si="1"/>
        <v>45549</v>
      </c>
      <c r="C20" s="146">
        <f t="shared" si="2"/>
        <v>45549</v>
      </c>
      <c r="D20" s="152" t="s">
        <v>30</v>
      </c>
      <c r="E20" s="121" t="s">
        <v>30</v>
      </c>
      <c r="F20" s="121" t="s">
        <v>30</v>
      </c>
      <c r="G20" s="121" t="s">
        <v>30</v>
      </c>
      <c r="H20" s="121" t="s">
        <v>30</v>
      </c>
      <c r="I20" s="121" t="s">
        <v>30</v>
      </c>
      <c r="J20" s="121" t="s">
        <v>30</v>
      </c>
      <c r="K20" s="121" t="s">
        <v>30</v>
      </c>
      <c r="L20" s="121" t="s">
        <v>30</v>
      </c>
      <c r="M20" s="121" t="s">
        <v>30</v>
      </c>
      <c r="N20" s="121" t="s">
        <v>30</v>
      </c>
      <c r="O20" s="154" t="s">
        <v>30</v>
      </c>
      <c r="P20" s="100"/>
    </row>
    <row r="21" spans="1:16" x14ac:dyDescent="0.25">
      <c r="A21" s="101">
        <f t="shared" si="0"/>
        <v>45550</v>
      </c>
      <c r="B21" s="102">
        <f t="shared" si="1"/>
        <v>45550</v>
      </c>
      <c r="C21" s="146">
        <f t="shared" si="2"/>
        <v>45550</v>
      </c>
      <c r="D21" s="152" t="s">
        <v>30</v>
      </c>
      <c r="E21" s="121" t="s">
        <v>30</v>
      </c>
      <c r="F21" s="121" t="s">
        <v>30</v>
      </c>
      <c r="G21" s="121" t="s">
        <v>30</v>
      </c>
      <c r="H21" s="121" t="s">
        <v>30</v>
      </c>
      <c r="I21" s="121" t="s">
        <v>30</v>
      </c>
      <c r="J21" s="121" t="s">
        <v>30</v>
      </c>
      <c r="K21" s="121" t="s">
        <v>30</v>
      </c>
      <c r="L21" s="121" t="s">
        <v>30</v>
      </c>
      <c r="M21" s="121" t="s">
        <v>30</v>
      </c>
      <c r="N21" s="121" t="s">
        <v>30</v>
      </c>
      <c r="O21" s="154" t="s">
        <v>30</v>
      </c>
      <c r="P21" s="100"/>
    </row>
    <row r="22" spans="1:16" x14ac:dyDescent="0.25">
      <c r="A22" s="101">
        <f t="shared" si="0"/>
        <v>45551</v>
      </c>
      <c r="B22" s="102">
        <f t="shared" si="1"/>
        <v>45551</v>
      </c>
      <c r="C22" s="146">
        <f t="shared" si="2"/>
        <v>45551</v>
      </c>
      <c r="D22" s="153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54"/>
      <c r="P22" s="100"/>
    </row>
    <row r="23" spans="1:16" x14ac:dyDescent="0.25">
      <c r="A23" s="101">
        <f t="shared" si="0"/>
        <v>45552</v>
      </c>
      <c r="B23" s="102">
        <f t="shared" si="1"/>
        <v>45552</v>
      </c>
      <c r="C23" s="146">
        <f t="shared" si="2"/>
        <v>45552</v>
      </c>
      <c r="D23" s="153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54"/>
      <c r="P23" s="100"/>
    </row>
    <row r="24" spans="1:16" x14ac:dyDescent="0.25">
      <c r="A24" s="101">
        <f t="shared" si="0"/>
        <v>45553</v>
      </c>
      <c r="B24" s="102">
        <f t="shared" si="1"/>
        <v>45553</v>
      </c>
      <c r="C24" s="146">
        <f t="shared" si="2"/>
        <v>45553</v>
      </c>
      <c r="D24" s="153" t="s">
        <v>30</v>
      </c>
      <c r="E24" s="121" t="s">
        <v>30</v>
      </c>
      <c r="F24" s="121" t="s">
        <v>30</v>
      </c>
      <c r="G24" s="121" t="s">
        <v>30</v>
      </c>
      <c r="H24" s="121" t="s">
        <v>30</v>
      </c>
      <c r="I24" s="121" t="s">
        <v>30</v>
      </c>
      <c r="J24" s="121" t="s">
        <v>30</v>
      </c>
      <c r="K24" s="121" t="s">
        <v>30</v>
      </c>
      <c r="L24" s="121" t="s">
        <v>30</v>
      </c>
      <c r="M24" s="121" t="s">
        <v>30</v>
      </c>
      <c r="N24" s="121" t="s">
        <v>30</v>
      </c>
      <c r="O24" s="154" t="s">
        <v>30</v>
      </c>
      <c r="P24" s="100"/>
    </row>
    <row r="25" spans="1:16" x14ac:dyDescent="0.25">
      <c r="A25" s="101">
        <f t="shared" si="0"/>
        <v>45554</v>
      </c>
      <c r="B25" s="102">
        <f t="shared" si="1"/>
        <v>45554</v>
      </c>
      <c r="C25" s="146">
        <f t="shared" si="2"/>
        <v>45554</v>
      </c>
      <c r="D25" s="153" t="s">
        <v>30</v>
      </c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43"/>
      <c r="P25" s="100"/>
    </row>
    <row r="26" spans="1:16" x14ac:dyDescent="0.25">
      <c r="A26" s="101">
        <f t="shared" si="0"/>
        <v>45555</v>
      </c>
      <c r="B26" s="102">
        <f t="shared" si="1"/>
        <v>45555</v>
      </c>
      <c r="C26" s="146">
        <f t="shared" si="2"/>
        <v>45555</v>
      </c>
      <c r="D26" s="153" t="s">
        <v>30</v>
      </c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44"/>
      <c r="P26" s="100"/>
    </row>
    <row r="27" spans="1:16" x14ac:dyDescent="0.25">
      <c r="A27" s="101">
        <f t="shared" si="0"/>
        <v>45556</v>
      </c>
      <c r="B27" s="102">
        <f t="shared" si="1"/>
        <v>45556</v>
      </c>
      <c r="C27" s="146">
        <f t="shared" si="2"/>
        <v>45556</v>
      </c>
      <c r="D27" s="153" t="s">
        <v>30</v>
      </c>
      <c r="E27" s="121" t="s">
        <v>30</v>
      </c>
      <c r="F27" s="121" t="s">
        <v>30</v>
      </c>
      <c r="G27" s="121" t="s">
        <v>30</v>
      </c>
      <c r="H27" s="121" t="s">
        <v>30</v>
      </c>
      <c r="I27" s="121" t="s">
        <v>30</v>
      </c>
      <c r="J27" s="121" t="s">
        <v>30</v>
      </c>
      <c r="K27" s="121" t="s">
        <v>30</v>
      </c>
      <c r="L27" s="121" t="s">
        <v>30</v>
      </c>
      <c r="M27" s="121" t="s">
        <v>30</v>
      </c>
      <c r="N27" s="121" t="s">
        <v>30</v>
      </c>
      <c r="O27" s="154" t="s">
        <v>30</v>
      </c>
      <c r="P27" s="100"/>
    </row>
    <row r="28" spans="1:16" x14ac:dyDescent="0.25">
      <c r="A28" s="101">
        <f t="shared" si="0"/>
        <v>45557</v>
      </c>
      <c r="B28" s="102">
        <f t="shared" si="1"/>
        <v>45557</v>
      </c>
      <c r="C28" s="146">
        <f t="shared" si="2"/>
        <v>45557</v>
      </c>
      <c r="D28" s="153" t="s">
        <v>30</v>
      </c>
      <c r="E28" s="121" t="s">
        <v>30</v>
      </c>
      <c r="F28" s="121" t="s">
        <v>30</v>
      </c>
      <c r="G28" s="121" t="s">
        <v>30</v>
      </c>
      <c r="H28" s="121" t="s">
        <v>30</v>
      </c>
      <c r="I28" s="121" t="s">
        <v>30</v>
      </c>
      <c r="J28" s="121" t="s">
        <v>30</v>
      </c>
      <c r="K28" s="121" t="s">
        <v>30</v>
      </c>
      <c r="L28" s="121" t="s">
        <v>30</v>
      </c>
      <c r="M28" s="121" t="s">
        <v>30</v>
      </c>
      <c r="N28" s="121" t="s">
        <v>30</v>
      </c>
      <c r="O28" s="154" t="s">
        <v>30</v>
      </c>
      <c r="P28" s="100"/>
    </row>
    <row r="29" spans="1:16" x14ac:dyDescent="0.25">
      <c r="A29" s="101">
        <f t="shared" si="0"/>
        <v>45558</v>
      </c>
      <c r="B29" s="102">
        <f t="shared" si="1"/>
        <v>45558</v>
      </c>
      <c r="C29" s="146">
        <f t="shared" si="2"/>
        <v>45558</v>
      </c>
      <c r="D29" s="153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54"/>
      <c r="P29" s="100"/>
    </row>
    <row r="30" spans="1:16" x14ac:dyDescent="0.25">
      <c r="A30" s="101">
        <f t="shared" si="0"/>
        <v>45559</v>
      </c>
      <c r="B30" s="102">
        <f t="shared" si="1"/>
        <v>45559</v>
      </c>
      <c r="C30" s="146">
        <f t="shared" si="2"/>
        <v>45559</v>
      </c>
      <c r="D30" s="153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54"/>
      <c r="P30" s="100"/>
    </row>
    <row r="31" spans="1:16" x14ac:dyDescent="0.25">
      <c r="A31" s="101">
        <f t="shared" si="0"/>
        <v>45560</v>
      </c>
      <c r="B31" s="102">
        <f t="shared" si="1"/>
        <v>45560</v>
      </c>
      <c r="C31" s="146">
        <f t="shared" si="2"/>
        <v>45560</v>
      </c>
      <c r="D31" s="153" t="s">
        <v>30</v>
      </c>
      <c r="E31" s="121" t="s">
        <v>30</v>
      </c>
      <c r="F31" s="121" t="s">
        <v>30</v>
      </c>
      <c r="G31" s="121" t="s">
        <v>30</v>
      </c>
      <c r="H31" s="121" t="s">
        <v>30</v>
      </c>
      <c r="I31" s="121" t="s">
        <v>30</v>
      </c>
      <c r="J31" s="121" t="s">
        <v>30</v>
      </c>
      <c r="K31" s="121" t="s">
        <v>30</v>
      </c>
      <c r="L31" s="121" t="s">
        <v>30</v>
      </c>
      <c r="M31" s="121" t="s">
        <v>30</v>
      </c>
      <c r="N31" s="121" t="s">
        <v>30</v>
      </c>
      <c r="O31" s="121" t="s">
        <v>30</v>
      </c>
      <c r="P31" s="100"/>
    </row>
    <row r="32" spans="1:16" x14ac:dyDescent="0.25">
      <c r="A32" s="101">
        <f t="shared" si="0"/>
        <v>45561</v>
      </c>
      <c r="B32" s="102">
        <f t="shared" si="1"/>
        <v>45561</v>
      </c>
      <c r="C32" s="146">
        <f t="shared" si="2"/>
        <v>45561</v>
      </c>
      <c r="D32" s="153" t="s">
        <v>30</v>
      </c>
      <c r="E32" s="121" t="s">
        <v>30</v>
      </c>
      <c r="F32" s="121" t="s">
        <v>30</v>
      </c>
      <c r="G32" s="121" t="s">
        <v>30</v>
      </c>
      <c r="H32" s="121" t="s">
        <v>30</v>
      </c>
      <c r="I32" s="121" t="s">
        <v>30</v>
      </c>
      <c r="J32" s="121" t="s">
        <v>30</v>
      </c>
      <c r="K32" s="121" t="s">
        <v>30</v>
      </c>
      <c r="L32" s="121" t="s">
        <v>30</v>
      </c>
      <c r="M32" s="121" t="s">
        <v>30</v>
      </c>
      <c r="N32" s="121" t="s">
        <v>30</v>
      </c>
      <c r="O32" s="121" t="s">
        <v>30</v>
      </c>
      <c r="P32" s="100"/>
    </row>
    <row r="33" spans="1:16" x14ac:dyDescent="0.25">
      <c r="A33" s="101">
        <f t="shared" si="0"/>
        <v>45562</v>
      </c>
      <c r="B33" s="102">
        <f t="shared" si="1"/>
        <v>45562</v>
      </c>
      <c r="C33" s="146">
        <f t="shared" si="2"/>
        <v>45562</v>
      </c>
      <c r="D33" s="153" t="s">
        <v>30</v>
      </c>
      <c r="E33" s="121" t="s">
        <v>30</v>
      </c>
      <c r="F33" s="121" t="s">
        <v>30</v>
      </c>
      <c r="G33" s="121" t="s">
        <v>30</v>
      </c>
      <c r="H33" s="121" t="s">
        <v>30</v>
      </c>
      <c r="I33" s="121" t="s">
        <v>30</v>
      </c>
      <c r="J33" s="121" t="s">
        <v>30</v>
      </c>
      <c r="K33" s="121" t="s">
        <v>30</v>
      </c>
      <c r="L33" s="121" t="s">
        <v>30</v>
      </c>
      <c r="M33" s="121" t="s">
        <v>30</v>
      </c>
      <c r="N33" s="121" t="s">
        <v>30</v>
      </c>
      <c r="O33" s="121" t="s">
        <v>30</v>
      </c>
      <c r="P33" s="100"/>
    </row>
    <row r="34" spans="1:16" x14ac:dyDescent="0.25">
      <c r="A34" s="101">
        <f t="shared" si="0"/>
        <v>45563</v>
      </c>
      <c r="B34" s="102">
        <f t="shared" si="1"/>
        <v>45563</v>
      </c>
      <c r="C34" s="146">
        <f t="shared" si="2"/>
        <v>45563</v>
      </c>
      <c r="D34" s="153" t="s">
        <v>30</v>
      </c>
      <c r="E34" s="121" t="s">
        <v>30</v>
      </c>
      <c r="F34" s="121" t="s">
        <v>30</v>
      </c>
      <c r="G34" s="121" t="s">
        <v>30</v>
      </c>
      <c r="H34" s="121" t="s">
        <v>30</v>
      </c>
      <c r="I34" s="121" t="s">
        <v>30</v>
      </c>
      <c r="J34" s="121" t="s">
        <v>30</v>
      </c>
      <c r="K34" s="121" t="s">
        <v>30</v>
      </c>
      <c r="L34" s="121" t="s">
        <v>30</v>
      </c>
      <c r="M34" s="121" t="s">
        <v>30</v>
      </c>
      <c r="N34" s="121" t="s">
        <v>30</v>
      </c>
      <c r="O34" s="154" t="s">
        <v>30</v>
      </c>
      <c r="P34" s="100"/>
    </row>
    <row r="35" spans="1:16" x14ac:dyDescent="0.25">
      <c r="A35" s="101">
        <f t="shared" si="0"/>
        <v>45564</v>
      </c>
      <c r="B35" s="102">
        <f t="shared" si="1"/>
        <v>45564</v>
      </c>
      <c r="C35" s="146">
        <f t="shared" si="2"/>
        <v>45564</v>
      </c>
      <c r="D35" s="153" t="s">
        <v>30</v>
      </c>
      <c r="E35" s="121" t="s">
        <v>30</v>
      </c>
      <c r="F35" s="121" t="s">
        <v>30</v>
      </c>
      <c r="G35" s="121" t="s">
        <v>30</v>
      </c>
      <c r="H35" s="121" t="s">
        <v>30</v>
      </c>
      <c r="I35" s="121" t="s">
        <v>30</v>
      </c>
      <c r="J35" s="121" t="s">
        <v>30</v>
      </c>
      <c r="K35" s="121" t="s">
        <v>30</v>
      </c>
      <c r="L35" s="121" t="s">
        <v>30</v>
      </c>
      <c r="M35" s="121" t="s">
        <v>30</v>
      </c>
      <c r="N35" s="121" t="s">
        <v>30</v>
      </c>
      <c r="O35" s="154" t="s">
        <v>30</v>
      </c>
      <c r="P35" s="100"/>
    </row>
    <row r="36" spans="1:16" x14ac:dyDescent="0.25">
      <c r="A36" s="101">
        <f t="shared" si="0"/>
        <v>45565</v>
      </c>
      <c r="B36" s="102">
        <f t="shared" si="1"/>
        <v>45565</v>
      </c>
      <c r="C36" s="146">
        <f t="shared" si="2"/>
        <v>45565</v>
      </c>
      <c r="D36" s="153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54"/>
      <c r="P36" s="100"/>
    </row>
    <row r="37" spans="1:16" ht="13.8" thickBot="1" x14ac:dyDescent="0.3">
      <c r="A37" s="101">
        <f t="shared" si="0"/>
        <v>45566</v>
      </c>
      <c r="B37" s="102">
        <f t="shared" si="1"/>
        <v>45566</v>
      </c>
      <c r="C37" s="146">
        <f t="shared" si="2"/>
        <v>45566</v>
      </c>
      <c r="D37" s="155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56"/>
      <c r="P37" s="100"/>
    </row>
    <row r="38" spans="1:16" x14ac:dyDescent="0.25">
      <c r="D38" s="15"/>
    </row>
  </sheetData>
  <mergeCells count="3">
    <mergeCell ref="C2:O3"/>
    <mergeCell ref="D5:O5"/>
    <mergeCell ref="A6:C6"/>
  </mergeCells>
  <conditionalFormatting sqref="B7:C37">
    <cfRule type="expression" dxfId="8" priority="1">
      <formula>WEEKDAY(B7,2)&gt;5</formula>
    </cfRule>
  </conditionalFormatting>
  <dataValidations count="1">
    <dataValidation type="list" allowBlank="1" showInputMessage="1" showErrorMessage="1" sqref="R3" xr:uid="{00000000-0002-0000-0A00-000000000000}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theme="0" tint="-0.34998626667073579"/>
  </sheetPr>
  <dimension ref="B1:N38"/>
  <sheetViews>
    <sheetView zoomScaleNormal="100" workbookViewId="0">
      <selection activeCell="N6" sqref="N6"/>
    </sheetView>
  </sheetViews>
  <sheetFormatPr baseColWidth="10" defaultColWidth="9.109375" defaultRowHeight="13.2" x14ac:dyDescent="0.25"/>
  <cols>
    <col min="1" max="1" width="3.6640625" style="1" customWidth="1"/>
    <col min="2" max="2" width="12.6640625" style="15" customWidth="1"/>
    <col min="3" max="11" width="10.6640625" style="1" customWidth="1"/>
    <col min="12" max="16384" width="9.109375" style="1"/>
  </cols>
  <sheetData>
    <row r="1" spans="2:14" ht="13.8" thickBot="1" x14ac:dyDescent="0.3"/>
    <row r="2" spans="2:14" x14ac:dyDescent="0.25">
      <c r="B2" s="413" t="s">
        <v>55</v>
      </c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414"/>
    </row>
    <row r="3" spans="2:14" ht="13.8" thickBot="1" x14ac:dyDescent="0.3">
      <c r="B3" s="415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416"/>
    </row>
    <row r="4" spans="2:14" ht="13.8" thickBot="1" x14ac:dyDescent="0.3"/>
    <row r="5" spans="2:14" s="26" customFormat="1" ht="24.9" customHeight="1" thickBot="1" x14ac:dyDescent="0.3">
      <c r="B5" s="17"/>
      <c r="C5" s="458" t="s">
        <v>28</v>
      </c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60"/>
    </row>
    <row r="6" spans="2:14" s="21" customFormat="1" ht="26.4" x14ac:dyDescent="0.25">
      <c r="B6" s="42" t="s">
        <v>29</v>
      </c>
      <c r="C6" s="36" t="str">
        <f>+'4 - Processus'!D7</f>
        <v>Vis de dosage</v>
      </c>
      <c r="D6" s="37" t="str">
        <f>+'4 - Processus'!E7</f>
        <v>Préchauffage</v>
      </c>
      <c r="E6" s="37" t="str">
        <f>+'4 - Processus'!F7</f>
        <v xml:space="preserve">Four </v>
      </c>
      <c r="F6" s="37" t="str">
        <f>+'4 - Processus'!G7</f>
        <v>Cyclone 1</v>
      </c>
      <c r="G6" s="37" t="str">
        <f>+'4 - Processus'!H7</f>
        <v>Cyclone 2</v>
      </c>
      <c r="H6" s="37" t="str">
        <f>+'4 - Processus'!I7</f>
        <v>Cyclone 3</v>
      </c>
      <c r="I6" s="37" t="str">
        <f>+'4 - Processus'!J7</f>
        <v>4 Cyclone</v>
      </c>
      <c r="J6" s="37" t="str">
        <f>+'4 - Processus'!K7</f>
        <v>Tamis</v>
      </c>
      <c r="K6" s="37" t="str">
        <f>+'4 - Processus'!L7</f>
        <v>Chargement</v>
      </c>
      <c r="L6" s="37" t="str">
        <f>+'4 - Processus'!M7</f>
        <v>Machine a coudre</v>
      </c>
      <c r="M6" s="37" t="str">
        <f>+'4 - Processus'!N7</f>
        <v>Palettisation</v>
      </c>
      <c r="N6" s="39" t="str">
        <f>+'4 - Processus'!O7</f>
        <v>Stockage</v>
      </c>
    </row>
    <row r="7" spans="2:14" x14ac:dyDescent="0.25">
      <c r="B7" s="35">
        <f>+'6 - Calendrier'!C7</f>
        <v>45536</v>
      </c>
      <c r="C7" s="71">
        <f>+IF('6 - Calendrier'!D7&lt;&gt;"",VLOOKUP(C$6,'5 - Régime de travail'!$B$6:$I$17,8,0),0)</f>
        <v>0</v>
      </c>
      <c r="D7" s="84">
        <f>+IF('6 - Calendrier'!E7&lt;&gt;"",VLOOKUP(D$6,'5 - Régime de travail'!$B$6:$I$17,8,0),0)</f>
        <v>0</v>
      </c>
      <c r="E7" s="84">
        <f>+IF('6 - Calendrier'!F7&lt;&gt;"",VLOOKUP(E$6,'5 - Régime de travail'!$B$6:$I$17,8,0),0)</f>
        <v>0</v>
      </c>
      <c r="F7" s="84">
        <f>+IF('6 - Calendrier'!G7&lt;&gt;"",VLOOKUP(F$6,'5 - Régime de travail'!$B$6:$I$17,8,0),0)</f>
        <v>0</v>
      </c>
      <c r="G7" s="84">
        <f>+IF('6 - Calendrier'!H7&lt;&gt;"",VLOOKUP(G$6,'5 - Régime de travail'!$B$6:$I$17,8,0),0)</f>
        <v>0</v>
      </c>
      <c r="H7" s="84">
        <f>+IF('6 - Calendrier'!I7&lt;&gt;"",VLOOKUP(H$6,'5 - Régime de travail'!$B$6:$I$17,8,0),0)</f>
        <v>0</v>
      </c>
      <c r="I7" s="84">
        <f>+IF('6 - Calendrier'!J7&lt;&gt;"",VLOOKUP(I$6,'5 - Régime de travail'!$B$6:$I$17,8,0),0)</f>
        <v>0</v>
      </c>
      <c r="J7" s="84">
        <f>+IF('6 - Calendrier'!K7&lt;&gt;"",VLOOKUP(J$6,'5 - Régime de travail'!$B$6:$I$17,8,0),0)</f>
        <v>557.5</v>
      </c>
      <c r="K7" s="84">
        <f>+IF('6 - Calendrier'!L7&lt;&gt;"",VLOOKUP(K$6,'5 - Régime de travail'!$B$6:$I$17,8,0),0)</f>
        <v>437.5</v>
      </c>
      <c r="L7" s="84">
        <f>+IF('6 - Calendrier'!M7&lt;&gt;"",VLOOKUP(L$6,'5 - Régime de travail'!$B$6:$I$17,8,0),0)</f>
        <v>437.5</v>
      </c>
      <c r="M7" s="84">
        <f>+IF('6 - Calendrier'!N7&lt;&gt;"",VLOOKUP(M$6,'5 - Régime de travail'!$B$6:$I$17,8,0),0)</f>
        <v>437.5</v>
      </c>
      <c r="N7" s="85">
        <f>+IF('6 - Calendrier'!O7&lt;&gt;"",VLOOKUP(N$6,'5 - Régime de travail'!$B$6:$I$17,8,0),0)</f>
        <v>437.5</v>
      </c>
    </row>
    <row r="8" spans="2:14" x14ac:dyDescent="0.25">
      <c r="B8" s="35">
        <f>+'6 - Calendrier'!C8</f>
        <v>45537</v>
      </c>
      <c r="C8" s="71">
        <f>+IF('6 - Calendrier'!D8&lt;&gt;"",VLOOKUP(C$6,'5 - Régime de travail'!$B$6:$I$17,8,0),0)</f>
        <v>0</v>
      </c>
      <c r="D8" s="72">
        <f>+IF('6 - Calendrier'!E8&lt;&gt;"",VLOOKUP(D$6,'5 - Régime de travail'!$B$6:$I$17,8,0),0)</f>
        <v>0</v>
      </c>
      <c r="E8" s="72">
        <f>+IF('6 - Calendrier'!F8&lt;&gt;"",VLOOKUP(E$6,'5 - Régime de travail'!$B$6:$I$17,8,0),0)</f>
        <v>0</v>
      </c>
      <c r="F8" s="72">
        <f>+IF('6 - Calendrier'!G8&lt;&gt;"",VLOOKUP(F$6,'5 - Régime de travail'!$B$6:$I$17,8,0),0)</f>
        <v>0</v>
      </c>
      <c r="G8" s="72">
        <f>+IF('6 - Calendrier'!H8&lt;&gt;"",VLOOKUP(G$6,'5 - Régime de travail'!$B$6:$I$17,8,0),0)</f>
        <v>0</v>
      </c>
      <c r="H8" s="72">
        <f>+IF('6 - Calendrier'!I8&lt;&gt;"",VLOOKUP(H$6,'5 - Régime de travail'!$B$6:$I$17,8,0),0)</f>
        <v>0</v>
      </c>
      <c r="I8" s="72">
        <f>+IF('6 - Calendrier'!J8&lt;&gt;"",VLOOKUP(I$6,'5 - Régime de travail'!$B$6:$I$17,8,0),0)</f>
        <v>0</v>
      </c>
      <c r="J8" s="72">
        <f>+IF('6 - Calendrier'!K8&lt;&gt;"",VLOOKUP(J$6,'5 - Régime de travail'!$B$6:$I$17,8,0),0)</f>
        <v>0</v>
      </c>
      <c r="K8" s="72">
        <f>+IF('6 - Calendrier'!L8&lt;&gt;"",VLOOKUP(K$6,'5 - Régime de travail'!$B$6:$I$17,8,0),0)</f>
        <v>0</v>
      </c>
      <c r="L8" s="72">
        <f>+IF('6 - Calendrier'!M8&lt;&gt;"",VLOOKUP(L$6,'5 - Régime de travail'!$B$6:$I$17,8,0),0)</f>
        <v>0</v>
      </c>
      <c r="M8" s="72">
        <f>+IF('6 - Calendrier'!N8&lt;&gt;"",VLOOKUP(M$6,'5 - Régime de travail'!$B$6:$I$17,8,0),0)</f>
        <v>0</v>
      </c>
      <c r="N8" s="73">
        <f>+IF('6 - Calendrier'!O8&lt;&gt;"",VLOOKUP(N$6,'5 - Régime de travail'!$B$6:$I$17,8,0),0)</f>
        <v>0</v>
      </c>
    </row>
    <row r="9" spans="2:14" x14ac:dyDescent="0.25">
      <c r="B9" s="35">
        <f>+'6 - Calendrier'!C9</f>
        <v>45538</v>
      </c>
      <c r="C9" s="71">
        <f>+IF('6 - Calendrier'!D9&lt;&gt;"",VLOOKUP(C$6,'5 - Régime de travail'!$B$6:$I$17,8,0),0)</f>
        <v>0</v>
      </c>
      <c r="D9" s="72">
        <f>+IF('6 - Calendrier'!E9&lt;&gt;"",VLOOKUP(D$6,'5 - Régime de travail'!$B$6:$I$17,8,0),0)</f>
        <v>0</v>
      </c>
      <c r="E9" s="72">
        <f>+IF('6 - Calendrier'!F9&lt;&gt;"",VLOOKUP(E$6,'5 - Régime de travail'!$B$6:$I$17,8,0),0)</f>
        <v>0</v>
      </c>
      <c r="F9" s="72">
        <f>+IF('6 - Calendrier'!G9&lt;&gt;"",VLOOKUP(F$6,'5 - Régime de travail'!$B$6:$I$17,8,0),0)</f>
        <v>0</v>
      </c>
      <c r="G9" s="72">
        <f>+IF('6 - Calendrier'!H9&lt;&gt;"",VLOOKUP(G$6,'5 - Régime de travail'!$B$6:$I$17,8,0),0)</f>
        <v>0</v>
      </c>
      <c r="H9" s="72">
        <f>+IF('6 - Calendrier'!I9&lt;&gt;"",VLOOKUP(H$6,'5 - Régime de travail'!$B$6:$I$17,8,0),0)</f>
        <v>0</v>
      </c>
      <c r="I9" s="72">
        <f>+IF('6 - Calendrier'!J9&lt;&gt;"",VLOOKUP(I$6,'5 - Régime de travail'!$B$6:$I$17,8,0),0)</f>
        <v>0</v>
      </c>
      <c r="J9" s="72">
        <f>+IF('6 - Calendrier'!K9&lt;&gt;"",VLOOKUP(J$6,'5 - Régime de travail'!$B$6:$I$17,8,0),0)</f>
        <v>0</v>
      </c>
      <c r="K9" s="72">
        <f>+IF('6 - Calendrier'!L9&lt;&gt;"",VLOOKUP(K$6,'5 - Régime de travail'!$B$6:$I$17,8,0),0)</f>
        <v>0</v>
      </c>
      <c r="L9" s="72">
        <f>+IF('6 - Calendrier'!M9&lt;&gt;"",VLOOKUP(L$6,'5 - Régime de travail'!$B$6:$I$17,8,0),0)</f>
        <v>0</v>
      </c>
      <c r="M9" s="72">
        <f>+IF('6 - Calendrier'!N9&lt;&gt;"",VLOOKUP(M$6,'5 - Régime de travail'!$B$6:$I$17,8,0),0)</f>
        <v>0</v>
      </c>
      <c r="N9" s="73">
        <f>+IF('6 - Calendrier'!O9&lt;&gt;"",VLOOKUP(N$6,'5 - Régime de travail'!$B$6:$I$17,8,0),0)</f>
        <v>0</v>
      </c>
    </row>
    <row r="10" spans="2:14" x14ac:dyDescent="0.25">
      <c r="B10" s="35">
        <f>+'6 - Calendrier'!C10</f>
        <v>45539</v>
      </c>
      <c r="C10" s="71">
        <f>+IF('6 - Calendrier'!D10&lt;&gt;"",VLOOKUP(C$6,'5 - Régime de travail'!$B$6:$I$17,8,0),0)</f>
        <v>0</v>
      </c>
      <c r="D10" s="72">
        <f>+IF('6 - Calendrier'!E10&lt;&gt;"",VLOOKUP(D$6,'5 - Régime de travail'!$B$6:$I$17,8,0),0)</f>
        <v>0</v>
      </c>
      <c r="E10" s="72">
        <f>+IF('6 - Calendrier'!F10&lt;&gt;"",VLOOKUP(E$6,'5 - Régime de travail'!$B$6:$I$17,8,0),0)</f>
        <v>0</v>
      </c>
      <c r="F10" s="72">
        <f>+IF('6 - Calendrier'!G10&lt;&gt;"",VLOOKUP(F$6,'5 - Régime de travail'!$B$6:$I$17,8,0),0)</f>
        <v>0</v>
      </c>
      <c r="G10" s="72">
        <f>+IF('6 - Calendrier'!H10&lt;&gt;"",VLOOKUP(G$6,'5 - Régime de travail'!$B$6:$I$17,8,0),0)</f>
        <v>0</v>
      </c>
      <c r="H10" s="72">
        <f>+IF('6 - Calendrier'!I10&lt;&gt;"",VLOOKUP(H$6,'5 - Régime de travail'!$B$6:$I$17,8,0),0)</f>
        <v>0</v>
      </c>
      <c r="I10" s="72">
        <f>+IF('6 - Calendrier'!J10&lt;&gt;"",VLOOKUP(I$6,'5 - Régime de travail'!$B$6:$I$17,8,0),0)</f>
        <v>0</v>
      </c>
      <c r="J10" s="72">
        <f>+IF('6 - Calendrier'!K10&lt;&gt;"",VLOOKUP(J$6,'5 - Régime de travail'!$B$6:$I$17,8,0),0)</f>
        <v>557.5</v>
      </c>
      <c r="K10" s="72">
        <f>+IF('6 - Calendrier'!L10&lt;&gt;"",VLOOKUP(K$6,'5 - Régime de travail'!$B$6:$I$17,8,0),0)</f>
        <v>437.5</v>
      </c>
      <c r="L10" s="72">
        <f>+IF('6 - Calendrier'!M10&lt;&gt;"",VLOOKUP(L$6,'5 - Régime de travail'!$B$6:$I$17,8,0),0)</f>
        <v>437.5</v>
      </c>
      <c r="M10" s="72">
        <f>+IF('6 - Calendrier'!N10&lt;&gt;"",VLOOKUP(M$6,'5 - Régime de travail'!$B$6:$I$17,8,0),0)</f>
        <v>437.5</v>
      </c>
      <c r="N10" s="73">
        <f>+IF('6 - Calendrier'!O10&lt;&gt;"",VLOOKUP(N$6,'5 - Régime de travail'!$B$6:$I$17,8,0),0)</f>
        <v>437.5</v>
      </c>
    </row>
    <row r="11" spans="2:14" x14ac:dyDescent="0.25">
      <c r="B11" s="35">
        <f>+'6 - Calendrier'!C11</f>
        <v>45540</v>
      </c>
      <c r="C11" s="71">
        <f>+IF('6 - Calendrier'!D11&lt;&gt;"",VLOOKUP(C$6,'5 - Régime de travail'!$B$6:$I$17,8,0),0)</f>
        <v>0</v>
      </c>
      <c r="D11" s="72">
        <f>+IF('6 - Calendrier'!E11&lt;&gt;"",VLOOKUP(D$6,'5 - Régime de travail'!$B$6:$I$17,8,0),0)</f>
        <v>0</v>
      </c>
      <c r="E11" s="72">
        <f>+IF('6 - Calendrier'!F11&lt;&gt;"",VLOOKUP(E$6,'5 - Régime de travail'!$B$6:$I$17,8,0),0)</f>
        <v>0</v>
      </c>
      <c r="F11" s="72">
        <f>+IF('6 - Calendrier'!G11&lt;&gt;"",VLOOKUP(F$6,'5 - Régime de travail'!$B$6:$I$17,8,0),0)</f>
        <v>0</v>
      </c>
      <c r="G11" s="72">
        <f>+IF('6 - Calendrier'!H11&lt;&gt;"",VLOOKUP(G$6,'5 - Régime de travail'!$B$6:$I$17,8,0),0)</f>
        <v>0</v>
      </c>
      <c r="H11" s="72">
        <f>+IF('6 - Calendrier'!I11&lt;&gt;"",VLOOKUP(H$6,'5 - Régime de travail'!$B$6:$I$17,8,0),0)</f>
        <v>0</v>
      </c>
      <c r="I11" s="72">
        <f>+IF('6 - Calendrier'!J11&lt;&gt;"",VLOOKUP(I$6,'5 - Régime de travail'!$B$6:$I$17,8,0),0)</f>
        <v>0</v>
      </c>
      <c r="J11" s="72">
        <f>+IF('6 - Calendrier'!K11&lt;&gt;"",VLOOKUP(J$6,'5 - Régime de travail'!$B$6:$I$17,8,0),0)</f>
        <v>557.5</v>
      </c>
      <c r="K11" s="72">
        <f>+IF('6 - Calendrier'!L11&lt;&gt;"",VLOOKUP(K$6,'5 - Régime de travail'!$B$6:$I$17,8,0),0)</f>
        <v>437.5</v>
      </c>
      <c r="L11" s="72">
        <f>+IF('6 - Calendrier'!M11&lt;&gt;"",VLOOKUP(L$6,'5 - Régime de travail'!$B$6:$I$17,8,0),0)</f>
        <v>437.5</v>
      </c>
      <c r="M11" s="72">
        <f>+IF('6 - Calendrier'!N11&lt;&gt;"",VLOOKUP(M$6,'5 - Régime de travail'!$B$6:$I$17,8,0),0)</f>
        <v>437.5</v>
      </c>
      <c r="N11" s="73">
        <f>+IF('6 - Calendrier'!O11&lt;&gt;"",VLOOKUP(N$6,'5 - Régime de travail'!$B$6:$I$17,8,0),0)</f>
        <v>437.5</v>
      </c>
    </row>
    <row r="12" spans="2:14" x14ac:dyDescent="0.25">
      <c r="B12" s="35">
        <f>+'6 - Calendrier'!C12</f>
        <v>45541</v>
      </c>
      <c r="C12" s="71">
        <f>+IF('6 - Calendrier'!D12&lt;&gt;"",VLOOKUP(C$6,'5 - Régime de travail'!$B$6:$I$17,8,0),0)</f>
        <v>0</v>
      </c>
      <c r="D12" s="72">
        <f>+IF('6 - Calendrier'!E12&lt;&gt;"",VLOOKUP(D$6,'5 - Régime de travail'!$B$6:$I$17,8,0),0)</f>
        <v>0</v>
      </c>
      <c r="E12" s="72">
        <f>+IF('6 - Calendrier'!F12&lt;&gt;"",VLOOKUP(E$6,'5 - Régime de travail'!$B$6:$I$17,8,0),0)</f>
        <v>0</v>
      </c>
      <c r="F12" s="72">
        <f>+IF('6 - Calendrier'!G12&lt;&gt;"",VLOOKUP(F$6,'5 - Régime de travail'!$B$6:$I$17,8,0),0)</f>
        <v>0</v>
      </c>
      <c r="G12" s="72">
        <f>+IF('6 - Calendrier'!H12&lt;&gt;"",VLOOKUP(G$6,'5 - Régime de travail'!$B$6:$I$17,8,0),0)</f>
        <v>0</v>
      </c>
      <c r="H12" s="72">
        <f>+IF('6 - Calendrier'!I12&lt;&gt;"",VLOOKUP(H$6,'5 - Régime de travail'!$B$6:$I$17,8,0),0)</f>
        <v>0</v>
      </c>
      <c r="I12" s="72">
        <f>+IF('6 - Calendrier'!J12&lt;&gt;"",VLOOKUP(I$6,'5 - Régime de travail'!$B$6:$I$17,8,0),0)</f>
        <v>0</v>
      </c>
      <c r="J12" s="72">
        <f>+IF('6 - Calendrier'!K12&lt;&gt;"",VLOOKUP(J$6,'5 - Régime de travail'!$B$6:$I$17,8,0),0)</f>
        <v>557.5</v>
      </c>
      <c r="K12" s="72">
        <f>+IF('6 - Calendrier'!L12&lt;&gt;"",VLOOKUP(K$6,'5 - Régime de travail'!$B$6:$I$17,8,0),0)</f>
        <v>437.5</v>
      </c>
      <c r="L12" s="72">
        <f>+IF('6 - Calendrier'!M12&lt;&gt;"",VLOOKUP(L$6,'5 - Régime de travail'!$B$6:$I$17,8,0),0)</f>
        <v>437.5</v>
      </c>
      <c r="M12" s="72">
        <f>+IF('6 - Calendrier'!N12&lt;&gt;"",VLOOKUP(M$6,'5 - Régime de travail'!$B$6:$I$17,8,0),0)</f>
        <v>437.5</v>
      </c>
      <c r="N12" s="73">
        <f>+IF('6 - Calendrier'!O12&lt;&gt;"",VLOOKUP(N$6,'5 - Régime de travail'!$B$6:$I$17,8,0),0)</f>
        <v>437.5</v>
      </c>
    </row>
    <row r="13" spans="2:14" x14ac:dyDescent="0.25">
      <c r="B13" s="35">
        <f>+'6 - Calendrier'!C13</f>
        <v>45542</v>
      </c>
      <c r="C13" s="71">
        <f>+IF('6 - Calendrier'!D13&lt;&gt;"",VLOOKUP(C$6,'5 - Régime de travail'!$B$6:$I$17,8,0),0)</f>
        <v>0</v>
      </c>
      <c r="D13" s="72">
        <f>+IF('6 - Calendrier'!E13&lt;&gt;"",VLOOKUP(D$6,'5 - Régime de travail'!$B$6:$I$17,8,0),0)</f>
        <v>0</v>
      </c>
      <c r="E13" s="72">
        <f>+IF('6 - Calendrier'!F13&lt;&gt;"",VLOOKUP(E$6,'5 - Régime de travail'!$B$6:$I$17,8,0),0)</f>
        <v>0</v>
      </c>
      <c r="F13" s="72">
        <f>+IF('6 - Calendrier'!G13&lt;&gt;"",VLOOKUP(F$6,'5 - Régime de travail'!$B$6:$I$17,8,0),0)</f>
        <v>0</v>
      </c>
      <c r="G13" s="72">
        <f>+IF('6 - Calendrier'!H13&lt;&gt;"",VLOOKUP(G$6,'5 - Régime de travail'!$B$6:$I$17,8,0),0)</f>
        <v>0</v>
      </c>
      <c r="H13" s="72">
        <f>+IF('6 - Calendrier'!I13&lt;&gt;"",VLOOKUP(H$6,'5 - Régime de travail'!$B$6:$I$17,8,0),0)</f>
        <v>0</v>
      </c>
      <c r="I13" s="72">
        <f>+IF('6 - Calendrier'!J13&lt;&gt;"",VLOOKUP(I$6,'5 - Régime de travail'!$B$6:$I$17,8,0),0)</f>
        <v>0</v>
      </c>
      <c r="J13" s="72">
        <f>+IF('6 - Calendrier'!K13&lt;&gt;"",VLOOKUP(J$6,'5 - Régime de travail'!$B$6:$I$17,8,0),0)</f>
        <v>557.5</v>
      </c>
      <c r="K13" s="72">
        <f>+IF('6 - Calendrier'!L13&lt;&gt;"",VLOOKUP(K$6,'5 - Régime de travail'!$B$6:$I$17,8,0),0)</f>
        <v>437.5</v>
      </c>
      <c r="L13" s="72">
        <f>+IF('6 - Calendrier'!M13&lt;&gt;"",VLOOKUP(L$6,'5 - Régime de travail'!$B$6:$I$17,8,0),0)</f>
        <v>437.5</v>
      </c>
      <c r="M13" s="72">
        <f>+IF('6 - Calendrier'!N13&lt;&gt;"",VLOOKUP(M$6,'5 - Régime de travail'!$B$6:$I$17,8,0),0)</f>
        <v>437.5</v>
      </c>
      <c r="N13" s="73">
        <f>+IF('6 - Calendrier'!O13&lt;&gt;"",VLOOKUP(N$6,'5 - Régime de travail'!$B$6:$I$17,8,0),0)</f>
        <v>437.5</v>
      </c>
    </row>
    <row r="14" spans="2:14" x14ac:dyDescent="0.25">
      <c r="B14" s="35">
        <f>+'6 - Calendrier'!C14</f>
        <v>45543</v>
      </c>
      <c r="C14" s="71">
        <f>+IF('6 - Calendrier'!D14&lt;&gt;"",VLOOKUP(C$6,'5 - Régime de travail'!$B$6:$I$17,8,0),0)</f>
        <v>0</v>
      </c>
      <c r="D14" s="72">
        <f>+IF('6 - Calendrier'!E14&lt;&gt;"",VLOOKUP(D$6,'5 - Régime de travail'!$B$6:$I$17,8,0),0)</f>
        <v>0</v>
      </c>
      <c r="E14" s="72">
        <f>+IF('6 - Calendrier'!F14&lt;&gt;"",VLOOKUP(E$6,'5 - Régime de travail'!$B$6:$I$17,8,0),0)</f>
        <v>0</v>
      </c>
      <c r="F14" s="72">
        <f>+IF('6 - Calendrier'!G14&lt;&gt;"",VLOOKUP(F$6,'5 - Régime de travail'!$B$6:$I$17,8,0),0)</f>
        <v>0</v>
      </c>
      <c r="G14" s="72">
        <f>+IF('6 - Calendrier'!H14&lt;&gt;"",VLOOKUP(G$6,'5 - Régime de travail'!$B$6:$I$17,8,0),0)</f>
        <v>0</v>
      </c>
      <c r="H14" s="72">
        <f>+IF('6 - Calendrier'!I14&lt;&gt;"",VLOOKUP(H$6,'5 - Régime de travail'!$B$6:$I$17,8,0),0)</f>
        <v>0</v>
      </c>
      <c r="I14" s="72">
        <f>+IF('6 - Calendrier'!J14&lt;&gt;"",VLOOKUP(I$6,'5 - Régime de travail'!$B$6:$I$17,8,0),0)</f>
        <v>0</v>
      </c>
      <c r="J14" s="72">
        <f>+IF('6 - Calendrier'!K14&lt;&gt;"",VLOOKUP(J$6,'5 - Régime de travail'!$B$6:$I$17,8,0),0)</f>
        <v>557.5</v>
      </c>
      <c r="K14" s="72">
        <f>+IF('6 - Calendrier'!L14&lt;&gt;"",VLOOKUP(K$6,'5 - Régime de travail'!$B$6:$I$17,8,0),0)</f>
        <v>437.5</v>
      </c>
      <c r="L14" s="72">
        <f>+IF('6 - Calendrier'!M14&lt;&gt;"",VLOOKUP(L$6,'5 - Régime de travail'!$B$6:$I$17,8,0),0)</f>
        <v>437.5</v>
      </c>
      <c r="M14" s="72">
        <f>+IF('6 - Calendrier'!N14&lt;&gt;"",VLOOKUP(M$6,'5 - Régime de travail'!$B$6:$I$17,8,0),0)</f>
        <v>437.5</v>
      </c>
      <c r="N14" s="73">
        <f>+IF('6 - Calendrier'!O14&lt;&gt;"",VLOOKUP(N$6,'5 - Régime de travail'!$B$6:$I$17,8,0),0)</f>
        <v>437.5</v>
      </c>
    </row>
    <row r="15" spans="2:14" x14ac:dyDescent="0.25">
      <c r="B15" s="35">
        <f>+'6 - Calendrier'!C15</f>
        <v>45544</v>
      </c>
      <c r="C15" s="71">
        <f>+IF('6 - Calendrier'!D15&lt;&gt;"",VLOOKUP(C$6,'5 - Régime de travail'!$B$6:$I$17,8,0),0)</f>
        <v>0</v>
      </c>
      <c r="D15" s="72">
        <f>+IF('6 - Calendrier'!E15&lt;&gt;"",VLOOKUP(D$6,'5 - Régime de travail'!$B$6:$I$17,8,0),0)</f>
        <v>0</v>
      </c>
      <c r="E15" s="72">
        <f>+IF('6 - Calendrier'!F15&lt;&gt;"",VLOOKUP(E$6,'5 - Régime de travail'!$B$6:$I$17,8,0),0)</f>
        <v>0</v>
      </c>
      <c r="F15" s="72">
        <f>+IF('6 - Calendrier'!G15&lt;&gt;"",VLOOKUP(F$6,'5 - Régime de travail'!$B$6:$I$17,8,0),0)</f>
        <v>0</v>
      </c>
      <c r="G15" s="72">
        <f>+IF('6 - Calendrier'!H15&lt;&gt;"",VLOOKUP(G$6,'5 - Régime de travail'!$B$6:$I$17,8,0),0)</f>
        <v>0</v>
      </c>
      <c r="H15" s="72">
        <f>+IF('6 - Calendrier'!I15&lt;&gt;"",VLOOKUP(H$6,'5 - Régime de travail'!$B$6:$I$17,8,0),0)</f>
        <v>0</v>
      </c>
      <c r="I15" s="72">
        <f>+IF('6 - Calendrier'!J15&lt;&gt;"",VLOOKUP(I$6,'5 - Régime de travail'!$B$6:$I$17,8,0),0)</f>
        <v>0</v>
      </c>
      <c r="J15" s="72">
        <f>+IF('6 - Calendrier'!K15&lt;&gt;"",VLOOKUP(J$6,'5 - Régime de travail'!$B$6:$I$17,8,0),0)</f>
        <v>0</v>
      </c>
      <c r="K15" s="72">
        <f>+IF('6 - Calendrier'!L15&lt;&gt;"",VLOOKUP(K$6,'5 - Régime de travail'!$B$6:$I$17,8,0),0)</f>
        <v>0</v>
      </c>
      <c r="L15" s="72">
        <f>+IF('6 - Calendrier'!M15&lt;&gt;"",VLOOKUP(L$6,'5 - Régime de travail'!$B$6:$I$17,8,0),0)</f>
        <v>0</v>
      </c>
      <c r="M15" s="72">
        <f>+IF('6 - Calendrier'!N15&lt;&gt;"",VLOOKUP(M$6,'5 - Régime de travail'!$B$6:$I$17,8,0),0)</f>
        <v>0</v>
      </c>
      <c r="N15" s="73">
        <f>+IF('6 - Calendrier'!O15&lt;&gt;"",VLOOKUP(N$6,'5 - Régime de travail'!$B$6:$I$17,8,0),0)</f>
        <v>0</v>
      </c>
    </row>
    <row r="16" spans="2:14" x14ac:dyDescent="0.25">
      <c r="B16" s="35">
        <f>+'6 - Calendrier'!C16</f>
        <v>45545</v>
      </c>
      <c r="C16" s="71">
        <f>+IF('6 - Calendrier'!D16&lt;&gt;"",VLOOKUP(C$6,'5 - Régime de travail'!$B$6:$I$17,8,0),0)</f>
        <v>0</v>
      </c>
      <c r="D16" s="72">
        <f>+IF('6 - Calendrier'!E16&lt;&gt;"",VLOOKUP(D$6,'5 - Régime de travail'!$B$6:$I$17,8,0),0)</f>
        <v>0</v>
      </c>
      <c r="E16" s="72">
        <f>+IF('6 - Calendrier'!F16&lt;&gt;"",VLOOKUP(E$6,'5 - Régime de travail'!$B$6:$I$17,8,0),0)</f>
        <v>0</v>
      </c>
      <c r="F16" s="72">
        <f>+IF('6 - Calendrier'!G16&lt;&gt;"",VLOOKUP(F$6,'5 - Régime de travail'!$B$6:$I$17,8,0),0)</f>
        <v>0</v>
      </c>
      <c r="G16" s="72">
        <f>+IF('6 - Calendrier'!H16&lt;&gt;"",VLOOKUP(G$6,'5 - Régime de travail'!$B$6:$I$17,8,0),0)</f>
        <v>0</v>
      </c>
      <c r="H16" s="72">
        <f>+IF('6 - Calendrier'!I16&lt;&gt;"",VLOOKUP(H$6,'5 - Régime de travail'!$B$6:$I$17,8,0),0)</f>
        <v>0</v>
      </c>
      <c r="I16" s="72">
        <f>+IF('6 - Calendrier'!J16&lt;&gt;"",VLOOKUP(I$6,'5 - Régime de travail'!$B$6:$I$17,8,0),0)</f>
        <v>0</v>
      </c>
      <c r="J16" s="72">
        <f>+IF('6 - Calendrier'!K16&lt;&gt;"",VLOOKUP(J$6,'5 - Régime de travail'!$B$6:$I$17,8,0),0)</f>
        <v>0</v>
      </c>
      <c r="K16" s="72">
        <f>+IF('6 - Calendrier'!L16&lt;&gt;"",VLOOKUP(K$6,'5 - Régime de travail'!$B$6:$I$17,8,0),0)</f>
        <v>0</v>
      </c>
      <c r="L16" s="72">
        <f>+IF('6 - Calendrier'!M16&lt;&gt;"",VLOOKUP(L$6,'5 - Régime de travail'!$B$6:$I$17,8,0),0)</f>
        <v>0</v>
      </c>
      <c r="M16" s="72">
        <f>+IF('6 - Calendrier'!N16&lt;&gt;"",VLOOKUP(M$6,'5 - Régime de travail'!$B$6:$I$17,8,0),0)</f>
        <v>0</v>
      </c>
      <c r="N16" s="73">
        <f>+IF('6 - Calendrier'!O16&lt;&gt;"",VLOOKUP(N$6,'5 - Régime de travail'!$B$6:$I$17,8,0),0)</f>
        <v>0</v>
      </c>
    </row>
    <row r="17" spans="2:14" x14ac:dyDescent="0.25">
      <c r="B17" s="35">
        <f>+'6 - Calendrier'!C17</f>
        <v>45546</v>
      </c>
      <c r="C17" s="71">
        <f>+IF('6 - Calendrier'!D17&lt;&gt;"",VLOOKUP(C$6,'5 - Régime de travail'!$B$6:$I$17,8,0),0)</f>
        <v>0</v>
      </c>
      <c r="D17" s="72">
        <f>+IF('6 - Calendrier'!E17&lt;&gt;"",VLOOKUP(D$6,'5 - Régime de travail'!$B$6:$I$17,8,0),0)</f>
        <v>0</v>
      </c>
      <c r="E17" s="72">
        <f>+IF('6 - Calendrier'!F17&lt;&gt;"",VLOOKUP(E$6,'5 - Régime de travail'!$B$6:$I$17,8,0),0)</f>
        <v>0</v>
      </c>
      <c r="F17" s="72">
        <f>+IF('6 - Calendrier'!G17&lt;&gt;"",VLOOKUP(F$6,'5 - Régime de travail'!$B$6:$I$17,8,0),0)</f>
        <v>0</v>
      </c>
      <c r="G17" s="72">
        <f>+IF('6 - Calendrier'!H17&lt;&gt;"",VLOOKUP(G$6,'5 - Régime de travail'!$B$6:$I$17,8,0),0)</f>
        <v>0</v>
      </c>
      <c r="H17" s="72">
        <f>+IF('6 - Calendrier'!I17&lt;&gt;"",VLOOKUP(H$6,'5 - Régime de travail'!$B$6:$I$17,8,0),0)</f>
        <v>0</v>
      </c>
      <c r="I17" s="72">
        <f>+IF('6 - Calendrier'!J17&lt;&gt;"",VLOOKUP(I$6,'5 - Régime de travail'!$B$6:$I$17,8,0),0)</f>
        <v>0</v>
      </c>
      <c r="J17" s="72">
        <f>+IF('6 - Calendrier'!K17&lt;&gt;"",VLOOKUP(J$6,'5 - Régime de travail'!$B$6:$I$17,8,0),0)</f>
        <v>557.5</v>
      </c>
      <c r="K17" s="72">
        <f>+IF('6 - Calendrier'!L17&lt;&gt;"",VLOOKUP(K$6,'5 - Régime de travail'!$B$6:$I$17,8,0),0)</f>
        <v>437.5</v>
      </c>
      <c r="L17" s="72">
        <f>+IF('6 - Calendrier'!M17&lt;&gt;"",VLOOKUP(L$6,'5 - Régime de travail'!$B$6:$I$17,8,0),0)</f>
        <v>437.5</v>
      </c>
      <c r="M17" s="72">
        <f>+IF('6 - Calendrier'!N17&lt;&gt;"",VLOOKUP(M$6,'5 - Régime de travail'!$B$6:$I$17,8,0),0)</f>
        <v>437.5</v>
      </c>
      <c r="N17" s="73">
        <f>+IF('6 - Calendrier'!O17&lt;&gt;"",VLOOKUP(N$6,'5 - Régime de travail'!$B$6:$I$17,8,0),0)</f>
        <v>437.5</v>
      </c>
    </row>
    <row r="18" spans="2:14" x14ac:dyDescent="0.25">
      <c r="B18" s="35">
        <f>+'6 - Calendrier'!C18</f>
        <v>45547</v>
      </c>
      <c r="C18" s="71">
        <f>+IF('6 - Calendrier'!D18&lt;&gt;"",VLOOKUP(C$6,'5 - Régime de travail'!$B$6:$I$17,8,0),0)</f>
        <v>0</v>
      </c>
      <c r="D18" s="72">
        <f>+IF('6 - Calendrier'!E18&lt;&gt;"",VLOOKUP(D$6,'5 - Régime de travail'!$B$6:$I$17,8,0),0)</f>
        <v>0</v>
      </c>
      <c r="E18" s="72">
        <f>+IF('6 - Calendrier'!F18&lt;&gt;"",VLOOKUP(E$6,'5 - Régime de travail'!$B$6:$I$17,8,0),0)</f>
        <v>0</v>
      </c>
      <c r="F18" s="72">
        <f>+IF('6 - Calendrier'!G18&lt;&gt;"",VLOOKUP(F$6,'5 - Régime de travail'!$B$6:$I$17,8,0),0)</f>
        <v>0</v>
      </c>
      <c r="G18" s="72">
        <f>+IF('6 - Calendrier'!H18&lt;&gt;"",VLOOKUP(G$6,'5 - Régime de travail'!$B$6:$I$17,8,0),0)</f>
        <v>0</v>
      </c>
      <c r="H18" s="72">
        <f>+IF('6 - Calendrier'!I18&lt;&gt;"",VLOOKUP(H$6,'5 - Régime de travail'!$B$6:$I$17,8,0),0)</f>
        <v>0</v>
      </c>
      <c r="I18" s="72">
        <f>+IF('6 - Calendrier'!J18&lt;&gt;"",VLOOKUP(I$6,'5 - Régime de travail'!$B$6:$I$17,8,0),0)</f>
        <v>0</v>
      </c>
      <c r="J18" s="72">
        <f>+IF('6 - Calendrier'!K18&lt;&gt;"",VLOOKUP(J$6,'5 - Régime de travail'!$B$6:$I$17,8,0),0)</f>
        <v>557.5</v>
      </c>
      <c r="K18" s="72">
        <f>+IF('6 - Calendrier'!L18&lt;&gt;"",VLOOKUP(K$6,'5 - Régime de travail'!$B$6:$I$17,8,0),0)</f>
        <v>437.5</v>
      </c>
      <c r="L18" s="72">
        <f>+IF('6 - Calendrier'!M18&lt;&gt;"",VLOOKUP(L$6,'5 - Régime de travail'!$B$6:$I$17,8,0),0)</f>
        <v>437.5</v>
      </c>
      <c r="M18" s="72">
        <f>+IF('6 - Calendrier'!N18&lt;&gt;"",VLOOKUP(M$6,'5 - Régime de travail'!$B$6:$I$17,8,0),0)</f>
        <v>437.5</v>
      </c>
      <c r="N18" s="73">
        <f>+IF('6 - Calendrier'!O18&lt;&gt;"",VLOOKUP(N$6,'5 - Régime de travail'!$B$6:$I$17,8,0),0)</f>
        <v>437.5</v>
      </c>
    </row>
    <row r="19" spans="2:14" x14ac:dyDescent="0.25">
      <c r="B19" s="35">
        <f>+'6 - Calendrier'!C19</f>
        <v>45548</v>
      </c>
      <c r="C19" s="86">
        <f>+IF('6 - Calendrier'!D19&lt;&gt;"",VLOOKUP(C$6,'5 - Régime de travail'!$B$6:$I$17,8,0),0)</f>
        <v>0</v>
      </c>
      <c r="D19" s="79">
        <f>+IF('6 - Calendrier'!E19&lt;&gt;"",VLOOKUP(D$6,'5 - Régime de travail'!$B$6:$I$17,8,0),0)</f>
        <v>0</v>
      </c>
      <c r="E19" s="79">
        <f>+IF('6 - Calendrier'!F19&lt;&gt;"",VLOOKUP(E$6,'5 - Régime de travail'!$B$6:$I$17,8,0),0)</f>
        <v>0</v>
      </c>
      <c r="F19" s="79">
        <f>+IF('6 - Calendrier'!G19&lt;&gt;"",VLOOKUP(F$6,'5 - Régime de travail'!$B$6:$I$17,8,0),0)</f>
        <v>0</v>
      </c>
      <c r="G19" s="79">
        <f>+IF('6 - Calendrier'!H19&lt;&gt;"",VLOOKUP(G$6,'5 - Régime de travail'!$B$6:$I$17,8,0),0)</f>
        <v>0</v>
      </c>
      <c r="H19" s="79">
        <f>+IF('6 - Calendrier'!I19&lt;&gt;"",VLOOKUP(H$6,'5 - Régime de travail'!$B$6:$I$17,8,0),0)</f>
        <v>0</v>
      </c>
      <c r="I19" s="79">
        <f>+IF('6 - Calendrier'!J19&lt;&gt;"",VLOOKUP(I$6,'5 - Régime de travail'!$B$6:$I$17,8,0),0)</f>
        <v>0</v>
      </c>
      <c r="J19" s="79">
        <f>+IF('6 - Calendrier'!K19&lt;&gt;"",VLOOKUP(J$6,'5 - Régime de travail'!$B$6:$I$17,8,0),0)</f>
        <v>557.5</v>
      </c>
      <c r="K19" s="79">
        <f>+IF('6 - Calendrier'!L19&lt;&gt;"",VLOOKUP(K$6,'5 - Régime de travail'!$B$6:$I$17,8,0),0)</f>
        <v>437.5</v>
      </c>
      <c r="L19" s="79">
        <f>+IF('6 - Calendrier'!M19&lt;&gt;"",VLOOKUP(L$6,'5 - Régime de travail'!$B$6:$I$17,8,0),0)</f>
        <v>437.5</v>
      </c>
      <c r="M19" s="79">
        <f>+IF('6 - Calendrier'!N19&lt;&gt;"",VLOOKUP(M$6,'5 - Régime de travail'!$B$6:$I$17,8,0),0)</f>
        <v>437.5</v>
      </c>
      <c r="N19" s="80">
        <f>+IF('6 - Calendrier'!O19&lt;&gt;"",VLOOKUP(N$6,'5 - Régime de travail'!$B$6:$I$17,8,0),0)</f>
        <v>437.5</v>
      </c>
    </row>
    <row r="20" spans="2:14" x14ac:dyDescent="0.25">
      <c r="B20" s="35">
        <f>+'6 - Calendrier'!C20</f>
        <v>45549</v>
      </c>
      <c r="C20" s="86">
        <f>+IF('6 - Calendrier'!D20&lt;&gt;"",VLOOKUP(C$6,'5 - Régime de travail'!$B$6:$I$17,8,0),0)</f>
        <v>0</v>
      </c>
      <c r="D20" s="79">
        <f>+IF('6 - Calendrier'!E20&lt;&gt;"",VLOOKUP(D$6,'5 - Régime de travail'!$B$6:$I$17,8,0),0)</f>
        <v>0</v>
      </c>
      <c r="E20" s="79">
        <f>+IF('6 - Calendrier'!F20&lt;&gt;"",VLOOKUP(E$6,'5 - Régime de travail'!$B$6:$I$17,8,0),0)</f>
        <v>0</v>
      </c>
      <c r="F20" s="79">
        <f>+IF('6 - Calendrier'!G20&lt;&gt;"",VLOOKUP(F$6,'5 - Régime de travail'!$B$6:$I$17,8,0),0)</f>
        <v>0</v>
      </c>
      <c r="G20" s="79">
        <f>+IF('6 - Calendrier'!H20&lt;&gt;"",VLOOKUP(G$6,'5 - Régime de travail'!$B$6:$I$17,8,0),0)</f>
        <v>0</v>
      </c>
      <c r="H20" s="79">
        <f>+IF('6 - Calendrier'!I20&lt;&gt;"",VLOOKUP(H$6,'5 - Régime de travail'!$B$6:$I$17,8,0),0)</f>
        <v>0</v>
      </c>
      <c r="I20" s="79">
        <f>+IF('6 - Calendrier'!J20&lt;&gt;"",VLOOKUP(I$6,'5 - Régime de travail'!$B$6:$I$17,8,0),0)</f>
        <v>0</v>
      </c>
      <c r="J20" s="79">
        <f>+IF('6 - Calendrier'!K20&lt;&gt;"",VLOOKUP(J$6,'5 - Régime de travail'!$B$6:$I$17,8,0),0)</f>
        <v>557.5</v>
      </c>
      <c r="K20" s="79">
        <f>+IF('6 - Calendrier'!L20&lt;&gt;"",VLOOKUP(K$6,'5 - Régime de travail'!$B$6:$I$17,8,0),0)</f>
        <v>437.5</v>
      </c>
      <c r="L20" s="79">
        <f>+IF('6 - Calendrier'!M20&lt;&gt;"",VLOOKUP(L$6,'5 - Régime de travail'!$B$6:$I$17,8,0),0)</f>
        <v>437.5</v>
      </c>
      <c r="M20" s="79">
        <f>+IF('6 - Calendrier'!N20&lt;&gt;"",VLOOKUP(M$6,'5 - Régime de travail'!$B$6:$I$17,8,0),0)</f>
        <v>437.5</v>
      </c>
      <c r="N20" s="80">
        <f>+IF('6 - Calendrier'!O20&lt;&gt;"",VLOOKUP(N$6,'5 - Régime de travail'!$B$6:$I$17,8,0),0)</f>
        <v>437.5</v>
      </c>
    </row>
    <row r="21" spans="2:14" x14ac:dyDescent="0.25">
      <c r="B21" s="35">
        <f>+'6 - Calendrier'!C21</f>
        <v>45550</v>
      </c>
      <c r="C21" s="86">
        <f>+IF('6 - Calendrier'!D21&lt;&gt;"",VLOOKUP(C$6,'5 - Régime de travail'!$B$6:$I$17,8,0),0)</f>
        <v>0</v>
      </c>
      <c r="D21" s="79">
        <f>+IF('6 - Calendrier'!E21&lt;&gt;"",VLOOKUP(D$6,'5 - Régime de travail'!$B$6:$I$17,8,0),0)</f>
        <v>0</v>
      </c>
      <c r="E21" s="79">
        <f>+IF('6 - Calendrier'!F21&lt;&gt;"",VLOOKUP(E$6,'5 - Régime de travail'!$B$6:$I$17,8,0),0)</f>
        <v>0</v>
      </c>
      <c r="F21" s="79">
        <f>+IF('6 - Calendrier'!G21&lt;&gt;"",VLOOKUP(F$6,'5 - Régime de travail'!$B$6:$I$17,8,0),0)</f>
        <v>0</v>
      </c>
      <c r="G21" s="79">
        <f>+IF('6 - Calendrier'!H21&lt;&gt;"",VLOOKUP(G$6,'5 - Régime de travail'!$B$6:$I$17,8,0),0)</f>
        <v>0</v>
      </c>
      <c r="H21" s="79">
        <f>+IF('6 - Calendrier'!I21&lt;&gt;"",VLOOKUP(H$6,'5 - Régime de travail'!$B$6:$I$17,8,0),0)</f>
        <v>0</v>
      </c>
      <c r="I21" s="79">
        <f>+IF('6 - Calendrier'!J21&lt;&gt;"",VLOOKUP(I$6,'5 - Régime de travail'!$B$6:$I$17,8,0),0)</f>
        <v>0</v>
      </c>
      <c r="J21" s="79">
        <f>+IF('6 - Calendrier'!K21&lt;&gt;"",VLOOKUP(J$6,'5 - Régime de travail'!$B$6:$I$17,8,0),0)</f>
        <v>557.5</v>
      </c>
      <c r="K21" s="79">
        <f>+IF('6 - Calendrier'!L21&lt;&gt;"",VLOOKUP(K$6,'5 - Régime de travail'!$B$6:$I$17,8,0),0)</f>
        <v>437.5</v>
      </c>
      <c r="L21" s="79">
        <f>+IF('6 - Calendrier'!M21&lt;&gt;"",VLOOKUP(L$6,'5 - Régime de travail'!$B$6:$I$17,8,0),0)</f>
        <v>437.5</v>
      </c>
      <c r="M21" s="79">
        <f>+IF('6 - Calendrier'!N21&lt;&gt;"",VLOOKUP(M$6,'5 - Régime de travail'!$B$6:$I$17,8,0),0)</f>
        <v>437.5</v>
      </c>
      <c r="N21" s="80">
        <f>+IF('6 - Calendrier'!O21&lt;&gt;"",VLOOKUP(N$6,'5 - Régime de travail'!$B$6:$I$17,8,0),0)</f>
        <v>437.5</v>
      </c>
    </row>
    <row r="22" spans="2:14" x14ac:dyDescent="0.25">
      <c r="B22" s="35">
        <f>+'6 - Calendrier'!C22</f>
        <v>45551</v>
      </c>
      <c r="C22" s="86">
        <f>+IF('6 - Calendrier'!D22&lt;&gt;"",VLOOKUP(C$6,'5 - Régime de travail'!$B$6:$I$17,8,0),0)</f>
        <v>0</v>
      </c>
      <c r="D22" s="79">
        <f>+IF('6 - Calendrier'!E22&lt;&gt;"",VLOOKUP(D$6,'5 - Régime de travail'!$B$6:$I$17,8,0),0)</f>
        <v>0</v>
      </c>
      <c r="E22" s="79">
        <f>+IF('6 - Calendrier'!F22&lt;&gt;"",VLOOKUP(E$6,'5 - Régime de travail'!$B$6:$I$17,8,0),0)</f>
        <v>0</v>
      </c>
      <c r="F22" s="79">
        <f>+IF('6 - Calendrier'!G22&lt;&gt;"",VLOOKUP(F$6,'5 - Régime de travail'!$B$6:$I$17,8,0),0)</f>
        <v>0</v>
      </c>
      <c r="G22" s="79">
        <f>+IF('6 - Calendrier'!H22&lt;&gt;"",VLOOKUP(G$6,'5 - Régime de travail'!$B$6:$I$17,8,0),0)</f>
        <v>0</v>
      </c>
      <c r="H22" s="79">
        <f>+IF('6 - Calendrier'!I22&lt;&gt;"",VLOOKUP(H$6,'5 - Régime de travail'!$B$6:$I$17,8,0),0)</f>
        <v>0</v>
      </c>
      <c r="I22" s="79">
        <f>+IF('6 - Calendrier'!J22&lt;&gt;"",VLOOKUP(I$6,'5 - Régime de travail'!$B$6:$I$17,8,0),0)</f>
        <v>0</v>
      </c>
      <c r="J22" s="79">
        <f>+IF('6 - Calendrier'!K22&lt;&gt;"",VLOOKUP(J$6,'5 - Régime de travail'!$B$6:$I$17,8,0),0)</f>
        <v>0</v>
      </c>
      <c r="K22" s="79">
        <f>+IF('6 - Calendrier'!L22&lt;&gt;"",VLOOKUP(K$6,'5 - Régime de travail'!$B$6:$I$17,8,0),0)</f>
        <v>0</v>
      </c>
      <c r="L22" s="79">
        <f>+IF('6 - Calendrier'!M22&lt;&gt;"",VLOOKUP(L$6,'5 - Régime de travail'!$B$6:$I$17,8,0),0)</f>
        <v>0</v>
      </c>
      <c r="M22" s="79">
        <f>+IF('6 - Calendrier'!N22&lt;&gt;"",VLOOKUP(M$6,'5 - Régime de travail'!$B$6:$I$17,8,0),0)</f>
        <v>0</v>
      </c>
      <c r="N22" s="80">
        <f>+IF('6 - Calendrier'!O22&lt;&gt;"",VLOOKUP(N$6,'5 - Régime de travail'!$B$6:$I$17,8,0),0)</f>
        <v>0</v>
      </c>
    </row>
    <row r="23" spans="2:14" x14ac:dyDescent="0.25">
      <c r="B23" s="35">
        <f>+'6 - Calendrier'!C23</f>
        <v>45552</v>
      </c>
      <c r="C23" s="86">
        <f>+IF('6 - Calendrier'!D23&lt;&gt;"",VLOOKUP(C$6,'5 - Régime de travail'!$B$6:$I$17,8,0),0)</f>
        <v>0</v>
      </c>
      <c r="D23" s="79">
        <f>+IF('6 - Calendrier'!E23&lt;&gt;"",VLOOKUP(D$6,'5 - Régime de travail'!$B$6:$I$17,8,0),0)</f>
        <v>0</v>
      </c>
      <c r="E23" s="79">
        <f>+IF('6 - Calendrier'!F23&lt;&gt;"",VLOOKUP(E$6,'5 - Régime de travail'!$B$6:$I$17,8,0),0)</f>
        <v>0</v>
      </c>
      <c r="F23" s="79">
        <f>+IF('6 - Calendrier'!G23&lt;&gt;"",VLOOKUP(F$6,'5 - Régime de travail'!$B$6:$I$17,8,0),0)</f>
        <v>0</v>
      </c>
      <c r="G23" s="79">
        <f>+IF('6 - Calendrier'!H23&lt;&gt;"",VLOOKUP(G$6,'5 - Régime de travail'!$B$6:$I$17,8,0),0)</f>
        <v>0</v>
      </c>
      <c r="H23" s="79">
        <f>+IF('6 - Calendrier'!I23&lt;&gt;"",VLOOKUP(H$6,'5 - Régime de travail'!$B$6:$I$17,8,0),0)</f>
        <v>0</v>
      </c>
      <c r="I23" s="79">
        <f>+IF('6 - Calendrier'!J23&lt;&gt;"",VLOOKUP(I$6,'5 - Régime de travail'!$B$6:$I$17,8,0),0)</f>
        <v>0</v>
      </c>
      <c r="J23" s="79">
        <f>+IF('6 - Calendrier'!K23&lt;&gt;"",VLOOKUP(J$6,'5 - Régime de travail'!$B$6:$I$17,8,0),0)</f>
        <v>0</v>
      </c>
      <c r="K23" s="79">
        <f>+IF('6 - Calendrier'!L23&lt;&gt;"",VLOOKUP(K$6,'5 - Régime de travail'!$B$6:$I$17,8,0),0)</f>
        <v>0</v>
      </c>
      <c r="L23" s="79">
        <f>+IF('6 - Calendrier'!M23&lt;&gt;"",VLOOKUP(L$6,'5 - Régime de travail'!$B$6:$I$17,8,0),0)</f>
        <v>0</v>
      </c>
      <c r="M23" s="79">
        <f>+IF('6 - Calendrier'!N23&lt;&gt;"",VLOOKUP(M$6,'5 - Régime de travail'!$B$6:$I$17,8,0),0)</f>
        <v>0</v>
      </c>
      <c r="N23" s="80">
        <f>+IF('6 - Calendrier'!O23&lt;&gt;"",VLOOKUP(N$6,'5 - Régime de travail'!$B$6:$I$17,8,0),0)</f>
        <v>0</v>
      </c>
    </row>
    <row r="24" spans="2:14" x14ac:dyDescent="0.25">
      <c r="B24" s="35">
        <f>+'6 - Calendrier'!C24</f>
        <v>45553</v>
      </c>
      <c r="C24" s="86">
        <f>+IF('6 - Calendrier'!D24&lt;&gt;"",VLOOKUP(C$6,'5 - Régime de travail'!$B$6:$I$17,8,0),0)</f>
        <v>0</v>
      </c>
      <c r="D24" s="79">
        <f>+IF('6 - Calendrier'!E24&lt;&gt;"",VLOOKUP(D$6,'5 - Régime de travail'!$B$6:$I$17,8,0),0)</f>
        <v>0</v>
      </c>
      <c r="E24" s="79">
        <f>+IF('6 - Calendrier'!F24&lt;&gt;"",VLOOKUP(E$6,'5 - Régime de travail'!$B$6:$I$17,8,0),0)</f>
        <v>0</v>
      </c>
      <c r="F24" s="79">
        <f>+IF('6 - Calendrier'!G24&lt;&gt;"",VLOOKUP(F$6,'5 - Régime de travail'!$B$6:$I$17,8,0),0)</f>
        <v>0</v>
      </c>
      <c r="G24" s="79">
        <f>+IF('6 - Calendrier'!H24&lt;&gt;"",VLOOKUP(G$6,'5 - Régime de travail'!$B$6:$I$17,8,0),0)</f>
        <v>0</v>
      </c>
      <c r="H24" s="79">
        <f>+IF('6 - Calendrier'!I24&lt;&gt;"",VLOOKUP(H$6,'5 - Régime de travail'!$B$6:$I$17,8,0),0)</f>
        <v>0</v>
      </c>
      <c r="I24" s="79">
        <f>+IF('6 - Calendrier'!J24&lt;&gt;"",VLOOKUP(I$6,'5 - Régime de travail'!$B$6:$I$17,8,0),0)</f>
        <v>0</v>
      </c>
      <c r="J24" s="79">
        <f>+IF('6 - Calendrier'!K24&lt;&gt;"",VLOOKUP(J$6,'5 - Régime de travail'!$B$6:$I$17,8,0),0)</f>
        <v>557.5</v>
      </c>
      <c r="K24" s="79">
        <f>+IF('6 - Calendrier'!L24&lt;&gt;"",VLOOKUP(K$6,'5 - Régime de travail'!$B$6:$I$17,8,0),0)</f>
        <v>437.5</v>
      </c>
      <c r="L24" s="79">
        <f>+IF('6 - Calendrier'!M24&lt;&gt;"",VLOOKUP(L$6,'5 - Régime de travail'!$B$6:$I$17,8,0),0)</f>
        <v>437.5</v>
      </c>
      <c r="M24" s="79">
        <f>+IF('6 - Calendrier'!N24&lt;&gt;"",VLOOKUP(M$6,'5 - Régime de travail'!$B$6:$I$17,8,0),0)</f>
        <v>437.5</v>
      </c>
      <c r="N24" s="80">
        <f>+IF('6 - Calendrier'!O24&lt;&gt;"",VLOOKUP(N$6,'5 - Régime de travail'!$B$6:$I$17,8,0),0)</f>
        <v>437.5</v>
      </c>
    </row>
    <row r="25" spans="2:14" x14ac:dyDescent="0.25">
      <c r="B25" s="35">
        <f>+'6 - Calendrier'!C25</f>
        <v>45554</v>
      </c>
      <c r="C25" s="71">
        <f>+IF('6 - Calendrier'!D25&lt;&gt;"",VLOOKUP(C$6,'5 - Régime de travail'!$B$6:$I$17,8,0),0)</f>
        <v>0</v>
      </c>
      <c r="D25" s="72">
        <f>+IF('6 - Calendrier'!E25&lt;&gt;"",VLOOKUP(D$6,'5 - Régime de travail'!$B$6:$I$17,8,0),0)</f>
        <v>0</v>
      </c>
      <c r="E25" s="72">
        <f>+IF('6 - Calendrier'!F25&lt;&gt;"",VLOOKUP(E$6,'5 - Régime de travail'!$B$6:$I$17,8,0),0)</f>
        <v>0</v>
      </c>
      <c r="F25" s="72">
        <f>+IF('6 - Calendrier'!G25&lt;&gt;"",VLOOKUP(F$6,'5 - Régime de travail'!$B$6:$I$17,8,0),0)</f>
        <v>0</v>
      </c>
      <c r="G25" s="72">
        <f>+IF('6 - Calendrier'!H25&lt;&gt;"",VLOOKUP(G$6,'5 - Régime de travail'!$B$6:$I$17,8,0),0)</f>
        <v>0</v>
      </c>
      <c r="H25" s="72">
        <f>+IF('6 - Calendrier'!I25&lt;&gt;"",VLOOKUP(H$6,'5 - Régime de travail'!$B$6:$I$17,8,0),0)</f>
        <v>0</v>
      </c>
      <c r="I25" s="72">
        <f>+IF('6 - Calendrier'!J25&lt;&gt;"",VLOOKUP(I$6,'5 - Régime de travail'!$B$6:$I$17,8,0),0)</f>
        <v>0</v>
      </c>
      <c r="J25" s="72">
        <f>+IF('6 - Calendrier'!K25&lt;&gt;"",VLOOKUP(J$6,'5 - Régime de travail'!$B$6:$I$17,8,0),0)</f>
        <v>0</v>
      </c>
      <c r="K25" s="72">
        <f>+IF('6 - Calendrier'!L25&lt;&gt;"",VLOOKUP(K$6,'5 - Régime de travail'!$B$6:$I$17,8,0),0)</f>
        <v>0</v>
      </c>
      <c r="L25" s="72">
        <f>+IF('6 - Calendrier'!M25&lt;&gt;"",VLOOKUP(L$6,'5 - Régime de travail'!$B$6:$I$17,8,0),0)</f>
        <v>0</v>
      </c>
      <c r="M25" s="72">
        <f>+IF('6 - Calendrier'!N25&lt;&gt;"",VLOOKUP(M$6,'5 - Régime de travail'!$B$6:$I$17,8,0),0)</f>
        <v>0</v>
      </c>
      <c r="N25" s="73">
        <f>+IF('6 - Calendrier'!O25&lt;&gt;"",VLOOKUP(N$6,'5 - Régime de travail'!$B$6:$I$17,8,0),0)</f>
        <v>0</v>
      </c>
    </row>
    <row r="26" spans="2:14" x14ac:dyDescent="0.25">
      <c r="B26" s="35">
        <f>+'6 - Calendrier'!C26</f>
        <v>45555</v>
      </c>
      <c r="C26" s="86">
        <f>+IF('6 - Calendrier'!D26&lt;&gt;"",VLOOKUP(C$6,'5 - Régime de travail'!$B$6:$I$17,8,0),0)</f>
        <v>0</v>
      </c>
      <c r="D26" s="79">
        <f>+IF('6 - Calendrier'!E26&lt;&gt;"",VLOOKUP(D$6,'5 - Régime de travail'!$B$6:$I$17,8,0),0)</f>
        <v>0</v>
      </c>
      <c r="E26" s="79">
        <f>+IF('6 - Calendrier'!F26&lt;&gt;"",VLOOKUP(E$6,'5 - Régime de travail'!$B$6:$I$17,8,0),0)</f>
        <v>0</v>
      </c>
      <c r="F26" s="79">
        <f>+IF('6 - Calendrier'!G26&lt;&gt;"",VLOOKUP(F$6,'5 - Régime de travail'!$B$6:$I$17,8,0),0)</f>
        <v>0</v>
      </c>
      <c r="G26" s="79">
        <f>+IF('6 - Calendrier'!H26&lt;&gt;"",VLOOKUP(G$6,'5 - Régime de travail'!$B$6:$I$17,8,0),0)</f>
        <v>0</v>
      </c>
      <c r="H26" s="79">
        <f>+IF('6 - Calendrier'!I26&lt;&gt;"",VLOOKUP(H$6,'5 - Régime de travail'!$B$6:$I$17,8,0),0)</f>
        <v>0</v>
      </c>
      <c r="I26" s="79">
        <f>+IF('6 - Calendrier'!J26&lt;&gt;"",VLOOKUP(I$6,'5 - Régime de travail'!$B$6:$I$17,8,0),0)</f>
        <v>0</v>
      </c>
      <c r="J26" s="79">
        <f>+IF('6 - Calendrier'!K26&lt;&gt;"",VLOOKUP(J$6,'5 - Régime de travail'!$B$6:$I$17,8,0),0)</f>
        <v>0</v>
      </c>
      <c r="K26" s="79">
        <f>+IF('6 - Calendrier'!L26&lt;&gt;"",VLOOKUP(K$6,'5 - Régime de travail'!$B$6:$I$17,8,0),0)</f>
        <v>0</v>
      </c>
      <c r="L26" s="79">
        <f>+IF('6 - Calendrier'!M26&lt;&gt;"",VLOOKUP(L$6,'5 - Régime de travail'!$B$6:$I$17,8,0),0)</f>
        <v>0</v>
      </c>
      <c r="M26" s="79">
        <f>+IF('6 - Calendrier'!N26&lt;&gt;"",VLOOKUP(M$6,'5 - Régime de travail'!$B$6:$I$17,8,0),0)</f>
        <v>0</v>
      </c>
      <c r="N26" s="80">
        <f>+IF('6 - Calendrier'!O26&lt;&gt;"",VLOOKUP(N$6,'5 - Régime de travail'!$B$6:$I$17,8,0),0)</f>
        <v>0</v>
      </c>
    </row>
    <row r="27" spans="2:14" x14ac:dyDescent="0.25">
      <c r="B27" s="35">
        <f>+'6 - Calendrier'!C27</f>
        <v>45556</v>
      </c>
      <c r="C27" s="86">
        <f>+IF('6 - Calendrier'!D27&lt;&gt;"",VLOOKUP(C$6,'5 - Régime de travail'!$B$6:$I$17,8,0),0)</f>
        <v>0</v>
      </c>
      <c r="D27" s="79">
        <f>+IF('6 - Calendrier'!E27&lt;&gt;"",VLOOKUP(D$6,'5 - Régime de travail'!$B$6:$I$17,8,0),0)</f>
        <v>0</v>
      </c>
      <c r="E27" s="79">
        <f>+IF('6 - Calendrier'!F27&lt;&gt;"",VLOOKUP(E$6,'5 - Régime de travail'!$B$6:$I$17,8,0),0)</f>
        <v>0</v>
      </c>
      <c r="F27" s="79">
        <f>+IF('6 - Calendrier'!G27&lt;&gt;"",VLOOKUP(F$6,'5 - Régime de travail'!$B$6:$I$17,8,0),0)</f>
        <v>0</v>
      </c>
      <c r="G27" s="79">
        <f>+IF('6 - Calendrier'!H27&lt;&gt;"",VLOOKUP(G$6,'5 - Régime de travail'!$B$6:$I$17,8,0),0)</f>
        <v>0</v>
      </c>
      <c r="H27" s="79">
        <f>+IF('6 - Calendrier'!I27&lt;&gt;"",VLOOKUP(H$6,'5 - Régime de travail'!$B$6:$I$17,8,0),0)</f>
        <v>0</v>
      </c>
      <c r="I27" s="79">
        <f>+IF('6 - Calendrier'!J27&lt;&gt;"",VLOOKUP(I$6,'5 - Régime de travail'!$B$6:$I$17,8,0),0)</f>
        <v>0</v>
      </c>
      <c r="J27" s="79">
        <f>+IF('6 - Calendrier'!K27&lt;&gt;"",VLOOKUP(J$6,'5 - Régime de travail'!$B$6:$I$17,8,0),0)</f>
        <v>557.5</v>
      </c>
      <c r="K27" s="79">
        <f>+IF('6 - Calendrier'!L27&lt;&gt;"",VLOOKUP(K$6,'5 - Régime de travail'!$B$6:$I$17,8,0),0)</f>
        <v>437.5</v>
      </c>
      <c r="L27" s="79">
        <f>+IF('6 - Calendrier'!M27&lt;&gt;"",VLOOKUP(L$6,'5 - Régime de travail'!$B$6:$I$17,8,0),0)</f>
        <v>437.5</v>
      </c>
      <c r="M27" s="79">
        <f>+IF('6 - Calendrier'!N27&lt;&gt;"",VLOOKUP(M$6,'5 - Régime de travail'!$B$6:$I$17,8,0),0)</f>
        <v>437.5</v>
      </c>
      <c r="N27" s="80">
        <f>+IF('6 - Calendrier'!O27&lt;&gt;"",VLOOKUP(N$6,'5 - Régime de travail'!$B$6:$I$17,8,0),0)</f>
        <v>437.5</v>
      </c>
    </row>
    <row r="28" spans="2:14" x14ac:dyDescent="0.25">
      <c r="B28" s="35">
        <f>+'6 - Calendrier'!C28</f>
        <v>45557</v>
      </c>
      <c r="C28" s="86">
        <f>+IF('6 - Calendrier'!D28&lt;&gt;"",VLOOKUP(C$6,'5 - Régime de travail'!$B$6:$I$17,8,0),0)</f>
        <v>0</v>
      </c>
      <c r="D28" s="79">
        <f>+IF('6 - Calendrier'!E28&lt;&gt;"",VLOOKUP(D$6,'5 - Régime de travail'!$B$6:$I$17,8,0),0)</f>
        <v>0</v>
      </c>
      <c r="E28" s="79">
        <f>+IF('6 - Calendrier'!F28&lt;&gt;"",VLOOKUP(E$6,'5 - Régime de travail'!$B$6:$I$17,8,0),0)</f>
        <v>0</v>
      </c>
      <c r="F28" s="79">
        <f>+IF('6 - Calendrier'!G28&lt;&gt;"",VLOOKUP(F$6,'5 - Régime de travail'!$B$6:$I$17,8,0),0)</f>
        <v>0</v>
      </c>
      <c r="G28" s="79">
        <f>+IF('6 - Calendrier'!H28&lt;&gt;"",VLOOKUP(G$6,'5 - Régime de travail'!$B$6:$I$17,8,0),0)</f>
        <v>0</v>
      </c>
      <c r="H28" s="79">
        <f>+IF('6 - Calendrier'!I28&lt;&gt;"",VLOOKUP(H$6,'5 - Régime de travail'!$B$6:$I$17,8,0),0)</f>
        <v>0</v>
      </c>
      <c r="I28" s="79">
        <f>+IF('6 - Calendrier'!J28&lt;&gt;"",VLOOKUP(I$6,'5 - Régime de travail'!$B$6:$I$17,8,0),0)</f>
        <v>0</v>
      </c>
      <c r="J28" s="79">
        <f>+IF('6 - Calendrier'!K28&lt;&gt;"",VLOOKUP(J$6,'5 - Régime de travail'!$B$6:$I$17,8,0),0)</f>
        <v>557.5</v>
      </c>
      <c r="K28" s="79">
        <f>+IF('6 - Calendrier'!L28&lt;&gt;"",VLOOKUP(K$6,'5 - Régime de travail'!$B$6:$I$17,8,0),0)</f>
        <v>437.5</v>
      </c>
      <c r="L28" s="79">
        <f>+IF('6 - Calendrier'!M28&lt;&gt;"",VLOOKUP(L$6,'5 - Régime de travail'!$B$6:$I$17,8,0),0)</f>
        <v>437.5</v>
      </c>
      <c r="M28" s="79">
        <f>+IF('6 - Calendrier'!N28&lt;&gt;"",VLOOKUP(M$6,'5 - Régime de travail'!$B$6:$I$17,8,0),0)</f>
        <v>437.5</v>
      </c>
      <c r="N28" s="80">
        <f>+IF('6 - Calendrier'!O28&lt;&gt;"",VLOOKUP(N$6,'5 - Régime de travail'!$B$6:$I$17,8,0),0)</f>
        <v>437.5</v>
      </c>
    </row>
    <row r="29" spans="2:14" x14ac:dyDescent="0.25">
      <c r="B29" s="35">
        <f>+'6 - Calendrier'!C29</f>
        <v>45558</v>
      </c>
      <c r="C29" s="86">
        <f>+IF('6 - Calendrier'!D29&lt;&gt;"",VLOOKUP(C$6,'5 - Régime de travail'!$B$6:$I$17,8,0),0)</f>
        <v>0</v>
      </c>
      <c r="D29" s="79">
        <f>+IF('6 - Calendrier'!E29&lt;&gt;"",VLOOKUP(D$6,'5 - Régime de travail'!$B$6:$I$17,8,0),0)</f>
        <v>0</v>
      </c>
      <c r="E29" s="79">
        <f>+IF('6 - Calendrier'!F29&lt;&gt;"",VLOOKUP(E$6,'5 - Régime de travail'!$B$6:$I$17,8,0),0)</f>
        <v>0</v>
      </c>
      <c r="F29" s="79">
        <f>+IF('6 - Calendrier'!G29&lt;&gt;"",VLOOKUP(F$6,'5 - Régime de travail'!$B$6:$I$17,8,0),0)</f>
        <v>0</v>
      </c>
      <c r="G29" s="79">
        <f>+IF('6 - Calendrier'!H29&lt;&gt;"",VLOOKUP(G$6,'5 - Régime de travail'!$B$6:$I$17,8,0),0)</f>
        <v>0</v>
      </c>
      <c r="H29" s="79">
        <f>+IF('6 - Calendrier'!I29&lt;&gt;"",VLOOKUP(H$6,'5 - Régime de travail'!$B$6:$I$17,8,0),0)</f>
        <v>0</v>
      </c>
      <c r="I29" s="79">
        <f>+IF('6 - Calendrier'!J29&lt;&gt;"",VLOOKUP(I$6,'5 - Régime de travail'!$B$6:$I$17,8,0),0)</f>
        <v>0</v>
      </c>
      <c r="J29" s="79">
        <f>+IF('6 - Calendrier'!K29&lt;&gt;"",VLOOKUP(J$6,'5 - Régime de travail'!$B$6:$I$17,8,0),0)</f>
        <v>0</v>
      </c>
      <c r="K29" s="79">
        <f>+IF('6 - Calendrier'!L29&lt;&gt;"",VLOOKUP(K$6,'5 - Régime de travail'!$B$6:$I$17,8,0),0)</f>
        <v>0</v>
      </c>
      <c r="L29" s="79">
        <f>+IF('6 - Calendrier'!M29&lt;&gt;"",VLOOKUP(L$6,'5 - Régime de travail'!$B$6:$I$17,8,0),0)</f>
        <v>0</v>
      </c>
      <c r="M29" s="79">
        <f>+IF('6 - Calendrier'!N29&lt;&gt;"",VLOOKUP(M$6,'5 - Régime de travail'!$B$6:$I$17,8,0),0)</f>
        <v>0</v>
      </c>
      <c r="N29" s="80">
        <f>+IF('6 - Calendrier'!O29&lt;&gt;"",VLOOKUP(N$6,'5 - Régime de travail'!$B$6:$I$17,8,0),0)</f>
        <v>0</v>
      </c>
    </row>
    <row r="30" spans="2:14" x14ac:dyDescent="0.25">
      <c r="B30" s="35">
        <f>+'6 - Calendrier'!C30</f>
        <v>45559</v>
      </c>
      <c r="C30" s="86">
        <f>+IF('6 - Calendrier'!D30&lt;&gt;"",VLOOKUP(C$6,'5 - Régime de travail'!$B$6:$I$17,8,0),0)</f>
        <v>0</v>
      </c>
      <c r="D30" s="79">
        <f>+IF('6 - Calendrier'!E30&lt;&gt;"",VLOOKUP(D$6,'5 - Régime de travail'!$B$6:$I$17,8,0),0)</f>
        <v>0</v>
      </c>
      <c r="E30" s="79">
        <f>+IF('6 - Calendrier'!F30&lt;&gt;"",VLOOKUP(E$6,'5 - Régime de travail'!$B$6:$I$17,8,0),0)</f>
        <v>0</v>
      </c>
      <c r="F30" s="79">
        <f>+IF('6 - Calendrier'!G30&lt;&gt;"",VLOOKUP(F$6,'5 - Régime de travail'!$B$6:$I$17,8,0),0)</f>
        <v>0</v>
      </c>
      <c r="G30" s="79">
        <f>+IF('6 - Calendrier'!H30&lt;&gt;"",VLOOKUP(G$6,'5 - Régime de travail'!$B$6:$I$17,8,0),0)</f>
        <v>0</v>
      </c>
      <c r="H30" s="79">
        <f>+IF('6 - Calendrier'!I30&lt;&gt;"",VLOOKUP(H$6,'5 - Régime de travail'!$B$6:$I$17,8,0),0)</f>
        <v>0</v>
      </c>
      <c r="I30" s="79">
        <f>+IF('6 - Calendrier'!J30&lt;&gt;"",VLOOKUP(I$6,'5 - Régime de travail'!$B$6:$I$17,8,0),0)</f>
        <v>0</v>
      </c>
      <c r="J30" s="79">
        <f>+IF('6 - Calendrier'!K30&lt;&gt;"",VLOOKUP(J$6,'5 - Régime de travail'!$B$6:$I$17,8,0),0)</f>
        <v>0</v>
      </c>
      <c r="K30" s="79">
        <f>+IF('6 - Calendrier'!L30&lt;&gt;"",VLOOKUP(K$6,'5 - Régime de travail'!$B$6:$I$17,8,0),0)</f>
        <v>0</v>
      </c>
      <c r="L30" s="79">
        <f>+IF('6 - Calendrier'!M30&lt;&gt;"",VLOOKUP(L$6,'5 - Régime de travail'!$B$6:$I$17,8,0),0)</f>
        <v>0</v>
      </c>
      <c r="M30" s="79">
        <f>+IF('6 - Calendrier'!N30&lt;&gt;"",VLOOKUP(M$6,'5 - Régime de travail'!$B$6:$I$17,8,0),0)</f>
        <v>0</v>
      </c>
      <c r="N30" s="80">
        <f>+IF('6 - Calendrier'!O30&lt;&gt;"",VLOOKUP(N$6,'5 - Régime de travail'!$B$6:$I$17,8,0),0)</f>
        <v>0</v>
      </c>
    </row>
    <row r="31" spans="2:14" x14ac:dyDescent="0.25">
      <c r="B31" s="35">
        <f>+'6 - Calendrier'!C31</f>
        <v>45560</v>
      </c>
      <c r="C31" s="86">
        <f>+IF('6 - Calendrier'!D31&lt;&gt;"",VLOOKUP(C$6,'5 - Régime de travail'!$B$6:$I$17,8,0),0)</f>
        <v>0</v>
      </c>
      <c r="D31" s="79">
        <f>+IF('6 - Calendrier'!E31&lt;&gt;"",VLOOKUP(D$6,'5 - Régime de travail'!$B$6:$I$17,8,0),0)</f>
        <v>0</v>
      </c>
      <c r="E31" s="79">
        <f>+IF('6 - Calendrier'!F31&lt;&gt;"",VLOOKUP(E$6,'5 - Régime de travail'!$B$6:$I$17,8,0),0)</f>
        <v>0</v>
      </c>
      <c r="F31" s="79">
        <f>+IF('6 - Calendrier'!G31&lt;&gt;"",VLOOKUP(F$6,'5 - Régime de travail'!$B$6:$I$17,8,0),0)</f>
        <v>0</v>
      </c>
      <c r="G31" s="79">
        <f>+IF('6 - Calendrier'!H31&lt;&gt;"",VLOOKUP(G$6,'5 - Régime de travail'!$B$6:$I$17,8,0),0)</f>
        <v>0</v>
      </c>
      <c r="H31" s="79">
        <f>+IF('6 - Calendrier'!I31&lt;&gt;"",VLOOKUP(H$6,'5 - Régime de travail'!$B$6:$I$17,8,0),0)</f>
        <v>0</v>
      </c>
      <c r="I31" s="79">
        <f>+IF('6 - Calendrier'!J31&lt;&gt;"",VLOOKUP(I$6,'5 - Régime de travail'!$B$6:$I$17,8,0),0)</f>
        <v>0</v>
      </c>
      <c r="J31" s="79">
        <f>+IF('6 - Calendrier'!K31&lt;&gt;"",VLOOKUP(J$6,'5 - Régime de travail'!$B$6:$I$17,8,0),0)</f>
        <v>557.5</v>
      </c>
      <c r="K31" s="79">
        <f>+IF('6 - Calendrier'!L31&lt;&gt;"",VLOOKUP(K$6,'5 - Régime de travail'!$B$6:$I$17,8,0),0)</f>
        <v>437.5</v>
      </c>
      <c r="L31" s="79">
        <f>+IF('6 - Calendrier'!M31&lt;&gt;"",VLOOKUP(L$6,'5 - Régime de travail'!$B$6:$I$17,8,0),0)</f>
        <v>437.5</v>
      </c>
      <c r="M31" s="79">
        <f>+IF('6 - Calendrier'!N31&lt;&gt;"",VLOOKUP(M$6,'5 - Régime de travail'!$B$6:$I$17,8,0),0)</f>
        <v>437.5</v>
      </c>
      <c r="N31" s="80">
        <f>+IF('6 - Calendrier'!O31&lt;&gt;"",VLOOKUP(N$6,'5 - Régime de travail'!$B$6:$I$17,8,0),0)</f>
        <v>437.5</v>
      </c>
    </row>
    <row r="32" spans="2:14" x14ac:dyDescent="0.25">
      <c r="B32" s="35">
        <f>+'6 - Calendrier'!C32</f>
        <v>45561</v>
      </c>
      <c r="C32" s="71">
        <f>+IF('6 - Calendrier'!D32&lt;&gt;"",VLOOKUP(C$6,'5 - Régime de travail'!$B$6:$I$17,8,0),0)</f>
        <v>0</v>
      </c>
      <c r="D32" s="72">
        <f>+IF('6 - Calendrier'!E32&lt;&gt;"",VLOOKUP(D$6,'5 - Régime de travail'!$B$6:$I$17,8,0),0)</f>
        <v>0</v>
      </c>
      <c r="E32" s="72">
        <f>+IF('6 - Calendrier'!F32&lt;&gt;"",VLOOKUP(E$6,'5 - Régime de travail'!$B$6:$I$17,8,0),0)</f>
        <v>0</v>
      </c>
      <c r="F32" s="72">
        <f>+IF('6 - Calendrier'!G32&lt;&gt;"",VLOOKUP(F$6,'5 - Régime de travail'!$B$6:$I$17,8,0),0)</f>
        <v>0</v>
      </c>
      <c r="G32" s="72">
        <f>+IF('6 - Calendrier'!H32&lt;&gt;"",VLOOKUP(G$6,'5 - Régime de travail'!$B$6:$I$17,8,0),0)</f>
        <v>0</v>
      </c>
      <c r="H32" s="72">
        <f>+IF('6 - Calendrier'!I32&lt;&gt;"",VLOOKUP(H$6,'5 - Régime de travail'!$B$6:$I$17,8,0),0)</f>
        <v>0</v>
      </c>
      <c r="I32" s="72">
        <f>+IF('6 - Calendrier'!J32&lt;&gt;"",VLOOKUP(I$6,'5 - Régime de travail'!$B$6:$I$17,8,0),0)</f>
        <v>0</v>
      </c>
      <c r="J32" s="72">
        <f>+IF('6 - Calendrier'!K32&lt;&gt;"",VLOOKUP(J$6,'5 - Régime de travail'!$B$6:$I$17,8,0),0)</f>
        <v>557.5</v>
      </c>
      <c r="K32" s="72">
        <f>+IF('6 - Calendrier'!L32&lt;&gt;"",VLOOKUP(K$6,'5 - Régime de travail'!$B$6:$I$17,8,0),0)</f>
        <v>437.5</v>
      </c>
      <c r="L32" s="72">
        <f>+IF('6 - Calendrier'!M32&lt;&gt;"",VLOOKUP(L$6,'5 - Régime de travail'!$B$6:$I$17,8,0),0)</f>
        <v>437.5</v>
      </c>
      <c r="M32" s="72">
        <f>+IF('6 - Calendrier'!N32&lt;&gt;"",VLOOKUP(M$6,'5 - Régime de travail'!$B$6:$I$17,8,0),0)</f>
        <v>437.5</v>
      </c>
      <c r="N32" s="73">
        <f>+IF('6 - Calendrier'!O32&lt;&gt;"",VLOOKUP(N$6,'5 - Régime de travail'!$B$6:$I$17,8,0),0)</f>
        <v>437.5</v>
      </c>
    </row>
    <row r="33" spans="2:14" x14ac:dyDescent="0.25">
      <c r="B33" s="35">
        <f>+'6 - Calendrier'!C33</f>
        <v>45562</v>
      </c>
      <c r="C33" s="86">
        <f>+IF('6 - Calendrier'!D33&lt;&gt;"",VLOOKUP(C$6,'5 - Régime de travail'!$B$6:$I$17,8,0),0)</f>
        <v>0</v>
      </c>
      <c r="D33" s="79">
        <f>+IF('6 - Calendrier'!E33&lt;&gt;"",VLOOKUP(D$6,'5 - Régime de travail'!$B$6:$I$17,8,0),0)</f>
        <v>0</v>
      </c>
      <c r="E33" s="79">
        <f>+IF('6 - Calendrier'!F33&lt;&gt;"",VLOOKUP(E$6,'5 - Régime de travail'!$B$6:$I$17,8,0),0)</f>
        <v>0</v>
      </c>
      <c r="F33" s="79">
        <f>+IF('6 - Calendrier'!G33&lt;&gt;"",VLOOKUP(F$6,'5 - Régime de travail'!$B$6:$I$17,8,0),0)</f>
        <v>0</v>
      </c>
      <c r="G33" s="79">
        <f>+IF('6 - Calendrier'!H33&lt;&gt;"",VLOOKUP(G$6,'5 - Régime de travail'!$B$6:$I$17,8,0),0)</f>
        <v>0</v>
      </c>
      <c r="H33" s="79">
        <f>+IF('6 - Calendrier'!I33&lt;&gt;"",VLOOKUP(H$6,'5 - Régime de travail'!$B$6:$I$17,8,0),0)</f>
        <v>0</v>
      </c>
      <c r="I33" s="79">
        <f>+IF('6 - Calendrier'!J33&lt;&gt;"",VLOOKUP(I$6,'5 - Régime de travail'!$B$6:$I$17,8,0),0)</f>
        <v>0</v>
      </c>
      <c r="J33" s="79">
        <f>+IF('6 - Calendrier'!K33&lt;&gt;"",VLOOKUP(J$6,'5 - Régime de travail'!$B$6:$I$17,8,0),0)</f>
        <v>557.5</v>
      </c>
      <c r="K33" s="79">
        <f>+IF('6 - Calendrier'!L33&lt;&gt;"",VLOOKUP(K$6,'5 - Régime de travail'!$B$6:$I$17,8,0),0)</f>
        <v>437.5</v>
      </c>
      <c r="L33" s="79">
        <f>+IF('6 - Calendrier'!M33&lt;&gt;"",VLOOKUP(L$6,'5 - Régime de travail'!$B$6:$I$17,8,0),0)</f>
        <v>437.5</v>
      </c>
      <c r="M33" s="79">
        <f>+IF('6 - Calendrier'!N33&lt;&gt;"",VLOOKUP(M$6,'5 - Régime de travail'!$B$6:$I$17,8,0),0)</f>
        <v>437.5</v>
      </c>
      <c r="N33" s="80">
        <f>+IF('6 - Calendrier'!O33&lt;&gt;"",VLOOKUP(N$6,'5 - Régime de travail'!$B$6:$I$17,8,0),0)</f>
        <v>437.5</v>
      </c>
    </row>
    <row r="34" spans="2:14" x14ac:dyDescent="0.25">
      <c r="B34" s="35">
        <f>+'6 - Calendrier'!C34</f>
        <v>45563</v>
      </c>
      <c r="C34" s="86">
        <f>+IF('6 - Calendrier'!D34&lt;&gt;"",VLOOKUP(C$6,'5 - Régime de travail'!$B$6:$I$17,8,0),0)</f>
        <v>0</v>
      </c>
      <c r="D34" s="79">
        <f>+IF('6 - Calendrier'!E34&lt;&gt;"",VLOOKUP(D$6,'5 - Régime de travail'!$B$6:$I$17,8,0),0)</f>
        <v>0</v>
      </c>
      <c r="E34" s="79">
        <f>+IF('6 - Calendrier'!F34&lt;&gt;"",VLOOKUP(E$6,'5 - Régime de travail'!$B$6:$I$17,8,0),0)</f>
        <v>0</v>
      </c>
      <c r="F34" s="79">
        <f>+IF('6 - Calendrier'!G34&lt;&gt;"",VLOOKUP(F$6,'5 - Régime de travail'!$B$6:$I$17,8,0),0)</f>
        <v>0</v>
      </c>
      <c r="G34" s="79">
        <f>+IF('6 - Calendrier'!H34&lt;&gt;"",VLOOKUP(G$6,'5 - Régime de travail'!$B$6:$I$17,8,0),0)</f>
        <v>0</v>
      </c>
      <c r="H34" s="79">
        <f>+IF('6 - Calendrier'!I34&lt;&gt;"",VLOOKUP(H$6,'5 - Régime de travail'!$B$6:$I$17,8,0),0)</f>
        <v>0</v>
      </c>
      <c r="I34" s="79">
        <f>+IF('6 - Calendrier'!J34&lt;&gt;"",VLOOKUP(I$6,'5 - Régime de travail'!$B$6:$I$17,8,0),0)</f>
        <v>0</v>
      </c>
      <c r="J34" s="79">
        <f>+IF('6 - Calendrier'!K34&lt;&gt;"",VLOOKUP(J$6,'5 - Régime de travail'!$B$6:$I$17,8,0),0)</f>
        <v>557.5</v>
      </c>
      <c r="K34" s="79">
        <f>+IF('6 - Calendrier'!L34&lt;&gt;"",VLOOKUP(K$6,'5 - Régime de travail'!$B$6:$I$17,8,0),0)</f>
        <v>437.5</v>
      </c>
      <c r="L34" s="79">
        <f>+IF('6 - Calendrier'!M34&lt;&gt;"",VLOOKUP(L$6,'5 - Régime de travail'!$B$6:$I$17,8,0),0)</f>
        <v>437.5</v>
      </c>
      <c r="M34" s="79">
        <f>+IF('6 - Calendrier'!N34&lt;&gt;"",VLOOKUP(M$6,'5 - Régime de travail'!$B$6:$I$17,8,0),0)</f>
        <v>437.5</v>
      </c>
      <c r="N34" s="80">
        <f>+IF('6 - Calendrier'!O34&lt;&gt;"",VLOOKUP(N$6,'5 - Régime de travail'!$B$6:$I$17,8,0),0)</f>
        <v>437.5</v>
      </c>
    </row>
    <row r="35" spans="2:14" x14ac:dyDescent="0.25">
      <c r="B35" s="35">
        <f>+'6 - Calendrier'!C35</f>
        <v>45564</v>
      </c>
      <c r="C35" s="86">
        <f>+IF('6 - Calendrier'!D35&lt;&gt;"",VLOOKUP(C$6,'5 - Régime de travail'!$B$6:$I$17,8,0),0)</f>
        <v>0</v>
      </c>
      <c r="D35" s="79">
        <f>+IF('6 - Calendrier'!E35&lt;&gt;"",VLOOKUP(D$6,'5 - Régime de travail'!$B$6:$I$17,8,0),0)</f>
        <v>0</v>
      </c>
      <c r="E35" s="79">
        <f>+IF('6 - Calendrier'!F35&lt;&gt;"",VLOOKUP(E$6,'5 - Régime de travail'!$B$6:$I$17,8,0),0)</f>
        <v>0</v>
      </c>
      <c r="F35" s="79">
        <f>+IF('6 - Calendrier'!G35&lt;&gt;"",VLOOKUP(F$6,'5 - Régime de travail'!$B$6:$I$17,8,0),0)</f>
        <v>0</v>
      </c>
      <c r="G35" s="79">
        <f>+IF('6 - Calendrier'!H35&lt;&gt;"",VLOOKUP(G$6,'5 - Régime de travail'!$B$6:$I$17,8,0),0)</f>
        <v>0</v>
      </c>
      <c r="H35" s="79">
        <f>+IF('6 - Calendrier'!I35&lt;&gt;"",VLOOKUP(H$6,'5 - Régime de travail'!$B$6:$I$17,8,0),0)</f>
        <v>0</v>
      </c>
      <c r="I35" s="79">
        <f>+IF('6 - Calendrier'!J35&lt;&gt;"",VLOOKUP(I$6,'5 - Régime de travail'!$B$6:$I$17,8,0),0)</f>
        <v>0</v>
      </c>
      <c r="J35" s="79">
        <f>+IF('6 - Calendrier'!K35&lt;&gt;"",VLOOKUP(J$6,'5 - Régime de travail'!$B$6:$I$17,8,0),0)</f>
        <v>557.5</v>
      </c>
      <c r="K35" s="79">
        <f>+IF('6 - Calendrier'!L35&lt;&gt;"",VLOOKUP(K$6,'5 - Régime de travail'!$B$6:$I$17,8,0),0)</f>
        <v>437.5</v>
      </c>
      <c r="L35" s="79">
        <f>+IF('6 - Calendrier'!M35&lt;&gt;"",VLOOKUP(L$6,'5 - Régime de travail'!$B$6:$I$17,8,0),0)</f>
        <v>437.5</v>
      </c>
      <c r="M35" s="79">
        <f>+IF('6 - Calendrier'!N35&lt;&gt;"",VLOOKUP(M$6,'5 - Régime de travail'!$B$6:$I$17,8,0),0)</f>
        <v>437.5</v>
      </c>
      <c r="N35" s="80">
        <f>+IF('6 - Calendrier'!O35&lt;&gt;"",VLOOKUP(N$6,'5 - Régime de travail'!$B$6:$I$17,8,0),0)</f>
        <v>437.5</v>
      </c>
    </row>
    <row r="36" spans="2:14" x14ac:dyDescent="0.25">
      <c r="B36" s="35">
        <f>+'6 - Calendrier'!C36</f>
        <v>45565</v>
      </c>
      <c r="C36" s="86">
        <f>+IF('6 - Calendrier'!D36&lt;&gt;"",VLOOKUP(C$6,'5 - Régime de travail'!$B$6:$I$17,8,0),0)</f>
        <v>0</v>
      </c>
      <c r="D36" s="79">
        <f>+IF('6 - Calendrier'!E36&lt;&gt;"",VLOOKUP(D$6,'5 - Régime de travail'!$B$6:$I$17,8,0),0)</f>
        <v>0</v>
      </c>
      <c r="E36" s="79">
        <f>+IF('6 - Calendrier'!F36&lt;&gt;"",VLOOKUP(E$6,'5 - Régime de travail'!$B$6:$I$17,8,0),0)</f>
        <v>0</v>
      </c>
      <c r="F36" s="79">
        <f>+IF('6 - Calendrier'!G36&lt;&gt;"",VLOOKUP(F$6,'5 - Régime de travail'!$B$6:$I$17,8,0),0)</f>
        <v>0</v>
      </c>
      <c r="G36" s="79">
        <f>+IF('6 - Calendrier'!H36&lt;&gt;"",VLOOKUP(G$6,'5 - Régime de travail'!$B$6:$I$17,8,0),0)</f>
        <v>0</v>
      </c>
      <c r="H36" s="79">
        <f>+IF('6 - Calendrier'!I36&lt;&gt;"",VLOOKUP(H$6,'5 - Régime de travail'!$B$6:$I$17,8,0),0)</f>
        <v>0</v>
      </c>
      <c r="I36" s="79">
        <f>+IF('6 - Calendrier'!J36&lt;&gt;"",VLOOKUP(I$6,'5 - Régime de travail'!$B$6:$I$17,8,0),0)</f>
        <v>0</v>
      </c>
      <c r="J36" s="79">
        <f>+IF('6 - Calendrier'!K36&lt;&gt;"",VLOOKUP(J$6,'5 - Régime de travail'!$B$6:$I$17,8,0),0)</f>
        <v>0</v>
      </c>
      <c r="K36" s="79">
        <f>+IF('6 - Calendrier'!L36&lt;&gt;"",VLOOKUP(K$6,'5 - Régime de travail'!$B$6:$I$17,8,0),0)</f>
        <v>0</v>
      </c>
      <c r="L36" s="79">
        <f>+IF('6 - Calendrier'!M36&lt;&gt;"",VLOOKUP(L$6,'5 - Régime de travail'!$B$6:$I$17,8,0),0)</f>
        <v>0</v>
      </c>
      <c r="M36" s="79">
        <f>+IF('6 - Calendrier'!N36&lt;&gt;"",VLOOKUP(M$6,'5 - Régime de travail'!$B$6:$I$17,8,0),0)</f>
        <v>0</v>
      </c>
      <c r="N36" s="80">
        <f>+IF('6 - Calendrier'!O36&lt;&gt;"",VLOOKUP(N$6,'5 - Régime de travail'!$B$6:$I$17,8,0),0)</f>
        <v>0</v>
      </c>
    </row>
    <row r="37" spans="2:14" ht="13.8" thickBot="1" x14ac:dyDescent="0.3">
      <c r="B37" s="43">
        <f>+'6 - Calendrier'!C37</f>
        <v>45566</v>
      </c>
      <c r="C37" s="86">
        <f>+IF('6 - Calendrier'!D37&lt;&gt;"",VLOOKUP(C$6,'5 - Régime de travail'!$B$6:$I$17,8,0),0)</f>
        <v>0</v>
      </c>
      <c r="D37" s="81">
        <f>+IF('6 - Calendrier'!E37&lt;&gt;"",VLOOKUP(D$6,'5 - Régime de travail'!$B$6:$I$17,8,0),0)</f>
        <v>0</v>
      </c>
      <c r="E37" s="81">
        <f>+IF('6 - Calendrier'!F37&lt;&gt;"",VLOOKUP(E$6,'5 - Régime de travail'!$B$6:$I$17,8,0),0)</f>
        <v>0</v>
      </c>
      <c r="F37" s="81">
        <f>+IF('6 - Calendrier'!G37&lt;&gt;"",VLOOKUP(F$6,'5 - Régime de travail'!$B$6:$I$17,8,0),0)</f>
        <v>0</v>
      </c>
      <c r="G37" s="81">
        <f>+IF('6 - Calendrier'!H37&lt;&gt;"",VLOOKUP(G$6,'5 - Régime de travail'!$B$6:$I$17,8,0),0)</f>
        <v>0</v>
      </c>
      <c r="H37" s="81">
        <f>+IF('6 - Calendrier'!I37&lt;&gt;"",VLOOKUP(H$6,'5 - Régime de travail'!$B$6:$I$17,8,0),0)</f>
        <v>0</v>
      </c>
      <c r="I37" s="81">
        <f>+IF('6 - Calendrier'!J37&lt;&gt;"",VLOOKUP(I$6,'5 - Régime de travail'!$B$6:$I$17,8,0),0)</f>
        <v>0</v>
      </c>
      <c r="J37" s="81">
        <f>+IF('6 - Calendrier'!K37&lt;&gt;"",VLOOKUP(J$6,'5 - Régime de travail'!$B$6:$I$17,8,0),0)</f>
        <v>0</v>
      </c>
      <c r="K37" s="81">
        <f>+IF('6 - Calendrier'!L37&lt;&gt;"",VLOOKUP(K$6,'5 - Régime de travail'!$B$6:$I$17,8,0),0)</f>
        <v>0</v>
      </c>
      <c r="L37" s="81">
        <f>+IF('6 - Calendrier'!M37&lt;&gt;"",VLOOKUP(L$6,'5 - Régime de travail'!$B$6:$I$17,8,0),0)</f>
        <v>0</v>
      </c>
      <c r="M37" s="81">
        <f>+IF('6 - Calendrier'!N37&lt;&gt;"",VLOOKUP(M$6,'5 - Régime de travail'!$B$6:$I$17,8,0),0)</f>
        <v>0</v>
      </c>
      <c r="N37" s="82">
        <f>+IF('6 - Calendrier'!O37&lt;&gt;"",VLOOKUP(N$6,'5 - Régime de travail'!$B$6:$I$17,8,0),0)</f>
        <v>0</v>
      </c>
    </row>
    <row r="38" spans="2:14" s="65" customFormat="1" ht="13.8" thickBot="1" x14ac:dyDescent="0.3">
      <c r="B38" s="66" t="s">
        <v>21</v>
      </c>
      <c r="C38" s="87">
        <f>+SUM(C7:C37)</f>
        <v>0</v>
      </c>
      <c r="D38" s="87">
        <f t="shared" ref="D38:N38" si="0">+SUM(D7:D37)</f>
        <v>0</v>
      </c>
      <c r="E38" s="87">
        <f t="shared" si="0"/>
        <v>0</v>
      </c>
      <c r="F38" s="87">
        <f t="shared" si="0"/>
        <v>0</v>
      </c>
      <c r="G38" s="87">
        <f t="shared" si="0"/>
        <v>0</v>
      </c>
      <c r="H38" s="87">
        <f t="shared" si="0"/>
        <v>0</v>
      </c>
      <c r="I38" s="87">
        <f t="shared" si="0"/>
        <v>0</v>
      </c>
      <c r="J38" s="87">
        <f t="shared" si="0"/>
        <v>10592.5</v>
      </c>
      <c r="K38" s="87">
        <f t="shared" si="0"/>
        <v>8312.5</v>
      </c>
      <c r="L38" s="87">
        <f t="shared" si="0"/>
        <v>8312.5</v>
      </c>
      <c r="M38" s="87">
        <f t="shared" si="0"/>
        <v>8312.5</v>
      </c>
      <c r="N38" s="88">
        <f t="shared" si="0"/>
        <v>8312.5</v>
      </c>
    </row>
  </sheetData>
  <mergeCells count="2">
    <mergeCell ref="B2:N3"/>
    <mergeCell ref="C5:N5"/>
  </mergeCells>
  <conditionalFormatting sqref="C7:N38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tabColor theme="0" tint="-0.34998626667073579"/>
  </sheetPr>
  <dimension ref="B1:K38"/>
  <sheetViews>
    <sheetView topLeftCell="A19" workbookViewId="0">
      <selection activeCell="H6" sqref="H6"/>
    </sheetView>
  </sheetViews>
  <sheetFormatPr baseColWidth="10" defaultColWidth="9.109375" defaultRowHeight="13.2" x14ac:dyDescent="0.25"/>
  <cols>
    <col min="1" max="1" width="3.6640625" style="1" customWidth="1"/>
    <col min="2" max="3" width="12.6640625" style="15" customWidth="1"/>
    <col min="4" max="11" width="12.6640625" style="1" customWidth="1"/>
    <col min="12" max="16384" width="9.109375" style="1"/>
  </cols>
  <sheetData>
    <row r="1" spans="2:11" ht="13.8" thickBot="1" x14ac:dyDescent="0.3">
      <c r="B1" s="11" t="s">
        <v>33</v>
      </c>
    </row>
    <row r="2" spans="2:11" x14ac:dyDescent="0.25">
      <c r="B2" s="413" t="s">
        <v>48</v>
      </c>
      <c r="C2" s="377"/>
      <c r="D2" s="377"/>
      <c r="E2" s="377"/>
      <c r="F2" s="377"/>
      <c r="G2" s="377"/>
      <c r="H2" s="377"/>
      <c r="I2" s="377"/>
      <c r="J2" s="377"/>
      <c r="K2" s="414"/>
    </row>
    <row r="3" spans="2:11" ht="13.8" thickBot="1" x14ac:dyDescent="0.3">
      <c r="B3" s="415"/>
      <c r="C3" s="381"/>
      <c r="D3" s="381"/>
      <c r="E3" s="381"/>
      <c r="F3" s="381"/>
      <c r="G3" s="381"/>
      <c r="H3" s="381"/>
      <c r="I3" s="381"/>
      <c r="J3" s="381"/>
      <c r="K3" s="416"/>
    </row>
    <row r="4" spans="2:11" ht="13.8" thickBot="1" x14ac:dyDescent="0.3"/>
    <row r="5" spans="2:11" s="26" customFormat="1" ht="24.9" customHeight="1" thickBot="1" x14ac:dyDescent="0.3">
      <c r="B5" s="17"/>
      <c r="C5" s="461" t="s">
        <v>31</v>
      </c>
      <c r="D5" s="462"/>
      <c r="E5" s="462"/>
      <c r="F5" s="462"/>
      <c r="G5" s="462"/>
      <c r="H5" s="462"/>
      <c r="I5" s="462"/>
      <c r="J5" s="462"/>
      <c r="K5" s="462"/>
    </row>
    <row r="6" spans="2:11" s="21" customFormat="1" ht="13.8" thickBot="1" x14ac:dyDescent="0.3">
      <c r="B6" s="42" t="s">
        <v>29</v>
      </c>
      <c r="C6" s="192" t="str">
        <f>+'1 - Produits'!B6</f>
        <v>PAA 150</v>
      </c>
      <c r="D6" s="193" t="str">
        <f>+'1 - Produits'!B7</f>
        <v>PAA 100</v>
      </c>
      <c r="E6" s="193" t="str">
        <f>+'1 - Produits'!B8</f>
        <v>PAA 33</v>
      </c>
      <c r="F6" s="193" t="str">
        <f>+'1 - Produits'!B10</f>
        <v>PAF1</v>
      </c>
      <c r="G6" s="193" t="str">
        <f>+'1 - Produits'!B12</f>
        <v>PCC</v>
      </c>
      <c r="H6" s="193" t="str">
        <f>+'1 - Produits'!B14</f>
        <v>PCF1</v>
      </c>
      <c r="I6" s="193" t="str">
        <f>+'1 - Produits'!B16</f>
        <v>PFF</v>
      </c>
      <c r="J6" s="193" t="str">
        <f>+'1 - Produits'!B17</f>
        <v>PFF0</v>
      </c>
      <c r="K6" s="193" t="str">
        <f>+'1 - Produits'!B18</f>
        <v>PPF2</v>
      </c>
    </row>
    <row r="7" spans="2:11" x14ac:dyDescent="0.25">
      <c r="B7" s="35">
        <f>+'6 - Calendrier'!C7</f>
        <v>45536</v>
      </c>
      <c r="C7" s="35" t="str">
        <f>+$C$6&amp;"-"&amp;B7</f>
        <v>PAA 150-45536</v>
      </c>
      <c r="D7" s="17" t="str">
        <f>+$D$6&amp;"-"&amp;B7</f>
        <v>PAA 100-45536</v>
      </c>
      <c r="E7" s="17" t="str">
        <f>+$E$6&amp;"-"&amp;B7</f>
        <v>PAA 33-45536</v>
      </c>
      <c r="F7" s="17" t="str">
        <f>+$F$6&amp;"-"&amp;B7</f>
        <v>PAF1-45536</v>
      </c>
      <c r="G7" s="17" t="str">
        <f>+$G$6&amp;"-"&amp;B7</f>
        <v>PCC-45536</v>
      </c>
      <c r="H7" s="17" t="str">
        <f>+$H$6&amp;"-"&amp;B7</f>
        <v>PCF1-45536</v>
      </c>
      <c r="I7" s="17" t="str">
        <f>+$I$6&amp;"-"&amp;B7</f>
        <v>PFF-45536</v>
      </c>
      <c r="J7" s="17" t="str">
        <f>+$J$6&amp;"-"&amp;B7</f>
        <v>PFF0-45536</v>
      </c>
      <c r="K7" s="17" t="str">
        <f>+$K$6&amp;"-"&amp;B7</f>
        <v>PPF2-45536</v>
      </c>
    </row>
    <row r="8" spans="2:11" x14ac:dyDescent="0.25">
      <c r="B8" s="35">
        <f>+'6 - Calendrier'!C8</f>
        <v>45537</v>
      </c>
      <c r="C8" s="35" t="str">
        <f t="shared" ref="C8:C37" si="0">+$C$6&amp;"-"&amp;B8</f>
        <v>PAA 150-45537</v>
      </c>
      <c r="D8" s="17" t="str">
        <f t="shared" ref="D8:D37" si="1">+$D$6&amp;"-"&amp;B8</f>
        <v>PAA 100-45537</v>
      </c>
      <c r="E8" s="17" t="str">
        <f t="shared" ref="E8:E37" si="2">+$E$6&amp;"-"&amp;B8</f>
        <v>PAA 33-45537</v>
      </c>
      <c r="F8" s="17" t="str">
        <f t="shared" ref="F8:F37" si="3">+$F$6&amp;"-"&amp;B8</f>
        <v>PAF1-45537</v>
      </c>
      <c r="G8" s="17" t="str">
        <f t="shared" ref="G8:G37" si="4">+$G$6&amp;"-"&amp;B8</f>
        <v>PCC-45537</v>
      </c>
      <c r="H8" s="17" t="str">
        <f t="shared" ref="H8:H37" si="5">+$H$6&amp;"-"&amp;B8</f>
        <v>PCF1-45537</v>
      </c>
      <c r="I8" s="17" t="str">
        <f t="shared" ref="I8:I37" si="6">+$I$6&amp;"-"&amp;B8</f>
        <v>PFF-45537</v>
      </c>
      <c r="J8" s="17" t="str">
        <f t="shared" ref="J8:J37" si="7">+$J$6&amp;"-"&amp;B8</f>
        <v>PFF0-45537</v>
      </c>
      <c r="K8" s="17" t="str">
        <f t="shared" ref="K8:K37" si="8">+$K$6&amp;"-"&amp;B8</f>
        <v>PPF2-45537</v>
      </c>
    </row>
    <row r="9" spans="2:11" x14ac:dyDescent="0.25">
      <c r="B9" s="35">
        <f>+'6 - Calendrier'!C9</f>
        <v>45538</v>
      </c>
      <c r="C9" s="35" t="str">
        <f t="shared" si="0"/>
        <v>PAA 150-45538</v>
      </c>
      <c r="D9" s="17" t="str">
        <f t="shared" si="1"/>
        <v>PAA 100-45538</v>
      </c>
      <c r="E9" s="17" t="str">
        <f t="shared" si="2"/>
        <v>PAA 33-45538</v>
      </c>
      <c r="F9" s="17" t="str">
        <f t="shared" si="3"/>
        <v>PAF1-45538</v>
      </c>
      <c r="G9" s="17" t="str">
        <f t="shared" si="4"/>
        <v>PCC-45538</v>
      </c>
      <c r="H9" s="17" t="str">
        <f t="shared" si="5"/>
        <v>PCF1-45538</v>
      </c>
      <c r="I9" s="17" t="str">
        <f t="shared" si="6"/>
        <v>PFF-45538</v>
      </c>
      <c r="J9" s="17" t="str">
        <f t="shared" si="7"/>
        <v>PFF0-45538</v>
      </c>
      <c r="K9" s="17" t="str">
        <f t="shared" si="8"/>
        <v>PPF2-45538</v>
      </c>
    </row>
    <row r="10" spans="2:11" x14ac:dyDescent="0.25">
      <c r="B10" s="35">
        <f>+'6 - Calendrier'!C10</f>
        <v>45539</v>
      </c>
      <c r="C10" s="35" t="str">
        <f t="shared" si="0"/>
        <v>PAA 150-45539</v>
      </c>
      <c r="D10" s="17" t="str">
        <f t="shared" si="1"/>
        <v>PAA 100-45539</v>
      </c>
      <c r="E10" s="17" t="str">
        <f t="shared" si="2"/>
        <v>PAA 33-45539</v>
      </c>
      <c r="F10" s="17" t="str">
        <f t="shared" si="3"/>
        <v>PAF1-45539</v>
      </c>
      <c r="G10" s="17" t="str">
        <f t="shared" si="4"/>
        <v>PCC-45539</v>
      </c>
      <c r="H10" s="17" t="str">
        <f t="shared" si="5"/>
        <v>PCF1-45539</v>
      </c>
      <c r="I10" s="17" t="str">
        <f t="shared" si="6"/>
        <v>PFF-45539</v>
      </c>
      <c r="J10" s="17" t="str">
        <f t="shared" si="7"/>
        <v>PFF0-45539</v>
      </c>
      <c r="K10" s="17" t="str">
        <f t="shared" si="8"/>
        <v>PPF2-45539</v>
      </c>
    </row>
    <row r="11" spans="2:11" x14ac:dyDescent="0.25">
      <c r="B11" s="35">
        <f>+'6 - Calendrier'!C11</f>
        <v>45540</v>
      </c>
      <c r="C11" s="35" t="str">
        <f t="shared" si="0"/>
        <v>PAA 150-45540</v>
      </c>
      <c r="D11" s="17" t="str">
        <f t="shared" si="1"/>
        <v>PAA 100-45540</v>
      </c>
      <c r="E11" s="17" t="str">
        <f t="shared" si="2"/>
        <v>PAA 33-45540</v>
      </c>
      <c r="F11" s="17" t="str">
        <f t="shared" si="3"/>
        <v>PAF1-45540</v>
      </c>
      <c r="G11" s="17" t="str">
        <f t="shared" si="4"/>
        <v>PCC-45540</v>
      </c>
      <c r="H11" s="17" t="str">
        <f t="shared" si="5"/>
        <v>PCF1-45540</v>
      </c>
      <c r="I11" s="17" t="str">
        <f t="shared" si="6"/>
        <v>PFF-45540</v>
      </c>
      <c r="J11" s="17" t="str">
        <f t="shared" si="7"/>
        <v>PFF0-45540</v>
      </c>
      <c r="K11" s="17" t="str">
        <f t="shared" si="8"/>
        <v>PPF2-45540</v>
      </c>
    </row>
    <row r="12" spans="2:11" x14ac:dyDescent="0.25">
      <c r="B12" s="35">
        <f>+'6 - Calendrier'!C12</f>
        <v>45541</v>
      </c>
      <c r="C12" s="35" t="str">
        <f t="shared" si="0"/>
        <v>PAA 150-45541</v>
      </c>
      <c r="D12" s="17" t="str">
        <f t="shared" si="1"/>
        <v>PAA 100-45541</v>
      </c>
      <c r="E12" s="17" t="str">
        <f t="shared" si="2"/>
        <v>PAA 33-45541</v>
      </c>
      <c r="F12" s="17" t="str">
        <f t="shared" si="3"/>
        <v>PAF1-45541</v>
      </c>
      <c r="G12" s="17" t="str">
        <f t="shared" si="4"/>
        <v>PCC-45541</v>
      </c>
      <c r="H12" s="17" t="str">
        <f t="shared" si="5"/>
        <v>PCF1-45541</v>
      </c>
      <c r="I12" s="17" t="str">
        <f t="shared" si="6"/>
        <v>PFF-45541</v>
      </c>
      <c r="J12" s="17" t="str">
        <f t="shared" si="7"/>
        <v>PFF0-45541</v>
      </c>
      <c r="K12" s="17" t="str">
        <f t="shared" si="8"/>
        <v>PPF2-45541</v>
      </c>
    </row>
    <row r="13" spans="2:11" x14ac:dyDescent="0.25">
      <c r="B13" s="35">
        <f>+'6 - Calendrier'!C13</f>
        <v>45542</v>
      </c>
      <c r="C13" s="35" t="str">
        <f t="shared" si="0"/>
        <v>PAA 150-45542</v>
      </c>
      <c r="D13" s="17" t="str">
        <f t="shared" si="1"/>
        <v>PAA 100-45542</v>
      </c>
      <c r="E13" s="17" t="str">
        <f t="shared" si="2"/>
        <v>PAA 33-45542</v>
      </c>
      <c r="F13" s="17" t="str">
        <f t="shared" si="3"/>
        <v>PAF1-45542</v>
      </c>
      <c r="G13" s="17" t="str">
        <f t="shared" si="4"/>
        <v>PCC-45542</v>
      </c>
      <c r="H13" s="17" t="str">
        <f t="shared" si="5"/>
        <v>PCF1-45542</v>
      </c>
      <c r="I13" s="17" t="str">
        <f t="shared" si="6"/>
        <v>PFF-45542</v>
      </c>
      <c r="J13" s="17" t="str">
        <f t="shared" si="7"/>
        <v>PFF0-45542</v>
      </c>
      <c r="K13" s="17" t="str">
        <f t="shared" si="8"/>
        <v>PPF2-45542</v>
      </c>
    </row>
    <row r="14" spans="2:11" x14ac:dyDescent="0.25">
      <c r="B14" s="35">
        <f>+'6 - Calendrier'!C14</f>
        <v>45543</v>
      </c>
      <c r="C14" s="35" t="str">
        <f t="shared" si="0"/>
        <v>PAA 150-45543</v>
      </c>
      <c r="D14" s="17" t="str">
        <f t="shared" si="1"/>
        <v>PAA 100-45543</v>
      </c>
      <c r="E14" s="17" t="str">
        <f t="shared" si="2"/>
        <v>PAA 33-45543</v>
      </c>
      <c r="F14" s="17" t="str">
        <f t="shared" si="3"/>
        <v>PAF1-45543</v>
      </c>
      <c r="G14" s="17" t="str">
        <f t="shared" si="4"/>
        <v>PCC-45543</v>
      </c>
      <c r="H14" s="17" t="str">
        <f t="shared" si="5"/>
        <v>PCF1-45543</v>
      </c>
      <c r="I14" s="17" t="str">
        <f t="shared" si="6"/>
        <v>PFF-45543</v>
      </c>
      <c r="J14" s="17" t="str">
        <f t="shared" si="7"/>
        <v>PFF0-45543</v>
      </c>
      <c r="K14" s="17" t="str">
        <f t="shared" si="8"/>
        <v>PPF2-45543</v>
      </c>
    </row>
    <row r="15" spans="2:11" x14ac:dyDescent="0.25">
      <c r="B15" s="35">
        <f>+'6 - Calendrier'!C15</f>
        <v>45544</v>
      </c>
      <c r="C15" s="35" t="str">
        <f t="shared" si="0"/>
        <v>PAA 150-45544</v>
      </c>
      <c r="D15" s="17" t="str">
        <f t="shared" si="1"/>
        <v>PAA 100-45544</v>
      </c>
      <c r="E15" s="17" t="str">
        <f t="shared" si="2"/>
        <v>PAA 33-45544</v>
      </c>
      <c r="F15" s="17" t="str">
        <f t="shared" si="3"/>
        <v>PAF1-45544</v>
      </c>
      <c r="G15" s="17" t="str">
        <f t="shared" si="4"/>
        <v>PCC-45544</v>
      </c>
      <c r="H15" s="17" t="str">
        <f t="shared" si="5"/>
        <v>PCF1-45544</v>
      </c>
      <c r="I15" s="17" t="str">
        <f t="shared" si="6"/>
        <v>PFF-45544</v>
      </c>
      <c r="J15" s="17" t="str">
        <f t="shared" si="7"/>
        <v>PFF0-45544</v>
      </c>
      <c r="K15" s="17" t="str">
        <f t="shared" si="8"/>
        <v>PPF2-45544</v>
      </c>
    </row>
    <row r="16" spans="2:11" x14ac:dyDescent="0.25">
      <c r="B16" s="35">
        <f>+'6 - Calendrier'!C16</f>
        <v>45545</v>
      </c>
      <c r="C16" s="35" t="str">
        <f t="shared" si="0"/>
        <v>PAA 150-45545</v>
      </c>
      <c r="D16" s="17" t="str">
        <f t="shared" si="1"/>
        <v>PAA 100-45545</v>
      </c>
      <c r="E16" s="17" t="str">
        <f t="shared" si="2"/>
        <v>PAA 33-45545</v>
      </c>
      <c r="F16" s="17" t="str">
        <f t="shared" si="3"/>
        <v>PAF1-45545</v>
      </c>
      <c r="G16" s="17" t="str">
        <f t="shared" si="4"/>
        <v>PCC-45545</v>
      </c>
      <c r="H16" s="17" t="str">
        <f t="shared" si="5"/>
        <v>PCF1-45545</v>
      </c>
      <c r="I16" s="17" t="str">
        <f t="shared" si="6"/>
        <v>PFF-45545</v>
      </c>
      <c r="J16" s="17" t="str">
        <f t="shared" si="7"/>
        <v>PFF0-45545</v>
      </c>
      <c r="K16" s="17" t="str">
        <f t="shared" si="8"/>
        <v>PPF2-45545</v>
      </c>
    </row>
    <row r="17" spans="2:11" x14ac:dyDescent="0.25">
      <c r="B17" s="35">
        <f>+'6 - Calendrier'!C17</f>
        <v>45546</v>
      </c>
      <c r="C17" s="35" t="str">
        <f t="shared" si="0"/>
        <v>PAA 150-45546</v>
      </c>
      <c r="D17" s="17" t="str">
        <f t="shared" si="1"/>
        <v>PAA 100-45546</v>
      </c>
      <c r="E17" s="17" t="str">
        <f t="shared" si="2"/>
        <v>PAA 33-45546</v>
      </c>
      <c r="F17" s="17" t="str">
        <f t="shared" si="3"/>
        <v>PAF1-45546</v>
      </c>
      <c r="G17" s="17" t="str">
        <f t="shared" si="4"/>
        <v>PCC-45546</v>
      </c>
      <c r="H17" s="17" t="str">
        <f t="shared" si="5"/>
        <v>PCF1-45546</v>
      </c>
      <c r="I17" s="17" t="str">
        <f t="shared" si="6"/>
        <v>PFF-45546</v>
      </c>
      <c r="J17" s="17" t="str">
        <f t="shared" si="7"/>
        <v>PFF0-45546</v>
      </c>
      <c r="K17" s="17" t="str">
        <f t="shared" si="8"/>
        <v>PPF2-45546</v>
      </c>
    </row>
    <row r="18" spans="2:11" x14ac:dyDescent="0.25">
      <c r="B18" s="35">
        <f>+'6 - Calendrier'!C18</f>
        <v>45547</v>
      </c>
      <c r="C18" s="35" t="str">
        <f t="shared" si="0"/>
        <v>PAA 150-45547</v>
      </c>
      <c r="D18" s="17" t="str">
        <f t="shared" si="1"/>
        <v>PAA 100-45547</v>
      </c>
      <c r="E18" s="17" t="str">
        <f t="shared" si="2"/>
        <v>PAA 33-45547</v>
      </c>
      <c r="F18" s="17" t="str">
        <f t="shared" si="3"/>
        <v>PAF1-45547</v>
      </c>
      <c r="G18" s="17" t="str">
        <f t="shared" si="4"/>
        <v>PCC-45547</v>
      </c>
      <c r="H18" s="17" t="str">
        <f t="shared" si="5"/>
        <v>PCF1-45547</v>
      </c>
      <c r="I18" s="17" t="str">
        <f t="shared" si="6"/>
        <v>PFF-45547</v>
      </c>
      <c r="J18" s="17" t="str">
        <f t="shared" si="7"/>
        <v>PFF0-45547</v>
      </c>
      <c r="K18" s="17" t="str">
        <f t="shared" si="8"/>
        <v>PPF2-45547</v>
      </c>
    </row>
    <row r="19" spans="2:11" x14ac:dyDescent="0.25">
      <c r="B19" s="35">
        <f>+'6 - Calendrier'!C19</f>
        <v>45548</v>
      </c>
      <c r="C19" s="35" t="str">
        <f t="shared" si="0"/>
        <v>PAA 150-45548</v>
      </c>
      <c r="D19" s="17" t="str">
        <f t="shared" si="1"/>
        <v>PAA 100-45548</v>
      </c>
      <c r="E19" s="17" t="str">
        <f t="shared" si="2"/>
        <v>PAA 33-45548</v>
      </c>
      <c r="F19" s="17" t="str">
        <f t="shared" si="3"/>
        <v>PAF1-45548</v>
      </c>
      <c r="G19" s="17" t="str">
        <f t="shared" si="4"/>
        <v>PCC-45548</v>
      </c>
      <c r="H19" s="17" t="str">
        <f t="shared" si="5"/>
        <v>PCF1-45548</v>
      </c>
      <c r="I19" s="17" t="str">
        <f t="shared" si="6"/>
        <v>PFF-45548</v>
      </c>
      <c r="J19" s="17" t="str">
        <f t="shared" si="7"/>
        <v>PFF0-45548</v>
      </c>
      <c r="K19" s="17" t="str">
        <f t="shared" si="8"/>
        <v>PPF2-45548</v>
      </c>
    </row>
    <row r="20" spans="2:11" x14ac:dyDescent="0.25">
      <c r="B20" s="35">
        <f>+'6 - Calendrier'!C20</f>
        <v>45549</v>
      </c>
      <c r="C20" s="35" t="str">
        <f t="shared" si="0"/>
        <v>PAA 150-45549</v>
      </c>
      <c r="D20" s="17" t="str">
        <f t="shared" si="1"/>
        <v>PAA 100-45549</v>
      </c>
      <c r="E20" s="17" t="str">
        <f t="shared" si="2"/>
        <v>PAA 33-45549</v>
      </c>
      <c r="F20" s="17" t="str">
        <f t="shared" si="3"/>
        <v>PAF1-45549</v>
      </c>
      <c r="G20" s="17" t="str">
        <f t="shared" si="4"/>
        <v>PCC-45549</v>
      </c>
      <c r="H20" s="17" t="str">
        <f t="shared" si="5"/>
        <v>PCF1-45549</v>
      </c>
      <c r="I20" s="17" t="str">
        <f t="shared" si="6"/>
        <v>PFF-45549</v>
      </c>
      <c r="J20" s="17" t="str">
        <f t="shared" si="7"/>
        <v>PFF0-45549</v>
      </c>
      <c r="K20" s="17" t="str">
        <f t="shared" si="8"/>
        <v>PPF2-45549</v>
      </c>
    </row>
    <row r="21" spans="2:11" x14ac:dyDescent="0.25">
      <c r="B21" s="35">
        <f>+'6 - Calendrier'!C21</f>
        <v>45550</v>
      </c>
      <c r="C21" s="35" t="str">
        <f t="shared" si="0"/>
        <v>PAA 150-45550</v>
      </c>
      <c r="D21" s="17" t="str">
        <f t="shared" si="1"/>
        <v>PAA 100-45550</v>
      </c>
      <c r="E21" s="17" t="str">
        <f t="shared" si="2"/>
        <v>PAA 33-45550</v>
      </c>
      <c r="F21" s="17" t="str">
        <f t="shared" si="3"/>
        <v>PAF1-45550</v>
      </c>
      <c r="G21" s="17" t="str">
        <f t="shared" si="4"/>
        <v>PCC-45550</v>
      </c>
      <c r="H21" s="17" t="str">
        <f t="shared" si="5"/>
        <v>PCF1-45550</v>
      </c>
      <c r="I21" s="17" t="str">
        <f t="shared" si="6"/>
        <v>PFF-45550</v>
      </c>
      <c r="J21" s="17" t="str">
        <f t="shared" si="7"/>
        <v>PFF0-45550</v>
      </c>
      <c r="K21" s="17" t="str">
        <f t="shared" si="8"/>
        <v>PPF2-45550</v>
      </c>
    </row>
    <row r="22" spans="2:11" x14ac:dyDescent="0.25">
      <c r="B22" s="35">
        <f>+'6 - Calendrier'!C22</f>
        <v>45551</v>
      </c>
      <c r="C22" s="35" t="str">
        <f t="shared" si="0"/>
        <v>PAA 150-45551</v>
      </c>
      <c r="D22" s="17" t="str">
        <f t="shared" si="1"/>
        <v>PAA 100-45551</v>
      </c>
      <c r="E22" s="17" t="str">
        <f t="shared" si="2"/>
        <v>PAA 33-45551</v>
      </c>
      <c r="F22" s="17" t="str">
        <f t="shared" si="3"/>
        <v>PAF1-45551</v>
      </c>
      <c r="G22" s="17" t="str">
        <f t="shared" si="4"/>
        <v>PCC-45551</v>
      </c>
      <c r="H22" s="17" t="str">
        <f t="shared" si="5"/>
        <v>PCF1-45551</v>
      </c>
      <c r="I22" s="17" t="str">
        <f t="shared" si="6"/>
        <v>PFF-45551</v>
      </c>
      <c r="J22" s="17" t="str">
        <f t="shared" si="7"/>
        <v>PFF0-45551</v>
      </c>
      <c r="K22" s="17" t="str">
        <f t="shared" si="8"/>
        <v>PPF2-45551</v>
      </c>
    </row>
    <row r="23" spans="2:11" x14ac:dyDescent="0.25">
      <c r="B23" s="35">
        <f>+'6 - Calendrier'!C23</f>
        <v>45552</v>
      </c>
      <c r="C23" s="35" t="str">
        <f t="shared" si="0"/>
        <v>PAA 150-45552</v>
      </c>
      <c r="D23" s="17" t="str">
        <f t="shared" si="1"/>
        <v>PAA 100-45552</v>
      </c>
      <c r="E23" s="17" t="str">
        <f t="shared" si="2"/>
        <v>PAA 33-45552</v>
      </c>
      <c r="F23" s="17" t="str">
        <f t="shared" si="3"/>
        <v>PAF1-45552</v>
      </c>
      <c r="G23" s="17" t="str">
        <f t="shared" si="4"/>
        <v>PCC-45552</v>
      </c>
      <c r="H23" s="17" t="str">
        <f t="shared" si="5"/>
        <v>PCF1-45552</v>
      </c>
      <c r="I23" s="17" t="str">
        <f t="shared" si="6"/>
        <v>PFF-45552</v>
      </c>
      <c r="J23" s="17" t="str">
        <f t="shared" si="7"/>
        <v>PFF0-45552</v>
      </c>
      <c r="K23" s="17" t="str">
        <f t="shared" si="8"/>
        <v>PPF2-45552</v>
      </c>
    </row>
    <row r="24" spans="2:11" x14ac:dyDescent="0.25">
      <c r="B24" s="35">
        <f>+'6 - Calendrier'!C24</f>
        <v>45553</v>
      </c>
      <c r="C24" s="35" t="str">
        <f t="shared" si="0"/>
        <v>PAA 150-45553</v>
      </c>
      <c r="D24" s="17" t="str">
        <f t="shared" si="1"/>
        <v>PAA 100-45553</v>
      </c>
      <c r="E24" s="17" t="str">
        <f t="shared" si="2"/>
        <v>PAA 33-45553</v>
      </c>
      <c r="F24" s="17" t="str">
        <f t="shared" si="3"/>
        <v>PAF1-45553</v>
      </c>
      <c r="G24" s="17" t="str">
        <f t="shared" si="4"/>
        <v>PCC-45553</v>
      </c>
      <c r="H24" s="17" t="str">
        <f t="shared" si="5"/>
        <v>PCF1-45553</v>
      </c>
      <c r="I24" s="17" t="str">
        <f t="shared" si="6"/>
        <v>PFF-45553</v>
      </c>
      <c r="J24" s="17" t="str">
        <f t="shared" si="7"/>
        <v>PFF0-45553</v>
      </c>
      <c r="K24" s="17" t="str">
        <f t="shared" si="8"/>
        <v>PPF2-45553</v>
      </c>
    </row>
    <row r="25" spans="2:11" x14ac:dyDescent="0.25">
      <c r="B25" s="35">
        <f>+'6 - Calendrier'!C25</f>
        <v>45554</v>
      </c>
      <c r="C25" s="35" t="str">
        <f t="shared" si="0"/>
        <v>PAA 150-45554</v>
      </c>
      <c r="D25" s="17" t="str">
        <f t="shared" si="1"/>
        <v>PAA 100-45554</v>
      </c>
      <c r="E25" s="17" t="str">
        <f t="shared" si="2"/>
        <v>PAA 33-45554</v>
      </c>
      <c r="F25" s="17" t="str">
        <f t="shared" si="3"/>
        <v>PAF1-45554</v>
      </c>
      <c r="G25" s="17" t="str">
        <f t="shared" si="4"/>
        <v>PCC-45554</v>
      </c>
      <c r="H25" s="17" t="str">
        <f t="shared" si="5"/>
        <v>PCF1-45554</v>
      </c>
      <c r="I25" s="17" t="str">
        <f t="shared" si="6"/>
        <v>PFF-45554</v>
      </c>
      <c r="J25" s="17" t="str">
        <f t="shared" si="7"/>
        <v>PFF0-45554</v>
      </c>
      <c r="K25" s="17" t="str">
        <f t="shared" si="8"/>
        <v>PPF2-45554</v>
      </c>
    </row>
    <row r="26" spans="2:11" x14ac:dyDescent="0.25">
      <c r="B26" s="35">
        <f>+'6 - Calendrier'!C26</f>
        <v>45555</v>
      </c>
      <c r="C26" s="35" t="str">
        <f t="shared" si="0"/>
        <v>PAA 150-45555</v>
      </c>
      <c r="D26" s="17" t="str">
        <f t="shared" si="1"/>
        <v>PAA 100-45555</v>
      </c>
      <c r="E26" s="17" t="str">
        <f t="shared" si="2"/>
        <v>PAA 33-45555</v>
      </c>
      <c r="F26" s="17" t="str">
        <f t="shared" si="3"/>
        <v>PAF1-45555</v>
      </c>
      <c r="G26" s="17" t="str">
        <f t="shared" si="4"/>
        <v>PCC-45555</v>
      </c>
      <c r="H26" s="17" t="str">
        <f t="shared" si="5"/>
        <v>PCF1-45555</v>
      </c>
      <c r="I26" s="17" t="str">
        <f t="shared" si="6"/>
        <v>PFF-45555</v>
      </c>
      <c r="J26" s="17" t="str">
        <f t="shared" si="7"/>
        <v>PFF0-45555</v>
      </c>
      <c r="K26" s="17" t="str">
        <f t="shared" si="8"/>
        <v>PPF2-45555</v>
      </c>
    </row>
    <row r="27" spans="2:11" x14ac:dyDescent="0.25">
      <c r="B27" s="35">
        <f>+'6 - Calendrier'!C27</f>
        <v>45556</v>
      </c>
      <c r="C27" s="35" t="str">
        <f t="shared" si="0"/>
        <v>PAA 150-45556</v>
      </c>
      <c r="D27" s="17" t="str">
        <f t="shared" si="1"/>
        <v>PAA 100-45556</v>
      </c>
      <c r="E27" s="17" t="str">
        <f t="shared" si="2"/>
        <v>PAA 33-45556</v>
      </c>
      <c r="F27" s="17" t="str">
        <f t="shared" si="3"/>
        <v>PAF1-45556</v>
      </c>
      <c r="G27" s="17" t="str">
        <f t="shared" si="4"/>
        <v>PCC-45556</v>
      </c>
      <c r="H27" s="17" t="str">
        <f t="shared" si="5"/>
        <v>PCF1-45556</v>
      </c>
      <c r="I27" s="17" t="str">
        <f t="shared" si="6"/>
        <v>PFF-45556</v>
      </c>
      <c r="J27" s="17" t="str">
        <f t="shared" si="7"/>
        <v>PFF0-45556</v>
      </c>
      <c r="K27" s="17" t="str">
        <f t="shared" si="8"/>
        <v>PPF2-45556</v>
      </c>
    </row>
    <row r="28" spans="2:11" x14ac:dyDescent="0.25">
      <c r="B28" s="35">
        <f>+'6 - Calendrier'!C28</f>
        <v>45557</v>
      </c>
      <c r="C28" s="35" t="str">
        <f t="shared" si="0"/>
        <v>PAA 150-45557</v>
      </c>
      <c r="D28" s="17" t="str">
        <f t="shared" si="1"/>
        <v>PAA 100-45557</v>
      </c>
      <c r="E28" s="17" t="str">
        <f t="shared" si="2"/>
        <v>PAA 33-45557</v>
      </c>
      <c r="F28" s="17" t="str">
        <f t="shared" si="3"/>
        <v>PAF1-45557</v>
      </c>
      <c r="G28" s="17" t="str">
        <f t="shared" si="4"/>
        <v>PCC-45557</v>
      </c>
      <c r="H28" s="17" t="str">
        <f t="shared" si="5"/>
        <v>PCF1-45557</v>
      </c>
      <c r="I28" s="17" t="str">
        <f t="shared" si="6"/>
        <v>PFF-45557</v>
      </c>
      <c r="J28" s="17" t="str">
        <f t="shared" si="7"/>
        <v>PFF0-45557</v>
      </c>
      <c r="K28" s="17" t="str">
        <f t="shared" si="8"/>
        <v>PPF2-45557</v>
      </c>
    </row>
    <row r="29" spans="2:11" x14ac:dyDescent="0.25">
      <c r="B29" s="35">
        <f>+'6 - Calendrier'!C29</f>
        <v>45558</v>
      </c>
      <c r="C29" s="35" t="str">
        <f t="shared" si="0"/>
        <v>PAA 150-45558</v>
      </c>
      <c r="D29" s="17" t="str">
        <f t="shared" si="1"/>
        <v>PAA 100-45558</v>
      </c>
      <c r="E29" s="17" t="str">
        <f t="shared" si="2"/>
        <v>PAA 33-45558</v>
      </c>
      <c r="F29" s="17" t="str">
        <f t="shared" si="3"/>
        <v>PAF1-45558</v>
      </c>
      <c r="G29" s="17" t="str">
        <f t="shared" si="4"/>
        <v>PCC-45558</v>
      </c>
      <c r="H29" s="17" t="str">
        <f t="shared" si="5"/>
        <v>PCF1-45558</v>
      </c>
      <c r="I29" s="17" t="str">
        <f t="shared" si="6"/>
        <v>PFF-45558</v>
      </c>
      <c r="J29" s="17" t="str">
        <f t="shared" si="7"/>
        <v>PFF0-45558</v>
      </c>
      <c r="K29" s="17" t="str">
        <f t="shared" si="8"/>
        <v>PPF2-45558</v>
      </c>
    </row>
    <row r="30" spans="2:11" x14ac:dyDescent="0.25">
      <c r="B30" s="35">
        <f>+'6 - Calendrier'!C30</f>
        <v>45559</v>
      </c>
      <c r="C30" s="35" t="str">
        <f t="shared" si="0"/>
        <v>PAA 150-45559</v>
      </c>
      <c r="D30" s="17" t="str">
        <f t="shared" si="1"/>
        <v>PAA 100-45559</v>
      </c>
      <c r="E30" s="17" t="str">
        <f t="shared" si="2"/>
        <v>PAA 33-45559</v>
      </c>
      <c r="F30" s="17" t="str">
        <f t="shared" si="3"/>
        <v>PAF1-45559</v>
      </c>
      <c r="G30" s="17" t="str">
        <f t="shared" si="4"/>
        <v>PCC-45559</v>
      </c>
      <c r="H30" s="17" t="str">
        <f t="shared" si="5"/>
        <v>PCF1-45559</v>
      </c>
      <c r="I30" s="17" t="str">
        <f t="shared" si="6"/>
        <v>PFF-45559</v>
      </c>
      <c r="J30" s="17" t="str">
        <f t="shared" si="7"/>
        <v>PFF0-45559</v>
      </c>
      <c r="K30" s="17" t="str">
        <f t="shared" si="8"/>
        <v>PPF2-45559</v>
      </c>
    </row>
    <row r="31" spans="2:11" x14ac:dyDescent="0.25">
      <c r="B31" s="35">
        <f>+'6 - Calendrier'!C31</f>
        <v>45560</v>
      </c>
      <c r="C31" s="35" t="str">
        <f t="shared" si="0"/>
        <v>PAA 150-45560</v>
      </c>
      <c r="D31" s="17" t="str">
        <f t="shared" si="1"/>
        <v>PAA 100-45560</v>
      </c>
      <c r="E31" s="17" t="str">
        <f t="shared" si="2"/>
        <v>PAA 33-45560</v>
      </c>
      <c r="F31" s="17" t="str">
        <f t="shared" si="3"/>
        <v>PAF1-45560</v>
      </c>
      <c r="G31" s="17" t="str">
        <f t="shared" si="4"/>
        <v>PCC-45560</v>
      </c>
      <c r="H31" s="17" t="str">
        <f t="shared" si="5"/>
        <v>PCF1-45560</v>
      </c>
      <c r="I31" s="17" t="str">
        <f t="shared" si="6"/>
        <v>PFF-45560</v>
      </c>
      <c r="J31" s="17" t="str">
        <f t="shared" si="7"/>
        <v>PFF0-45560</v>
      </c>
      <c r="K31" s="17" t="str">
        <f t="shared" si="8"/>
        <v>PPF2-45560</v>
      </c>
    </row>
    <row r="32" spans="2:11" x14ac:dyDescent="0.25">
      <c r="B32" s="35">
        <f>+'6 - Calendrier'!C32</f>
        <v>45561</v>
      </c>
      <c r="C32" s="35" t="str">
        <f t="shared" si="0"/>
        <v>PAA 150-45561</v>
      </c>
      <c r="D32" s="17" t="str">
        <f t="shared" si="1"/>
        <v>PAA 100-45561</v>
      </c>
      <c r="E32" s="17" t="str">
        <f t="shared" si="2"/>
        <v>PAA 33-45561</v>
      </c>
      <c r="F32" s="17" t="str">
        <f t="shared" si="3"/>
        <v>PAF1-45561</v>
      </c>
      <c r="G32" s="17" t="str">
        <f t="shared" si="4"/>
        <v>PCC-45561</v>
      </c>
      <c r="H32" s="17" t="str">
        <f t="shared" si="5"/>
        <v>PCF1-45561</v>
      </c>
      <c r="I32" s="17" t="str">
        <f t="shared" si="6"/>
        <v>PFF-45561</v>
      </c>
      <c r="J32" s="17" t="str">
        <f t="shared" si="7"/>
        <v>PFF0-45561</v>
      </c>
      <c r="K32" s="17" t="str">
        <f t="shared" si="8"/>
        <v>PPF2-45561</v>
      </c>
    </row>
    <row r="33" spans="2:11" x14ac:dyDescent="0.25">
      <c r="B33" s="35">
        <f>+'6 - Calendrier'!C33</f>
        <v>45562</v>
      </c>
      <c r="C33" s="35" t="str">
        <f t="shared" si="0"/>
        <v>PAA 150-45562</v>
      </c>
      <c r="D33" s="17" t="str">
        <f t="shared" si="1"/>
        <v>PAA 100-45562</v>
      </c>
      <c r="E33" s="17" t="str">
        <f t="shared" si="2"/>
        <v>PAA 33-45562</v>
      </c>
      <c r="F33" s="17" t="str">
        <f t="shared" si="3"/>
        <v>PAF1-45562</v>
      </c>
      <c r="G33" s="17" t="str">
        <f t="shared" si="4"/>
        <v>PCC-45562</v>
      </c>
      <c r="H33" s="17" t="str">
        <f t="shared" si="5"/>
        <v>PCF1-45562</v>
      </c>
      <c r="I33" s="17" t="str">
        <f t="shared" si="6"/>
        <v>PFF-45562</v>
      </c>
      <c r="J33" s="17" t="str">
        <f t="shared" si="7"/>
        <v>PFF0-45562</v>
      </c>
      <c r="K33" s="17" t="str">
        <f t="shared" si="8"/>
        <v>PPF2-45562</v>
      </c>
    </row>
    <row r="34" spans="2:11" x14ac:dyDescent="0.25">
      <c r="B34" s="35">
        <f>+'6 - Calendrier'!C34</f>
        <v>45563</v>
      </c>
      <c r="C34" s="35" t="str">
        <f t="shared" si="0"/>
        <v>PAA 150-45563</v>
      </c>
      <c r="D34" s="17" t="str">
        <f t="shared" si="1"/>
        <v>PAA 100-45563</v>
      </c>
      <c r="E34" s="17" t="str">
        <f t="shared" si="2"/>
        <v>PAA 33-45563</v>
      </c>
      <c r="F34" s="17" t="str">
        <f t="shared" si="3"/>
        <v>PAF1-45563</v>
      </c>
      <c r="G34" s="17" t="str">
        <f t="shared" si="4"/>
        <v>PCC-45563</v>
      </c>
      <c r="H34" s="17" t="str">
        <f t="shared" si="5"/>
        <v>PCF1-45563</v>
      </c>
      <c r="I34" s="17" t="str">
        <f t="shared" si="6"/>
        <v>PFF-45563</v>
      </c>
      <c r="J34" s="17" t="str">
        <f t="shared" si="7"/>
        <v>PFF0-45563</v>
      </c>
      <c r="K34" s="17" t="str">
        <f t="shared" si="8"/>
        <v>PPF2-45563</v>
      </c>
    </row>
    <row r="35" spans="2:11" x14ac:dyDescent="0.25">
      <c r="B35" s="35">
        <f>+'6 - Calendrier'!C35</f>
        <v>45564</v>
      </c>
      <c r="C35" s="35" t="str">
        <f t="shared" si="0"/>
        <v>PAA 150-45564</v>
      </c>
      <c r="D35" s="17" t="str">
        <f t="shared" si="1"/>
        <v>PAA 100-45564</v>
      </c>
      <c r="E35" s="17" t="str">
        <f t="shared" si="2"/>
        <v>PAA 33-45564</v>
      </c>
      <c r="F35" s="17" t="str">
        <f t="shared" si="3"/>
        <v>PAF1-45564</v>
      </c>
      <c r="G35" s="17" t="str">
        <f t="shared" si="4"/>
        <v>PCC-45564</v>
      </c>
      <c r="H35" s="17" t="str">
        <f t="shared" si="5"/>
        <v>PCF1-45564</v>
      </c>
      <c r="I35" s="17" t="str">
        <f t="shared" si="6"/>
        <v>PFF-45564</v>
      </c>
      <c r="J35" s="17" t="str">
        <f t="shared" si="7"/>
        <v>PFF0-45564</v>
      </c>
      <c r="K35" s="17" t="str">
        <f t="shared" si="8"/>
        <v>PPF2-45564</v>
      </c>
    </row>
    <row r="36" spans="2:11" x14ac:dyDescent="0.25">
      <c r="B36" s="35">
        <f>+'6 - Calendrier'!C36</f>
        <v>45565</v>
      </c>
      <c r="C36" s="35" t="str">
        <f t="shared" si="0"/>
        <v>PAA 150-45565</v>
      </c>
      <c r="D36" s="17" t="str">
        <f t="shared" si="1"/>
        <v>PAA 100-45565</v>
      </c>
      <c r="E36" s="17" t="str">
        <f t="shared" si="2"/>
        <v>PAA 33-45565</v>
      </c>
      <c r="F36" s="17" t="str">
        <f t="shared" si="3"/>
        <v>PAF1-45565</v>
      </c>
      <c r="G36" s="17" t="str">
        <f t="shared" si="4"/>
        <v>PCC-45565</v>
      </c>
      <c r="H36" s="17" t="str">
        <f t="shared" si="5"/>
        <v>PCF1-45565</v>
      </c>
      <c r="I36" s="17" t="str">
        <f t="shared" si="6"/>
        <v>PFF-45565</v>
      </c>
      <c r="J36" s="17" t="str">
        <f t="shared" si="7"/>
        <v>PFF0-45565</v>
      </c>
      <c r="K36" s="17" t="str">
        <f t="shared" si="8"/>
        <v>PPF2-45565</v>
      </c>
    </row>
    <row r="37" spans="2:11" ht="13.8" thickBot="1" x14ac:dyDescent="0.3">
      <c r="B37" s="49">
        <f>+'6 - Calendrier'!C37</f>
        <v>45566</v>
      </c>
      <c r="C37" s="49" t="str">
        <f t="shared" si="0"/>
        <v>PAA 150-45566</v>
      </c>
      <c r="D37" s="48" t="str">
        <f t="shared" si="1"/>
        <v>PAA 100-45566</v>
      </c>
      <c r="E37" s="48" t="str">
        <f t="shared" si="2"/>
        <v>PAA 33-45566</v>
      </c>
      <c r="F37" s="48" t="str">
        <f t="shared" si="3"/>
        <v>PAF1-45566</v>
      </c>
      <c r="G37" s="48" t="str">
        <f t="shared" si="4"/>
        <v>PCC-45566</v>
      </c>
      <c r="H37" s="48" t="str">
        <f t="shared" si="5"/>
        <v>PCF1-45566</v>
      </c>
      <c r="I37" s="48" t="str">
        <f t="shared" si="6"/>
        <v>PFF-45566</v>
      </c>
      <c r="J37" s="48" t="str">
        <f t="shared" si="7"/>
        <v>PFF0-45566</v>
      </c>
      <c r="K37" s="48" t="str">
        <f t="shared" si="8"/>
        <v>PPF2-45566</v>
      </c>
    </row>
    <row r="38" spans="2:11" x14ac:dyDescent="0.25">
      <c r="D38" s="15"/>
    </row>
  </sheetData>
  <mergeCells count="2">
    <mergeCell ref="B2:K3"/>
    <mergeCell ref="C5:K5"/>
  </mergeCells>
  <pageMargins left="0.7" right="0.7" top="0.75" bottom="0.75" header="0.3" footer="0.3"/>
  <pageSetup paperSize="9" orientation="portrait" horizontalDpi="90" verticalDpi="9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>
    <tabColor theme="0" tint="-0.34998626667073579"/>
  </sheetPr>
  <dimension ref="B1:P15"/>
  <sheetViews>
    <sheetView workbookViewId="0">
      <selection activeCell="C17" sqref="C17"/>
    </sheetView>
  </sheetViews>
  <sheetFormatPr baseColWidth="10" defaultColWidth="9.109375" defaultRowHeight="13.2" x14ac:dyDescent="0.25"/>
  <cols>
    <col min="1" max="1" width="3.6640625" style="1" customWidth="1"/>
    <col min="2" max="2" width="16.5546875" style="1" bestFit="1" customWidth="1"/>
    <col min="3" max="3" width="18.6640625" style="1" customWidth="1"/>
    <col min="4" max="4" width="15.6640625" style="1" customWidth="1"/>
    <col min="5" max="16" width="10.6640625" style="1" customWidth="1"/>
    <col min="17" max="16384" width="9.109375" style="1"/>
  </cols>
  <sheetData>
    <row r="1" spans="2:16" ht="13.8" thickBot="1" x14ac:dyDescent="0.3"/>
    <row r="2" spans="2:16" ht="12.75" customHeight="1" x14ac:dyDescent="0.25">
      <c r="B2" s="413" t="s">
        <v>57</v>
      </c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414"/>
    </row>
    <row r="3" spans="2:16" ht="13.5" customHeight="1" thickBot="1" x14ac:dyDescent="0.3">
      <c r="B3" s="415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416"/>
    </row>
    <row r="4" spans="2:16" ht="13.8" thickBot="1" x14ac:dyDescent="0.3"/>
    <row r="5" spans="2:16" ht="14.4" thickBot="1" x14ac:dyDescent="0.3">
      <c r="E5" s="463" t="s">
        <v>58</v>
      </c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9"/>
    </row>
    <row r="6" spans="2:16" s="21" customFormat="1" ht="26.4" x14ac:dyDescent="0.25">
      <c r="B6" s="38" t="s">
        <v>1</v>
      </c>
      <c r="C6" s="50" t="s">
        <v>2</v>
      </c>
      <c r="D6" s="68" t="s">
        <v>43</v>
      </c>
      <c r="E6" s="42" t="str">
        <f>+'4 - Processus'!D7</f>
        <v>Vis de dosage</v>
      </c>
      <c r="F6" s="30" t="str">
        <f>+'4 - Processus'!E7</f>
        <v>Préchauffage</v>
      </c>
      <c r="G6" s="30" t="str">
        <f>+'4 - Processus'!F7</f>
        <v xml:space="preserve">Four </v>
      </c>
      <c r="H6" s="30" t="str">
        <f>+'4 - Processus'!G7</f>
        <v>Cyclone 1</v>
      </c>
      <c r="I6" s="30" t="str">
        <f>+'4 - Processus'!H7</f>
        <v>Cyclone 2</v>
      </c>
      <c r="J6" s="30" t="str">
        <f>+'4 - Processus'!I7</f>
        <v>Cyclone 3</v>
      </c>
      <c r="K6" s="30" t="str">
        <f>+'4 - Processus'!J7</f>
        <v>4 Cyclone</v>
      </c>
      <c r="L6" s="30" t="str">
        <f>+'4 - Processus'!K7</f>
        <v>Tamis</v>
      </c>
      <c r="M6" s="30" t="str">
        <f>+'4 - Processus'!L7</f>
        <v>Chargement</v>
      </c>
      <c r="N6" s="30" t="str">
        <f>+'4 - Processus'!M7</f>
        <v>Machine a coudre</v>
      </c>
      <c r="O6" s="30" t="str">
        <f>+'4 - Processus'!N7</f>
        <v>Palettisation</v>
      </c>
      <c r="P6" s="68" t="str">
        <f>+'4 - Processus'!O7</f>
        <v>Stockage</v>
      </c>
    </row>
    <row r="7" spans="2:16" x14ac:dyDescent="0.25">
      <c r="B7" s="4" t="str">
        <f>+'1 - Produits'!B6</f>
        <v>PAA 150</v>
      </c>
      <c r="C7" s="1" t="str">
        <f>+'1 - Produits'!C6</f>
        <v>Perlite agricole 150L</v>
      </c>
      <c r="D7" s="64">
        <f>+VLOOKUP(B7,'1 - Production'!$B$10:$N$34,6,0)</f>
        <v>0</v>
      </c>
      <c r="E7" s="71">
        <f>IFERROR('4 - Processus'!D8*$D7,0)</f>
        <v>0</v>
      </c>
      <c r="F7" s="72">
        <f>IFERROR('4 - Processus'!E8*$D7,0)</f>
        <v>0</v>
      </c>
      <c r="G7" s="72">
        <f>IFERROR('4 - Processus'!F8*$D7,0)</f>
        <v>0</v>
      </c>
      <c r="H7" s="72">
        <f>IFERROR('4 - Processus'!G8*$D7,0)</f>
        <v>0</v>
      </c>
      <c r="I7" s="72">
        <f>IFERROR('4 - Processus'!H8*$D7,0)</f>
        <v>0</v>
      </c>
      <c r="J7" s="72">
        <f>IFERROR('4 - Processus'!I8*$D7,0)</f>
        <v>0</v>
      </c>
      <c r="K7" s="72">
        <f>IFERROR('4 - Processus'!J8*$D7,0)</f>
        <v>0</v>
      </c>
      <c r="L7" s="72">
        <f>IFERROR('4 - Processus'!K8*$D7,0)</f>
        <v>0</v>
      </c>
      <c r="M7" s="72">
        <f>IFERROR('4 - Processus'!L8*$D7,0)</f>
        <v>0</v>
      </c>
      <c r="N7" s="72">
        <f>IFERROR('4 - Processus'!M8*$D7,0)</f>
        <v>0</v>
      </c>
      <c r="O7" s="72">
        <f>IFERROR('4 - Processus'!N8*$D7,0)</f>
        <v>0</v>
      </c>
      <c r="P7" s="73">
        <f>IFERROR('4 - Processus'!O8*$D7,0)</f>
        <v>0</v>
      </c>
    </row>
    <row r="8" spans="2:16" x14ac:dyDescent="0.25">
      <c r="B8" s="4" t="str">
        <f>+'1 - Produits'!B7</f>
        <v>PAA 100</v>
      </c>
      <c r="C8" s="1" t="str">
        <f>+'1 - Produits'!C7</f>
        <v>Perlite agricole 100L</v>
      </c>
      <c r="D8" s="41">
        <f>+VLOOKUP(B8,'1 - Production'!$B$10:$N$34,6,0)</f>
        <v>0</v>
      </c>
      <c r="E8" s="71">
        <f>IFERROR('4 - Processus'!D9*$D8,0)</f>
        <v>0</v>
      </c>
      <c r="F8" s="72">
        <f>IFERROR('4 - Processus'!E9*$D8,0)</f>
        <v>0</v>
      </c>
      <c r="G8" s="72">
        <f>IFERROR('4 - Processus'!F9*$D8,0)</f>
        <v>0</v>
      </c>
      <c r="H8" s="72">
        <f>IFERROR('4 - Processus'!G9*$D8,0)</f>
        <v>0</v>
      </c>
      <c r="I8" s="72">
        <f>IFERROR('4 - Processus'!H9*$D8,0)</f>
        <v>0</v>
      </c>
      <c r="J8" s="72">
        <f>IFERROR('4 - Processus'!I9*$D8,0)</f>
        <v>0</v>
      </c>
      <c r="K8" s="72">
        <f>IFERROR('4 - Processus'!J9*$D8,0)</f>
        <v>0</v>
      </c>
      <c r="L8" s="72">
        <f>IFERROR('4 - Processus'!K9*$D8,0)</f>
        <v>0</v>
      </c>
      <c r="M8" s="72">
        <f>IFERROR('4 - Processus'!L9*$D8,0)</f>
        <v>0</v>
      </c>
      <c r="N8" s="72">
        <f>IFERROR('4 - Processus'!M9*$D8,0)</f>
        <v>0</v>
      </c>
      <c r="O8" s="72">
        <f>IFERROR('4 - Processus'!N9*$D8,0)</f>
        <v>0</v>
      </c>
      <c r="P8" s="73">
        <f>IFERROR('4 - Processus'!O9*$D8,0)</f>
        <v>0</v>
      </c>
    </row>
    <row r="9" spans="2:16" x14ac:dyDescent="0.25">
      <c r="B9" s="4" t="str">
        <f>+'1 - Produits'!B8</f>
        <v>PAA 33</v>
      </c>
      <c r="C9" s="1" t="str">
        <f>+'1 - Produits'!C8</f>
        <v>Perlite agricole 33L</v>
      </c>
      <c r="D9" s="41">
        <f>+VLOOKUP(B9,'1 - Production'!$B$10:$N$34,6,0)</f>
        <v>0</v>
      </c>
      <c r="E9" s="71">
        <f>IFERROR('4 - Processus'!D10*$D9,0)</f>
        <v>0</v>
      </c>
      <c r="F9" s="72">
        <f>IFERROR('4 - Processus'!E10*$D9,0)</f>
        <v>0</v>
      </c>
      <c r="G9" s="72">
        <f>IFERROR('4 - Processus'!F10*$D9,0)</f>
        <v>0</v>
      </c>
      <c r="H9" s="72">
        <f>IFERROR('4 - Processus'!G10*$D9,0)</f>
        <v>0</v>
      </c>
      <c r="I9" s="72">
        <f>IFERROR('4 - Processus'!H10*$D9,0)</f>
        <v>0</v>
      </c>
      <c r="J9" s="72">
        <f>IFERROR('4 - Processus'!I10*$D9,0)</f>
        <v>0</v>
      </c>
      <c r="K9" s="72">
        <f>IFERROR('4 - Processus'!J10*$D9,0)</f>
        <v>0</v>
      </c>
      <c r="L9" s="72">
        <f>IFERROR('4 - Processus'!K10*$D9,0)</f>
        <v>0</v>
      </c>
      <c r="M9" s="72">
        <f>IFERROR('4 - Processus'!L10*$D9,0)</f>
        <v>0</v>
      </c>
      <c r="N9" s="72">
        <f>IFERROR('4 - Processus'!M10*$D9,0)</f>
        <v>0</v>
      </c>
      <c r="O9" s="72">
        <f>IFERROR('4 - Processus'!N10*$D9,0)</f>
        <v>0</v>
      </c>
      <c r="P9" s="73">
        <f>IFERROR('4 - Processus'!O10*$D9,0)</f>
        <v>0</v>
      </c>
    </row>
    <row r="10" spans="2:16" x14ac:dyDescent="0.25">
      <c r="B10" s="4" t="str">
        <f>+'1 - Produits'!B10</f>
        <v>PAF1</v>
      </c>
      <c r="C10" s="1" t="str">
        <f>+'1 - Produits'!C10</f>
        <v>Perlite AF1</v>
      </c>
      <c r="D10" s="41">
        <f>+VLOOKUP(B10,'1 - Production'!$B$10:$N$34,6,0)</f>
        <v>0</v>
      </c>
      <c r="E10" s="71">
        <f>IFERROR('4 - Processus'!D11*$D10,0)</f>
        <v>0</v>
      </c>
      <c r="F10" s="72">
        <f>IFERROR('4 - Processus'!E11*$D10,0)</f>
        <v>0</v>
      </c>
      <c r="G10" s="72">
        <f>IFERROR('4 - Processus'!F11*$D10,0)</f>
        <v>0</v>
      </c>
      <c r="H10" s="72">
        <f>IFERROR('4 - Processus'!G11*$D10,0)</f>
        <v>0</v>
      </c>
      <c r="I10" s="72">
        <f>IFERROR('4 - Processus'!H11*$D10,0)</f>
        <v>0</v>
      </c>
      <c r="J10" s="72">
        <f>IFERROR('4 - Processus'!I11*$D10,0)</f>
        <v>0</v>
      </c>
      <c r="K10" s="72">
        <f>IFERROR('4 - Processus'!J11*$D10,0)</f>
        <v>0</v>
      </c>
      <c r="L10" s="72">
        <f>IFERROR('4 - Processus'!K11*$D10,0)</f>
        <v>0</v>
      </c>
      <c r="M10" s="72">
        <f>IFERROR('4 - Processus'!L11*$D10,0)</f>
        <v>0</v>
      </c>
      <c r="N10" s="72">
        <f>IFERROR('4 - Processus'!M11*$D10,0)</f>
        <v>0</v>
      </c>
      <c r="O10" s="72">
        <f>IFERROR('4 - Processus'!N11*$D10,0)</f>
        <v>0</v>
      </c>
      <c r="P10" s="73">
        <f>IFERROR('4 - Processus'!O11*$D10,0)</f>
        <v>0</v>
      </c>
    </row>
    <row r="11" spans="2:16" x14ac:dyDescent="0.25">
      <c r="B11" s="4" t="str">
        <f>+'1 - Produits'!B12</f>
        <v>PCC</v>
      </c>
      <c r="C11" s="1" t="str">
        <f>+'1 - Produits'!C12</f>
        <v xml:space="preserve">Perlite construction </v>
      </c>
      <c r="D11" s="41">
        <f>+VLOOKUP(B11,'1 - Production'!$B$10:$N$34,6,0)</f>
        <v>0</v>
      </c>
      <c r="E11" s="71">
        <f>IFERROR('4 - Processus'!D12*$D11,0)</f>
        <v>0</v>
      </c>
      <c r="F11" s="72">
        <f>IFERROR('4 - Processus'!E12*$D11,0)</f>
        <v>0</v>
      </c>
      <c r="G11" s="72">
        <f>IFERROR('4 - Processus'!F12*$D11,0)</f>
        <v>0</v>
      </c>
      <c r="H11" s="72">
        <f>IFERROR('4 - Processus'!G12*$D11,0)</f>
        <v>0</v>
      </c>
      <c r="I11" s="72">
        <f>IFERROR('4 - Processus'!H12*$D11,0)</f>
        <v>0</v>
      </c>
      <c r="J11" s="72">
        <f>IFERROR('4 - Processus'!I12*$D11,0)</f>
        <v>0</v>
      </c>
      <c r="K11" s="72">
        <f>IFERROR('4 - Processus'!J12*$D11,0)</f>
        <v>0</v>
      </c>
      <c r="L11" s="72">
        <f>IFERROR('4 - Processus'!K12*$D11,0)</f>
        <v>0</v>
      </c>
      <c r="M11" s="72">
        <f>IFERROR('4 - Processus'!L12*$D11,0)</f>
        <v>0</v>
      </c>
      <c r="N11" s="72">
        <f>IFERROR('4 - Processus'!M12*$D11,0)</f>
        <v>0</v>
      </c>
      <c r="O11" s="72">
        <f>IFERROR('4 - Processus'!N12*$D11,0)</f>
        <v>0</v>
      </c>
      <c r="P11" s="73">
        <f>IFERROR('4 - Processus'!O12*$D11,0)</f>
        <v>0</v>
      </c>
    </row>
    <row r="12" spans="2:16" x14ac:dyDescent="0.25">
      <c r="B12" s="4" t="str">
        <f>+'1 - Produits'!B16</f>
        <v>PFF</v>
      </c>
      <c r="C12" s="1" t="str">
        <f>+'1 - Produits'!C16</f>
        <v>Perlite Filtration</v>
      </c>
      <c r="D12" s="41">
        <f>+VLOOKUP(B12,'1 - Production'!$B$10:$N$34,6,0)</f>
        <v>0</v>
      </c>
      <c r="E12" s="71">
        <f>IFERROR('4 - Processus'!D14*$D12,0)</f>
        <v>0</v>
      </c>
      <c r="F12" s="72">
        <f>IFERROR('4 - Processus'!E14*$D12,0)</f>
        <v>0</v>
      </c>
      <c r="G12" s="72">
        <f>IFERROR('4 - Processus'!F14*$D12,0)</f>
        <v>0</v>
      </c>
      <c r="H12" s="72">
        <f>IFERROR('4 - Processus'!G14*$D12,0)</f>
        <v>0</v>
      </c>
      <c r="I12" s="72">
        <f>IFERROR('4 - Processus'!H14*$D12,0)</f>
        <v>0</v>
      </c>
      <c r="J12" s="72">
        <f>IFERROR('4 - Processus'!I14*$D12,0)</f>
        <v>0</v>
      </c>
      <c r="K12" s="72">
        <f>IFERROR('4 - Processus'!J14*$D12,0)</f>
        <v>0</v>
      </c>
      <c r="L12" s="72">
        <f>IFERROR('4 - Processus'!K14*$D12,0)</f>
        <v>0</v>
      </c>
      <c r="M12" s="72">
        <f>IFERROR('4 - Processus'!L14*$D12,0)</f>
        <v>0</v>
      </c>
      <c r="N12" s="72">
        <f>IFERROR('4 - Processus'!M14*$D12,0)</f>
        <v>0</v>
      </c>
      <c r="O12" s="72">
        <f>IFERROR('4 - Processus'!N14*$D12,0)</f>
        <v>0</v>
      </c>
      <c r="P12" s="73">
        <f>IFERROR('4 - Processus'!O14*$D12,0)</f>
        <v>0</v>
      </c>
    </row>
    <row r="13" spans="2:16" x14ac:dyDescent="0.25">
      <c r="B13" s="4" t="str">
        <f>+'1 - Produits'!B17</f>
        <v>PFF0</v>
      </c>
      <c r="C13" s="1" t="str">
        <f>+'1 - Produits'!C17</f>
        <v>Perlite FF0</v>
      </c>
      <c r="D13" s="41">
        <f>+VLOOKUP(B13,'1 - Production'!$B$10:$N$34,6,0)</f>
        <v>0</v>
      </c>
      <c r="E13" s="71">
        <f>IFERROR('4 - Processus'!D15*$D13,0)</f>
        <v>0</v>
      </c>
      <c r="F13" s="72">
        <f>IFERROR('4 - Processus'!E15*$D13,0)</f>
        <v>0</v>
      </c>
      <c r="G13" s="72">
        <f>IFERROR('4 - Processus'!F15*$D13,0)</f>
        <v>0</v>
      </c>
      <c r="H13" s="72">
        <f>IFERROR('4 - Processus'!G15*$D13,0)</f>
        <v>0</v>
      </c>
      <c r="I13" s="72">
        <f>IFERROR('4 - Processus'!H15*$D13,0)</f>
        <v>0</v>
      </c>
      <c r="J13" s="72">
        <f>IFERROR('4 - Processus'!I15*$D13,0)</f>
        <v>0</v>
      </c>
      <c r="K13" s="72">
        <f>IFERROR('4 - Processus'!J15*$D13,0)</f>
        <v>0</v>
      </c>
      <c r="L13" s="72">
        <f>IFERROR('4 - Processus'!K15*$D13,0)</f>
        <v>0</v>
      </c>
      <c r="M13" s="72">
        <f>IFERROR('4 - Processus'!L15*$D13,0)</f>
        <v>0</v>
      </c>
      <c r="N13" s="72">
        <f>IFERROR('4 - Processus'!M15*$D13,0)</f>
        <v>0</v>
      </c>
      <c r="O13" s="72">
        <f>IFERROR('4 - Processus'!N15*$D13,0)</f>
        <v>0</v>
      </c>
      <c r="P13" s="73">
        <f>IFERROR('4 - Processus'!O15*$D13,0)</f>
        <v>0</v>
      </c>
    </row>
    <row r="14" spans="2:16" ht="13.8" thickBot="1" x14ac:dyDescent="0.3">
      <c r="B14" s="6" t="str">
        <f>+'1 - Produits'!B18</f>
        <v>PPF2</v>
      </c>
      <c r="C14" s="20" t="str">
        <f>+'1 - Produits'!C18</f>
        <v>Perlite PF2</v>
      </c>
      <c r="D14" s="28">
        <f>+VLOOKUP(B14,'1 - Production'!$B$10:$N$34,6,0)</f>
        <v>0</v>
      </c>
      <c r="E14" s="74">
        <f>IFERROR('4 - Processus'!D16*$D14,0)</f>
        <v>0</v>
      </c>
      <c r="F14" s="75">
        <f>IFERROR('4 - Processus'!E16*$D14,0)</f>
        <v>0</v>
      </c>
      <c r="G14" s="75">
        <f>IFERROR('4 - Processus'!F16*$D14,0)</f>
        <v>0</v>
      </c>
      <c r="H14" s="75">
        <f>IFERROR('4 - Processus'!G16*$D14,0)</f>
        <v>0</v>
      </c>
      <c r="I14" s="75">
        <f>IFERROR('4 - Processus'!H16*$D14,0)</f>
        <v>0</v>
      </c>
      <c r="J14" s="75">
        <f>IFERROR('4 - Processus'!I16*$D14,0)</f>
        <v>0</v>
      </c>
      <c r="K14" s="75">
        <f>IFERROR('4 - Processus'!J16*$D14,0)</f>
        <v>0</v>
      </c>
      <c r="L14" s="75">
        <f>IFERROR('4 - Processus'!K16*$D14,0)</f>
        <v>0</v>
      </c>
      <c r="M14" s="75">
        <f>IFERROR('4 - Processus'!L16*$D14,0)</f>
        <v>0</v>
      </c>
      <c r="N14" s="75">
        <f>IFERROR('4 - Processus'!M16*$D14,0)</f>
        <v>0</v>
      </c>
      <c r="O14" s="75">
        <f>IFERROR('4 - Processus'!N16*$D14,0)</f>
        <v>0</v>
      </c>
      <c r="P14" s="76">
        <f>IFERROR('4 - Processus'!O16*$D14,0)</f>
        <v>0</v>
      </c>
    </row>
    <row r="15" spans="2:16" s="69" customFormat="1" ht="13.8" thickBot="1" x14ac:dyDescent="0.3">
      <c r="D15" s="70" t="s">
        <v>21</v>
      </c>
      <c r="E15" s="77">
        <f>+SUM(E7:E14)</f>
        <v>0</v>
      </c>
      <c r="F15" s="77">
        <f t="shared" ref="F15:P15" si="0">+SUM(F7:F14)</f>
        <v>0</v>
      </c>
      <c r="G15" s="77">
        <f t="shared" si="0"/>
        <v>0</v>
      </c>
      <c r="H15" s="77">
        <f t="shared" si="0"/>
        <v>0</v>
      </c>
      <c r="I15" s="77">
        <f t="shared" si="0"/>
        <v>0</v>
      </c>
      <c r="J15" s="77">
        <f t="shared" si="0"/>
        <v>0</v>
      </c>
      <c r="K15" s="77">
        <f t="shared" si="0"/>
        <v>0</v>
      </c>
      <c r="L15" s="77">
        <f t="shared" si="0"/>
        <v>0</v>
      </c>
      <c r="M15" s="77">
        <f t="shared" si="0"/>
        <v>0</v>
      </c>
      <c r="N15" s="77">
        <f t="shared" si="0"/>
        <v>0</v>
      </c>
      <c r="O15" s="77">
        <f t="shared" si="0"/>
        <v>0</v>
      </c>
      <c r="P15" s="78">
        <f t="shared" si="0"/>
        <v>0</v>
      </c>
    </row>
  </sheetData>
  <mergeCells count="2">
    <mergeCell ref="E5:P5"/>
    <mergeCell ref="B2:P3"/>
  </mergeCells>
  <conditionalFormatting sqref="E6:P6">
    <cfRule type="duplicateValues" dxfId="6" priority="1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>
    <tabColor rgb="FF00B050"/>
  </sheetPr>
  <dimension ref="B1:J22"/>
  <sheetViews>
    <sheetView topLeftCell="A7" zoomScale="130" zoomScaleNormal="130" workbookViewId="0">
      <selection activeCell="D1" sqref="D1:D1048576"/>
    </sheetView>
  </sheetViews>
  <sheetFormatPr baseColWidth="10" defaultColWidth="9.109375" defaultRowHeight="13.2" x14ac:dyDescent="0.25"/>
  <cols>
    <col min="1" max="1" width="3.6640625" style="1" customWidth="1"/>
    <col min="2" max="2" width="25.6640625" style="1" customWidth="1"/>
    <col min="3" max="3" width="15.6640625" style="1" customWidth="1"/>
    <col min="4" max="4" width="12.6640625" style="1" customWidth="1"/>
    <col min="5" max="5" width="25" style="1" bestFit="1" customWidth="1"/>
    <col min="6" max="16384" width="9.109375" style="1"/>
  </cols>
  <sheetData>
    <row r="1" spans="2:10" ht="13.8" thickBot="1" x14ac:dyDescent="0.3"/>
    <row r="2" spans="2:10" ht="12.75" customHeight="1" x14ac:dyDescent="0.25">
      <c r="B2" s="413" t="s">
        <v>45</v>
      </c>
      <c r="C2" s="377"/>
      <c r="D2" s="377"/>
      <c r="E2" s="377"/>
      <c r="F2" s="377"/>
      <c r="G2" s="377"/>
      <c r="H2" s="377"/>
      <c r="I2" s="377"/>
      <c r="J2" s="414"/>
    </row>
    <row r="3" spans="2:10" ht="13.5" customHeight="1" thickBot="1" x14ac:dyDescent="0.3">
      <c r="B3" s="415"/>
      <c r="C3" s="381"/>
      <c r="D3" s="381"/>
      <c r="E3" s="381"/>
      <c r="F3" s="381"/>
      <c r="G3" s="381"/>
      <c r="H3" s="381"/>
      <c r="I3" s="381"/>
      <c r="J3" s="416"/>
    </row>
    <row r="4" spans="2:10" ht="13.8" thickBot="1" x14ac:dyDescent="0.3"/>
    <row r="5" spans="2:10" s="32" customFormat="1" ht="39.6" x14ac:dyDescent="0.25">
      <c r="B5" s="29" t="s">
        <v>28</v>
      </c>
      <c r="C5" s="30" t="s">
        <v>56</v>
      </c>
      <c r="D5" s="68" t="s">
        <v>59</v>
      </c>
    </row>
    <row r="6" spans="2:10" x14ac:dyDescent="0.25">
      <c r="B6" s="4" t="str">
        <f>+'4 - Processus'!D7</f>
        <v>Vis de dosage</v>
      </c>
      <c r="C6" s="79">
        <f>+HLOOKUP(B6,'6A - Calendrier en min'!$C$6:$N$38,33,0)</f>
        <v>0</v>
      </c>
      <c r="D6" s="97">
        <f>IFERROR(#REF!/C6,0)</f>
        <v>0</v>
      </c>
      <c r="E6" s="33"/>
      <c r="F6" s="33"/>
    </row>
    <row r="7" spans="2:10" x14ac:dyDescent="0.25">
      <c r="B7" s="4" t="str">
        <f>+'4 - Processus'!E7</f>
        <v>Préchauffage</v>
      </c>
      <c r="C7" s="79">
        <f>+HLOOKUP(B7,'6A - Calendrier en min'!$C$6:$N$38,33,0)</f>
        <v>0</v>
      </c>
      <c r="D7" s="97">
        <f>IFERROR(#REF!/C7,0)</f>
        <v>0</v>
      </c>
      <c r="E7" s="33"/>
      <c r="F7" s="33"/>
    </row>
    <row r="8" spans="2:10" x14ac:dyDescent="0.25">
      <c r="B8" s="4" t="str">
        <f>+'4 - Processus'!F7</f>
        <v xml:space="preserve">Four </v>
      </c>
      <c r="C8" s="79">
        <f>+HLOOKUP(B8,'6A - Calendrier en min'!$C$6:$N$38,33,0)</f>
        <v>0</v>
      </c>
      <c r="D8" s="97">
        <f>IFERROR(#REF!/C8,0)</f>
        <v>0</v>
      </c>
      <c r="E8" s="33"/>
      <c r="F8" s="33"/>
    </row>
    <row r="9" spans="2:10" x14ac:dyDescent="0.25">
      <c r="B9" s="4" t="str">
        <f>+'4 - Processus'!G7</f>
        <v>Cyclone 1</v>
      </c>
      <c r="C9" s="79">
        <f>+HLOOKUP(B9,'6A - Calendrier en min'!$C$6:$N$38,33,0)</f>
        <v>0</v>
      </c>
      <c r="D9" s="97">
        <f>IFERROR(#REF!/C9,0)</f>
        <v>0</v>
      </c>
      <c r="E9" s="33"/>
      <c r="F9" s="33"/>
    </row>
    <row r="10" spans="2:10" x14ac:dyDescent="0.25">
      <c r="B10" s="4" t="str">
        <f>+'4 - Processus'!H7</f>
        <v>Cyclone 2</v>
      </c>
      <c r="C10" s="79">
        <f>+HLOOKUP(B10,'6A - Calendrier en min'!$C$6:$N$38,33,0)</f>
        <v>0</v>
      </c>
      <c r="D10" s="97">
        <f>IFERROR(#REF!/C10,0)</f>
        <v>0</v>
      </c>
      <c r="E10" s="33"/>
      <c r="F10" s="33"/>
    </row>
    <row r="11" spans="2:10" x14ac:dyDescent="0.25">
      <c r="B11" s="4" t="str">
        <f>+'4 - Processus'!I7</f>
        <v>Cyclone 3</v>
      </c>
      <c r="C11" s="79">
        <f>+HLOOKUP(B11,'6A - Calendrier en min'!$C$6:$N$38,33,0)</f>
        <v>0</v>
      </c>
      <c r="D11" s="97">
        <f>IFERROR(#REF!/C11,0)</f>
        <v>0</v>
      </c>
      <c r="E11" s="33"/>
      <c r="F11" s="33"/>
    </row>
    <row r="12" spans="2:10" x14ac:dyDescent="0.25">
      <c r="B12" s="4" t="str">
        <f>+'4 - Processus'!J7</f>
        <v>4 Cyclone</v>
      </c>
      <c r="C12" s="79">
        <f>+HLOOKUP(B12,'6A - Calendrier en min'!$C$6:$N$38,33,0)</f>
        <v>0</v>
      </c>
      <c r="D12" s="97">
        <f>IFERROR(#REF!/C12,0)</f>
        <v>0</v>
      </c>
      <c r="E12" s="33"/>
      <c r="F12" s="33"/>
    </row>
    <row r="13" spans="2:10" x14ac:dyDescent="0.25">
      <c r="B13" s="4" t="str">
        <f>+'4 - Processus'!K7</f>
        <v>Tamis</v>
      </c>
      <c r="C13" s="79">
        <v>420</v>
      </c>
      <c r="D13" s="97">
        <v>0.8</v>
      </c>
      <c r="E13" s="33"/>
      <c r="F13" s="33"/>
    </row>
    <row r="14" spans="2:10" x14ac:dyDescent="0.25">
      <c r="B14" s="4" t="str">
        <f>+'4 - Processus'!L7</f>
        <v>Chargement</v>
      </c>
      <c r="C14" s="79">
        <v>420</v>
      </c>
      <c r="D14" s="97">
        <v>0.85</v>
      </c>
      <c r="E14" s="33"/>
      <c r="F14" s="33"/>
    </row>
    <row r="15" spans="2:10" x14ac:dyDescent="0.25">
      <c r="B15" s="4" t="str">
        <f>+'4 - Processus'!M7</f>
        <v>Machine a coudre</v>
      </c>
      <c r="C15" s="79">
        <v>420</v>
      </c>
      <c r="D15" s="97">
        <v>0.95</v>
      </c>
      <c r="E15" s="33"/>
      <c r="F15" s="33"/>
    </row>
    <row r="16" spans="2:10" x14ac:dyDescent="0.25">
      <c r="B16" s="4" t="str">
        <f>+'4 - Processus'!N7</f>
        <v>Palettisation</v>
      </c>
      <c r="C16" s="79">
        <v>420</v>
      </c>
      <c r="D16" s="97">
        <v>0.4</v>
      </c>
      <c r="E16" s="33"/>
      <c r="F16" s="33"/>
    </row>
    <row r="17" spans="2:6" ht="13.8" thickBot="1" x14ac:dyDescent="0.3">
      <c r="B17" s="6" t="str">
        <f>+'4 - Processus'!O7</f>
        <v>Stockage</v>
      </c>
      <c r="C17" s="79">
        <v>420</v>
      </c>
      <c r="D17" s="98">
        <v>0.3</v>
      </c>
      <c r="E17" s="33"/>
      <c r="F17" s="33"/>
    </row>
    <row r="19" spans="2:6" x14ac:dyDescent="0.25">
      <c r="C19" s="92" t="s">
        <v>36</v>
      </c>
      <c r="D19" s="93">
        <v>0.7</v>
      </c>
      <c r="E19" s="67" t="s">
        <v>60</v>
      </c>
    </row>
    <row r="20" spans="2:6" x14ac:dyDescent="0.25">
      <c r="D20" s="93">
        <v>0.85</v>
      </c>
      <c r="E20" s="94" t="s">
        <v>61</v>
      </c>
    </row>
    <row r="21" spans="2:6" x14ac:dyDescent="0.25">
      <c r="D21" s="91">
        <f>+D20</f>
        <v>0.85</v>
      </c>
      <c r="E21" s="95" t="s">
        <v>62</v>
      </c>
    </row>
    <row r="22" spans="2:6" x14ac:dyDescent="0.25">
      <c r="D22" s="91">
        <v>1</v>
      </c>
      <c r="E22" s="96" t="s">
        <v>63</v>
      </c>
    </row>
  </sheetData>
  <mergeCells count="1">
    <mergeCell ref="B2:J3"/>
  </mergeCells>
  <conditionalFormatting sqref="D6:D17">
    <cfRule type="cellIs" dxfId="5" priority="1" operator="equal">
      <formula>0</formula>
    </cfRule>
    <cfRule type="cellIs" dxfId="4" priority="2" operator="greaterThan">
      <formula>$D$22</formula>
    </cfRule>
    <cfRule type="cellIs" dxfId="3" priority="3" operator="greaterThan">
      <formula>$D$21</formula>
    </cfRule>
    <cfRule type="cellIs" dxfId="2" priority="4" operator="lessThan">
      <formula>$D$19</formula>
    </cfRule>
    <cfRule type="cellIs" dxfId="1" priority="5" operator="lessThan">
      <formula>$D$20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Process mapping</vt:lpstr>
      <vt:lpstr>1 - Produits</vt:lpstr>
      <vt:lpstr>1 - Production</vt:lpstr>
      <vt:lpstr>2 - Commandes clients</vt:lpstr>
      <vt:lpstr>2A - Pivot1_commandes</vt:lpstr>
      <vt:lpstr>2B - calc commandes</vt:lpstr>
      <vt:lpstr>3 - Livraisons</vt:lpstr>
      <vt:lpstr>4 - Inventaire initial</vt:lpstr>
      <vt:lpstr>4 - Processus</vt:lpstr>
      <vt:lpstr>5 - Régime de travail</vt:lpstr>
      <vt:lpstr>6 - Calendrier</vt:lpstr>
      <vt:lpstr>6A - Calendrier en min</vt:lpstr>
      <vt:lpstr>7A - calc livraisons</vt:lpstr>
      <vt:lpstr>8A - Temps prod</vt:lpstr>
      <vt:lpstr>9 - Charge de travail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Quennoy</dc:creator>
  <cp:lastModifiedBy>mounir lamloum</cp:lastModifiedBy>
  <cp:lastPrinted>2023-12-25T08:47:19Z</cp:lastPrinted>
  <dcterms:created xsi:type="dcterms:W3CDTF">2020-12-26T10:26:13Z</dcterms:created>
  <dcterms:modified xsi:type="dcterms:W3CDTF">2024-01-29T09:11:46Z</dcterms:modified>
</cp:coreProperties>
</file>