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8770"/>
  </bookViews>
  <sheets>
    <sheet name="Lipase" sheetId="2" r:id="rId1"/>
    <sheet name="ISP_Lipase" sheetId="1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1"/>
  <c r="L7"/>
  <c r="T6"/>
  <c r="L6"/>
  <c r="T5"/>
  <c r="L5"/>
  <c r="T4"/>
  <c r="L4"/>
  <c r="T3"/>
  <c r="L3"/>
  <c r="T2"/>
  <c r="V6" s="1"/>
  <c r="O2"/>
  <c r="M2"/>
  <c r="L2"/>
  <c r="N7" s="1"/>
  <c r="A17" i="2" a="1"/>
  <c r="A14" a="1"/>
  <c r="A13" a="1"/>
  <c r="A20" a="1"/>
  <c r="A18" a="1"/>
  <c r="A12" a="1"/>
  <c r="A21" a="1"/>
  <c r="A19" a="1"/>
  <c r="A16" a="1"/>
  <c r="A15" a="1"/>
  <c r="A15" l="1"/>
  <c r="A12"/>
  <c r="A16"/>
  <c r="A18"/>
  <c r="A19"/>
  <c r="A20"/>
  <c r="A21"/>
  <c r="A13"/>
  <c r="A17"/>
  <c r="A14"/>
  <c r="V2" i="1"/>
  <c r="N3"/>
  <c r="O4"/>
  <c r="N2"/>
  <c r="O3"/>
  <c r="P4"/>
  <c r="U4"/>
  <c r="M5"/>
  <c r="V5"/>
  <c r="N6"/>
  <c r="O7"/>
  <c r="P3"/>
  <c r="U3"/>
  <c r="M4"/>
  <c r="V4"/>
  <c r="N5"/>
  <c r="O6"/>
  <c r="P7"/>
  <c r="U7"/>
  <c r="P2"/>
  <c r="R2" s="1"/>
  <c r="U2"/>
  <c r="W2" s="1"/>
  <c r="M3"/>
  <c r="V3"/>
  <c r="N4"/>
  <c r="O5"/>
  <c r="P6"/>
  <c r="U6"/>
  <c r="W6" s="1"/>
  <c r="M7"/>
  <c r="V7"/>
  <c r="P5"/>
  <c r="U5"/>
  <c r="W5" s="1"/>
  <c r="M6"/>
  <c r="C25" i="2" a="1"/>
  <c r="C24" a="1"/>
  <c r="C23" a="1"/>
  <c r="C22" a="1"/>
  <c r="C15" a="1"/>
  <c r="C16" a="1"/>
  <c r="C19" a="1"/>
  <c r="C21" a="1"/>
  <c r="C17" a="1"/>
  <c r="C18" a="1"/>
  <c r="C20" a="1"/>
  <c r="C14" a="1"/>
  <c r="C13" a="1"/>
  <c r="B25" a="1"/>
  <c r="B24" a="1"/>
  <c r="B23" a="1"/>
  <c r="B22" a="1"/>
  <c r="B15" a="1"/>
  <c r="B16" a="1"/>
  <c r="B19" a="1"/>
  <c r="B21" a="1"/>
  <c r="B17" a="1"/>
  <c r="B18" a="1"/>
  <c r="B20" a="1"/>
  <c r="B14" a="1"/>
  <c r="B13" a="1"/>
  <c r="E15" a="1"/>
  <c r="K15" a="1"/>
  <c r="D15" a="1"/>
  <c r="H15" a="1"/>
  <c r="G19" a="1"/>
  <c r="K19" a="1"/>
  <c r="D19" a="1"/>
  <c r="H19" a="1"/>
  <c r="F17" a="1"/>
  <c r="J17" a="1"/>
  <c r="E17" a="1"/>
  <c r="I17" a="1"/>
  <c r="G16" a="1"/>
  <c r="K16" a="1"/>
  <c r="D16" a="1"/>
  <c r="H16" a="1"/>
  <c r="I13" a="1"/>
  <c r="K13" a="1"/>
  <c r="F13" a="1"/>
  <c r="J13" a="1"/>
  <c r="J12" a="1"/>
  <c r="E12" a="1"/>
  <c r="I12" a="1"/>
  <c r="B12" a="1"/>
  <c r="F12" a="1"/>
  <c r="E20" a="1"/>
  <c r="I20" a="1"/>
  <c r="F20" a="1"/>
  <c r="J20" a="1"/>
  <c r="D14" a="1"/>
  <c r="H14" a="1"/>
  <c r="G14" a="1"/>
  <c r="K14" a="1"/>
  <c r="E21" a="1"/>
  <c r="I21" a="1"/>
  <c r="F21" a="1"/>
  <c r="J21" a="1"/>
  <c r="E18" a="1"/>
  <c r="F18" a="1"/>
  <c r="I15" a="1"/>
  <c r="G15" a="1"/>
  <c r="F15" a="1"/>
  <c r="J15" a="1"/>
  <c r="E19" a="1"/>
  <c r="I19" a="1"/>
  <c r="F19" a="1"/>
  <c r="J19" a="1"/>
  <c r="D17" a="1"/>
  <c r="H17" a="1"/>
  <c r="G17" a="1"/>
  <c r="K17" a="1"/>
  <c r="E16" a="1"/>
  <c r="I16" a="1"/>
  <c r="F16" a="1"/>
  <c r="J16" a="1"/>
  <c r="G13" a="1"/>
  <c r="E13" a="1"/>
  <c r="D13" a="1"/>
  <c r="H13" a="1"/>
  <c r="D12" a="1"/>
  <c r="C12" a="1"/>
  <c r="G12" a="1"/>
  <c r="K12" a="1"/>
  <c r="H12" a="1"/>
  <c r="G20" a="1"/>
  <c r="K20" a="1"/>
  <c r="D20" a="1"/>
  <c r="H20" a="1"/>
  <c r="F14" a="1"/>
  <c r="J14" a="1"/>
  <c r="E14" a="1"/>
  <c r="I14" a="1"/>
  <c r="G21" a="1"/>
  <c r="K21" a="1"/>
  <c r="D21" a="1"/>
  <c r="H21" a="1"/>
  <c r="G18" a="1"/>
  <c r="K18" a="1"/>
  <c r="D18" a="1"/>
  <c r="H18" a="1"/>
  <c r="I18" a="1"/>
  <c r="J18" a="1"/>
  <c r="W7" i="1" l="1"/>
  <c r="Q2"/>
  <c r="C14" i="2"/>
  <c r="C20"/>
  <c r="C18"/>
  <c r="C17"/>
  <c r="C21"/>
  <c r="C19"/>
  <c r="C16"/>
  <c r="C15"/>
  <c r="C22"/>
  <c r="C23"/>
  <c r="C24"/>
  <c r="C25"/>
  <c r="C13"/>
  <c r="B14"/>
  <c r="B20"/>
  <c r="B18"/>
  <c r="B17"/>
  <c r="B21"/>
  <c r="B19"/>
  <c r="B16"/>
  <c r="B15"/>
  <c r="B22"/>
  <c r="B23"/>
  <c r="B24"/>
  <c r="B25"/>
  <c r="B13"/>
  <c r="J18"/>
  <c r="H18"/>
  <c r="F18"/>
  <c r="D18"/>
  <c r="L18" s="1"/>
  <c r="K18"/>
  <c r="I18"/>
  <c r="G18"/>
  <c r="E18"/>
  <c r="J21"/>
  <c r="H21"/>
  <c r="F21"/>
  <c r="D21"/>
  <c r="L21" s="1"/>
  <c r="K21"/>
  <c r="I21"/>
  <c r="G21"/>
  <c r="E21"/>
  <c r="K14"/>
  <c r="I14"/>
  <c r="G14"/>
  <c r="E14"/>
  <c r="J14"/>
  <c r="H14"/>
  <c r="F14"/>
  <c r="D14"/>
  <c r="J20"/>
  <c r="H20"/>
  <c r="F20"/>
  <c r="D20"/>
  <c r="L20" s="1"/>
  <c r="K20"/>
  <c r="I20"/>
  <c r="G20"/>
  <c r="E20"/>
  <c r="F12"/>
  <c r="H12"/>
  <c r="B12"/>
  <c r="K12"/>
  <c r="I12"/>
  <c r="G12"/>
  <c r="E12"/>
  <c r="C12"/>
  <c r="J12"/>
  <c r="D12"/>
  <c r="L12" s="1"/>
  <c r="J13"/>
  <c r="H13"/>
  <c r="F13"/>
  <c r="D13"/>
  <c r="K13"/>
  <c r="E13"/>
  <c r="I13"/>
  <c r="G13"/>
  <c r="J16"/>
  <c r="H16"/>
  <c r="F16"/>
  <c r="D16"/>
  <c r="K16"/>
  <c r="I16"/>
  <c r="G16"/>
  <c r="E16"/>
  <c r="K17"/>
  <c r="I17"/>
  <c r="G17"/>
  <c r="E17"/>
  <c r="J17"/>
  <c r="H17"/>
  <c r="F17"/>
  <c r="D17"/>
  <c r="L17" s="1"/>
  <c r="J19"/>
  <c r="H19"/>
  <c r="F19"/>
  <c r="D19"/>
  <c r="L19" s="1"/>
  <c r="K19"/>
  <c r="I19"/>
  <c r="G19"/>
  <c r="E19"/>
  <c r="J15"/>
  <c r="H15"/>
  <c r="F15"/>
  <c r="D15"/>
  <c r="K15"/>
  <c r="G15"/>
  <c r="I15"/>
  <c r="E15"/>
  <c r="Q3" i="1"/>
  <c r="R3"/>
  <c r="R4"/>
  <c r="Q4"/>
  <c r="W3"/>
  <c r="Q6"/>
  <c r="R6"/>
  <c r="R7"/>
  <c r="Q7"/>
  <c r="R5"/>
  <c r="Q5"/>
  <c r="W4"/>
  <c r="L14" i="2" l="1"/>
  <c r="L16"/>
  <c r="O14" a="1"/>
  <c r="O14" s="1"/>
  <c r="O16" a="1"/>
  <c r="O16" s="1"/>
  <c r="L15"/>
  <c r="L13"/>
  <c r="O15" a="1"/>
  <c r="O15" l="1"/>
  <c r="O18" s="1"/>
  <c r="O19"/>
  <c r="O20" l="1"/>
</calcChain>
</file>

<file path=xl/sharedStrings.xml><?xml version="1.0" encoding="utf-8"?>
<sst xmlns="http://schemas.openxmlformats.org/spreadsheetml/2006/main" count="99" uniqueCount="77">
  <si>
    <t>Date</t>
  </si>
  <si>
    <t>Enquête</t>
  </si>
  <si>
    <t>N° échantillon</t>
  </si>
  <si>
    <t>Analyte</t>
  </si>
  <si>
    <t>Analyseur</t>
  </si>
  <si>
    <t xml:space="preserve">Méthode </t>
  </si>
  <si>
    <t>Unités</t>
  </si>
  <si>
    <t>d (%)</t>
  </si>
  <si>
    <t>Résultat</t>
  </si>
  <si>
    <t>Valeur Méthode</t>
  </si>
  <si>
    <t>Z-score</t>
  </si>
  <si>
    <t>Performance</t>
  </si>
  <si>
    <t>A</t>
  </si>
  <si>
    <t>B</t>
  </si>
  <si>
    <t>C</t>
  </si>
  <si>
    <t>D</t>
  </si>
  <si>
    <r>
      <t>IQ</t>
    </r>
    <r>
      <rPr>
        <sz val="8"/>
        <color theme="1"/>
        <rFont val="Calibri"/>
        <family val="2"/>
        <scheme val="minor"/>
      </rPr>
      <t>ZEEQ</t>
    </r>
  </si>
  <si>
    <r>
      <t>IQ</t>
    </r>
    <r>
      <rPr>
        <sz val="8"/>
        <color theme="1"/>
        <rFont val="Calibri"/>
        <family val="2"/>
        <scheme val="minor"/>
      </rPr>
      <t>ZEEQAB</t>
    </r>
  </si>
  <si>
    <t>U-Score</t>
  </si>
  <si>
    <t>Performance U</t>
  </si>
  <si>
    <t>OK</t>
  </si>
  <si>
    <t>KO</t>
  </si>
  <si>
    <r>
      <t>IQ</t>
    </r>
    <r>
      <rPr>
        <sz val="8"/>
        <color theme="1"/>
        <rFont val="Calibri"/>
        <family val="2"/>
        <scheme val="minor"/>
      </rPr>
      <t>UEEQ</t>
    </r>
  </si>
  <si>
    <t>2017/1</t>
  </si>
  <si>
    <t>C/13858</t>
  </si>
  <si>
    <t>Lipase</t>
  </si>
  <si>
    <t>ROCHE</t>
  </si>
  <si>
    <t>COBAS C701/C702</t>
  </si>
  <si>
    <t>U/L</t>
  </si>
  <si>
    <t>2017/2</t>
  </si>
  <si>
    <t>C/15044</t>
  </si>
  <si>
    <t>2017/4</t>
  </si>
  <si>
    <t>C/13699</t>
  </si>
  <si>
    <t>C/14153</t>
  </si>
  <si>
    <t>COMPARABILITE DE METHODES</t>
  </si>
  <si>
    <t>Analyse</t>
  </si>
  <si>
    <t>Analyseur 1 :</t>
  </si>
  <si>
    <t>ATEL1</t>
  </si>
  <si>
    <t>ML</t>
  </si>
  <si>
    <t>Analyseur 2 :</t>
  </si>
  <si>
    <t>ATEL2</t>
  </si>
  <si>
    <t>SVI</t>
  </si>
  <si>
    <t>Analyseur 3 :</t>
  </si>
  <si>
    <t>ATEL3</t>
  </si>
  <si>
    <t>HEU</t>
  </si>
  <si>
    <t>Analyseur 4 :</t>
  </si>
  <si>
    <t>ATEL4</t>
  </si>
  <si>
    <t>WAR</t>
  </si>
  <si>
    <t>Analyseur 5 :</t>
  </si>
  <si>
    <t>ATEL5</t>
  </si>
  <si>
    <t>HER</t>
  </si>
  <si>
    <t>Onglet :</t>
  </si>
  <si>
    <t>ISP_Lipase</t>
  </si>
  <si>
    <t>Année de la comparaison :</t>
  </si>
  <si>
    <t>N° Contrôle</t>
  </si>
  <si>
    <t>Valeur 
ATEL1</t>
  </si>
  <si>
    <t>Z-score ATEL1</t>
  </si>
  <si>
    <t>Valeur 
ATEL2</t>
  </si>
  <si>
    <t>Z-score ATEL2</t>
  </si>
  <si>
    <t>Valeur 
ATEL3</t>
  </si>
  <si>
    <t>Z-score ATEL3</t>
  </si>
  <si>
    <t>Valeur 
ATEL4</t>
  </si>
  <si>
    <t>Z-score ATEL4</t>
  </si>
  <si>
    <t>Valeur ATEL5</t>
  </si>
  <si>
    <t>Z-score ATEL5</t>
  </si>
  <si>
    <t>Différence</t>
  </si>
  <si>
    <t>Test de student</t>
  </si>
  <si>
    <t>Moyenne</t>
  </si>
  <si>
    <t>ET</t>
  </si>
  <si>
    <t>ddl</t>
  </si>
  <si>
    <r>
      <t xml:space="preserve">Risque </t>
    </r>
    <r>
      <rPr>
        <sz val="11"/>
        <color indexed="8"/>
        <rFont val="Calibri"/>
        <family val="2"/>
      </rPr>
      <t>α</t>
    </r>
  </si>
  <si>
    <t>T-calculé</t>
  </si>
  <si>
    <t>T-théorique</t>
  </si>
  <si>
    <t>Conclusion</t>
  </si>
  <si>
    <t>Valeurs attendues avec les formules qui fonctionnent correctement</t>
  </si>
  <si>
    <t>Colonne I</t>
  </si>
  <si>
    <t>Colonne J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</si>
</sst>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textRotation="45"/>
    </xf>
    <xf numFmtId="0" fontId="0" fillId="2" borderId="1" xfId="0" applyFill="1" applyBorder="1" applyAlignment="1">
      <alignment textRotation="45"/>
    </xf>
    <xf numFmtId="0" fontId="0" fillId="3" borderId="1" xfId="0" applyFill="1" applyBorder="1" applyAlignment="1">
      <alignment textRotation="45"/>
    </xf>
    <xf numFmtId="0" fontId="0" fillId="4" borderId="1" xfId="0" applyFill="1" applyBorder="1" applyAlignment="1">
      <alignment textRotation="45"/>
    </xf>
    <xf numFmtId="0" fontId="0" fillId="5" borderId="1" xfId="0" applyFill="1" applyBorder="1" applyAlignment="1">
      <alignment textRotation="45"/>
    </xf>
    <xf numFmtId="0" fontId="0" fillId="6" borderId="1" xfId="0" applyFill="1" applyBorder="1" applyAlignment="1">
      <alignment textRotation="45"/>
    </xf>
    <xf numFmtId="0" fontId="0" fillId="0" borderId="0" xfId="0" applyAlignment="1">
      <alignment textRotation="45"/>
    </xf>
    <xf numFmtId="14" fontId="0" fillId="0" borderId="2" xfId="0" applyNumberForma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4" fillId="0" borderId="0" xfId="0" applyFont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wrapText="1"/>
    </xf>
    <xf numFmtId="0" fontId="5" fillId="0" borderId="0" xfId="0" applyFont="1" applyFill="1" applyBorder="1" applyAlignment="1">
      <alignment wrapText="1"/>
    </xf>
    <xf numFmtId="2" fontId="0" fillId="0" borderId="0" xfId="0" applyNumberFormat="1"/>
    <xf numFmtId="164" fontId="0" fillId="0" borderId="0" xfId="0" applyNumberFormat="1"/>
    <xf numFmtId="1" fontId="0" fillId="0" borderId="0" xfId="0" applyNumberFormat="1"/>
    <xf numFmtId="9" fontId="0" fillId="0" borderId="0" xfId="1" applyFont="1" applyProtection="1"/>
    <xf numFmtId="165" fontId="0" fillId="0" borderId="0" xfId="0" applyNumberFormat="1"/>
    <xf numFmtId="0" fontId="0" fillId="0" borderId="0" xfId="0" applyFill="1"/>
    <xf numFmtId="0" fontId="2" fillId="0" borderId="0" xfId="0" applyFont="1" applyFill="1" applyAlignment="1"/>
    <xf numFmtId="0" fontId="2" fillId="0" borderId="0" xfId="0" applyFont="1"/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8" borderId="2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4" borderId="5" xfId="0" applyFill="1" applyBorder="1"/>
  </cellXfs>
  <cellStyles count="2">
    <cellStyle name="Normal" xfId="0" builtinId="0"/>
    <cellStyle name="Pourcentage" xfId="1" builtinId="5"/>
  </cellStyles>
  <dxfs count="88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ill>
        <patternFill>
          <fgColor indexed="64"/>
          <bgColor rgb="FFFFFF00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alignment horizontal="center" vertical="bottom" textRotation="0" wrapText="0" indent="0" relativeIndent="255" justifyLastLine="0" shrinkToFit="0" readingOrder="0"/>
      <border diagonalUp="0" diagonalDown="0" outline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2" formatCode="0.00"/>
      <alignment horizontal="center" vertical="bottom" textRotation="0" wrapText="0" indent="0" relativeIndent="255" justifyLastLine="0" shrinkToFit="0" readingOrder="0"/>
      <border diagonalUp="0" diagonalDown="0" outline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numFmt numFmtId="2" formatCode="0.00"/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166" formatCode="dd/mm/yy"/>
      <alignment horizontal="center" vertical="bottom" textRotation="0" wrapText="0" indent="0" relativeIndent="255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border>
        <bottom style="thin">
          <color rgb="FF002060"/>
        </bottom>
      </border>
    </dxf>
    <dxf>
      <alignment horizontal="general" vertical="bottom" textRotation="45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W7" totalsRowShown="0" headerRowDxfId="42" headerRowBorderDxfId="41">
  <autoFilter ref="A1:W7"/>
  <tableColumns count="23">
    <tableColumn id="1" name="Date" dataDxfId="40"/>
    <tableColumn id="2" name="Enquête" dataDxfId="39"/>
    <tableColumn id="3" name="N° échantillon" dataDxfId="38"/>
    <tableColumn id="4" name="Analyte" dataDxfId="37"/>
    <tableColumn id="5" name="Analyseur" dataDxfId="36"/>
    <tableColumn id="6" name="Méthode " dataDxfId="35"/>
    <tableColumn id="7" name="Unités" dataDxfId="34"/>
    <tableColumn id="8" name="d (%)" dataDxfId="21"/>
    <tableColumn id="9" name="Résultat" dataDxfId="20"/>
    <tableColumn id="10" name="Valeur Méthode" dataDxfId="18"/>
    <tableColumn id="11" name="Z-score" dataDxfId="19"/>
    <tableColumn id="12" name="Performance" dataDxfId="33">
      <calculatedColumnFormula>IF(OR(ISBLANK(I2),(I2="NR")),"NUL",IF(AND(ABS(K2)&lt;1,0&lt;=ABS(K2)),"A",IF(AND(ABS(K2)&lt;2,ABS(K2)&gt;=1),"B",IF(AND(2&lt;=ABS(K2),ABS(K2)&lt;3),"C","D"))))</calculatedColumnFormula>
    </tableColumn>
    <tableColumn id="13" name="A" dataDxfId="32">
      <calculatedColumnFormula>COUNTIF($L$2:$L2,Tableau1[[#Headers],[A]])</calculatedColumnFormula>
    </tableColumn>
    <tableColumn id="14" name="B" dataDxfId="31">
      <calculatedColumnFormula>COUNTIF($L$2:$L2,Tableau1[[#Headers],[B]])</calculatedColumnFormula>
    </tableColumn>
    <tableColumn id="15" name="C" dataDxfId="30">
      <calculatedColumnFormula>COUNTIF($L$2:$L2,Tableau1[[#Headers],[C]])</calculatedColumnFormula>
    </tableColumn>
    <tableColumn id="16" name="D" dataDxfId="29">
      <calculatedColumnFormula>COUNTIF($L$2:$L2,Tableau1[[#Headers],[D]])</calculatedColumnFormula>
    </tableColumn>
    <tableColumn id="17" name="IQZEEQ" dataDxfId="28">
      <calculatedColumnFormula>(4*M2+3*N2+1*O2+0*P2)/(4*(M2+N2+O2+P2))</calculatedColumnFormula>
    </tableColumn>
    <tableColumn id="18" name="IQZEEQAB" dataDxfId="27">
      <calculatedColumnFormula>(4*M2+4*N2+O2)/(4*(M2+N2+O2+P2))</calculatedColumnFormula>
    </tableColumn>
    <tableColumn id="19" name="U-Score" dataDxfId="26"/>
    <tableColumn id="20" name="Performance U" dataDxfId="25">
      <calculatedColumnFormula>IF(ABS(S2)&gt;H2,"KO",IF(ABS(S2)&lt;H2,"OK"))</calculatedColumnFormula>
    </tableColumn>
    <tableColumn id="22" name="OK" dataDxfId="24">
      <calculatedColumnFormula>COUNTIF($T$2:$T2,Tableau1[[#Headers],[OK]])</calculatedColumnFormula>
    </tableColumn>
    <tableColumn id="23" name="KO" dataDxfId="23">
      <calculatedColumnFormula>COUNTIF($T$2:$T2,Tableau1[[#Headers],[KO]])</calculatedColumnFormula>
    </tableColumn>
    <tableColumn id="24" name="IQUEEQ" dataDxfId="22">
      <calculatedColumnFormula>$U2/SUM($U2,$V2)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25"/>
  <sheetViews>
    <sheetView tabSelected="1" topLeftCell="A4" workbookViewId="0">
      <selection activeCell="Z23" sqref="Z23"/>
    </sheetView>
  </sheetViews>
  <sheetFormatPr baseColWidth="10" defaultRowHeight="14.5"/>
  <cols>
    <col min="4" max="19" width="0" hidden="1" customWidth="1"/>
  </cols>
  <sheetData>
    <row r="1" spans="1:25" ht="21">
      <c r="A1" s="18" t="s">
        <v>34</v>
      </c>
    </row>
    <row r="3" spans="1:25">
      <c r="A3" t="s">
        <v>35</v>
      </c>
      <c r="B3" s="33" t="s">
        <v>25</v>
      </c>
      <c r="C3" s="34"/>
    </row>
    <row r="4" spans="1:25">
      <c r="B4" s="19"/>
      <c r="C4" s="19"/>
    </row>
    <row r="5" spans="1:25">
      <c r="A5" t="s">
        <v>36</v>
      </c>
      <c r="B5" t="s">
        <v>37</v>
      </c>
      <c r="C5" t="s">
        <v>38</v>
      </c>
      <c r="E5" t="s">
        <v>39</v>
      </c>
      <c r="F5" t="s">
        <v>40</v>
      </c>
      <c r="G5" t="s">
        <v>41</v>
      </c>
      <c r="I5" t="s">
        <v>42</v>
      </c>
      <c r="J5" t="s">
        <v>43</v>
      </c>
      <c r="K5" t="s">
        <v>44</v>
      </c>
      <c r="M5" t="s">
        <v>45</v>
      </c>
      <c r="N5" t="s">
        <v>46</v>
      </c>
      <c r="O5" t="s">
        <v>47</v>
      </c>
      <c r="Q5" t="s">
        <v>48</v>
      </c>
      <c r="R5" t="s">
        <v>49</v>
      </c>
      <c r="S5" t="s">
        <v>50</v>
      </c>
    </row>
    <row r="7" spans="1:25">
      <c r="A7" t="s">
        <v>51</v>
      </c>
      <c r="B7" t="s">
        <v>52</v>
      </c>
      <c r="E7" t="s">
        <v>51</v>
      </c>
      <c r="F7" t="s">
        <v>52</v>
      </c>
      <c r="I7" t="s">
        <v>51</v>
      </c>
      <c r="J7" t="s">
        <v>52</v>
      </c>
      <c r="M7" t="s">
        <v>51</v>
      </c>
      <c r="N7" t="s">
        <v>52</v>
      </c>
      <c r="Q7" t="s">
        <v>51</v>
      </c>
      <c r="R7" t="s">
        <v>52</v>
      </c>
    </row>
    <row r="9" spans="1:25">
      <c r="A9" t="s">
        <v>53</v>
      </c>
      <c r="C9" s="20">
        <v>2017</v>
      </c>
    </row>
    <row r="11" spans="1:25" ht="29">
      <c r="A11" s="21" t="s">
        <v>54</v>
      </c>
      <c r="B11" s="21" t="s">
        <v>55</v>
      </c>
      <c r="C11" s="21" t="s">
        <v>56</v>
      </c>
      <c r="D11" s="21" t="s">
        <v>57</v>
      </c>
      <c r="E11" s="21" t="s">
        <v>58</v>
      </c>
      <c r="F11" s="21" t="s">
        <v>59</v>
      </c>
      <c r="G11" s="21" t="s">
        <v>60</v>
      </c>
      <c r="H11" s="21" t="s">
        <v>61</v>
      </c>
      <c r="I11" s="21" t="s">
        <v>62</v>
      </c>
      <c r="J11" s="21" t="s">
        <v>63</v>
      </c>
      <c r="K11" s="21" t="s">
        <v>64</v>
      </c>
      <c r="L11" s="21" t="s">
        <v>65</v>
      </c>
    </row>
    <row r="12" spans="1:25">
      <c r="A12" t="e">
        <f t="array" aca="1" ref="A12" ca="1">INDIRECT(ADDRESS(SMALL(IF(YEAR(INDIRECT("'"&amp;$B$7&amp;"'!$A$2:$A$20000"))=$C$9,ROW(INDIRECT("'"&amp;$B$7&amp;"'!$A$2:$A$20000"))),ROW()-ROW($A$13)+1),2,1,1,$B$7))</f>
        <v>#NUM!</v>
      </c>
      <c r="B12" t="e">
        <f t="array" aca="1" ref="B12" ca="1">SUM(IF(INDIRECT("'"&amp;$B$7&amp;"'!$B$2:$B$20000")=$A12,INDIRECT("'"&amp;$B$7&amp;"'!$H$2:$H$20000"),0))</f>
        <v>#NUM!</v>
      </c>
      <c r="C12" t="e">
        <f t="array" aca="1" ref="C12" ca="1">SUM(IF(INDIRECT("'"&amp;$B$7&amp;"'!$B$2:$B$20000")=$A12,INDIRECT("'"&amp;$B$7&amp;"'!$J$2:$J$20000"),0))</f>
        <v>#NUM!</v>
      </c>
      <c r="D12" t="e">
        <f t="array" aca="1" ref="D12" ca="1">SUM(IF(INDIRECT("'"&amp;$F$7&amp;"'!$B$2:$B$20000")=$A12,INDIRECT("'"&amp;$F$7&amp;"'!$H$2:$H$20000"),0))</f>
        <v>#NUM!</v>
      </c>
      <c r="E12" t="e">
        <f t="array" aca="1" ref="E12" ca="1">SUM(IF(INDIRECT("'"&amp;$F$7&amp;"'!$B$2:$B$20000")=$A12,INDIRECT("'"&amp;$F$7&amp;"'!$J$2:$J$20000"),0))</f>
        <v>#NUM!</v>
      </c>
      <c r="F12" t="e">
        <f t="array" aca="1" ref="F12" ca="1">SUM(IF(INDIRECT("'"&amp;$B$7&amp;"'!$B$2:$B$20000")=$A12,INDIRECT("'"&amp;$B$7&amp;"'!$H$2:$H$20000"),0))</f>
        <v>#NUM!</v>
      </c>
      <c r="G12" t="e">
        <f t="array" aca="1" ref="G12" ca="1">SUM(IF(INDIRECT("'"&amp;$B$7&amp;"'!$B$2:$B$20000")=$A12,INDIRECT("'"&amp;$B$7&amp;"'!$J$2:$J$20000"),0))</f>
        <v>#NUM!</v>
      </c>
      <c r="H12" t="e">
        <f t="array" aca="1" ref="H12" ca="1">SUM(IF(INDIRECT("'"&amp;$F$7&amp;"'!$B$2:$B$20000")=$A12,INDIRECT("'"&amp;$F$7&amp;"'!$H$2:$H$20000"),0))</f>
        <v>#NUM!</v>
      </c>
      <c r="I12" t="e">
        <f t="array" aca="1" ref="I12" ca="1">SUM(IF(INDIRECT("'"&amp;$F$7&amp;"'!$B$2:$B$20000")=$A12,INDIRECT("'"&amp;$F$7&amp;"'!$J$2:$J$20000"),0))</f>
        <v>#NUM!</v>
      </c>
      <c r="J12" t="e">
        <f t="array" aca="1" ref="J12" ca="1">SUM(IF(INDIRECT("'"&amp;$F$7&amp;"'!$B$2:$B$20000")=$A12,INDIRECT("'"&amp;$F$7&amp;"'!$H$2:$H$20000"),0))</f>
        <v>#NUM!</v>
      </c>
      <c r="K12" t="e">
        <f t="array" aca="1" ref="K12" ca="1">SUM(IF(INDIRECT("'"&amp;$F$7&amp;"'!$B$2:$B$20000")=$A12,INDIRECT("'"&amp;$F$7&amp;"'!$J$2:$J$20000"),0))</f>
        <v>#NUM!</v>
      </c>
      <c r="L12" t="e">
        <f t="shared" ref="L12:L21" ca="1" si="0">IF(D12=0,"",B12-D12)</f>
        <v>#NUM!</v>
      </c>
      <c r="U12" s="29" t="s">
        <v>74</v>
      </c>
      <c r="V12" s="29"/>
      <c r="W12" s="30"/>
      <c r="X12" s="30"/>
      <c r="Y12" s="30"/>
    </row>
    <row r="13" spans="1:25" ht="14.4" customHeight="1">
      <c r="A13" t="str">
        <f t="array" aca="1" ref="A13" ca="1">INDIRECT(ADDRESS(SMALL(IF(YEAR(INDIRECT("'"&amp;$B$7&amp;"'!$A$2:$A$20000"))=$C$9,ROW(INDIRECT("'"&amp;$B$7&amp;"'!$A$2:$A$20000"))),ROW()-ROW($A$13)+1),2,1,1,$B$7))</f>
        <v>2017/1</v>
      </c>
      <c r="B13" s="38">
        <f t="array" aca="1" ref="B13" ca="1">IFERROR(INDEX(INDIRECT("'"&amp;$B$7&amp;"'!$i$2:$k$20"),SMALL(IF(INDIRECT("'"&amp;$B$7&amp;"'!$b$2:$b$20")=A13,ROW($A$2:$A$20)-1,""),COUNTIF($A$13:$A13,$A13)),1),"")</f>
        <v>34</v>
      </c>
      <c r="C13" s="38">
        <f t="array" aca="1" ref="C13" ca="1">IFERROR(INDEX(INDIRECT("'"&amp;$B$7&amp;"'!$i$2:$k$20"),SMALL(IF(INDIRECT("'"&amp;$B$7&amp;"'!$b$2:$b$20")=$A13,ROW($A$2:$A$20)-1,""),COUNTIF($A$13:$A13,$A13)),3),"")</f>
        <v>1.35</v>
      </c>
      <c r="D13">
        <f t="array" aca="1" ref="D13" ca="1">SUM(IF(INDIRECT("'"&amp;$F$7&amp;"'!$B$2:$B$20000")=$A13,INDIRECT("'"&amp;$F$7&amp;"'!$H$2:$H$20000"),0))</f>
        <v>14.3</v>
      </c>
      <c r="E13">
        <f t="array" aca="1" ref="E13" ca="1">SUM(IF(INDIRECT("'"&amp;$F$7&amp;"'!$B$2:$B$20000")=$A13,INDIRECT("'"&amp;$F$7&amp;"'!$J$2:$J$20000"),0))</f>
        <v>33</v>
      </c>
      <c r="F13">
        <f t="array" aca="1" ref="F13" ca="1">SUM(IF(INDIRECT("'"&amp;$B$7&amp;"'!$B$2:$B$20000")=$A13,INDIRECT("'"&amp;$B$7&amp;"'!$H$2:$H$20000"),0))</f>
        <v>14.3</v>
      </c>
      <c r="G13">
        <f t="array" aca="1" ref="G13" ca="1">SUM(IF(INDIRECT("'"&amp;$B$7&amp;"'!$B$2:$B$20000")=$A13,INDIRECT("'"&amp;$B$7&amp;"'!$J$2:$J$20000"),0))</f>
        <v>33</v>
      </c>
      <c r="H13">
        <f t="array" aca="1" ref="H13" ca="1">SUM(IF(INDIRECT("'"&amp;$F$7&amp;"'!$B$2:$B$20000")=$A13,INDIRECT("'"&amp;$F$7&amp;"'!$H$2:$H$20000"),0))</f>
        <v>14.3</v>
      </c>
      <c r="I13">
        <f t="array" aca="1" ref="I13" ca="1">SUM(IF(INDIRECT("'"&amp;$F$7&amp;"'!$B$2:$B$20000")=$A13,INDIRECT("'"&amp;$F$7&amp;"'!$J$2:$J$20000"),0))</f>
        <v>33</v>
      </c>
      <c r="J13">
        <f t="array" aca="1" ref="J13" ca="1">SUM(IF(INDIRECT("'"&amp;$F$7&amp;"'!$B$2:$B$20000")=$A13,INDIRECT("'"&amp;$F$7&amp;"'!$H$2:$H$20000"),0))</f>
        <v>14.3</v>
      </c>
      <c r="K13">
        <f t="array" aca="1" ref="K13" ca="1">SUM(IF(INDIRECT("'"&amp;$F$7&amp;"'!$B$2:$B$20000")=$A13,INDIRECT("'"&amp;$F$7&amp;"'!$J$2:$J$20000"),0))</f>
        <v>33</v>
      </c>
      <c r="L13">
        <f t="shared" ca="1" si="0"/>
        <v>19.7</v>
      </c>
      <c r="N13" s="22" t="s">
        <v>66</v>
      </c>
      <c r="U13" s="31">
        <v>34</v>
      </c>
      <c r="V13" s="31">
        <v>1.35</v>
      </c>
      <c r="W13" s="30"/>
      <c r="X13" s="30"/>
      <c r="Y13" s="30"/>
    </row>
    <row r="14" spans="1:25">
      <c r="A14" t="str">
        <f t="array" aca="1" ref="A14" ca="1">INDIRECT(ADDRESS(SMALL(IF(YEAR(INDIRECT("'"&amp;$B$7&amp;"'!$A$2:$A$20000"))=$C$9,ROW(INDIRECT("'"&amp;$B$7&amp;"'!$A$2:$A$20000"))),ROW()-ROW($A$13)+1),2,1,1,$B$7))</f>
        <v>2017/2</v>
      </c>
      <c r="B14" s="38">
        <f t="array" aca="1" ref="B14" ca="1">IFERROR(INDEX(INDIRECT("'"&amp;$B$7&amp;"'!$i$2:$k$20"),SMALL(IF(INDIRECT("'"&amp;$B$7&amp;"'!$b$2:$b$20")=A14,ROW($A$2:$A$20)-1,""),COUNTIF($A$13:$A14,$A14)),1),"")</f>
        <v>19</v>
      </c>
      <c r="C14" s="38">
        <f t="array" aca="1" ref="C14" ca="1">IFERROR(INDEX(INDIRECT("'"&amp;$B$7&amp;"'!$i$2:$k$20"),SMALL(IF(INDIRECT("'"&amp;$B$7&amp;"'!$b$2:$b$20")=$A14,ROW($A$2:$A$20)-1,""),COUNTIF($A$13:$A14,$A14)),3),"")</f>
        <v>0</v>
      </c>
      <c r="D14">
        <f t="array" aca="1" ref="D14" ca="1">SUM(IF(INDIRECT("'"&amp;$F$7&amp;"'!$B$2:$B$20000")=$A14,INDIRECT("'"&amp;$F$7&amp;"'!$H$2:$H$20000"),0))</f>
        <v>14.3</v>
      </c>
      <c r="E14">
        <f t="array" aca="1" ref="E14" ca="1">SUM(IF(INDIRECT("'"&amp;$F$7&amp;"'!$B$2:$B$20000")=$A14,INDIRECT("'"&amp;$F$7&amp;"'!$J$2:$J$20000"),0))</f>
        <v>19</v>
      </c>
      <c r="F14">
        <f t="array" aca="1" ref="F14" ca="1">SUM(IF(INDIRECT("'"&amp;$B$7&amp;"'!$B$2:$B$20000")=$A14,INDIRECT("'"&amp;$B$7&amp;"'!$H$2:$H$20000"),0))</f>
        <v>14.3</v>
      </c>
      <c r="G14">
        <f t="array" aca="1" ref="G14" ca="1">SUM(IF(INDIRECT("'"&amp;$B$7&amp;"'!$B$2:$B$20000")=$A14,INDIRECT("'"&amp;$B$7&amp;"'!$J$2:$J$20000"),0))</f>
        <v>19</v>
      </c>
      <c r="H14">
        <f t="array" aca="1" ref="H14" ca="1">SUM(IF(INDIRECT("'"&amp;$F$7&amp;"'!$B$2:$B$20000")=$A14,INDIRECT("'"&amp;$F$7&amp;"'!$H$2:$H$20000"),0))</f>
        <v>14.3</v>
      </c>
      <c r="I14">
        <f t="array" aca="1" ref="I14" ca="1">SUM(IF(INDIRECT("'"&amp;$F$7&amp;"'!$B$2:$B$20000")=$A14,INDIRECT("'"&amp;$F$7&amp;"'!$J$2:$J$20000"),0))</f>
        <v>19</v>
      </c>
      <c r="J14">
        <f t="array" aca="1" ref="J14" ca="1">SUM(IF(INDIRECT("'"&amp;$F$7&amp;"'!$B$2:$B$20000")=$A14,INDIRECT("'"&amp;$F$7&amp;"'!$H$2:$H$20000"),0))</f>
        <v>14.3</v>
      </c>
      <c r="K14">
        <f t="array" aca="1" ref="K14" ca="1">SUM(IF(INDIRECT("'"&amp;$F$7&amp;"'!$B$2:$B$20000")=$A14,INDIRECT("'"&amp;$F$7&amp;"'!$J$2:$J$20000"),0))</f>
        <v>19</v>
      </c>
      <c r="L14">
        <f t="shared" ca="1" si="0"/>
        <v>4.6999999999999993</v>
      </c>
      <c r="N14" t="s">
        <v>67</v>
      </c>
      <c r="O14" s="23">
        <f t="array" aca="1" ref="O14" ca="1">AVERAGE(IF((NOT(ISERROR($F$13:$F$70))*NOT(ISBLANK($F$13:$F$70))),$F$13:$F$70,""))</f>
        <v>21.450000000000003</v>
      </c>
      <c r="U14" s="31">
        <v>19</v>
      </c>
      <c r="V14" s="31">
        <v>0</v>
      </c>
      <c r="W14" s="30"/>
      <c r="X14" s="30"/>
      <c r="Y14" s="30"/>
    </row>
    <row r="15" spans="1:25">
      <c r="A15" t="str">
        <f t="array" aca="1" ref="A15" ca="1">INDIRECT(ADDRESS(SMALL(IF(YEAR(INDIRECT("'"&amp;$B$7&amp;"'!$A$2:$A$20000"))=$C$9,ROW(INDIRECT("'"&amp;$B$7&amp;"'!$A$2:$A$20000"))),ROW()-ROW($A$13)+1),2,1,1,$B$7))</f>
        <v>2017/4</v>
      </c>
      <c r="B15" s="38">
        <f t="array" aca="1" ref="B15" ca="1">IFERROR(INDEX(INDIRECT("'"&amp;$B$7&amp;"'!$i$2:$k$20"),SMALL(IF(INDIRECT("'"&amp;$B$7&amp;"'!$b$2:$b$20")=A15,ROW($A$2:$A$20)-1,""),COUNTIF($A$13:$A15,$A15)),1),"")</f>
        <v>56</v>
      </c>
      <c r="C15" s="38">
        <f t="array" aca="1" ref="C15" ca="1">IFERROR(INDEX(INDIRECT("'"&amp;$B$7&amp;"'!$i$2:$k$20"),SMALL(IF(INDIRECT("'"&amp;$B$7&amp;"'!$b$2:$b$20")=$A15,ROW($A$2:$A$20)-1,""),COUNTIF($A$13:$A15,$A15)),3),"")</f>
        <v>0</v>
      </c>
      <c r="D15">
        <f t="array" aca="1" ref="D15" ca="1">SUM(IF(INDIRECT("'"&amp;$F$7&amp;"'!$B$2:$B$20000")=$A15,INDIRECT("'"&amp;$F$7&amp;"'!$H$2:$H$20000"),0))</f>
        <v>28.6</v>
      </c>
      <c r="E15">
        <f t="array" aca="1" ref="E15" ca="1">SUM(IF(INDIRECT("'"&amp;$F$7&amp;"'!$B$2:$B$20000")=$A15,INDIRECT("'"&amp;$F$7&amp;"'!$J$2:$J$20000"),0))</f>
        <v>90</v>
      </c>
      <c r="F15">
        <f t="array" aca="1" ref="F15" ca="1">SUM(IF(INDIRECT("'"&amp;$B$7&amp;"'!$B$2:$B$20000")=$A15,INDIRECT("'"&amp;$B$7&amp;"'!$H$2:$H$20000"),0))</f>
        <v>28.6</v>
      </c>
      <c r="G15">
        <f t="array" aca="1" ref="G15" ca="1">SUM(IF(INDIRECT("'"&amp;$B$7&amp;"'!$B$2:$B$20000")=$A15,INDIRECT("'"&amp;$B$7&amp;"'!$J$2:$J$20000"),0))</f>
        <v>90</v>
      </c>
      <c r="H15">
        <f t="array" aca="1" ref="H15" ca="1">SUM(IF(INDIRECT("'"&amp;$F$7&amp;"'!$B$2:$B$20000")=$A15,INDIRECT("'"&amp;$F$7&amp;"'!$H$2:$H$20000"),0))</f>
        <v>28.6</v>
      </c>
      <c r="I15">
        <f t="array" aca="1" ref="I15" ca="1">SUM(IF(INDIRECT("'"&amp;$F$7&amp;"'!$B$2:$B$20000")=$A15,INDIRECT("'"&amp;$F$7&amp;"'!$J$2:$J$20000"),0))</f>
        <v>90</v>
      </c>
      <c r="J15">
        <f t="array" aca="1" ref="J15" ca="1">SUM(IF(INDIRECT("'"&amp;$F$7&amp;"'!$B$2:$B$20000")=$A15,INDIRECT("'"&amp;$F$7&amp;"'!$H$2:$H$20000"),0))</f>
        <v>28.6</v>
      </c>
      <c r="K15">
        <f t="array" aca="1" ref="K15" ca="1">SUM(IF(INDIRECT("'"&amp;$F$7&amp;"'!$B$2:$B$20000")=$A15,INDIRECT("'"&amp;$F$7&amp;"'!$J$2:$J$20000"),0))</f>
        <v>90</v>
      </c>
      <c r="L15">
        <f t="shared" ca="1" si="0"/>
        <v>27.4</v>
      </c>
      <c r="N15" t="s">
        <v>68</v>
      </c>
      <c r="O15" s="24" t="e">
        <f t="array" aca="1" ref="O15" ca="1">_xlfn.STDEV.S(IF((NOT(ISERROR($F$13:$F$70))*NOT(ISBLANK($F$13:$F$70))),$F$13:$F$70,""))</f>
        <v>#NAME?</v>
      </c>
      <c r="U15" s="31">
        <v>56</v>
      </c>
      <c r="V15" s="31">
        <v>0</v>
      </c>
      <c r="W15" s="30"/>
      <c r="X15" s="30"/>
      <c r="Y15" s="30"/>
    </row>
    <row r="16" spans="1:25">
      <c r="A16" t="str">
        <f t="array" aca="1" ref="A16" ca="1">INDIRECT(ADDRESS(SMALL(IF(YEAR(INDIRECT("'"&amp;$B$7&amp;"'!$A$2:$A$20000"))=$C$9,ROW(INDIRECT("'"&amp;$B$7&amp;"'!$A$2:$A$20000"))),ROW()-ROW($A$13)+1),2,1,1,$B$7))</f>
        <v>2017/4</v>
      </c>
      <c r="B16" s="38">
        <f t="array" aca="1" ref="B16" ca="1">IFERROR(INDEX(INDIRECT("'"&amp;$B$7&amp;"'!$i$2:$k$20"),SMALL(IF(INDIRECT("'"&amp;$B$7&amp;"'!$b$2:$b$20")=A16,ROW($A$2:$A$20)-1,""),COUNTIF($A$13:$A16,$A16)),1),"")</f>
        <v>35</v>
      </c>
      <c r="C16" s="38">
        <f t="array" aca="1" ref="C16" ca="1">IFERROR(INDEX(INDIRECT("'"&amp;$B$7&amp;"'!$i$2:$k$20"),SMALL(IF(INDIRECT("'"&amp;$B$7&amp;"'!$b$2:$b$20")=$A16,ROW($A$2:$A$20)-1,""),COUNTIF($A$13:$A16,$A16)),3),"")</f>
        <v>1.35</v>
      </c>
      <c r="D16">
        <f t="array" aca="1" ref="D16" ca="1">SUM(IF(INDIRECT("'"&amp;$F$7&amp;"'!$B$2:$B$20000")=$A16,INDIRECT("'"&amp;$F$7&amp;"'!$H$2:$H$20000"),0))</f>
        <v>28.6</v>
      </c>
      <c r="E16">
        <f t="array" aca="1" ref="E16" ca="1">SUM(IF(INDIRECT("'"&amp;$F$7&amp;"'!$B$2:$B$20000")=$A16,INDIRECT("'"&amp;$F$7&amp;"'!$J$2:$J$20000"),0))</f>
        <v>90</v>
      </c>
      <c r="F16">
        <f t="array" aca="1" ref="F16" ca="1">SUM(IF(INDIRECT("'"&amp;$B$7&amp;"'!$B$2:$B$20000")=$A16,INDIRECT("'"&amp;$B$7&amp;"'!$H$2:$H$20000"),0))</f>
        <v>28.6</v>
      </c>
      <c r="G16">
        <f t="array" aca="1" ref="G16" ca="1">SUM(IF(INDIRECT("'"&amp;$B$7&amp;"'!$B$2:$B$20000")=$A16,INDIRECT("'"&amp;$B$7&amp;"'!$J$2:$J$20000"),0))</f>
        <v>90</v>
      </c>
      <c r="H16">
        <f t="array" aca="1" ref="H16" ca="1">SUM(IF(INDIRECT("'"&amp;$F$7&amp;"'!$B$2:$B$20000")=$A16,INDIRECT("'"&amp;$F$7&amp;"'!$H$2:$H$20000"),0))</f>
        <v>28.6</v>
      </c>
      <c r="I16">
        <f t="array" aca="1" ref="I16" ca="1">SUM(IF(INDIRECT("'"&amp;$F$7&amp;"'!$B$2:$B$20000")=$A16,INDIRECT("'"&amp;$F$7&amp;"'!$J$2:$J$20000"),0))</f>
        <v>90</v>
      </c>
      <c r="J16">
        <f t="array" aca="1" ref="J16" ca="1">SUM(IF(INDIRECT("'"&amp;$F$7&amp;"'!$B$2:$B$20000")=$A16,INDIRECT("'"&amp;$F$7&amp;"'!$H$2:$H$20000"),0))</f>
        <v>28.6</v>
      </c>
      <c r="K16">
        <f t="array" aca="1" ref="K16" ca="1">SUM(IF(INDIRECT("'"&amp;$F$7&amp;"'!$B$2:$B$20000")=$A16,INDIRECT("'"&amp;$F$7&amp;"'!$J$2:$J$20000"),0))</f>
        <v>90</v>
      </c>
      <c r="L16">
        <f t="shared" ca="1" si="0"/>
        <v>6.3999999999999986</v>
      </c>
      <c r="N16" t="s">
        <v>69</v>
      </c>
      <c r="O16" s="25">
        <f t="array" aca="1" ref="O16" ca="1">SUM(IF((NOT(ISERROR($F$13:$F$70))*NOT(ISBLANK($F$13:$F$70))),1,0))</f>
        <v>4</v>
      </c>
      <c r="U16" s="31">
        <v>35</v>
      </c>
      <c r="V16" s="31">
        <v>1.35</v>
      </c>
      <c r="W16" s="30"/>
      <c r="X16" s="30"/>
      <c r="Y16" s="30"/>
    </row>
    <row r="17" spans="1:22" hidden="1">
      <c r="A17" t="e">
        <f t="array" aca="1" ref="A17" ca="1">INDIRECT(ADDRESS(SMALL(IF(YEAR(INDIRECT("'"&amp;$B$7&amp;"'!$A$2:$A$20000"))=$C$9,ROW(INDIRECT("'"&amp;$B$7&amp;"'!$A$2:$A$20000"))),ROW()-ROW($A$13)+1),2,1,1,$B$7))</f>
        <v>#NUM!</v>
      </c>
      <c r="B17" s="38" t="str">
        <f t="array" aca="1" ref="B17" ca="1">IFERROR(INDEX(INDIRECT("'"&amp;$B$7&amp;"'!$i$2:$k$20"),SMALL(IF(INDIRECT("'"&amp;$B$7&amp;"'!$b$2:$b$20")=A17,ROW($A$2:$A$20)-1,""),COUNTIF($A$13:$A17,$A17)),1),"")</f>
        <v/>
      </c>
      <c r="C17" s="38" t="str">
        <f t="array" aca="1" ref="C17" ca="1">IFERROR(INDEX(INDIRECT("'"&amp;$B$7&amp;"'!$i$2:$k$20"),SMALL(IF(INDIRECT("'"&amp;$B$7&amp;"'!$b$2:$b$20")=$A17,ROW($A$2:$A$20)-1,""),COUNTIF($A$13:$A17,$A17)),3),"")</f>
        <v/>
      </c>
      <c r="D17" t="e">
        <f t="array" aca="1" ref="D17" ca="1">SUM(IF(INDIRECT("'"&amp;$F$7&amp;"'!$B$2:$B$20000")=$A17,INDIRECT("'"&amp;$F$7&amp;"'!$H$2:$H$20000"),0))</f>
        <v>#NUM!</v>
      </c>
      <c r="E17" t="e">
        <f t="array" aca="1" ref="E17" ca="1">SUM(IF(INDIRECT("'"&amp;$F$7&amp;"'!$B$2:$B$20000")=$A17,INDIRECT("'"&amp;$F$7&amp;"'!$J$2:$J$20000"),0))</f>
        <v>#NUM!</v>
      </c>
      <c r="F17" t="e">
        <f t="array" aca="1" ref="F17" ca="1">SUM(IF(INDIRECT("'"&amp;$B$7&amp;"'!$B$2:$B$20000")=$A17,INDIRECT("'"&amp;$B$7&amp;"'!$H$2:$H$20000"),0))</f>
        <v>#NUM!</v>
      </c>
      <c r="G17" t="e">
        <f t="array" aca="1" ref="G17" ca="1">SUM(IF(INDIRECT("'"&amp;$B$7&amp;"'!$B$2:$B$20000")=$A17,INDIRECT("'"&amp;$B$7&amp;"'!$J$2:$J$20000"),0))</f>
        <v>#NUM!</v>
      </c>
      <c r="H17" t="e">
        <f t="array" aca="1" ref="H17" ca="1">SUM(IF(INDIRECT("'"&amp;$F$7&amp;"'!$B$2:$B$20000")=$A17,INDIRECT("'"&amp;$F$7&amp;"'!$H$2:$H$20000"),0))</f>
        <v>#NUM!</v>
      </c>
      <c r="I17" t="e">
        <f t="array" aca="1" ref="I17" ca="1">SUM(IF(INDIRECT("'"&amp;$F$7&amp;"'!$B$2:$B$20000")=$A17,INDIRECT("'"&amp;$F$7&amp;"'!$J$2:$J$20000"),0))</f>
        <v>#NUM!</v>
      </c>
      <c r="J17" t="e">
        <f t="array" aca="1" ref="J17" ca="1">SUM(IF(INDIRECT("'"&amp;$F$7&amp;"'!$B$2:$B$20000")=$A17,INDIRECT("'"&amp;$F$7&amp;"'!$H$2:$H$20000"),0))</f>
        <v>#NUM!</v>
      </c>
      <c r="K17" t="e">
        <f t="array" aca="1" ref="K17" ca="1">SUM(IF(INDIRECT("'"&amp;$F$7&amp;"'!$B$2:$B$20000")=$A17,INDIRECT("'"&amp;$F$7&amp;"'!$J$2:$J$20000"),0))</f>
        <v>#NUM!</v>
      </c>
      <c r="L17" t="e">
        <f t="shared" ca="1" si="0"/>
        <v>#NUM!</v>
      </c>
      <c r="N17" t="s">
        <v>70</v>
      </c>
      <c r="O17" s="26">
        <v>0.05</v>
      </c>
      <c r="U17" s="28"/>
      <c r="V17" s="28"/>
    </row>
    <row r="18" spans="1:22" hidden="1">
      <c r="A18" t="e">
        <f t="array" aca="1" ref="A18" ca="1">INDIRECT(ADDRESS(SMALL(IF(YEAR(INDIRECT("'"&amp;$B$7&amp;"'!$A$2:$A$20000"))=$C$9,ROW(INDIRECT("'"&amp;$B$7&amp;"'!$A$2:$A$20000"))),ROW()-ROW($A$13)+1),2,1,1,$B$7))</f>
        <v>#NUM!</v>
      </c>
      <c r="B18" s="38" t="str">
        <f t="array" aca="1" ref="B18" ca="1">IFERROR(INDEX(INDIRECT("'"&amp;$B$7&amp;"'!$i$2:$k$20"),SMALL(IF(INDIRECT("'"&amp;$B$7&amp;"'!$b$2:$b$20")=A18,ROW($A$2:$A$20)-1,""),COUNTIF($A$13:$A18,$A18)),1),"")</f>
        <v/>
      </c>
      <c r="C18" s="38" t="str">
        <f t="array" aca="1" ref="C18" ca="1">IFERROR(INDEX(INDIRECT("'"&amp;$B$7&amp;"'!$i$2:$k$20"),SMALL(IF(INDIRECT("'"&amp;$B$7&amp;"'!$b$2:$b$20")=$A18,ROW($A$2:$A$20)-1,""),COUNTIF($A$13:$A18,$A18)),3),"")</f>
        <v/>
      </c>
      <c r="D18" t="e">
        <f t="array" aca="1" ref="D18" ca="1">SUM(IF(INDIRECT("'"&amp;$F$7&amp;"'!$B$2:$B$20000")=$A18,INDIRECT("'"&amp;$F$7&amp;"'!$H$2:$H$20000"),0))</f>
        <v>#NUM!</v>
      </c>
      <c r="E18" t="e">
        <f t="array" aca="1" ref="E18" ca="1">SUM(IF(INDIRECT("'"&amp;$F$7&amp;"'!$B$2:$B$20000")=$A18,INDIRECT("'"&amp;$F$7&amp;"'!$J$2:$J$20000"),0))</f>
        <v>#NUM!</v>
      </c>
      <c r="F18" t="e">
        <f t="array" aca="1" ref="F18" ca="1">SUM(IF(INDIRECT("'"&amp;$B$7&amp;"'!$B$2:$B$20000")=$A18,INDIRECT("'"&amp;$B$7&amp;"'!$H$2:$H$20000"),0))</f>
        <v>#NUM!</v>
      </c>
      <c r="G18" t="e">
        <f t="array" aca="1" ref="G18" ca="1">SUM(IF(INDIRECT("'"&amp;$B$7&amp;"'!$B$2:$B$20000")=$A18,INDIRECT("'"&amp;$B$7&amp;"'!$J$2:$J$20000"),0))</f>
        <v>#NUM!</v>
      </c>
      <c r="H18" t="e">
        <f t="array" aca="1" ref="H18" ca="1">SUM(IF(INDIRECT("'"&amp;$F$7&amp;"'!$B$2:$B$20000")=$A18,INDIRECT("'"&amp;$F$7&amp;"'!$H$2:$H$20000"),0))</f>
        <v>#NUM!</v>
      </c>
      <c r="I18" t="e">
        <f t="array" aca="1" ref="I18" ca="1">SUM(IF(INDIRECT("'"&amp;$F$7&amp;"'!$B$2:$B$20000")=$A18,INDIRECT("'"&amp;$F$7&amp;"'!$J$2:$J$20000"),0))</f>
        <v>#NUM!</v>
      </c>
      <c r="J18" t="e">
        <f t="array" aca="1" ref="J18" ca="1">SUM(IF(INDIRECT("'"&amp;$F$7&amp;"'!$B$2:$B$20000")=$A18,INDIRECT("'"&amp;$F$7&amp;"'!$H$2:$H$20000"),0))</f>
        <v>#NUM!</v>
      </c>
      <c r="K18" t="e">
        <f t="array" aca="1" ref="K18" ca="1">SUM(IF(INDIRECT("'"&amp;$F$7&amp;"'!$B$2:$B$20000")=$A18,INDIRECT("'"&amp;$F$7&amp;"'!$J$2:$J$20000"),0))</f>
        <v>#NUM!</v>
      </c>
      <c r="L18" t="e">
        <f t="shared" ca="1" si="0"/>
        <v>#NUM!</v>
      </c>
      <c r="N18" t="s">
        <v>71</v>
      </c>
      <c r="O18" s="27" t="e">
        <f ca="1">ABS($O$15)/(SQRT((O15^2)/(O16)))</f>
        <v>#NAME?</v>
      </c>
      <c r="U18" s="28"/>
      <c r="V18" s="28"/>
    </row>
    <row r="19" spans="1:22" hidden="1">
      <c r="A19" t="e">
        <f t="array" aca="1" ref="A19" ca="1">INDIRECT(ADDRESS(SMALL(IF(YEAR(INDIRECT("'"&amp;$B$7&amp;"'!$A$2:$A$20000"))=$C$9,ROW(INDIRECT("'"&amp;$B$7&amp;"'!$A$2:$A$20000"))),ROW()-ROW($A$13)+1),2,1,1,$B$7))</f>
        <v>#NUM!</v>
      </c>
      <c r="B19" s="38" t="str">
        <f t="array" aca="1" ref="B19" ca="1">IFERROR(INDEX(INDIRECT("'"&amp;$B$7&amp;"'!$i$2:$k$20"),SMALL(IF(INDIRECT("'"&amp;$B$7&amp;"'!$b$2:$b$20")=A19,ROW($A$2:$A$20)-1,""),COUNTIF($A$13:$A19,$A19)),1),"")</f>
        <v/>
      </c>
      <c r="C19" s="38" t="str">
        <f t="array" aca="1" ref="C19" ca="1">IFERROR(INDEX(INDIRECT("'"&amp;$B$7&amp;"'!$i$2:$k$20"),SMALL(IF(INDIRECT("'"&amp;$B$7&amp;"'!$b$2:$b$20")=$A19,ROW($A$2:$A$20)-1,""),COUNTIF($A$13:$A19,$A19)),3),"")</f>
        <v/>
      </c>
      <c r="D19" t="e">
        <f t="array" aca="1" ref="D19" ca="1">SUM(IF(INDIRECT("'"&amp;$F$7&amp;"'!$B$2:$B$20000")=$A19,INDIRECT("'"&amp;$F$7&amp;"'!$H$2:$H$20000"),0))</f>
        <v>#NUM!</v>
      </c>
      <c r="E19" t="e">
        <f t="array" aca="1" ref="E19" ca="1">SUM(IF(INDIRECT("'"&amp;$F$7&amp;"'!$B$2:$B$20000")=$A19,INDIRECT("'"&amp;$F$7&amp;"'!$J$2:$J$20000"),0))</f>
        <v>#NUM!</v>
      </c>
      <c r="F19" t="e">
        <f t="array" aca="1" ref="F19" ca="1">SUM(IF(INDIRECT("'"&amp;$B$7&amp;"'!$B$2:$B$20000")=$A19,INDIRECT("'"&amp;$B$7&amp;"'!$H$2:$H$20000"),0))</f>
        <v>#NUM!</v>
      </c>
      <c r="G19" t="e">
        <f t="array" aca="1" ref="G19" ca="1">SUM(IF(INDIRECT("'"&amp;$B$7&amp;"'!$B$2:$B$20000")=$A19,INDIRECT("'"&amp;$B$7&amp;"'!$J$2:$J$20000"),0))</f>
        <v>#NUM!</v>
      </c>
      <c r="H19" t="e">
        <f t="array" aca="1" ref="H19" ca="1">SUM(IF(INDIRECT("'"&amp;$F$7&amp;"'!$B$2:$B$20000")=$A19,INDIRECT("'"&amp;$F$7&amp;"'!$H$2:$H$20000"),0))</f>
        <v>#NUM!</v>
      </c>
      <c r="I19" t="e">
        <f t="array" aca="1" ref="I19" ca="1">SUM(IF(INDIRECT("'"&amp;$F$7&amp;"'!$B$2:$B$20000")=$A19,INDIRECT("'"&amp;$F$7&amp;"'!$J$2:$J$20000"),0))</f>
        <v>#NUM!</v>
      </c>
      <c r="J19" t="e">
        <f t="array" aca="1" ref="J19" ca="1">SUM(IF(INDIRECT("'"&amp;$F$7&amp;"'!$B$2:$B$20000")=$A19,INDIRECT("'"&amp;$F$7&amp;"'!$H$2:$H$20000"),0))</f>
        <v>#NUM!</v>
      </c>
      <c r="K19" t="e">
        <f t="array" aca="1" ref="K19" ca="1">SUM(IF(INDIRECT("'"&amp;$F$7&amp;"'!$B$2:$B$20000")=$A19,INDIRECT("'"&amp;$F$7&amp;"'!$J$2:$J$20000"),0))</f>
        <v>#NUM!</v>
      </c>
      <c r="L19" t="e">
        <f t="shared" ca="1" si="0"/>
        <v>#NUM!</v>
      </c>
      <c r="N19" t="s">
        <v>72</v>
      </c>
      <c r="O19" s="27" t="e">
        <f ca="1">_xlfn.T.INV.2T($O$18,$O$17-1)</f>
        <v>#NAME?</v>
      </c>
      <c r="U19" s="28"/>
      <c r="V19" s="28"/>
    </row>
    <row r="20" spans="1:22" hidden="1">
      <c r="A20" t="e">
        <f t="array" aca="1" ref="A20" ca="1">INDIRECT(ADDRESS(SMALL(IF(YEAR(INDIRECT("'"&amp;$B$7&amp;"'!$A$2:$A$20000"))=$C$9,ROW(INDIRECT("'"&amp;$B$7&amp;"'!$A$2:$A$20000"))),ROW()-ROW($A$13)+1),2,1,1,$B$7))</f>
        <v>#NUM!</v>
      </c>
      <c r="B20" s="38" t="str">
        <f t="array" aca="1" ref="B20" ca="1">IFERROR(INDEX(INDIRECT("'"&amp;$B$7&amp;"'!$i$2:$k$20"),SMALL(IF(INDIRECT("'"&amp;$B$7&amp;"'!$b$2:$b$20")=A20,ROW($A$2:$A$20)-1,""),COUNTIF($A$13:$A20,$A20)),1),"")</f>
        <v/>
      </c>
      <c r="C20" s="38" t="str">
        <f t="array" aca="1" ref="C20" ca="1">IFERROR(INDEX(INDIRECT("'"&amp;$B$7&amp;"'!$i$2:$k$20"),SMALL(IF(INDIRECT("'"&amp;$B$7&amp;"'!$b$2:$b$20")=$A20,ROW($A$2:$A$20)-1,""),COUNTIF($A$13:$A20,$A20)),3),"")</f>
        <v/>
      </c>
      <c r="D20" t="e">
        <f t="array" aca="1" ref="D20" ca="1">SUM(IF(INDIRECT("'"&amp;$F$7&amp;"'!$B$2:$B$20000")=$A20,INDIRECT("'"&amp;$F$7&amp;"'!$H$2:$H$20000"),0))</f>
        <v>#NUM!</v>
      </c>
      <c r="E20" t="e">
        <f t="array" aca="1" ref="E20" ca="1">SUM(IF(INDIRECT("'"&amp;$F$7&amp;"'!$B$2:$B$20000")=$A20,INDIRECT("'"&amp;$F$7&amp;"'!$J$2:$J$20000"),0))</f>
        <v>#NUM!</v>
      </c>
      <c r="F20" t="e">
        <f t="array" aca="1" ref="F20" ca="1">SUM(IF(INDIRECT("'"&amp;$B$7&amp;"'!$B$2:$B$20000")=$A20,INDIRECT("'"&amp;$B$7&amp;"'!$H$2:$H$20000"),0))</f>
        <v>#NUM!</v>
      </c>
      <c r="G20" t="e">
        <f t="array" aca="1" ref="G20" ca="1">SUM(IF(INDIRECT("'"&amp;$B$7&amp;"'!$B$2:$B$20000")=$A20,INDIRECT("'"&amp;$B$7&amp;"'!$J$2:$J$20000"),0))</f>
        <v>#NUM!</v>
      </c>
      <c r="H20" t="e">
        <f t="array" aca="1" ref="H20" ca="1">SUM(IF(INDIRECT("'"&amp;$F$7&amp;"'!$B$2:$B$20000")=$A20,INDIRECT("'"&amp;$F$7&amp;"'!$H$2:$H$20000"),0))</f>
        <v>#NUM!</v>
      </c>
      <c r="I20" t="e">
        <f t="array" aca="1" ref="I20" ca="1">SUM(IF(INDIRECT("'"&amp;$F$7&amp;"'!$B$2:$B$20000")=$A20,INDIRECT("'"&amp;$F$7&amp;"'!$J$2:$J$20000"),0))</f>
        <v>#NUM!</v>
      </c>
      <c r="J20" t="e">
        <f t="array" aca="1" ref="J20" ca="1">SUM(IF(INDIRECT("'"&amp;$F$7&amp;"'!$B$2:$B$20000")=$A20,INDIRECT("'"&amp;$F$7&amp;"'!$H$2:$H$20000"),0))</f>
        <v>#NUM!</v>
      </c>
      <c r="K20" t="e">
        <f t="array" aca="1" ref="K20" ca="1">SUM(IF(INDIRECT("'"&amp;$F$7&amp;"'!$B$2:$B$20000")=$A20,INDIRECT("'"&amp;$F$7&amp;"'!$J$2:$J$20000"),0))</f>
        <v>#NUM!</v>
      </c>
      <c r="L20" t="e">
        <f t="shared" ca="1" si="0"/>
        <v>#NUM!</v>
      </c>
      <c r="N20" t="s">
        <v>73</v>
      </c>
      <c r="O20" s="35" t="e">
        <f ca="1">IF(O18&lt;O19,"PAS DE DIFFERENCE SIGNIFICATIVE","DIFFERENCE SIGNIFICATIVE")</f>
        <v>#NAME?</v>
      </c>
      <c r="P20" s="35"/>
      <c r="Q20" s="35"/>
      <c r="U20" s="28"/>
      <c r="V20" s="28"/>
    </row>
    <row r="21" spans="1:22" hidden="1">
      <c r="A21" t="e">
        <f t="array" aca="1" ref="A21" ca="1">INDIRECT(ADDRESS(SMALL(IF(YEAR(INDIRECT("'"&amp;$B$7&amp;"'!$A$2:$A$20000"))=$C$9,ROW(INDIRECT("'"&amp;$B$7&amp;"'!$A$2:$A$20000"))),ROW()-ROW($A$13)+1),2,1,1,$B$7))</f>
        <v>#NUM!</v>
      </c>
      <c r="B21" s="38" t="str">
        <f t="array" aca="1" ref="B21" ca="1">IFERROR(INDEX(INDIRECT("'"&amp;$B$7&amp;"'!$i$2:$k$20"),SMALL(IF(INDIRECT("'"&amp;$B$7&amp;"'!$b$2:$b$20")=A21,ROW($A$2:$A$20)-1,""),COUNTIF($A$13:$A21,$A21)),1),"")</f>
        <v/>
      </c>
      <c r="C21" s="38" t="str">
        <f t="array" aca="1" ref="C21" ca="1">IFERROR(INDEX(INDIRECT("'"&amp;$B$7&amp;"'!$i$2:$k$20"),SMALL(IF(INDIRECT("'"&amp;$B$7&amp;"'!$b$2:$b$20")=$A21,ROW($A$2:$A$20)-1,""),COUNTIF($A$13:$A21,$A21)),3),"")</f>
        <v/>
      </c>
      <c r="D21" t="e">
        <f t="array" aca="1" ref="D21" ca="1">SUM(IF(INDIRECT("'"&amp;$F$7&amp;"'!$B$2:$B$20000")=$A21,INDIRECT("'"&amp;$F$7&amp;"'!$H$2:$H$20000"),0))</f>
        <v>#NUM!</v>
      </c>
      <c r="E21" t="e">
        <f t="array" aca="1" ref="E21" ca="1">SUM(IF(INDIRECT("'"&amp;$F$7&amp;"'!$B$2:$B$20000")=$A21,INDIRECT("'"&amp;$F$7&amp;"'!$J$2:$J$20000"),0))</f>
        <v>#NUM!</v>
      </c>
      <c r="F21" t="e">
        <f t="array" aca="1" ref="F21" ca="1">SUM(IF(INDIRECT("'"&amp;$B$7&amp;"'!$B$2:$B$20000")=$A21,INDIRECT("'"&amp;$B$7&amp;"'!$H$2:$H$20000"),0))</f>
        <v>#NUM!</v>
      </c>
      <c r="G21" t="e">
        <f t="array" aca="1" ref="G21" ca="1">SUM(IF(INDIRECT("'"&amp;$B$7&amp;"'!$B$2:$B$20000")=$A21,INDIRECT("'"&amp;$B$7&amp;"'!$J$2:$J$20000"),0))</f>
        <v>#NUM!</v>
      </c>
      <c r="H21" t="e">
        <f t="array" aca="1" ref="H21" ca="1">SUM(IF(INDIRECT("'"&amp;$F$7&amp;"'!$B$2:$B$20000")=$A21,INDIRECT("'"&amp;$F$7&amp;"'!$H$2:$H$20000"),0))</f>
        <v>#NUM!</v>
      </c>
      <c r="I21" t="e">
        <f t="array" aca="1" ref="I21" ca="1">SUM(IF(INDIRECT("'"&amp;$F$7&amp;"'!$B$2:$B$20000")=$A21,INDIRECT("'"&amp;$F$7&amp;"'!$J$2:$J$20000"),0))</f>
        <v>#NUM!</v>
      </c>
      <c r="J21" t="e">
        <f t="array" aca="1" ref="J21" ca="1">SUM(IF(INDIRECT("'"&amp;$F$7&amp;"'!$B$2:$B$20000")=$A21,INDIRECT("'"&amp;$F$7&amp;"'!$H$2:$H$20000"),0))</f>
        <v>#NUM!</v>
      </c>
      <c r="K21" t="e">
        <f t="array" aca="1" ref="K21" ca="1">SUM(IF(INDIRECT("'"&amp;$F$7&amp;"'!$B$2:$B$20000")=$A21,INDIRECT("'"&amp;$F$7&amp;"'!$J$2:$J$20000"),0))</f>
        <v>#NUM!</v>
      </c>
      <c r="L21" t="e">
        <f t="shared" ca="1" si="0"/>
        <v>#NUM!</v>
      </c>
      <c r="U21" s="28"/>
      <c r="V21" s="28"/>
    </row>
    <row r="22" spans="1:22">
      <c r="B22" s="38" t="str">
        <f t="array" aca="1" ref="B22" ca="1">IFERROR(INDEX(INDIRECT("'"&amp;$B$7&amp;"'!$i$2:$k$20"),SMALL(IF(INDIRECT("'"&amp;$B$7&amp;"'!$b$2:$b$20")=A22,ROW($A$2:$A$20)-1,""),COUNTIF($A$13:$A22,$A22)),1),"")</f>
        <v/>
      </c>
      <c r="C22" s="38" t="str">
        <f t="array" aca="1" ref="C22" ca="1">IFERROR(INDEX(INDIRECT("'"&amp;$B$7&amp;"'!$i$2:$k$20"),SMALL(IF(INDIRECT("'"&amp;$B$7&amp;"'!$b$2:$b$20")=$A22,ROW($A$2:$A$20)-1,""),COUNTIF($A$13:$A22,$A22)),3),"")</f>
        <v/>
      </c>
      <c r="U22" s="28"/>
      <c r="V22" s="28"/>
    </row>
    <row r="23" spans="1:22">
      <c r="B23" s="38" t="str">
        <f t="array" aca="1" ref="B23" ca="1">IFERROR(INDEX(INDIRECT("'"&amp;$B$7&amp;"'!$i$2:$k$20"),SMALL(IF(INDIRECT("'"&amp;$B$7&amp;"'!$b$2:$b$20")=A23,ROW($A$2:$A$20)-1,""),COUNTIF($A$13:$A23,$A23)),1),"")</f>
        <v/>
      </c>
      <c r="C23" s="38" t="str">
        <f t="array" aca="1" ref="C23" ca="1">IFERROR(INDEX(INDIRECT("'"&amp;$B$7&amp;"'!$i$2:$k$20"),SMALL(IF(INDIRECT("'"&amp;$B$7&amp;"'!$b$2:$b$20")=$A23,ROW($A$2:$A$20)-1,""),COUNTIF($A$13:$A23,$A23)),3),"")</f>
        <v/>
      </c>
      <c r="U23" s="32" t="s">
        <v>75</v>
      </c>
      <c r="V23" s="32" t="s">
        <v>76</v>
      </c>
    </row>
    <row r="24" spans="1:22">
      <c r="B24" s="38" t="str">
        <f t="array" aca="1" ref="B24" ca="1">IFERROR(INDEX(INDIRECT("'"&amp;$B$7&amp;"'!$i$2:$k$20"),SMALL(IF(INDIRECT("'"&amp;$B$7&amp;"'!$b$2:$b$20")=A24,ROW($A$2:$A$20)-1,""),COUNTIF($A$13:$A24,$A24)),1),"")</f>
        <v/>
      </c>
      <c r="C24" s="38" t="str">
        <f t="array" aca="1" ref="C24" ca="1">IFERROR(INDEX(INDIRECT("'"&amp;$B$7&amp;"'!$i$2:$k$20"),SMALL(IF(INDIRECT("'"&amp;$B$7&amp;"'!$b$2:$b$20")=$A24,ROW($A$2:$A$20)-1,""),COUNTIF($A$13:$A24,$A24)),3),"")</f>
        <v/>
      </c>
    </row>
    <row r="25" spans="1:22">
      <c r="B25" s="38" t="str">
        <f t="array" aca="1" ref="B25" ca="1">IFERROR(INDEX(INDIRECT("'"&amp;$B$7&amp;"'!$i$2:$k$20"),SMALL(IF(INDIRECT("'"&amp;$B$7&amp;"'!$b$2:$b$20")=A25,ROW($A$2:$A$20)-1,""),COUNTIF($A$13:$A25,$A25)),1),"")</f>
        <v/>
      </c>
      <c r="C25" s="38" t="str">
        <f t="array" aca="1" ref="C25" ca="1">IFERROR(INDEX(INDIRECT("'"&amp;$B$7&amp;"'!$i$2:$k$20"),SMALL(IF(INDIRECT("'"&amp;$B$7&amp;"'!$b$2:$b$20")=$A25,ROW($A$2:$A$20)-1,""),COUNTIF($A$13:$A25,$A25)),3),"")</f>
        <v/>
      </c>
    </row>
  </sheetData>
  <mergeCells count="2">
    <mergeCell ref="B3:C3"/>
    <mergeCell ref="O20:Q20"/>
  </mergeCells>
  <conditionalFormatting sqref="F5:G5">
    <cfRule type="containsBlanks" dxfId="87" priority="40">
      <formula>LEN(TRIM(F5))=0</formula>
    </cfRule>
  </conditionalFormatting>
  <conditionalFormatting sqref="B5">
    <cfRule type="containsBlanks" dxfId="86" priority="39">
      <formula>LEN(TRIM(B5))=0</formula>
    </cfRule>
  </conditionalFormatting>
  <conditionalFormatting sqref="B7">
    <cfRule type="containsBlanks" dxfId="85" priority="38">
      <formula>LEN(TRIM(B7))=0</formula>
    </cfRule>
  </conditionalFormatting>
  <conditionalFormatting sqref="F7">
    <cfRule type="containsBlanks" dxfId="84" priority="37">
      <formula>LEN(TRIM(F7))=0</formula>
    </cfRule>
  </conditionalFormatting>
  <conditionalFormatting sqref="J5:K5">
    <cfRule type="containsBlanks" dxfId="83" priority="36">
      <formula>LEN(TRIM(J5))=0</formula>
    </cfRule>
  </conditionalFormatting>
  <conditionalFormatting sqref="J7">
    <cfRule type="containsBlanks" dxfId="82" priority="35">
      <formula>LEN(TRIM(J7))=0</formula>
    </cfRule>
  </conditionalFormatting>
  <conditionalFormatting sqref="N5:O5">
    <cfRule type="containsBlanks" dxfId="81" priority="34">
      <formula>LEN(TRIM(N5))=0</formula>
    </cfRule>
  </conditionalFormatting>
  <conditionalFormatting sqref="N7">
    <cfRule type="containsBlanks" dxfId="80" priority="33">
      <formula>LEN(TRIM(N7))=0</formula>
    </cfRule>
  </conditionalFormatting>
  <conditionalFormatting sqref="R5:S5">
    <cfRule type="containsBlanks" dxfId="79" priority="32">
      <formula>LEN(TRIM(R5))=0</formula>
    </cfRule>
  </conditionalFormatting>
  <conditionalFormatting sqref="R7">
    <cfRule type="containsBlanks" dxfId="78" priority="31">
      <formula>LEN(TRIM(R7))=0</formula>
    </cfRule>
  </conditionalFormatting>
  <conditionalFormatting sqref="C12:C25">
    <cfRule type="cellIs" dxfId="77" priority="26" operator="greaterThan">
      <formula>3</formula>
    </cfRule>
    <cfRule type="cellIs" dxfId="76" priority="27" operator="between">
      <formula>2</formula>
      <formula>3</formula>
    </cfRule>
    <cfRule type="cellIs" dxfId="75" priority="28" operator="between">
      <formula>-2</formula>
      <formula>2</formula>
    </cfRule>
    <cfRule type="cellIs" dxfId="74" priority="29" operator="between">
      <formula>-3</formula>
      <formula>-2</formula>
    </cfRule>
    <cfRule type="cellIs" dxfId="73" priority="30" operator="lessThan">
      <formula>-3</formula>
    </cfRule>
  </conditionalFormatting>
  <conditionalFormatting sqref="E12:E21">
    <cfRule type="cellIs" dxfId="72" priority="21" operator="greaterThan">
      <formula>3</formula>
    </cfRule>
    <cfRule type="cellIs" dxfId="71" priority="22" operator="between">
      <formula>2</formula>
      <formula>3</formula>
    </cfRule>
    <cfRule type="cellIs" dxfId="70" priority="23" operator="between">
      <formula>-2</formula>
      <formula>2</formula>
    </cfRule>
    <cfRule type="cellIs" dxfId="69" priority="24" operator="between">
      <formula>-3</formula>
      <formula>-2</formula>
    </cfRule>
    <cfRule type="cellIs" dxfId="68" priority="25" operator="lessThan">
      <formula>-3</formula>
    </cfRule>
  </conditionalFormatting>
  <conditionalFormatting sqref="O20">
    <cfRule type="containsText" dxfId="67" priority="19" operator="containsText" text="PAS DE DIFFERENCE SIGNIFICATIVE">
      <formula>NOT(ISERROR(SEARCH("PAS DE DIFFERENCE SIGNIFICATIVE",O20)))</formula>
    </cfRule>
  </conditionalFormatting>
  <conditionalFormatting sqref="O20:Q20">
    <cfRule type="containsText" dxfId="66" priority="20" operator="containsText" text="DIFFERENCE SIGNIFICATIVE">
      <formula>NOT(ISERROR(SEARCH("DIFFERENCE SIGNIFICATIVE",O20)))</formula>
    </cfRule>
  </conditionalFormatting>
  <conditionalFormatting sqref="L12:L21 A12:E21 B14:C25">
    <cfRule type="containsErrors" dxfId="65" priority="18">
      <formula>ISERROR(A12)</formula>
    </cfRule>
  </conditionalFormatting>
  <conditionalFormatting sqref="G12:G21">
    <cfRule type="cellIs" dxfId="64" priority="13" operator="greaterThan">
      <formula>3</formula>
    </cfRule>
    <cfRule type="cellIs" dxfId="63" priority="14" operator="between">
      <formula>2</formula>
      <formula>3</formula>
    </cfRule>
    <cfRule type="cellIs" dxfId="62" priority="15" operator="between">
      <formula>-2</formula>
      <formula>2</formula>
    </cfRule>
    <cfRule type="cellIs" dxfId="61" priority="16" operator="between">
      <formula>-3</formula>
      <formula>-2</formula>
    </cfRule>
    <cfRule type="cellIs" dxfId="60" priority="17" operator="lessThan">
      <formula>-3</formula>
    </cfRule>
  </conditionalFormatting>
  <conditionalFormatting sqref="I12:I21">
    <cfRule type="cellIs" dxfId="59" priority="8" operator="greaterThan">
      <formula>3</formula>
    </cfRule>
    <cfRule type="cellIs" dxfId="58" priority="9" operator="between">
      <formula>2</formula>
      <formula>3</formula>
    </cfRule>
    <cfRule type="cellIs" dxfId="57" priority="10" operator="between">
      <formula>-2</formula>
      <formula>2</formula>
    </cfRule>
    <cfRule type="cellIs" dxfId="56" priority="11" operator="between">
      <formula>-3</formula>
      <formula>-2</formula>
    </cfRule>
    <cfRule type="cellIs" dxfId="55" priority="12" operator="lessThan">
      <formula>-3</formula>
    </cfRule>
  </conditionalFormatting>
  <conditionalFormatting sqref="F12:I21">
    <cfRule type="containsErrors" dxfId="54" priority="7">
      <formula>ISERROR(F12)</formula>
    </cfRule>
  </conditionalFormatting>
  <conditionalFormatting sqref="K12:K21">
    <cfRule type="cellIs" dxfId="53" priority="2" operator="greaterThan">
      <formula>3</formula>
    </cfRule>
    <cfRule type="cellIs" dxfId="52" priority="3" operator="between">
      <formula>2</formula>
      <formula>3</formula>
    </cfRule>
    <cfRule type="cellIs" dxfId="51" priority="4" operator="between">
      <formula>-2</formula>
      <formula>2</formula>
    </cfRule>
    <cfRule type="cellIs" dxfId="50" priority="5" operator="between">
      <formula>-3</formula>
      <formula>-2</formula>
    </cfRule>
    <cfRule type="cellIs" dxfId="49" priority="6" operator="lessThan">
      <formula>-3</formula>
    </cfRule>
  </conditionalFormatting>
  <conditionalFormatting sqref="J12:K21">
    <cfRule type="containsErrors" dxfId="48" priority="1">
      <formula>ISERROR(J12)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7"/>
  <sheetViews>
    <sheetView workbookViewId="0">
      <selection activeCell="L16" sqref="L16"/>
    </sheetView>
  </sheetViews>
  <sheetFormatPr baseColWidth="10" defaultRowHeight="14.5"/>
  <cols>
    <col min="1" max="1" width="11.54296875" customWidth="1"/>
    <col min="2" max="2" width="10" customWidth="1"/>
    <col min="3" max="3" width="11.36328125" customWidth="1"/>
    <col min="4" max="4" width="13.6328125" customWidth="1"/>
    <col min="5" max="5" width="16.36328125" customWidth="1"/>
    <col min="6" max="6" width="19" customWidth="1"/>
    <col min="7" max="23" width="8.6328125" customWidth="1"/>
  </cols>
  <sheetData>
    <row r="1" spans="1:23" s="7" customFormat="1" ht="68.40000000000000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3" t="s">
        <v>11</v>
      </c>
      <c r="M1" s="4" t="s">
        <v>12</v>
      </c>
      <c r="N1" s="4" t="s">
        <v>13</v>
      </c>
      <c r="O1" s="5" t="s">
        <v>14</v>
      </c>
      <c r="P1" s="6" t="s">
        <v>15</v>
      </c>
      <c r="Q1" s="1" t="s">
        <v>16</v>
      </c>
      <c r="R1" s="1" t="s">
        <v>17</v>
      </c>
      <c r="S1" s="2" t="s">
        <v>18</v>
      </c>
      <c r="T1" s="3" t="s">
        <v>19</v>
      </c>
      <c r="U1" s="4" t="s">
        <v>20</v>
      </c>
      <c r="V1" s="6" t="s">
        <v>21</v>
      </c>
      <c r="W1" s="1" t="s">
        <v>22</v>
      </c>
    </row>
    <row r="2" spans="1:23">
      <c r="A2" s="8">
        <v>42736</v>
      </c>
      <c r="B2" s="9" t="s">
        <v>23</v>
      </c>
      <c r="C2" s="9" t="s">
        <v>24</v>
      </c>
      <c r="D2" s="9" t="s">
        <v>25</v>
      </c>
      <c r="E2" s="9" t="s">
        <v>26</v>
      </c>
      <c r="F2" s="9" t="s">
        <v>27</v>
      </c>
      <c r="G2" s="9" t="s">
        <v>28</v>
      </c>
      <c r="H2" s="9">
        <v>14.3</v>
      </c>
      <c r="I2" s="36">
        <v>34</v>
      </c>
      <c r="J2" s="36">
        <v>33</v>
      </c>
      <c r="K2" s="10">
        <v>1.35</v>
      </c>
      <c r="L2" s="11" t="str">
        <f t="shared" ref="L2:L7" si="0">IF(OR(ISBLANK(I2),(I2="NR")),"NUL",IF(AND(ABS(K2)&lt;1,0&lt;=ABS(K2)),"A",IF(AND(ABS(K2)&lt;2,ABS(K2)&gt;=1),"B",IF(AND(2&lt;=ABS(K2),ABS(K2)&lt;3),"C","D"))))</f>
        <v>B</v>
      </c>
      <c r="M2" s="11">
        <f>COUNTIF($L$2:$L2,Tableau1[[#Headers],[A]])</f>
        <v>0</v>
      </c>
      <c r="N2" s="11">
        <f>COUNTIF($L$2:$L2,Tableau1[[#Headers],[B]])</f>
        <v>1</v>
      </c>
      <c r="O2" s="11">
        <f>COUNTIF($L$2:$L2,Tableau1[[#Headers],[C]])</f>
        <v>0</v>
      </c>
      <c r="P2" s="11">
        <f>COUNTIF($L$2:$L2,Tableau1[[#Headers],[D]])</f>
        <v>0</v>
      </c>
      <c r="Q2" s="12">
        <f t="shared" ref="Q2:Q7" si="1">(4*M2+3*N2+1*O2+0*P2)/(4*(M2+N2+O2+P2))</f>
        <v>0.75</v>
      </c>
      <c r="R2" s="12">
        <f t="shared" ref="R2:R5" si="2">(4*M2+4*N2+O2)/(4*(M2+N2+O2+P2))</f>
        <v>1</v>
      </c>
      <c r="S2" s="10">
        <v>3.03</v>
      </c>
      <c r="T2" s="11" t="str">
        <f t="shared" ref="T2:T7" si="3">IF(ABS(S2)&gt;H2,"KO",IF(ABS(S2)&lt;H2,"OK"))</f>
        <v>OK</v>
      </c>
      <c r="U2" s="11">
        <f>COUNTIF($T$2:$T2,Tableau1[[#Headers],[OK]])</f>
        <v>1</v>
      </c>
      <c r="V2" s="11">
        <f>COUNTIF($T$2:$T2,Tableau1[[#Headers],[KO]])</f>
        <v>0</v>
      </c>
      <c r="W2" s="12">
        <f t="shared" ref="W2:W7" si="4">$U2/SUM($U2,$V2)</f>
        <v>1</v>
      </c>
    </row>
    <row r="3" spans="1:23">
      <c r="A3" s="8">
        <v>42795</v>
      </c>
      <c r="B3" s="9" t="s">
        <v>29</v>
      </c>
      <c r="C3" s="9" t="s">
        <v>30</v>
      </c>
      <c r="D3" s="9" t="s">
        <v>25</v>
      </c>
      <c r="E3" s="9" t="s">
        <v>26</v>
      </c>
      <c r="F3" s="9" t="s">
        <v>27</v>
      </c>
      <c r="G3" s="9" t="s">
        <v>28</v>
      </c>
      <c r="H3" s="9">
        <v>14.3</v>
      </c>
      <c r="I3" s="36">
        <v>19</v>
      </c>
      <c r="J3" s="36">
        <v>19</v>
      </c>
      <c r="K3" s="10">
        <v>0</v>
      </c>
      <c r="L3" s="11" t="str">
        <f t="shared" si="0"/>
        <v>A</v>
      </c>
      <c r="M3" s="11">
        <f>COUNTIF($L$2:$L3,Tableau1[[#Headers],[A]])</f>
        <v>1</v>
      </c>
      <c r="N3" s="11">
        <f>COUNTIF($L$2:$L3,Tableau1[[#Headers],[B]])</f>
        <v>1</v>
      </c>
      <c r="O3" s="11">
        <f>COUNTIF($L$2:$L3,Tableau1[[#Headers],[C]])</f>
        <v>0</v>
      </c>
      <c r="P3" s="11">
        <f>COUNTIF($L$2:$L3,Tableau1[[#Headers],[D]])</f>
        <v>0</v>
      </c>
      <c r="Q3" s="12">
        <f t="shared" si="1"/>
        <v>0.875</v>
      </c>
      <c r="R3" s="12">
        <f t="shared" si="2"/>
        <v>1</v>
      </c>
      <c r="S3" s="10">
        <v>0</v>
      </c>
      <c r="T3" s="11" t="str">
        <f t="shared" si="3"/>
        <v>OK</v>
      </c>
      <c r="U3" s="11">
        <f>COUNTIF($T$2:$T3,Tableau1[[#Headers],[OK]])</f>
        <v>2</v>
      </c>
      <c r="V3" s="11">
        <f>COUNTIF($T$2:$T3,Tableau1[[#Headers],[KO]])</f>
        <v>0</v>
      </c>
      <c r="W3" s="12">
        <f t="shared" si="4"/>
        <v>1</v>
      </c>
    </row>
    <row r="4" spans="1:23">
      <c r="A4" s="8">
        <v>43070</v>
      </c>
      <c r="B4" s="9" t="s">
        <v>31</v>
      </c>
      <c r="C4" s="9" t="s">
        <v>32</v>
      </c>
      <c r="D4" s="9" t="s">
        <v>25</v>
      </c>
      <c r="E4" s="9" t="s">
        <v>26</v>
      </c>
      <c r="F4" s="9" t="s">
        <v>27</v>
      </c>
      <c r="G4" s="9" t="s">
        <v>28</v>
      </c>
      <c r="H4" s="9">
        <v>14.3</v>
      </c>
      <c r="I4" s="36">
        <v>56</v>
      </c>
      <c r="J4" s="36">
        <v>56</v>
      </c>
      <c r="K4" s="10">
        <v>0</v>
      </c>
      <c r="L4" s="11" t="str">
        <f t="shared" si="0"/>
        <v>A</v>
      </c>
      <c r="M4" s="11">
        <f>COUNTIF($L$2:$L4,Tableau1[[#Headers],[A]])</f>
        <v>2</v>
      </c>
      <c r="N4" s="11">
        <f>COUNTIF($L$2:$L4,Tableau1[[#Headers],[B]])</f>
        <v>1</v>
      </c>
      <c r="O4" s="11">
        <f>COUNTIF($L$2:$L4,Tableau1[[#Headers],[C]])</f>
        <v>0</v>
      </c>
      <c r="P4" s="11">
        <f>COUNTIF($L$2:$L4,Tableau1[[#Headers],[D]])</f>
        <v>0</v>
      </c>
      <c r="Q4" s="12">
        <f t="shared" si="1"/>
        <v>0.91666666666666663</v>
      </c>
      <c r="R4" s="12">
        <f t="shared" si="2"/>
        <v>1</v>
      </c>
      <c r="S4" s="10">
        <v>0</v>
      </c>
      <c r="T4" s="11" t="str">
        <f t="shared" si="3"/>
        <v>OK</v>
      </c>
      <c r="U4" s="11">
        <f>COUNTIF($T$2:$T4,Tableau1[[#Headers],[OK]])</f>
        <v>3</v>
      </c>
      <c r="V4" s="11">
        <f>COUNTIF($T$2:$T4,Tableau1[[#Headers],[KO]])</f>
        <v>0</v>
      </c>
      <c r="W4" s="12">
        <f t="shared" si="4"/>
        <v>1</v>
      </c>
    </row>
    <row r="5" spans="1:23">
      <c r="A5" s="8">
        <v>43070</v>
      </c>
      <c r="B5" s="9" t="s">
        <v>31</v>
      </c>
      <c r="C5" s="9" t="s">
        <v>33</v>
      </c>
      <c r="D5" s="9" t="s">
        <v>25</v>
      </c>
      <c r="E5" s="9" t="s">
        <v>26</v>
      </c>
      <c r="F5" s="9" t="s">
        <v>27</v>
      </c>
      <c r="G5" s="9" t="s">
        <v>28</v>
      </c>
      <c r="H5" s="9">
        <v>14.3</v>
      </c>
      <c r="I5" s="36">
        <v>35</v>
      </c>
      <c r="J5" s="36">
        <v>34</v>
      </c>
      <c r="K5" s="10">
        <v>1.35</v>
      </c>
      <c r="L5" s="11" t="str">
        <f t="shared" si="0"/>
        <v>B</v>
      </c>
      <c r="M5" s="11">
        <f>COUNTIF($L$2:$L5,Tableau1[[#Headers],[A]])</f>
        <v>2</v>
      </c>
      <c r="N5" s="11">
        <f>COUNTIF($L$2:$L5,Tableau1[[#Headers],[B]])</f>
        <v>2</v>
      </c>
      <c r="O5" s="11">
        <f>COUNTIF($L$2:$L5,Tableau1[[#Headers],[C]])</f>
        <v>0</v>
      </c>
      <c r="P5" s="11">
        <f>COUNTIF($L$2:$L5,Tableau1[[#Headers],[D]])</f>
        <v>0</v>
      </c>
      <c r="Q5" s="12">
        <f t="shared" si="1"/>
        <v>0.875</v>
      </c>
      <c r="R5" s="12">
        <f t="shared" si="2"/>
        <v>1</v>
      </c>
      <c r="S5" s="10">
        <v>2.94</v>
      </c>
      <c r="T5" s="11" t="str">
        <f t="shared" si="3"/>
        <v>OK</v>
      </c>
      <c r="U5" s="11">
        <f>COUNTIF($T$2:$T5,Tableau1[[#Headers],[OK]])</f>
        <v>4</v>
      </c>
      <c r="V5" s="11">
        <f>COUNTIF($T$2:$T5,Tableau1[[#Headers],[KO]])</f>
        <v>0</v>
      </c>
      <c r="W5" s="12">
        <f t="shared" si="4"/>
        <v>1</v>
      </c>
    </row>
    <row r="6" spans="1:23">
      <c r="A6" s="13">
        <v>43435</v>
      </c>
      <c r="B6" s="14"/>
      <c r="C6" s="14"/>
      <c r="D6" s="14"/>
      <c r="E6" s="14"/>
      <c r="F6" s="14"/>
      <c r="G6" s="14"/>
      <c r="H6" s="14">
        <v>14.3</v>
      </c>
      <c r="I6" s="37">
        <v>48</v>
      </c>
      <c r="J6" s="37"/>
      <c r="K6" s="15">
        <v>3.01</v>
      </c>
      <c r="L6" s="16" t="str">
        <f t="shared" si="0"/>
        <v>D</v>
      </c>
      <c r="M6" s="11">
        <f>COUNTIF($L$2:$L6,Tableau1[[#Headers],[A]])</f>
        <v>2</v>
      </c>
      <c r="N6" s="11">
        <f>COUNTIF($L$2:$L6,Tableau1[[#Headers],[B]])</f>
        <v>2</v>
      </c>
      <c r="O6" s="11">
        <f>COUNTIF($L$2:$L6,Tableau1[[#Headers],[C]])</f>
        <v>0</v>
      </c>
      <c r="P6" s="11">
        <f>COUNTIF($L$2:$L6,Tableau1[[#Headers],[D]])</f>
        <v>1</v>
      </c>
      <c r="Q6" s="17">
        <f t="shared" si="1"/>
        <v>0.7</v>
      </c>
      <c r="R6" s="17">
        <f>(4*M6+4*N6+O6)/(4*(M6+N6+O6+P6))</f>
        <v>0.8</v>
      </c>
      <c r="S6" s="15"/>
      <c r="T6" s="16" t="str">
        <f t="shared" si="3"/>
        <v>OK</v>
      </c>
      <c r="U6" s="11">
        <f>COUNTIF($T$2:$T6,Tableau1[[#Headers],[OK]])</f>
        <v>5</v>
      </c>
      <c r="V6" s="11">
        <f>COUNTIF($T$2:$T6,Tableau1[[#Headers],[KO]])</f>
        <v>0</v>
      </c>
      <c r="W6" s="17">
        <f t="shared" si="4"/>
        <v>1</v>
      </c>
    </row>
    <row r="7" spans="1:23">
      <c r="A7" s="13">
        <v>43435</v>
      </c>
      <c r="B7" s="14"/>
      <c r="C7" s="14"/>
      <c r="D7" s="14"/>
      <c r="E7" s="14"/>
      <c r="F7" s="14"/>
      <c r="G7" s="14"/>
      <c r="H7" s="14">
        <v>14.3</v>
      </c>
      <c r="I7" s="37">
        <v>55</v>
      </c>
      <c r="J7" s="37"/>
      <c r="K7" s="15">
        <v>2.0099999999999998</v>
      </c>
      <c r="L7" s="16" t="str">
        <f t="shared" si="0"/>
        <v>C</v>
      </c>
      <c r="M7" s="11">
        <f>COUNTIF($L$2:$L7,Tableau1[[#Headers],[A]])</f>
        <v>2</v>
      </c>
      <c r="N7" s="11">
        <f>COUNTIF($L$2:$L7,Tableau1[[#Headers],[B]])</f>
        <v>2</v>
      </c>
      <c r="O7" s="11">
        <f>COUNTIF($L$2:$L7,Tableau1[[#Headers],[C]])</f>
        <v>1</v>
      </c>
      <c r="P7" s="11">
        <f>COUNTIF($L$2:$L7,Tableau1[[#Headers],[D]])</f>
        <v>1</v>
      </c>
      <c r="Q7" s="17">
        <f t="shared" si="1"/>
        <v>0.625</v>
      </c>
      <c r="R7" s="17">
        <f>(4*M7+4*N7+O7)/(4*(M7+N7+O7+P7))</f>
        <v>0.70833333333333337</v>
      </c>
      <c r="S7" s="15"/>
      <c r="T7" s="16" t="str">
        <f t="shared" si="3"/>
        <v>OK</v>
      </c>
      <c r="U7" s="16">
        <f>COUNTIF($T$2:$T7,Tableau1[[#Headers],[OK]])</f>
        <v>6</v>
      </c>
      <c r="V7" s="11">
        <f>COUNTIF($T$2:$T7,Tableau1[[#Headers],[KO]])</f>
        <v>0</v>
      </c>
      <c r="W7" s="17">
        <f t="shared" si="4"/>
        <v>1</v>
      </c>
    </row>
  </sheetData>
  <conditionalFormatting sqref="L2:L7">
    <cfRule type="cellIs" dxfId="47" priority="3" operator="equal">
      <formula>"D"</formula>
    </cfRule>
    <cfRule type="cellIs" dxfId="46" priority="4" operator="equal">
      <formula>"C"</formula>
    </cfRule>
    <cfRule type="cellIs" dxfId="45" priority="5" operator="between">
      <formula>"A"</formula>
      <formula>"B"</formula>
    </cfRule>
  </conditionalFormatting>
  <conditionalFormatting sqref="T2:T7">
    <cfRule type="cellIs" dxfId="44" priority="1" operator="equal">
      <formula>"KO"</formula>
    </cfRule>
    <cfRule type="cellIs" dxfId="43" priority="2" operator="equal">
      <formula>"OK"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Lipase</vt:lpstr>
      <vt:lpstr>ISP_Lipase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tulipe</cp:lastModifiedBy>
  <dcterms:created xsi:type="dcterms:W3CDTF">2018-11-04T08:36:07Z</dcterms:created>
  <dcterms:modified xsi:type="dcterms:W3CDTF">2018-11-04T10:17:56Z</dcterms:modified>
</cp:coreProperties>
</file>